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tables/table4.xml" ContentType="application/vnd.openxmlformats-officedocument.spreadsheetml.table+xml"/>
  <Override PartName="/xl/worksheets/sheet17.xml" ContentType="application/vnd.openxmlformats-officedocument.spreadsheetml.worksheet+xml"/>
  <Override PartName="/xl/tables/table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لوحة المتابعة" sheetId="1" state="visible" r:id="rId1"/>
    <sheet xmlns:r="http://schemas.openxmlformats.org/officeDocument/2006/relationships" name="الحضور اليومي" sheetId="2" state="visible" r:id="rId2"/>
    <sheet xmlns:r="http://schemas.openxmlformats.org/officeDocument/2006/relationships" name="KG1-1" sheetId="3" state="visible" r:id="rId3"/>
    <sheet xmlns:r="http://schemas.openxmlformats.org/officeDocument/2006/relationships" name="KG1-2" sheetId="4" state="visible" r:id="rId4"/>
    <sheet xmlns:r="http://schemas.openxmlformats.org/officeDocument/2006/relationships" name="KG1-3" sheetId="5" state="visible" r:id="rId5"/>
    <sheet xmlns:r="http://schemas.openxmlformats.org/officeDocument/2006/relationships" name="KG1-4" sheetId="6" state="visible" r:id="rId6"/>
    <sheet xmlns:r="http://schemas.openxmlformats.org/officeDocument/2006/relationships" name="KG1-5" sheetId="7" state="visible" r:id="rId7"/>
    <sheet xmlns:r="http://schemas.openxmlformats.org/officeDocument/2006/relationships" name="KG1-6" sheetId="8" state="visible" r:id="rId8"/>
    <sheet xmlns:r="http://schemas.openxmlformats.org/officeDocument/2006/relationships" name="KG1-7" sheetId="9" state="visible" r:id="rId9"/>
    <sheet xmlns:r="http://schemas.openxmlformats.org/officeDocument/2006/relationships" name="قائمة المتابعة" sheetId="10" state="visible" r:id="rId10"/>
    <sheet xmlns:r="http://schemas.openxmlformats.org/officeDocument/2006/relationships" name="سجل الغياب" sheetId="11" state="visible" r:id="rId11"/>
    <sheet xmlns:r="http://schemas.openxmlformats.org/officeDocument/2006/relationships" name="سجل التواصل" sheetId="12" state="visible" r:id="rId12"/>
    <sheet xmlns:r="http://schemas.openxmlformats.org/officeDocument/2006/relationships" name="ملف الطفل" sheetId="13" state="visible" r:id="rId13"/>
    <sheet xmlns:r="http://schemas.openxmlformats.org/officeDocument/2006/relationships" name="الاتجاهات" sheetId="14" state="visible" r:id="rId14"/>
    <sheet xmlns:r="http://schemas.openxmlformats.org/officeDocument/2006/relationships" name="التقرير" sheetId="15" state="visible" r:id="rId15"/>
    <sheet xmlns:r="http://schemas.openxmlformats.org/officeDocument/2006/relationships" name="الطلاب" sheetId="16" state="visible" r:id="rId16"/>
    <sheet xmlns:r="http://schemas.openxmlformats.org/officeDocument/2006/relationships" name="التقويم" sheetId="17" state="visible" r:id="rId17"/>
    <sheet xmlns:r="http://schemas.openxmlformats.org/officeDocument/2006/relationships" name="الإعدادات" sheetId="18" state="visible" r:id="rId18"/>
    <sheet xmlns:r="http://schemas.openxmlformats.org/officeDocument/2006/relationships" name="الدليل" sheetId="19" state="visible" r:id="rId19"/>
    <sheet xmlns:r="http://schemas.openxmlformats.org/officeDocument/2006/relationships" name="ملخص_الصفوف" sheetId="20" state="hidden" r:id="rId20"/>
    <sheet xmlns:r="http://schemas.openxmlformats.org/officeDocument/2006/relationships" name="أحداث_الغياب" sheetId="21" state="hidden" r:id="rId21"/>
    <sheet xmlns:r="http://schemas.openxmlformats.org/officeDocument/2006/relationships" name="حسابات" sheetId="22" state="hidden" r:id="rId22"/>
  </sheets>
  <definedNames>
    <definedName name="SchoolName">'الإعدادات'!$B$6</definedName>
    <definedName name="SchoolZone">'الإعدادات'!$B$7</definedName>
    <definedName name="SectionName">'الإعدادات'!$B$8</definedName>
    <definedName name="AcademicYear">'الإعدادات'!$B$9</definedName>
    <definedName name="CurrentTerm">'الإعدادات'!$B$10</definedName>
    <definedName name="YearStart">'الإعدادات'!$B$11</definedName>
    <definedName name="YearEnd">'الإعدادات'!$B$12</definedName>
    <definedName name="FridaySchool">'الإعدادات'!$B$13</definedName>
    <definedName name="LateAsPresent">'الإعدادات'!$B$14</definedName>
    <definedName name="Thr_FollowUp">'الإعدادات'!$B$19</definedName>
    <definedName name="Thr_Repeated">'الإعدادات'!$B$20</definedName>
    <definedName name="Thr_High">'الإعدادات'!$B$21</definedName>
    <definedName name="Thr_Critical">'الإعدادات'!$B$22</definedName>
    <definedName name="LevelValues">'الإعدادات'!$B$18:$B$22</definedName>
    <definedName name="LevelLabels">'الإعدادات'!$C$18:$C$22</definedName>
    <definedName name="LevelActions">'الإعدادات'!$D$18:$D$22</definedName>
    <definedName name="Cat_95">'الإعدادات'!$B$28</definedName>
    <definedName name="Cat_90">'الإعدادات'!$B$29</definedName>
    <definedName name="Cat_L1">'الإعدادات'!$C$27</definedName>
    <definedName name="Cat_L2">'الإعدادات'!$C$28</definedName>
    <definedName name="Cat_L3">'الإعدادات'!$C$29</definedName>
    <definedName name="Cat_L4">'الإعدادات'!$C$30</definedName>
    <definedName name="CatLabels">'الإعدادات'!$C$27:$C$30</definedName>
    <definedName name="StatusLabels">'الإعدادات'!$A$34:$A$37</definedName>
    <definedName name="StatusCodes">'الإعدادات'!$B$34:$B$37</definedName>
    <definedName name="StatusSymbols">'الإعدادات'!$D$34:$D$37</definedName>
    <definedName name="ClassList">'الإعدادات'!$A$42:$A$48</definedName>
    <definedName name="ClassActive">'الإعدادات'!$B$42:$B$48</definedName>
    <definedName name="FilterClassList">'الإعدادات'!$G$42:$G$49</definedName>
    <definedName name="ActiveClassList">'الإعدادات'!$G$43:$G$49</definedName>
    <definedName name="ContactMethods">'الإعدادات'!$A$52:$A$56</definedName>
    <definedName name="StudentStatusList">'الإعدادات'!$A$59:$A$61</definedName>
    <definedName name="TermNames">'الإعدادات'!$A$65:$A$67</definedName>
    <definedName name="TermStart">'الإعدادات'!$B$65:$B$67</definedName>
    <definedName name="TermEnd">'الإعدادات'!$C$65:$C$67</definedName>
    <definedName name="HolFrom">'الإعدادات'!$A$71:$A$110</definedName>
    <definedName name="HolTo">'الإعدادات'!$B$71:$B$110</definedName>
    <definedName name="PeriodList">'الإعدادات'!$G$5:$G$9</definedName>
    <definedName name="YesNo">'الإعدادات'!$G$11:$G$12</definedName>
    <definedName name="ConfirmList">'الإعدادات'!$G$14:$G$14</definedName>
    <definedName name="RptPeriodList">'الإعدادات'!$G$16:$G$20</definedName>
    <definedName name="Cal_Date">'التقويم'!$A$5:$A$222</definedName>
    <definedName name="Cal_Day">'التقويم'!$B$5:$B$222</definedName>
    <definedName name="Cal_MonthLabel">'التقويم'!$C$5:$C$222</definedName>
    <definedName name="Cal_MonthKey">'التقويم'!$D$5:$D$222</definedName>
    <definedName name="Cal_Week">'التقويم'!$E$5:$E$222</definedName>
    <definedName name="Cal_Term">'التقويم'!$F$5:$F$222</definedName>
    <definedName name="Cal_Hol">'التقويم'!$G$5:$G$222</definedName>
    <definedName name="Cal_School">'التقويم'!$H$5:$H$222</definedName>
    <definedName name="Cal_Reg">'التقويم'!$I$5:$I$222</definedName>
    <definedName name="Cal_Pres">'التقويم'!$J$5:$J$222</definedName>
    <definedName name="Cal_Abs">'التقويم'!$K$5:$K$222</definedName>
    <definedName name="Cal_Exc">'التقويم'!$L$5:$L$222</definedName>
    <definedName name="Cal_Late">'التقويم'!$M$5:$M$222</definedName>
    <definedName name="Cal_Rate">'التقويم'!$N$5:$N$222</definedName>
    <definedName name="Cal_Recorded">'التقويم'!$O$5:$O$222</definedName>
    <definedName name="Cal_RecIdx">'التقويم'!$P$5:$P$222</definedName>
    <definedName name="Week_No">'التقويم'!$R$5:$R$48</definedName>
    <definedName name="Week_From">'التقويم'!$S$5:$S$48</definedName>
    <definedName name="Week_Days">'التقويم'!$U$5:$U$48</definedName>
    <definedName name="Week_Label">'التقويم'!$V$5:$V$48</definedName>
    <definedName name="Stu_ID">'الطلاب'!$B$5:$B$214</definedName>
    <definedName name="Stu_Name">'الطلاب'!$C$5:$C$214</definedName>
    <definedName name="Stu_Class">'الطلاب'!$D$5:$D$214</definedName>
    <definedName name="Stu_Section">'الطلاب'!$E$5:$E$214</definedName>
    <definedName name="Stu_StStatus">'الطلاب'!$F$5:$F$214</definedName>
    <definedName name="Stu_Join">'الطلاب'!$G$5:$G$214</definedName>
    <definedName name="Stu_Guardian">'الطلاب'!$H$5:$H$214</definedName>
    <definedName name="Stu_Phone">'الطلاب'!$I$5:$I$214</definedName>
    <definedName name="Stu_Days">'الطلاب'!$J$5:$J$214</definedName>
    <definedName name="Stu_Pres">'الطلاب'!$K$5:$K$214</definedName>
    <definedName name="Stu_Abs">'الطلاب'!$L$5:$L$214</definedName>
    <definedName name="Stu_Exc">'الطلاب'!$M$5:$M$214</definedName>
    <definedName name="Stu_Late">'الطلاب'!$N$5:$N$214</definedName>
    <definedName name="Stu_Rate">'الطلاب'!$O$5:$O$214</definedName>
    <definedName name="Stu_AbsRate">'الطلاب'!$P$5:$P$214</definedName>
    <definedName name="Stu_Level">'الطلاب'!$Q$5:$Q$214</definedName>
    <definedName name="Stu_Status">'الطلاب'!$R$5:$R$214</definedName>
    <definedName name="Stu_LastAbs">'الطلاب'!$S$5:$S$214</definedName>
    <definedName name="Stu_D3">'الطلاب'!$T$5:$T$214</definedName>
    <definedName name="Stu_D5">'الطلاب'!$U$5:$U$214</definedName>
    <definedName name="Stu_D10">'الطلاب'!$V$5:$V$214</definedName>
    <definedName name="Stu_D15">'الطلاب'!$W$5:$W$214</definedName>
    <definedName name="Stu_LastContact">'الطلاب'!$X$5:$X$214</definedName>
    <definedName name="Stu_Method">'الطلاب'!$Y$5:$Y$214</definedName>
    <definedName name="Stu_Contacted">'الطلاب'!$Z$5:$Z$214</definedName>
    <definedName name="Stu_ContactReq">'الطلاب'!$AA$5:$AA$214</definedName>
    <definedName name="Stu_Action">'الطلاب'!$AB$5:$AB$214</definedName>
    <definedName name="Stu_Cat">'الطلاب'!$AC$5:$AC$214</definedName>
    <definedName name="Stu_Notes">'الطلاب'!$AD$5:$AD$214</definedName>
    <definedName name="Stu_Dup">'الطلاب'!$AE$5:$AE$214</definedName>
    <definedName name="Stu_InFilter">'الطلاب'!$AF$5:$AF$214</definedName>
    <definedName name="Stu_Today">'الطلاب'!$AG$5:$AG$214</definedName>
    <definedName name="Stu_PAtt">'الطلاب'!$AH$5:$AH$214</definedName>
    <definedName name="Stu_PTot">'الطلاب'!$AI$5:$AI$214</definedName>
    <definedName name="Stu_LvlToday">'الطلاب'!$AJ$5:$AJ$214</definedName>
    <definedName name="Stu_AlertSeq">'الطلاب'!$AK$5:$AK$214</definedName>
    <definedName name="Stu_KeyFU">'الطلاب'!$AL$5:$AL$214</definedName>
    <definedName name="Stu_KeyTop">'الطلاب'!$AM$5:$AM$214</definedName>
    <definedName name="Stu_KeySup">'الطلاب'!$AN$5:$AN$214</definedName>
    <definedName name="Stu_KeyCrit">'الطلاب'!$AO$5:$AO$214</definedName>
    <definedName name="Stu_RptIn">'الطلاب'!$AP$5:$AP$214</definedName>
    <definedName name="Stu_KeyRpt">'الطلاب'!$AQ$5:$AQ$214</definedName>
    <definedName name="Stu_RAtt">'الطلاب'!$AR$5:$AR$214</definedName>
    <definedName name="Stu_RTot">'الطلاب'!$AS$5:$AS$214</definedName>
    <definedName name="Stu_RAbs">'الطلاب'!$AT$5:$AT$214</definedName>
    <definedName name="Stu_C">'الطلاب'!$AU$5:$AU$214</definedName>
    <definedName name="Stu_I">'الطلاب'!$AV$5:$AV$214</definedName>
    <definedName name="Stu_RToday">'الطلاب'!$AW$5:$AW$214</definedName>
    <definedName name="Stu_RAbsSeq">'الطلاب'!$AX$5:$AX$214</definedName>
    <definedName name="CD_Class">'ملخص_الصفوف'!$A$2:$A$1527</definedName>
    <definedName name="CD_Date">'ملخص_الصفوف'!$B$2:$B$1527</definedName>
    <definedName name="CD_Reg">'ملخص_الصفوف'!$C$2:$C$1527</definedName>
    <definedName name="CD_Pres">'ملخص_الصفوف'!$D$2:$D$1527</definedName>
    <definedName name="CD_Abs">'ملخص_الصفوف'!$E$2:$E$1527</definedName>
    <definedName name="CD_Exc">'ملخص_الصفوف'!$F$2:$F$1527</definedName>
    <definedName name="CD_Late">'ملخص_الصفوف'!$G$2:$G$1527</definedName>
    <definedName name="EV_ID">'أحداث_الغياب'!$A$2:$A$4201</definedName>
    <definedName name="EV_Name">'أحداث_الغياب'!$B$2:$B$4201</definedName>
    <definedName name="EV_Class">'أحداث_الغياب'!$C$2:$C$4201</definedName>
    <definedName name="EV_Date">'أحداث_الغياب'!$D$2:$D$4201</definedName>
    <definedName name="EV_Type">'أحداث_الغياب'!$E$2:$E$4201</definedName>
    <definedName name="EV_Cum">'أحداث_الغياب'!$F$2:$F$4201</definedName>
    <definedName name="EV_Seq">'أحداث_الغياب'!$G$2:$G$4201</definedName>
    <definedName name="Log_Date">'سجل التواصل'!$A$6:$A$305</definedName>
    <definedName name="Log_ID">'سجل التواصل'!$B$6:$B$305</definedName>
    <definedName name="Log_Name">'سجل التواصل'!$C$6:$C$305</definedName>
    <definedName name="Log_Count">'سجل التواصل'!$E$6:$E$305</definedName>
    <definedName name="Log_Method">'سجل التواصل'!$F$6:$F$305</definedName>
    <definedName name="Log_Notes">'سجل التواصل'!$G$6:$G$305</definedName>
    <definedName name="Log_Level">'سجل التواصل'!$H$6:$H$305</definedName>
    <definedName name="Log_Key">'سجل التواصل'!$I$6:$I$305</definedName>
    <definedName name="Log_Seq">'سجل التواصل'!$J$6:$J$305</definedName>
    <definedName name="LastRecorded">'حسابات'!$B$2</definedName>
    <definedName name="Dash_Date">'حسابات'!$B$3</definedName>
    <definedName name="Dash_DayIdx">'حسابات'!$B$4</definedName>
    <definedName name="Dash_PStart">'حسابات'!$B$5</definedName>
    <definedName name="Dash_PEnd">'حسابات'!$B$6</definedName>
    <definedName name="Dash_PeriodText">'حسابات'!$B$7</definedName>
    <definedName name="Dash_MStart">'حسابات'!$B$8</definedName>
    <definedName name="Dash_MEnd">'حسابات'!$B$9</definedName>
    <definedName name="Dash_Rate">'حسابات'!$B$10</definedName>
    <definedName name="Today_P">'حسابات'!$B$11</definedName>
    <definedName name="Today_A">'حسابات'!$B$12</definedName>
    <definedName name="Today_E">'حسابات'!$B$13</definedName>
    <definedName name="Today_L">'حسابات'!$B$14</definedName>
    <definedName name="Today_Reg">'حسابات'!$B$15</definedName>
    <definedName name="Today_Att">'حسابات'!$B$16</definedName>
    <definedName name="Today_Rate">'حسابات'!$B$17</definedName>
    <definedName name="Total_Kids">'حسابات'!$B$18</definedName>
    <definedName name="Rec_Days">'حسابات'!$B$19</definedName>
    <definedName name="Cls_Active">'حسابات'!$B$20</definedName>
    <definedName name="Cls_Confirmed">'حسابات'!$B$21</definedName>
    <definedName name="Best_Class">'حسابات'!$B$22</definedName>
    <definedName name="Low_Class">'حسابات'!$B$23</definedName>
    <definedName name="Dash_DateInput">'لوحة المتابعة'!$B$5</definedName>
    <definedName name="Dash_Class">'لوحة المتابعة'!$E$5</definedName>
    <definedName name="Dash_Period">'لوحة المتابعة'!$I$5</definedName>
    <definedName name="Daily_DateInput">'الحضور اليومي'!$B$4</definedName>
    <definedName name="Daily_Class">'الحضور اليومي'!$E$4</definedName>
    <definedName name="Daily_Date">'الحضور اليومي'!$H$4</definedName>
    <definedName name="Daily_DayIdx">'الحضور اليومي'!$I$4</definedName>
    <definedName name="Daily_ClsIdx">'الحضور اليومي'!$J$4</definedName>
    <definedName name="Prof_Row">'ملف الطفل'!$AD$4</definedName>
    <definedName name="Prof_ID">'ملف الطفل'!$AE$4</definedName>
    <definedName name="Prof_C">'ملف الطفل'!$AF$4</definedName>
    <definedName name="Prof_I">'ملف الطفل'!$AC$4</definedName>
    <definedName name="Prof_Statuses">'ملف الطفل'!$B$60:$HK$60</definedName>
    <definedName name="Prof_Counted">'ملف الطفل'!$B$61:$HK$61</definedName>
    <definedName name="Prof_Dates">'ملف الطفل'!$B$62:$HK$62</definedName>
    <definedName name="Trend_Class">'الاتجاهات'!$B$4</definedName>
    <definedName name="Rec_Weeks">'الاتجاهات'!$S$5</definedName>
    <definedName name="Rpt_Period">'التقرير'!$B$4</definedName>
    <definedName name="Rpt_DateInput">'التقرير'!$D$4</definedName>
    <definedName name="Rpt_Class">'التقرير'!$F$4</definedName>
    <definedName name="Rpt_Date">'التقرير'!$K$2</definedName>
    <definedName name="Rpt_PStart">'التقرير'!$K$3</definedName>
    <definedName name="Rpt_PEnd">'التقرير'!$K$4</definedName>
    <definedName name="Rpt_DayIdx">'التقرير'!$K$5</definedName>
    <definedName name="Rpt_First">'التقرير'!$K$6</definedName>
    <definedName name="_xlnm.Print_Area" localSheetId="0">'لوحة المتابعة'!$A$1:$P$78</definedName>
    <definedName name="_xlnm.Print_Titles" localSheetId="14">'التقرير'!$1:$3</definedName>
    <definedName name="_xlnm.Print_Area" localSheetId="14">'التقرير'!$A$1:$H$111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
    <numFmt numFmtId="167" formatCode="dd/mm"/>
    <numFmt numFmtId="168" formatCode="&quot;&quot;;&quot;&quot;;&quot;عطلة&quot;"/>
    <numFmt numFmtId="169" formatCode="&quot;الأسبوع &quot;0"/>
  </numFmts>
  <fonts count="54">
    <font>
      <name val="Calibri"/>
      <family val="2"/>
      <color theme="1"/>
      <sz val="11"/>
      <scheme val="minor"/>
    </font>
    <font>
      <name val="Arial"/>
      <b val="1"/>
      <color rgb="001F3A5F"/>
      <sz val="18"/>
    </font>
    <font>
      <name val="Arial"/>
      <color rgb="002A7F8E"/>
      <sz val="11"/>
    </font>
    <font>
      <name val="Arial"/>
      <i val="1"/>
      <color rgb="006B7280"/>
      <sz val="9"/>
    </font>
    <font>
      <name val="Arial"/>
      <b val="1"/>
      <color rgb="001F3A5F"/>
      <sz val="12"/>
    </font>
    <font>
      <name val="Arial"/>
      <color rgb="001F2933"/>
      <sz val="10"/>
    </font>
    <font>
      <name val="Arial"/>
      <b val="1"/>
      <color rgb="001F3A5F"/>
      <sz val="10"/>
    </font>
    <font>
      <name val="Arial"/>
      <color rgb="006B7280"/>
      <sz val="10"/>
    </font>
    <font>
      <name val="Arial"/>
      <b val="1"/>
      <color rgb="00FFFFFF"/>
      <sz val="10"/>
    </font>
    <font>
      <name val="Arial"/>
      <b val="1"/>
      <color rgb="002E7D32"/>
      <sz val="10"/>
    </font>
    <font>
      <name val="Arial"/>
      <b val="1"/>
      <color rgb="008A6D00"/>
      <sz val="10"/>
    </font>
    <font>
      <name val="Arial"/>
      <b val="1"/>
      <color rgb="00B45309"/>
      <sz val="10"/>
    </font>
    <font>
      <name val="Arial"/>
      <b val="1"/>
      <color rgb="00C2410C"/>
      <sz val="10"/>
    </font>
    <font>
      <name val="Arial"/>
      <b val="1"/>
      <color rgb="00B91C1C"/>
      <sz val="10"/>
    </font>
    <font>
      <name val="Arial"/>
      <color rgb="006B7280"/>
      <sz val="9"/>
    </font>
    <font>
      <name val="Arial"/>
      <b val="1"/>
      <color rgb="001F2933"/>
      <sz val="10"/>
    </font>
    <font>
      <name val="Arial"/>
      <b val="1"/>
      <color rgb="006B7280"/>
      <sz val="9"/>
    </font>
    <font>
      <name val="Arial"/>
      <color rgb="00B91C1C"/>
      <sz val="10"/>
    </font>
    <font>
      <name val="Arial"/>
      <color rgb="002E7D32"/>
      <sz val="10"/>
    </font>
    <font>
      <name val="Arial"/>
      <b val="1"/>
      <color rgb="001F3A5F"/>
      <sz val="16"/>
    </font>
    <font>
      <name val="Arial"/>
      <b val="1"/>
      <color rgb="002A7F8E"/>
      <sz val="11"/>
    </font>
    <font>
      <name val="Arial"/>
      <b val="1"/>
      <color rgb="002A7F8E"/>
      <sz val="10"/>
    </font>
    <font>
      <name val="Arial"/>
      <color rgb="006B7280"/>
      <sz val="8"/>
    </font>
    <font>
      <name val="Arial"/>
      <b val="1"/>
      <color rgb="001D4ED8"/>
      <sz val="10"/>
    </font>
    <font>
      <name val="Arial"/>
      <b val="1"/>
      <color rgb="002A7F8E"/>
      <sz val="12"/>
    </font>
    <font>
      <name val="Arial"/>
      <b val="1"/>
      <color rgb="001F3A5F"/>
      <sz val="9"/>
    </font>
    <font>
      <name val="Arial"/>
      <b val="1"/>
      <color rgb="001F3A5F"/>
      <sz val="8"/>
    </font>
    <font>
      <name val="Arial"/>
      <b val="1"/>
      <color rgb="001F2933"/>
      <sz val="9"/>
    </font>
    <font>
      <name val="Arial"/>
      <b val="1"/>
      <color rgb="002E7D32"/>
      <sz val="9"/>
    </font>
    <font>
      <name val="Arial"/>
      <b val="1"/>
      <color rgb="00FFFFFF"/>
      <sz val="8"/>
    </font>
    <font>
      <name val="Arial"/>
      <color rgb="001F2933"/>
      <sz val="8"/>
    </font>
    <font>
      <name val="Arial"/>
      <color rgb="001F2933"/>
      <sz val="9"/>
    </font>
    <font>
      <name val="Arial"/>
      <b val="1"/>
      <color rgb="00B91C1C"/>
      <sz val="9"/>
    </font>
    <font>
      <name val="Arial"/>
      <b val="1"/>
      <color rgb="00B45309"/>
      <sz val="11"/>
    </font>
    <font>
      <name val="Arial"/>
      <b val="1"/>
      <color rgb="001F3A5F"/>
      <sz val="11"/>
    </font>
    <font>
      <name val="Arial"/>
      <b val="1"/>
      <color rgb="001F3A5F"/>
      <sz val="14"/>
    </font>
    <font>
      <name val="Arial"/>
      <b val="1"/>
      <color rgb="001F3A5F"/>
      <sz val="20"/>
    </font>
    <font>
      <name val="Arial"/>
      <b val="1"/>
      <color rgb="002E7D32"/>
      <sz val="20"/>
    </font>
    <font>
      <name val="Arial"/>
      <b val="1"/>
      <color rgb="00B03A2E"/>
      <sz val="20"/>
    </font>
    <font>
      <name val="Arial"/>
      <b val="1"/>
      <color rgb="002A7F8E"/>
      <sz val="20"/>
    </font>
    <font>
      <name val="Arial"/>
      <b val="1"/>
      <color rgb="008A6D00"/>
      <sz val="20"/>
    </font>
    <font>
      <name val="Arial"/>
      <b val="1"/>
      <color rgb="00B45309"/>
      <sz val="20"/>
    </font>
    <font>
      <name val="Arial"/>
      <b val="1"/>
      <color rgb="00C2410C"/>
      <sz val="20"/>
    </font>
    <font>
      <name val="Arial"/>
      <b val="1"/>
      <color rgb="00B91C1C"/>
      <sz val="20"/>
    </font>
    <font>
      <name val="Arial"/>
      <b val="1"/>
      <color rgb="00FFFFFF"/>
      <sz val="9"/>
    </font>
    <font>
      <name val="Arial"/>
      <b val="1"/>
      <color rgb="002A7F8E"/>
      <sz val="30"/>
    </font>
    <font>
      <name val="Arial"/>
      <i val="1"/>
      <color rgb="006B7280"/>
      <sz val="8"/>
    </font>
    <font>
      <name val="Arial"/>
      <b val="1"/>
      <color rgb="002A7F8E"/>
      <sz val="9"/>
    </font>
    <font>
      <name val="Arial"/>
      <b val="1"/>
      <color rgb="00B03A2E"/>
      <sz val="10"/>
    </font>
    <font>
      <name val="Arial"/>
      <b val="1"/>
      <color rgb="001D4ED8"/>
      <sz val="11"/>
    </font>
    <font>
      <name val="Arial"/>
      <i val="1"/>
      <color rgb="00B45309"/>
      <sz val="9"/>
    </font>
    <font>
      <name val="Arial"/>
      <b val="1"/>
      <color rgb="006B7280"/>
      <sz val="8"/>
    </font>
    <font>
      <name val="Arial"/>
      <b val="1"/>
      <color rgb="001F3A5F"/>
      <sz val="13"/>
    </font>
    <font>
      <name val="Arial"/>
      <b val="1"/>
      <color rgb="00B45309"/>
      <sz val="9"/>
    </font>
  </fonts>
  <fills count="15">
    <fill>
      <patternFill/>
    </fill>
    <fill>
      <patternFill patternType="gray125"/>
    </fill>
    <fill>
      <patternFill patternType="solid">
        <fgColor rgb="00FFF8E1"/>
        <bgColor rgb="00FFF8E1"/>
      </patternFill>
    </fill>
    <fill>
      <patternFill patternType="solid">
        <fgColor rgb="00F3F4F6"/>
        <bgColor rgb="00F3F4F6"/>
      </patternFill>
    </fill>
    <fill>
      <patternFill patternType="solid">
        <fgColor rgb="001F3A5F"/>
        <bgColor rgb="001F3A5F"/>
      </patternFill>
    </fill>
    <fill>
      <patternFill patternType="solid">
        <fgColor rgb="00E8F5E9"/>
        <bgColor rgb="00E8F5E9"/>
      </patternFill>
    </fill>
    <fill>
      <patternFill patternType="solid">
        <fgColor rgb="00FFF4CC"/>
        <bgColor rgb="00FFF4CC"/>
      </patternFill>
    </fill>
    <fill>
      <patternFill patternType="solid">
        <fgColor rgb="00FFE0B2"/>
        <bgColor rgb="00FFE0B2"/>
      </patternFill>
    </fill>
    <fill>
      <patternFill patternType="solid">
        <fgColor rgb="00FDD0C0"/>
        <bgColor rgb="00FDD0C0"/>
      </patternFill>
    </fill>
    <fill>
      <patternFill patternType="solid">
        <fgColor rgb="00F8B4B4"/>
        <bgColor rgb="00F8B4B4"/>
      </patternFill>
    </fill>
    <fill>
      <patternFill patternType="solid">
        <fgColor rgb="006B7280"/>
        <bgColor rgb="006B7280"/>
      </patternFill>
    </fill>
    <fill>
      <patternFill patternType="solid">
        <fgColor rgb="00F5F7FA"/>
        <bgColor rgb="00F5F7FA"/>
      </patternFill>
    </fill>
    <fill>
      <patternFill patternType="solid">
        <fgColor rgb="002A7F8E"/>
        <bgColor rgb="002A7F8E"/>
      </patternFill>
    </fill>
    <fill>
      <patternFill patternType="solid">
        <fgColor rgb="00B45309"/>
        <bgColor rgb="00B45309"/>
      </patternFill>
    </fill>
    <fill>
      <patternFill patternType="solid">
        <fgColor rgb="00B91C1C"/>
        <bgColor rgb="00B91C1C"/>
      </patternFill>
    </fill>
  </fills>
  <borders count="27">
    <border>
      <left/>
      <right/>
      <top/>
      <bottom/>
      <diagonal/>
    </border>
    <border>
      <bottom style="medium">
        <color rgb="002A7F8E"/>
      </bottom>
    </border>
    <border>
      <left style="thin">
        <color rgb="00E6C86E"/>
      </left>
      <right style="thin">
        <color rgb="00E6C86E"/>
      </right>
      <top style="thin">
        <color rgb="00E6C86E"/>
      </top>
      <bottom style="thin">
        <color rgb="00E6C86E"/>
      </bottom>
    </border>
    <border>
      <left style="thin">
        <color rgb="001F3A5F"/>
      </left>
      <right style="thin">
        <color rgb="001F3A5F"/>
      </right>
      <top style="thin">
        <color rgb="001F3A5F"/>
      </top>
      <bottom style="thin">
        <color rgb="001F3A5F"/>
      </bottom>
    </border>
    <border>
      <left style="thin">
        <color rgb="00D9DEE5"/>
      </left>
      <right style="thin">
        <color rgb="00D9DEE5"/>
      </right>
      <top style="thin">
        <color rgb="00D9DEE5"/>
      </top>
      <bottom style="thin">
        <color rgb="00D9DEE5"/>
      </bottom>
    </border>
    <border>
      <left style="thin">
        <color rgb="00EEF0F3"/>
      </left>
      <right style="thin">
        <color rgb="00EEF0F3"/>
      </right>
      <top style="thin">
        <color rgb="00EEF0F3"/>
      </top>
      <bottom style="thin">
        <color rgb="00EEF0F3"/>
      </bottom>
    </border>
    <border>
      <left style="thin">
        <color rgb="006B7280"/>
      </left>
      <right style="thin">
        <color rgb="006B7280"/>
      </right>
      <top style="thin">
        <color rgb="006B7280"/>
      </top>
      <bottom style="thin">
        <color rgb="006B7280"/>
      </bottom>
    </border>
    <border>
      <right style="medium">
        <color rgb="00FFFFFF"/>
      </right>
      <top style="medium">
        <color rgb="00FFFFFF"/>
      </top>
    </border>
    <border>
      <left style="medium">
        <color rgb="00FFFFFF"/>
      </left>
      <top style="medium">
        <color rgb="00FFFFFF"/>
      </top>
    </border>
    <border>
      <right style="medium">
        <color rgb="00FFFFFF"/>
      </right>
    </border>
    <border>
      <left style="medium">
        <color rgb="00FFFFFF"/>
      </left>
    </border>
    <border>
      <right style="medium">
        <color rgb="00FFFFFF"/>
      </right>
      <bottom style="medium">
        <color rgb="00FFFFFF"/>
      </bottom>
    </border>
    <border>
      <left style="medium">
        <color rgb="00FFFFFF"/>
      </left>
      <bottom style="medium">
        <color rgb="00FFFFFF"/>
      </bottom>
    </border>
    <border>
      <left style="thin">
        <color rgb="002A7F8E"/>
      </left>
      <right style="thin">
        <color rgb="002A7F8E"/>
      </right>
      <top style="thin">
        <color rgb="002A7F8E"/>
      </top>
      <bottom style="thin">
        <color rgb="002A7F8E"/>
      </bottom>
    </border>
    <border>
      <bottom style="thin">
        <color rgb="00D9DEE5"/>
      </bottom>
    </border>
    <border>
      <left style="thin">
        <color rgb="00B45309"/>
      </left>
      <right style="thin">
        <color rgb="00B45309"/>
      </right>
      <top style="thin">
        <color rgb="00B45309"/>
      </top>
      <bottom style="thin">
        <color rgb="00B45309"/>
      </bottom>
    </border>
    <border>
      <left style="thin">
        <color rgb="00B91C1C"/>
      </left>
      <right style="thin">
        <color rgb="00B91C1C"/>
      </right>
      <top style="thin">
        <color rgb="00B91C1C"/>
      </top>
      <bottom style="thin">
        <color rgb="00B91C1C"/>
      </bottom>
    </border>
    <border>
      <left style="thin">
        <color rgb="00FFFFFF"/>
      </left>
      <right style="thin">
        <color rgb="00FFFFFF"/>
      </right>
      <top style="thin">
        <color rgb="00FFFFFF"/>
      </top>
      <bottom style="thin">
        <color rgb="00FFFFFF"/>
      </bottom>
    </border>
    <border>
      <left/>
      <right/>
      <top style="thin">
        <color rgb="00E6C86E"/>
      </top>
      <bottom/>
      <diagonal/>
    </border>
    <border>
      <left/>
      <right style="thin">
        <color rgb="00E6C86E"/>
      </right>
      <top style="thin">
        <color rgb="00E6C86E"/>
      </top>
      <bottom/>
      <diagonal/>
    </border>
    <border>
      <left/>
      <right/>
      <top style="thin">
        <color rgb="00E6C86E"/>
      </top>
      <bottom style="thin">
        <color rgb="00E6C86E"/>
      </bottom>
      <diagonal/>
    </border>
    <border>
      <left/>
      <right style="thin">
        <color rgb="00E6C86E"/>
      </right>
      <top style="thin">
        <color rgb="00E6C86E"/>
      </top>
      <bottom style="thin">
        <color rgb="00E6C86E"/>
      </bottom>
      <diagonal/>
    </border>
    <border>
      <left/>
      <right/>
      <top/>
      <bottom style="thin">
        <color rgb="00D9DEE5"/>
      </bottom>
      <diagonal/>
    </border>
    <border>
      <left/>
      <right/>
      <top style="thin">
        <color rgb="002A7F8E"/>
      </top>
      <bottom/>
      <diagonal/>
    </border>
    <border>
      <left/>
      <right style="thin">
        <color rgb="002A7F8E"/>
      </right>
      <top style="thin">
        <color rgb="002A7F8E"/>
      </top>
      <bottom/>
      <diagonal/>
    </border>
    <border>
      <left/>
      <right/>
      <top style="thin">
        <color rgb="002A7F8E"/>
      </top>
      <bottom style="thin">
        <color rgb="002A7F8E"/>
      </bottom>
      <diagonal/>
    </border>
    <border>
      <left/>
      <right style="thin">
        <color rgb="002A7F8E"/>
      </right>
      <top style="thin">
        <color rgb="002A7F8E"/>
      </top>
      <bottom style="thin">
        <color rgb="002A7F8E"/>
      </bottom>
      <diagonal/>
    </border>
  </borders>
  <cellStyleXfs count="1">
    <xf numFmtId="0" fontId="0" fillId="0" borderId="0"/>
  </cellStyleXfs>
  <cellXfs count="187">
    <xf numFmtId="0" fontId="0" fillId="0" borderId="0" pivotButton="0" quotePrefix="0" xfId="0"/>
    <xf numFmtId="0" fontId="19" fillId="0" borderId="0" applyAlignment="1" pivotButton="0" quotePrefix="0" xfId="0">
      <alignment horizontal="right" vertical="center"/>
    </xf>
    <xf numFmtId="0" fontId="20" fillId="0" borderId="0" applyAlignment="1" pivotButton="0" quotePrefix="0" xfId="0">
      <alignment horizontal="right" vertical="center"/>
    </xf>
    <xf numFmtId="0" fontId="35" fillId="0" borderId="0" applyAlignment="1" pivotButton="0" quotePrefix="0" xfId="0">
      <alignment horizontal="right" vertical="center"/>
    </xf>
    <xf numFmtId="0" fontId="25" fillId="0" borderId="0" applyAlignment="1" pivotButton="0" quotePrefix="0" xfId="0">
      <alignment horizontal="right" vertical="center"/>
    </xf>
    <xf numFmtId="165" fontId="6" fillId="2" borderId="2" applyAlignment="1" applyProtection="1" pivotButton="0" quotePrefix="0" xfId="0">
      <alignment horizontal="center" vertical="center"/>
      <protection locked="0" hidden="0"/>
    </xf>
    <xf numFmtId="0" fontId="6" fillId="2" borderId="2" applyAlignment="1" applyProtection="1" pivotButton="0" quotePrefix="0" xfId="0">
      <alignment horizontal="center" vertical="center"/>
      <protection locked="0" hidden="0"/>
    </xf>
    <xf numFmtId="0" fontId="21" fillId="0" borderId="0" applyAlignment="1" pivotButton="0" quotePrefix="0" xfId="0">
      <alignment horizontal="right" vertical="center"/>
    </xf>
    <xf numFmtId="0" fontId="16" fillId="11" borderId="7" applyAlignment="1" pivotButton="0" quotePrefix="0" xfId="0">
      <alignment horizontal="centerContinuous" vertical="center" wrapText="1"/>
    </xf>
    <xf numFmtId="0" fontId="0" fillId="11" borderId="8" applyAlignment="1" pivotButton="0" quotePrefix="0" xfId="0">
      <alignment horizontal="centerContinuous" vertical="center"/>
    </xf>
    <xf numFmtId="0" fontId="36" fillId="11" borderId="9" applyAlignment="1" pivotButton="0" quotePrefix="0" xfId="0">
      <alignment horizontal="centerContinuous" vertical="center"/>
    </xf>
    <xf numFmtId="0" fontId="0" fillId="11" borderId="10" applyAlignment="1" pivotButton="0" quotePrefix="0" xfId="0">
      <alignment horizontal="centerContinuous" vertical="center"/>
    </xf>
    <xf numFmtId="0" fontId="37" fillId="11" borderId="9" applyAlignment="1" pivotButton="0" quotePrefix="0" xfId="0">
      <alignment horizontal="centerContinuous" vertical="center"/>
    </xf>
    <xf numFmtId="0" fontId="38" fillId="11" borderId="9" applyAlignment="1" pivotButton="0" quotePrefix="0" xfId="0">
      <alignment horizontal="centerContinuous" vertical="center"/>
    </xf>
    <xf numFmtId="166" fontId="39" fillId="11" borderId="9" applyAlignment="1" pivotButton="0" quotePrefix="0" xfId="0">
      <alignment horizontal="centerContinuous" vertical="center"/>
    </xf>
    <xf numFmtId="0" fontId="40" fillId="11" borderId="9" applyAlignment="1" pivotButton="0" quotePrefix="0" xfId="0">
      <alignment horizontal="centerContinuous" vertical="center"/>
    </xf>
    <xf numFmtId="0" fontId="41" fillId="11" borderId="9" applyAlignment="1" pivotButton="0" quotePrefix="0" xfId="0">
      <alignment horizontal="centerContinuous" vertical="center"/>
    </xf>
    <xf numFmtId="0" fontId="42" fillId="11" borderId="9" applyAlignment="1" pivotButton="0" quotePrefix="0" xfId="0">
      <alignment horizontal="centerContinuous" vertical="center"/>
    </xf>
    <xf numFmtId="0" fontId="43" fillId="11" borderId="9" applyAlignment="1" pivotButton="0" quotePrefix="0" xfId="0">
      <alignment horizontal="centerContinuous" vertical="center"/>
    </xf>
    <xf numFmtId="0" fontId="22" fillId="11" borderId="11" applyAlignment="1" pivotButton="0" quotePrefix="0" xfId="0">
      <alignment horizontal="centerContinuous" vertical="center"/>
    </xf>
    <xf numFmtId="0" fontId="0" fillId="11" borderId="12" applyAlignment="1" pivotButton="0" quotePrefix="0" xfId="0">
      <alignment horizontal="centerContinuous" vertical="center"/>
    </xf>
    <xf numFmtId="0" fontId="4" fillId="0" borderId="1" applyAlignment="1" pivotButton="0" quotePrefix="0" xfId="0">
      <alignment horizontal="right" vertical="center"/>
    </xf>
    <xf numFmtId="0" fontId="0" fillId="0" borderId="1" pivotButton="0" quotePrefix="0" xfId="0"/>
    <xf numFmtId="0" fontId="10" fillId="0" borderId="0" applyAlignment="1" pivotButton="0" quotePrefix="0" xfId="0">
      <alignment horizontal="right" vertical="center"/>
    </xf>
    <xf numFmtId="0" fontId="3" fillId="0" borderId="0" applyAlignment="1" pivotButton="0" quotePrefix="0" xfId="0">
      <alignment horizontal="centerContinuous"/>
    </xf>
    <xf numFmtId="0" fontId="0" fillId="0" borderId="0" applyAlignment="1" pivotButton="0" quotePrefix="0" xfId="0">
      <alignment horizontal="centerContinuous"/>
    </xf>
    <xf numFmtId="0" fontId="11" fillId="0" borderId="0" applyAlignment="1" pivotButton="0" quotePrefix="0" xfId="0">
      <alignment horizontal="right" vertical="center"/>
    </xf>
    <xf numFmtId="166" fontId="45" fillId="0" borderId="0" applyAlignment="1" pivotButton="0" quotePrefix="0" xfId="0">
      <alignment horizontal="centerContinuous" vertical="center"/>
    </xf>
    <xf numFmtId="0" fontId="0" fillId="0" borderId="0" applyAlignment="1" pivotButton="0" quotePrefix="0" xfId="0">
      <alignment horizontal="centerContinuous" vertical="center"/>
    </xf>
    <xf numFmtId="0" fontId="12" fillId="0" borderId="0" applyAlignment="1" pivotButton="0" quotePrefix="0" xfId="0">
      <alignment horizontal="right" vertical="center"/>
    </xf>
    <xf numFmtId="0" fontId="14" fillId="0" borderId="0" applyAlignment="1" pivotButton="0" quotePrefix="0" xfId="0">
      <alignment horizontal="centerContinuous"/>
    </xf>
    <xf numFmtId="0" fontId="13" fillId="0" borderId="0" applyAlignment="1" pivotButton="0" quotePrefix="0" xfId="0">
      <alignment horizontal="right" vertical="center"/>
    </xf>
    <xf numFmtId="0" fontId="3" fillId="0" borderId="0" applyAlignment="1" pivotButton="0" quotePrefix="0" xfId="0">
      <alignment horizontal="right" vertical="center"/>
    </xf>
    <xf numFmtId="0" fontId="44" fillId="12" borderId="13" applyAlignment="1" pivotButton="0" quotePrefix="0" xfId="0">
      <alignment horizontal="center" vertical="center" wrapText="1"/>
    </xf>
    <xf numFmtId="0" fontId="29" fillId="10" borderId="0" applyAlignment="1" pivotButton="0" quotePrefix="0" xfId="0">
      <alignment horizontal="center" vertical="center"/>
    </xf>
    <xf numFmtId="0" fontId="15" fillId="0" borderId="14" applyAlignment="1" pivotButton="0" quotePrefix="0" xfId="0">
      <alignment horizontal="right" vertical="center"/>
    </xf>
    <xf numFmtId="0" fontId="5" fillId="0" borderId="14" applyAlignment="1" pivotButton="0" quotePrefix="0" xfId="0">
      <alignment horizontal="center" vertical="center"/>
    </xf>
    <xf numFmtId="0" fontId="11" fillId="0" borderId="14" applyAlignment="1" pivotButton="0" quotePrefix="0" xfId="0">
      <alignment horizontal="center" vertical="center"/>
    </xf>
    <xf numFmtId="0" fontId="15" fillId="0" borderId="14" applyAlignment="1" pivotButton="0" quotePrefix="0" xfId="0">
      <alignment horizontal="center" vertical="center"/>
    </xf>
    <xf numFmtId="0" fontId="31" fillId="0" borderId="14" applyAlignment="1" pivotButton="0" quotePrefix="0" xfId="0">
      <alignment horizontal="right" vertical="center"/>
    </xf>
    <xf numFmtId="0" fontId="22" fillId="0" borderId="0" applyAlignment="1" pivotButton="0" quotePrefix="0" xfId="0">
      <alignment horizontal="center" vertical="center"/>
    </xf>
    <xf numFmtId="0" fontId="9" fillId="0" borderId="14" applyAlignment="1" pivotButton="0" quotePrefix="0" xfId="0">
      <alignment horizontal="right" vertical="center"/>
    </xf>
    <xf numFmtId="0" fontId="34" fillId="0" borderId="14" applyAlignment="1" pivotButton="0" quotePrefix="0" xfId="0">
      <alignment horizontal="center" vertical="center"/>
    </xf>
    <xf numFmtId="9" fontId="5" fillId="0" borderId="14" applyAlignment="1" pivotButton="0" quotePrefix="0" xfId="0">
      <alignment horizontal="center" vertical="center"/>
    </xf>
    <xf numFmtId="0" fontId="10" fillId="0" borderId="14" applyAlignment="1" pivotButton="0" quotePrefix="0" xfId="0">
      <alignment horizontal="right" vertical="center"/>
    </xf>
    <xf numFmtId="0" fontId="13" fillId="0" borderId="14" applyAlignment="1" pivotButton="0" quotePrefix="0" xfId="0">
      <alignment horizontal="right" vertical="center"/>
    </xf>
    <xf numFmtId="0" fontId="46" fillId="0" borderId="0" applyAlignment="1" pivotButton="0" quotePrefix="0" xfId="0">
      <alignment horizontal="right" vertical="center"/>
    </xf>
    <xf numFmtId="0" fontId="28" fillId="0" borderId="0" applyAlignment="1" pivotButton="0" quotePrefix="0" xfId="0">
      <alignment horizontal="right" vertical="center"/>
    </xf>
    <xf numFmtId="0" fontId="5" fillId="0" borderId="14" applyAlignment="1" pivotButton="0" quotePrefix="0" xfId="0">
      <alignment horizontal="right" vertical="center"/>
    </xf>
    <xf numFmtId="166" fontId="21" fillId="0" borderId="14" applyAlignment="1" pivotButton="0" quotePrefix="0" xfId="0">
      <alignment horizontal="center" vertical="center"/>
    </xf>
    <xf numFmtId="166" fontId="5" fillId="0" borderId="14" applyAlignment="1" pivotButton="0" quotePrefix="0" xfId="0">
      <alignment horizontal="center" vertical="center"/>
    </xf>
    <xf numFmtId="166" fontId="34" fillId="0" borderId="14" applyAlignment="1" pivotButton="0" quotePrefix="0" xfId="0">
      <alignment horizontal="center" vertical="center"/>
    </xf>
    <xf numFmtId="165" fontId="27" fillId="0" borderId="14" applyAlignment="1" pivotButton="0" quotePrefix="0" xfId="0">
      <alignment horizontal="center" vertical="center"/>
    </xf>
    <xf numFmtId="0" fontId="31" fillId="0" borderId="14" applyAlignment="1" pivotButton="0" quotePrefix="0" xfId="0">
      <alignment horizontal="center" vertical="center"/>
    </xf>
    <xf numFmtId="166" fontId="47" fillId="0" borderId="14" applyAlignment="1" pivotButton="0" quotePrefix="0" xfId="0">
      <alignment horizontal="center" vertical="center"/>
    </xf>
    <xf numFmtId="0" fontId="44" fillId="13" borderId="15" applyAlignment="1" pivotButton="0" quotePrefix="0" xfId="0">
      <alignment horizontal="center" vertical="center" wrapText="1"/>
    </xf>
    <xf numFmtId="0" fontId="44" fillId="14" borderId="16" applyAlignment="1" pivotButton="0" quotePrefix="0" xfId="0">
      <alignment horizontal="center" vertical="center" wrapText="1"/>
    </xf>
    <xf numFmtId="166" fontId="9" fillId="0" borderId="14" applyAlignment="1" pivotButton="0" quotePrefix="0" xfId="0">
      <alignment horizontal="center" vertical="center"/>
    </xf>
    <xf numFmtId="0" fontId="48" fillId="0" borderId="14" applyAlignment="1" pivotButton="0" quotePrefix="0" xfId="0">
      <alignment horizontal="center" vertical="center"/>
    </xf>
    <xf numFmtId="0" fontId="27" fillId="0" borderId="14" applyAlignment="1" pivotButton="0" quotePrefix="0" xfId="0">
      <alignment horizontal="center" vertical="center"/>
    </xf>
    <xf numFmtId="0" fontId="13" fillId="0" borderId="14" applyAlignment="1" pivotButton="0" quotePrefix="0" xfId="0">
      <alignment horizontal="center" vertical="center"/>
    </xf>
    <xf numFmtId="0" fontId="23" fillId="0" borderId="0" applyAlignment="1" pivotButton="0" quotePrefix="0" xfId="0">
      <alignment horizontal="right" vertical="center"/>
    </xf>
    <xf numFmtId="0" fontId="6" fillId="0" borderId="0" applyAlignment="1" pivotButton="0" quotePrefix="0" xfId="0">
      <alignment horizontal="right" vertical="center"/>
    </xf>
    <xf numFmtId="0" fontId="6" fillId="0" borderId="0" applyAlignment="1" pivotButton="0" quotePrefix="0" xfId="0">
      <alignment horizontal="left" vertical="center"/>
    </xf>
    <xf numFmtId="0" fontId="34" fillId="0" borderId="0" applyAlignment="1" pivotButton="0" quotePrefix="0" xfId="0">
      <alignment horizontal="right" vertical="center"/>
    </xf>
    <xf numFmtId="0" fontId="34" fillId="0" borderId="0" applyAlignment="1" pivotButton="0" quotePrefix="0" xfId="0">
      <alignment horizontal="left" vertical="center"/>
    </xf>
    <xf numFmtId="0" fontId="14" fillId="0" borderId="0" applyAlignment="1" pivotButton="0" quotePrefix="0" xfId="0">
      <alignment horizontal="right" vertical="center"/>
    </xf>
    <xf numFmtId="0" fontId="14" fillId="0" borderId="0" applyAlignment="1" pivotButton="0" quotePrefix="0" xfId="0">
      <alignment horizontal="left" vertical="center"/>
    </xf>
    <xf numFmtId="0" fontId="1" fillId="0" borderId="0" applyAlignment="1" pivotButton="0" quotePrefix="0" xfId="0">
      <alignment horizontal="right" vertical="center"/>
    </xf>
    <xf numFmtId="0" fontId="2" fillId="0" borderId="0" applyAlignment="1" pivotButton="0" quotePrefix="0" xfId="0">
      <alignment horizontal="right" vertical="center"/>
    </xf>
    <xf numFmtId="165" fontId="21" fillId="0" borderId="0" applyAlignment="1" pivotButton="0" quotePrefix="0" xfId="0">
      <alignment horizontal="center" vertical="center"/>
    </xf>
    <xf numFmtId="0" fontId="49" fillId="0" borderId="0" applyAlignment="1" pivotButton="0" quotePrefix="0" xfId="0">
      <alignment horizontal="right" vertical="center"/>
    </xf>
    <xf numFmtId="0" fontId="16" fillId="11" borderId="17" applyAlignment="1" pivotButton="0" quotePrefix="0" xfId="0">
      <alignment horizontal="center" vertical="center"/>
    </xf>
    <xf numFmtId="0" fontId="35" fillId="11" borderId="17" applyAlignment="1" pivotButton="0" quotePrefix="0" xfId="0">
      <alignment horizontal="center" vertical="center"/>
    </xf>
    <xf numFmtId="166" fontId="35" fillId="11" borderId="17" applyAlignment="1" pivotButton="0" quotePrefix="0" xfId="0">
      <alignment horizontal="center" vertical="center"/>
    </xf>
    <xf numFmtId="0" fontId="19" fillId="0" borderId="0" applyAlignment="1" pivotButton="0" quotePrefix="0" xfId="0">
      <alignment horizontal="right" vertical="center"/>
    </xf>
    <xf numFmtId="0" fontId="25" fillId="2" borderId="2" applyAlignment="1" applyProtection="1" pivotButton="0" quotePrefix="0" xfId="0">
      <alignment horizontal="right" vertical="center"/>
      <protection locked="0" hidden="0"/>
    </xf>
    <xf numFmtId="0" fontId="24" fillId="0" borderId="0" applyAlignment="1" pivotButton="0" quotePrefix="0" xfId="0">
      <alignment horizontal="right" vertical="center"/>
    </xf>
    <xf numFmtId="0" fontId="15" fillId="0" borderId="0" applyAlignment="1" pivotButton="0" quotePrefix="0" xfId="0">
      <alignment horizontal="right" vertical="center"/>
    </xf>
    <xf numFmtId="0" fontId="20" fillId="0" borderId="0" applyAlignment="1" pivotButton="0" quotePrefix="0" xfId="0">
      <alignment horizontal="center" vertical="center"/>
    </xf>
    <xf numFmtId="166" fontId="20" fillId="0" borderId="0" applyAlignment="1" pivotButton="0" quotePrefix="0" xfId="0">
      <alignment horizontal="center" vertical="center"/>
    </xf>
    <xf numFmtId="0" fontId="26" fillId="0" borderId="0" applyAlignment="1" pivotButton="0" quotePrefix="0" xfId="0">
      <alignment horizontal="right"/>
    </xf>
    <xf numFmtId="167" fontId="27" fillId="0" borderId="4" applyAlignment="1" pivotButton="0" quotePrefix="0" xfId="0">
      <alignment horizontal="center" vertical="center"/>
    </xf>
    <xf numFmtId="168" fontId="22" fillId="0" borderId="0" applyAlignment="1" pivotButton="0" quotePrefix="0" xfId="0">
      <alignment horizontal="center" vertical="center"/>
    </xf>
    <xf numFmtId="0" fontId="28" fillId="0" borderId="0" applyAlignment="1" pivotButton="0" quotePrefix="0" xfId="0">
      <alignment horizontal="center" vertical="center"/>
    </xf>
    <xf numFmtId="0" fontId="8" fillId="4" borderId="3" applyAlignment="1" pivotButton="0" quotePrefix="0" xfId="0">
      <alignment horizontal="center" vertical="center" wrapText="1"/>
    </xf>
    <xf numFmtId="0" fontId="8" fillId="10" borderId="3" applyAlignment="1" pivotButton="0" quotePrefix="0" xfId="0">
      <alignment horizontal="center" vertical="center" wrapText="1"/>
    </xf>
    <xf numFmtId="0" fontId="29" fillId="4" borderId="3" applyAlignment="1" pivotButton="0" quotePrefix="0" xfId="0">
      <alignment horizontal="center" vertical="center"/>
    </xf>
    <xf numFmtId="0" fontId="5" fillId="0" borderId="4" applyAlignment="1" pivotButton="0" quotePrefix="0" xfId="0">
      <alignment horizontal="center" vertical="center"/>
    </xf>
    <xf numFmtId="0" fontId="5" fillId="2" borderId="2" applyProtection="1" pivotButton="0" quotePrefix="0" xfId="0">
      <protection locked="0" hidden="0"/>
    </xf>
    <xf numFmtId="0" fontId="15" fillId="2" borderId="2" applyAlignment="1" applyProtection="1" pivotButton="0" quotePrefix="0" xfId="0">
      <alignment horizontal="right" vertical="center"/>
      <protection locked="0" hidden="0"/>
    </xf>
    <xf numFmtId="166" fontId="5" fillId="0" borderId="4" applyAlignment="1" pivotButton="0" quotePrefix="0" xfId="0">
      <alignment horizontal="center" vertical="center"/>
    </xf>
    <xf numFmtId="0" fontId="5" fillId="2" borderId="2" applyAlignment="1" applyProtection="1" pivotButton="0" quotePrefix="0" xfId="0">
      <alignment horizontal="right" vertical="center"/>
      <protection locked="0" hidden="0"/>
    </xf>
    <xf numFmtId="165" fontId="5" fillId="0" borderId="4" applyAlignment="1" pivotButton="0" quotePrefix="0" xfId="0">
      <alignment horizontal="center" vertical="center"/>
    </xf>
    <xf numFmtId="0" fontId="30" fillId="0" borderId="5" applyAlignment="1" applyProtection="1" pivotButton="0" quotePrefix="0" xfId="0">
      <alignment horizontal="center" vertical="center"/>
      <protection locked="0" hidden="0"/>
    </xf>
    <xf numFmtId="0" fontId="6" fillId="11" borderId="0" applyAlignment="1" pivotButton="0" quotePrefix="0" xfId="0">
      <alignment horizontal="right" vertical="center"/>
    </xf>
    <xf numFmtId="1" fontId="31" fillId="11" borderId="0" applyAlignment="1" pivotButton="0" quotePrefix="0" xfId="0">
      <alignment horizontal="center" vertical="center"/>
    </xf>
    <xf numFmtId="1" fontId="25" fillId="11" borderId="0" applyAlignment="1" pivotButton="0" quotePrefix="0" xfId="0">
      <alignment horizontal="center" vertical="center"/>
    </xf>
    <xf numFmtId="9" fontId="25" fillId="11" borderId="0" applyAlignment="1" pivotButton="0" quotePrefix="0" xfId="0">
      <alignment horizontal="center" vertical="center"/>
    </xf>
    <xf numFmtId="0" fontId="33" fillId="0" borderId="0" applyAlignment="1" pivotButton="0" quotePrefix="0" xfId="0">
      <alignment horizontal="center" vertical="center"/>
    </xf>
    <xf numFmtId="0" fontId="6" fillId="0" borderId="4" applyAlignment="1" pivotButton="0" quotePrefix="0" xfId="0">
      <alignment horizontal="center" vertical="center"/>
    </xf>
    <xf numFmtId="0" fontId="15" fillId="0" borderId="4" applyAlignment="1" pivotButton="0" quotePrefix="0" xfId="0">
      <alignment horizontal="right" vertical="center"/>
    </xf>
    <xf numFmtId="0" fontId="15" fillId="0" borderId="4" applyAlignment="1" pivotButton="0" quotePrefix="0" xfId="0">
      <alignment horizontal="center" vertical="center"/>
    </xf>
    <xf numFmtId="0" fontId="5" fillId="0" borderId="4" applyAlignment="1" pivotButton="0" quotePrefix="0" xfId="0">
      <alignment horizontal="right" vertical="center"/>
    </xf>
    <xf numFmtId="0" fontId="32" fillId="0" borderId="0" applyAlignment="1" pivotButton="0" quotePrefix="0" xfId="0">
      <alignment horizontal="right" vertical="center"/>
    </xf>
    <xf numFmtId="165" fontId="5" fillId="0" borderId="0" applyAlignment="1" pivotButton="0" quotePrefix="0" xfId="0">
      <alignment horizontal="center" vertical="center"/>
    </xf>
    <xf numFmtId="0" fontId="5" fillId="0" borderId="0" applyAlignment="1" pivotButton="0" quotePrefix="0" xfId="0">
      <alignment horizontal="center" vertical="center"/>
    </xf>
    <xf numFmtId="0" fontId="5" fillId="0" borderId="0" applyAlignment="1" pivotButton="0" quotePrefix="0" xfId="0">
      <alignment horizontal="right" vertical="center"/>
    </xf>
    <xf numFmtId="0" fontId="6" fillId="2" borderId="2" applyAlignment="1" applyProtection="1" pivotButton="0" quotePrefix="0" xfId="0">
      <alignment horizontal="right" vertic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50" fillId="0" borderId="0" applyAlignment="1" pivotButton="0" quotePrefix="0" xfId="0">
      <alignment horizontal="right" vertical="center"/>
    </xf>
    <xf numFmtId="0" fontId="6" fillId="0" borderId="14" applyAlignment="1" pivotButton="0" quotePrefix="0" xfId="0">
      <alignment horizontal="right" vertical="center"/>
    </xf>
    <xf numFmtId="0" fontId="0" fillId="0" borderId="22" pivotButton="0" quotePrefix="0" xfId="0"/>
    <xf numFmtId="0" fontId="5" fillId="11" borderId="14" applyAlignment="1" pivotButton="0" quotePrefix="0" xfId="0">
      <alignment horizontal="right" vertical="center"/>
    </xf>
    <xf numFmtId="0" fontId="34" fillId="11" borderId="14" applyAlignment="1" pivotButton="0" quotePrefix="0" xfId="0">
      <alignment horizontal="center" vertical="center"/>
    </xf>
    <xf numFmtId="165" fontId="6" fillId="0" borderId="14" applyAlignment="1" pivotButton="0" quotePrefix="0" xfId="0">
      <alignment horizontal="right" vertical="center"/>
    </xf>
    <xf numFmtId="166" fontId="34" fillId="11" borderId="14" applyAlignment="1" pivotButton="0" quotePrefix="0" xfId="0">
      <alignment horizontal="center" vertical="center"/>
    </xf>
    <xf numFmtId="0" fontId="11" fillId="0" borderId="14" applyAlignment="1" pivotButton="0" quotePrefix="0" xfId="0">
      <alignment horizontal="right" vertical="center"/>
    </xf>
    <xf numFmtId="0" fontId="44" fillId="12" borderId="13" applyAlignment="1" pivotButton="0" quotePrefix="0" xfId="0">
      <alignment horizontal="center" vertical="center"/>
    </xf>
    <xf numFmtId="0" fontId="0" fillId="0" borderId="25" pivotButton="0" quotePrefix="0" xfId="0"/>
    <xf numFmtId="0" fontId="0" fillId="0" borderId="26" pivotButton="0" quotePrefix="0" xfId="0"/>
    <xf numFmtId="0" fontId="44" fillId="4" borderId="3" applyAlignment="1" pivotButton="0" quotePrefix="0" xfId="0">
      <alignment horizontal="center" vertical="center"/>
    </xf>
    <xf numFmtId="0" fontId="25" fillId="11" borderId="4" applyAlignment="1" pivotButton="0" quotePrefix="0" xfId="0">
      <alignment horizontal="right" vertical="center"/>
    </xf>
    <xf numFmtId="0" fontId="27" fillId="0" borderId="5" applyAlignment="1" pivotButton="0" quotePrefix="0" xfId="0">
      <alignment horizontal="center" vertical="center"/>
    </xf>
    <xf numFmtId="0" fontId="22" fillId="0" borderId="0" pivotButton="0" quotePrefix="0" xfId="0"/>
    <xf numFmtId="165" fontId="0" fillId="0" borderId="0" pivotButton="0" quotePrefix="0" xfId="0"/>
    <xf numFmtId="0" fontId="51" fillId="0" borderId="0" pivotButton="0" quotePrefix="0" xfId="0"/>
    <xf numFmtId="167" fontId="27" fillId="0" borderId="14" applyAlignment="1" pivotButton="0" quotePrefix="0" xfId="0">
      <alignment horizontal="center" vertical="center"/>
    </xf>
    <xf numFmtId="169" fontId="27" fillId="0" borderId="14" applyAlignment="1" pivotButton="0" quotePrefix="0" xfId="0">
      <alignment horizontal="center" vertical="center"/>
    </xf>
    <xf numFmtId="165" fontId="22" fillId="0" borderId="0" applyAlignment="1" pivotButton="0" quotePrefix="0" xfId="0">
      <alignment horizontal="center" vertical="center"/>
    </xf>
    <xf numFmtId="0" fontId="27" fillId="0" borderId="14" applyAlignment="1" pivotButton="0" quotePrefix="0" xfId="0">
      <alignment horizontal="right" vertical="center"/>
    </xf>
    <xf numFmtId="0" fontId="25" fillId="0" borderId="14" applyAlignment="1" pivotButton="0" quotePrefix="0" xfId="0">
      <alignment horizontal="right" vertical="center"/>
    </xf>
    <xf numFmtId="166" fontId="31" fillId="0" borderId="14" applyAlignment="1" pivotButton="0" quotePrefix="0" xfId="0">
      <alignment horizontal="center" vertical="center"/>
    </xf>
    <xf numFmtId="0" fontId="22" fillId="0" borderId="0" applyAlignment="1" pivotButton="0" quotePrefix="0" xfId="0">
      <alignment horizontal="right" vertical="center"/>
    </xf>
    <xf numFmtId="0" fontId="52" fillId="0" borderId="1" applyAlignment="1" pivotButton="0" quotePrefix="0" xfId="0">
      <alignment horizontal="centerContinuous" vertical="center"/>
    </xf>
    <xf numFmtId="0" fontId="0" fillId="0" borderId="1" applyAlignment="1" pivotButton="0" quotePrefix="0" xfId="0">
      <alignment horizontal="centerContinuous" vertical="center"/>
    </xf>
    <xf numFmtId="0" fontId="22" fillId="0" borderId="0" applyAlignment="1" pivotButton="0" quotePrefix="0" xfId="0">
      <alignment horizontal="left"/>
    </xf>
    <xf numFmtId="0" fontId="20" fillId="0" borderId="0" applyAlignment="1" pivotButton="0" quotePrefix="0" xfId="0">
      <alignment horizontal="right" vertical="center"/>
    </xf>
    <xf numFmtId="0" fontId="16" fillId="11" borderId="17" applyAlignment="1" pivotButton="0" quotePrefix="0" xfId="0">
      <alignment horizontal="centerContinuous" vertical="center"/>
    </xf>
    <xf numFmtId="0" fontId="0" fillId="11" borderId="17" applyAlignment="1" pivotButton="0" quotePrefix="0" xfId="0">
      <alignment horizontal="centerContinuous"/>
    </xf>
    <xf numFmtId="0" fontId="19" fillId="11" borderId="17" applyAlignment="1" pivotButton="0" quotePrefix="0" xfId="0">
      <alignment horizontal="centerContinuous" vertical="center"/>
    </xf>
    <xf numFmtId="166" fontId="19" fillId="11" borderId="17" applyAlignment="1" pivotButton="0" quotePrefix="0" xfId="0">
      <alignment horizontal="centerContinuous" vertical="center"/>
    </xf>
    <xf numFmtId="0" fontId="15" fillId="0" borderId="0" applyAlignment="1" pivotButton="0" quotePrefix="0" xfId="0">
      <alignment horizontal="center" vertical="center"/>
    </xf>
    <xf numFmtId="166" fontId="21" fillId="0" borderId="0" applyAlignment="1" pivotButton="0" quotePrefix="0" xfId="0">
      <alignment horizontal="center" vertical="center"/>
    </xf>
    <xf numFmtId="166" fontId="5" fillId="0" borderId="0" applyAlignment="1" pivotButton="0" quotePrefix="0" xfId="0">
      <alignment horizontal="center" vertical="center"/>
    </xf>
    <xf numFmtId="0" fontId="31" fillId="0" borderId="0" applyAlignment="1" pivotButton="0" quotePrefix="0" xfId="0">
      <alignment horizontal="right" vertical="center"/>
    </xf>
    <xf numFmtId="165" fontId="27" fillId="0" borderId="0" applyAlignment="1" pivotButton="0" quotePrefix="0" xfId="0">
      <alignment horizontal="center" vertical="center"/>
    </xf>
    <xf numFmtId="0" fontId="31" fillId="0" borderId="0" applyAlignment="1" pivotButton="0" quotePrefix="0" xfId="0">
      <alignment horizontal="center" vertical="center"/>
    </xf>
    <xf numFmtId="166" fontId="47" fillId="0" borderId="0" applyAlignment="1" pivotButton="0" quotePrefix="0" xfId="0">
      <alignment horizontal="center" vertical="center"/>
    </xf>
    <xf numFmtId="0" fontId="53" fillId="0" borderId="0" applyAlignment="1" pivotButton="0" quotePrefix="0" xfId="0">
      <alignment horizontal="right" vertical="center"/>
    </xf>
    <xf numFmtId="0" fontId="27" fillId="0" borderId="0" applyAlignment="1" pivotButton="0" quotePrefix="0" xfId="0">
      <alignment horizontal="center" vertical="center"/>
    </xf>
    <xf numFmtId="0" fontId="4" fillId="0" borderId="0" applyAlignment="1" pivotButton="0" quotePrefix="0" xfId="0">
      <alignment horizontal="right" vertical="center"/>
    </xf>
    <xf numFmtId="0" fontId="4" fillId="0" borderId="0" applyAlignment="1" pivotButton="0" quotePrefix="0" xfId="0">
      <alignment horizontal="left" vertical="center"/>
    </xf>
    <xf numFmtId="0" fontId="7" fillId="0" borderId="0" applyAlignment="1" pivotButton="0" quotePrefix="0" xfId="0">
      <alignment horizontal="right" vertical="center"/>
    </xf>
    <xf numFmtId="0" fontId="7" fillId="0" borderId="0" applyAlignment="1" pivotButton="0" quotePrefix="0" xfId="0">
      <alignment horizontal="left" vertical="center"/>
    </xf>
    <xf numFmtId="0" fontId="29" fillId="10" borderId="3" applyAlignment="1" pivotButton="0" quotePrefix="0" xfId="0">
      <alignment horizontal="center" vertical="center" wrapText="1"/>
    </xf>
    <xf numFmtId="165" fontId="31" fillId="0" borderId="0" applyAlignment="1" pivotButton="0" quotePrefix="0" xfId="0">
      <alignment horizontal="center" vertical="center"/>
    </xf>
    <xf numFmtId="166" fontId="31" fillId="0" borderId="0" applyAlignment="1" pivotButton="0" quotePrefix="0" xfId="0">
      <alignment horizontal="center" vertical="center"/>
    </xf>
    <xf numFmtId="0" fontId="7" fillId="0" borderId="0" applyAlignment="1" pivotButton="0" quotePrefix="0" xfId="0">
      <alignment horizontal="center" vertical="center"/>
    </xf>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6" fillId="0" borderId="0" applyAlignment="1" pivotButton="0" quotePrefix="0" xfId="0">
      <alignment horizontal="center" vertical="center"/>
    </xf>
    <xf numFmtId="165" fontId="7" fillId="3" borderId="2" applyAlignment="1" pivotButton="0" quotePrefix="0" xfId="0">
      <alignment horizontal="center" vertical="center"/>
    </xf>
    <xf numFmtId="0" fontId="9" fillId="5" borderId="4" applyAlignment="1" pivotButton="0" quotePrefix="0" xfId="0">
      <alignment horizontal="right" vertical="center"/>
    </xf>
    <xf numFmtId="0" fontId="7" fillId="0" borderId="4" applyAlignment="1" pivotButton="0" quotePrefix="0" xfId="0">
      <alignment horizontal="center" vertical="center"/>
    </xf>
    <xf numFmtId="0" fontId="5" fillId="0" borderId="4" applyAlignment="1" pivotButton="0" quotePrefix="0" xfId="0">
      <alignment horizontal="right" vertical="center" wrapText="1"/>
    </xf>
    <xf numFmtId="0" fontId="10" fillId="6" borderId="4" applyAlignment="1" pivotButton="0" quotePrefix="0" xfId="0">
      <alignment horizontal="right" vertical="center"/>
    </xf>
    <xf numFmtId="0" fontId="11" fillId="7" borderId="4" applyAlignment="1" pivotButton="0" quotePrefix="0" xfId="0">
      <alignment horizontal="right" vertical="center"/>
    </xf>
    <xf numFmtId="0" fontId="12" fillId="8" borderId="4" applyAlignment="1" pivotButton="0" quotePrefix="0" xfId="0">
      <alignment horizontal="right" vertical="center"/>
    </xf>
    <xf numFmtId="0" fontId="13" fillId="9" borderId="4" applyAlignment="1" pivotButton="0" quotePrefix="0" xfId="0">
      <alignment horizontal="right" vertical="center"/>
    </xf>
    <xf numFmtId="0" fontId="9" fillId="0" borderId="4" applyAlignment="1" pivotButton="0" quotePrefix="0" xfId="0">
      <alignment horizontal="right" vertical="center"/>
    </xf>
    <xf numFmtId="0" fontId="14" fillId="0" borderId="4" applyAlignment="1" pivotButton="0" quotePrefix="0" xfId="0">
      <alignment horizontal="right" vertical="center"/>
    </xf>
    <xf numFmtId="9" fontId="6" fillId="2" borderId="2" applyAlignment="1" applyProtection="1" pivotButton="0" quotePrefix="0" xfId="0">
      <alignment horizontal="center" vertical="center"/>
      <protection locked="0" hidden="0"/>
    </xf>
    <xf numFmtId="0" fontId="10" fillId="0" borderId="4" applyAlignment="1" pivotButton="0" quotePrefix="0" xfId="0">
      <alignment horizontal="right" vertical="center"/>
    </xf>
    <xf numFmtId="0" fontId="13" fillId="0" borderId="4" applyAlignment="1" pivotButton="0" quotePrefix="0" xfId="0">
      <alignment horizontal="right" vertical="center"/>
    </xf>
    <xf numFmtId="0" fontId="14"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24" fillId="0" borderId="1" applyAlignment="1" pivotButton="0" quotePrefix="0" xfId="0">
      <alignment horizontal="right" vertical="center"/>
    </xf>
    <xf numFmtId="0" fontId="34" fillId="0" borderId="0" pivotButton="0" quotePrefix="0" xfId="0"/>
    <xf numFmtId="166" fontId="27" fillId="0" borderId="0" applyAlignment="1" pivotButton="0" quotePrefix="0" xfId="0">
      <alignment horizontal="center" vertical="center"/>
    </xf>
    <xf numFmtId="0" fontId="31" fillId="0" borderId="0" pivotButton="0" quotePrefix="0" xfId="0"/>
    <xf numFmtId="166" fontId="0" fillId="0" borderId="0" pivotButton="0" quotePrefix="0" xfId="0"/>
    <xf numFmtId="0" fontId="25" fillId="0" borderId="0" pivotButton="0" quotePrefix="0" xfId="0"/>
    <xf numFmtId="0" fontId="8" fillId="10" borderId="6" applyAlignment="1" pivotButton="0" quotePrefix="0" xfId="0">
      <alignment horizontal="center" vertical="center" wrapText="1"/>
    </xf>
    <xf numFmtId="165" fontId="31" fillId="0" borderId="0" pivotButton="0" quotePrefix="0" xfId="0"/>
    <xf numFmtId="166" fontId="31" fillId="0" borderId="0" pivotButton="0" quotePrefix="0" xfId="0"/>
  </cellXfs>
  <cellStyles count="1">
    <cellStyle name="Normal" xfId="0" builtinId="0" hidden="0"/>
  </cellStyles>
  <dxfs count="31">
    <dxf>
      <fill>
        <patternFill patternType="solid">
          <fgColor rgb="00F8B4B4"/>
          <bgColor rgb="00F8B4B4"/>
        </patternFill>
      </fill>
    </dxf>
    <dxf>
      <fill>
        <patternFill patternType="solid">
          <fgColor rgb="00FDD0C0"/>
          <bgColor rgb="00FDD0C0"/>
        </patternFill>
      </fill>
    </dxf>
    <dxf>
      <font>
        <name val="Arial"/>
        <b val="1"/>
        <color rgb="00B45309"/>
      </font>
      <fill>
        <patternFill patternType="solid">
          <fgColor rgb="00FFE0B2"/>
          <bgColor rgb="00FFE0B2"/>
        </patternFill>
      </fill>
    </dxf>
    <dxf>
      <font>
        <name val="Arial"/>
        <b val="1"/>
        <color rgb="002E7D32"/>
      </font>
      <fill>
        <patternFill patternType="solid">
          <fgColor rgb="00E8F5E9"/>
          <bgColor rgb="00E8F5E9"/>
        </patternFill>
      </fill>
    </dxf>
    <dxf>
      <font>
        <name val="Arial"/>
        <b val="1"/>
        <color rgb="00B45309"/>
      </font>
    </dxf>
    <dxf>
      <font>
        <name val="Arial"/>
        <b val="1"/>
        <color rgb="00C2410C"/>
      </font>
      <fill>
        <patternFill patternType="solid">
          <fgColor rgb="00FDD0C0"/>
          <bgColor rgb="00FDD0C0"/>
        </patternFill>
      </fill>
    </dxf>
    <dxf>
      <font>
        <name val="Arial"/>
        <b val="1"/>
        <color rgb="008A6D00"/>
      </font>
      <fill>
        <patternFill patternType="solid">
          <fgColor rgb="00FFF4CC"/>
          <bgColor rgb="00FFF4CC"/>
        </patternFill>
      </fill>
    </dxf>
    <dxf>
      <font>
        <name val="Arial"/>
        <b val="1"/>
        <color rgb="00B91C1C"/>
      </font>
    </dxf>
    <dxf>
      <font>
        <name val="Arial"/>
        <b val="1"/>
        <color rgb="00B91C1C"/>
      </font>
      <fill>
        <patternFill patternType="solid">
          <fgColor rgb="00F8B4B4"/>
          <bgColor rgb="00F8B4B4"/>
        </patternFill>
      </fill>
    </dxf>
    <dxf>
      <fill>
        <patternFill patternType="solid">
          <fgColor rgb="00FDECEC"/>
          <bgColor rgb="00FDECEC"/>
        </patternFill>
      </fill>
    </dxf>
    <dxf>
      <font>
        <name val="Arial"/>
        <b val="1"/>
        <color rgb="00B03A2E"/>
      </font>
      <fill>
        <patternFill patternType="solid">
          <fgColor rgb="00FADBD8"/>
          <bgColor rgb="00FADBD8"/>
        </patternFill>
      </fill>
    </dxf>
    <dxf>
      <font>
        <name val="Arial"/>
        <b val="1"/>
        <color rgb="00856404"/>
      </font>
      <fill>
        <patternFill patternType="solid">
          <fgColor rgb="00FFF3CD"/>
          <bgColor rgb="00FFF3CD"/>
        </patternFill>
      </fill>
    </dxf>
    <dxf>
      <font>
        <name val="Arial"/>
        <b val="1"/>
        <color rgb="001F4E79"/>
      </font>
      <fill>
        <patternFill patternType="solid">
          <fgColor rgb="00DCE8F5"/>
          <bgColor rgb="00DCE8F5"/>
        </patternFill>
      </fill>
    </dxf>
    <dxf>
      <fill>
        <patternFill patternType="solid">
          <fgColor rgb="00EDEDED"/>
          <bgColor rgb="00EDEDED"/>
        </patternFill>
      </fill>
    </dxf>
    <dxf>
      <font>
        <name val="Arial"/>
        <color rgb="00856404"/>
      </font>
      <fill>
        <patternFill patternType="solid">
          <fgColor rgb="00FFF3CD"/>
          <bgColor rgb="00FFF3CD"/>
        </patternFill>
      </fill>
    </dxf>
    <dxf>
      <font>
        <name val="Arial"/>
        <color rgb="001F4E79"/>
      </font>
      <fill>
        <patternFill patternType="solid">
          <fgColor rgb="00DCE8F5"/>
          <bgColor rgb="00DCE8F5"/>
        </patternFill>
      </fill>
    </dxf>
    <dxf>
      <font>
        <name val="Arial"/>
        <color rgb="002E7D32"/>
      </font>
    </dxf>
    <dxf>
      <font>
        <name val="Arial"/>
        <color rgb="00C0C4CC"/>
      </font>
    </dxf>
    <dxf>
      <fill>
        <patternFill patternType="solid">
          <fgColor rgb="00DBEAFE"/>
          <bgColor rgb="00DBEAFE"/>
        </patternFill>
      </fill>
    </dxf>
    <dxf>
      <fill>
        <patternFill patternType="solid">
          <fgColor rgb="00E3F0F2"/>
          <bgColor rgb="00E3F0F2"/>
        </patternFill>
      </fill>
    </dxf>
    <dxf>
      <font>
        <name val="Arial"/>
        <color rgb="008A6D00"/>
      </font>
      <fill>
        <patternFill patternType="solid">
          <fgColor rgb="00FFF4CC"/>
          <bgColor rgb="00FFF4CC"/>
        </patternFill>
      </fill>
    </dxf>
    <dxf>
      <font>
        <name val="Arial"/>
        <color rgb="006B7280"/>
      </font>
      <fill>
        <patternFill patternType="solid">
          <fgColor rgb="00EDEDED"/>
          <bgColor rgb="00EDEDED"/>
        </patternFill>
      </fill>
    </dxf>
    <dxf>
      <font>
        <name val="Arial"/>
        <b val="1"/>
        <color rgb="00B91C1C"/>
      </font>
      <fill>
        <patternFill patternType="solid">
          <fgColor rgb="00F8B4B4"/>
          <bgColor rgb="00F8B4B4"/>
        </patternFill>
      </fill>
      <border>
        <left style="medium">
          <color rgb="00B91C1C"/>
        </left>
        <right style="medium">
          <color rgb="00B91C1C"/>
        </right>
      </border>
    </dxf>
    <dxf>
      <font>
        <name val="Arial"/>
        <color rgb="002E7D32"/>
      </font>
      <fill>
        <patternFill patternType="solid">
          <fgColor rgb="00E8F5E9"/>
          <bgColor rgb="00E8F5E9"/>
        </patternFill>
      </fill>
    </dxf>
    <dxf>
      <font>
        <name val="Arial"/>
        <b val="1"/>
        <color rgb="00B03A2E"/>
      </font>
    </dxf>
    <dxf>
      <font>
        <name val="Arial"/>
        <color rgb="00856404"/>
      </font>
    </dxf>
    <dxf>
      <fill>
        <patternFill patternType="solid">
          <fgColor rgb="00FFF4CC"/>
          <bgColor rgb="00FFF4CC"/>
        </patternFill>
      </fill>
    </dxf>
    <dxf>
      <fill>
        <patternFill patternType="solid">
          <fgColor rgb="00FFE0B2"/>
          <bgColor rgb="00FFE0B2"/>
        </patternFill>
      </fill>
    </dxf>
    <dxf>
      <border>
        <left style="thin">
          <color rgb="00D9DEE5"/>
        </left>
        <right style="thin">
          <color rgb="00D9DEE5"/>
        </right>
        <top style="thin">
          <color rgb="00D9DEE5"/>
        </top>
        <bottom style="thin">
          <color rgb="00D9DEE5"/>
        </bottom>
      </border>
    </dxf>
    <dxf>
      <font>
        <name val="Arial"/>
        <i val="1"/>
        <color rgb="006B7280"/>
      </font>
    </dxf>
    <dxf>
      <font>
        <name val="Arial"/>
        <b val="1"/>
      </font>
      <fill>
        <patternFill patternType="solid">
          <fgColor rgb="00DBEAFE"/>
          <b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plotArea>
      <doughnutChart>
        <varyColors val="1"/>
        <ser>
          <idx val="0"/>
          <order val="0"/>
          <spPr>
            <a:ln xmlns:a="http://schemas.openxmlformats.org/drawingml/2006/main">
              <a:prstDash val="solid"/>
            </a:ln>
          </spPr>
          <dPt>
            <idx val="0"/>
            <spPr>
              <a:solidFill xmlns:a="http://schemas.openxmlformats.org/drawingml/2006/main">
                <a:srgbClr val="2A7F8E"/>
              </a:solidFill>
              <a:ln xmlns:a="http://schemas.openxmlformats.org/drawingml/2006/main">
                <a:solidFill>
                  <a:srgbClr val="FFFFFF"/>
                </a:solidFill>
                <a:prstDash val="solid"/>
              </a:ln>
            </spPr>
          </dPt>
          <dPt>
            <idx val="1"/>
            <spPr>
              <a:solidFill xmlns:a="http://schemas.openxmlformats.org/drawingml/2006/main">
                <a:srgbClr val="E5E7EB"/>
              </a:solidFill>
              <a:ln xmlns:a="http://schemas.openxmlformats.org/drawingml/2006/main">
                <a:solidFill>
                  <a:srgbClr val="FFFFFF"/>
                </a:solidFill>
                <a:prstDash val="solid"/>
              </a:ln>
            </spPr>
          </dPt>
          <cat>
            <numRef>
              <f>'حسابات'!$A$25:$A$26</f>
            </numRef>
          </cat>
          <val>
            <numRef>
              <f>'حسابات'!$B$25:$B$26</f>
            </numRef>
          </val>
        </ser>
        <firstSliceAng val="0"/>
        <holeSize val="62"/>
      </doughnutChart>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Attendance Rate by Class – نسبة الحضور اليوم حسب الصف</a:t>
            </a:r>
          </a:p>
        </rich>
      </tx>
    </title>
    <plotArea>
      <barChart>
        <barDir val="col"/>
        <grouping val="clustered"/>
        <ser>
          <idx val="0"/>
          <order val="0"/>
          <tx>
            <strRef>
              <f>'لوحة المتابعة'!J30</f>
            </strRef>
          </tx>
          <spPr>
            <a:solidFill xmlns:a="http://schemas.openxmlformats.org/drawingml/2006/main">
              <a:srgbClr val="2A7F8E"/>
            </a:solidFill>
            <a:ln xmlns:a="http://schemas.openxmlformats.org/drawingml/2006/main">
              <a:prstDash val="solid"/>
            </a:ln>
          </spPr>
          <cat>
            <numRef>
              <f>'لوحة المتابعة'!$F$31:$F$37</f>
            </numRef>
          </cat>
          <val>
            <numRef>
              <f>'لوحة المتابعة'!$J$31:$J$37</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Attendance Trend – آخر 5 أيام مسجَّلة</a:t>
            </a:r>
          </a:p>
        </rich>
      </tx>
    </title>
    <plotArea>
      <lineChart>
        <grouping val="standard"/>
        <ser>
          <idx val="0"/>
          <order val="0"/>
          <spPr>
            <a:ln xmlns:a="http://schemas.openxmlformats.org/drawingml/2006/main" w="28000">
              <a:solidFill>
                <a:srgbClr val="2A7F8E"/>
              </a:solidFill>
              <a:prstDash val="solid"/>
            </a:ln>
          </spPr>
          <marker>
            <symbol val="circle"/>
            <size val="7"/>
            <spPr>
              <a:solidFill xmlns:a="http://schemas.openxmlformats.org/drawingml/2006/main">
                <a:srgbClr val="2A7F8E"/>
              </a:solidFill>
              <a:ln xmlns:a="http://schemas.openxmlformats.org/drawingml/2006/main">
                <a:prstDash val="solid"/>
              </a:ln>
            </spPr>
          </marker>
          <cat>
            <numRef>
              <f>'لوحة المتابعة'!$A$41:$A$45</f>
            </numRef>
          </cat>
          <val>
            <numRef>
              <f>'لوحة المتابعة'!$E$41:$E$45</f>
            </numRef>
          </val>
          <smooth val="0"/>
        </ser>
        <dLbls>
          <numFmt formatCode="0%"/>
          <showLegendKey val="0"/>
          <showVal val="1"/>
          <showCatName val="0"/>
          <showSerName val="0"/>
          <showPercent val="0"/>
        </dLbls>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style val="12"/>
  <chart>
    <title>
      <tx>
        <rich>
          <a:bodyPr xmlns:a="http://schemas.openxmlformats.org/drawingml/2006/main"/>
          <a:p xmlns:a="http://schemas.openxmlformats.org/drawingml/2006/main">
            <a:pPr>
              <a:defRPr/>
            </a:pPr>
            <a:r>
              <a:t>Daily Attendance Rate – نسبة الحضور اليومية</a:t>
            </a:r>
          </a:p>
        </rich>
      </tx>
    </title>
    <plotArea>
      <lineChart>
        <grouping val="standard"/>
        <ser>
          <idx val="0"/>
          <order val="0"/>
          <spPr>
            <a:ln xmlns:a="http://schemas.openxmlformats.org/drawingml/2006/main" w="28000">
              <a:solidFill>
                <a:srgbClr val="2A7F8E"/>
              </a:solidFill>
              <a:prstDash val="solid"/>
            </a:ln>
          </spPr>
          <marker>
            <symbol val="circle"/>
            <size val="6"/>
            <spPr>
              <a:solidFill xmlns:a="http://schemas.openxmlformats.org/drawingml/2006/main">
                <a:srgbClr val="2A7F8E"/>
              </a:solidFill>
              <a:ln xmlns:a="http://schemas.openxmlformats.org/drawingml/2006/main">
                <a:prstDash val="solid"/>
              </a:ln>
            </spPr>
          </marker>
          <cat>
            <numRef>
              <f>'الاتجاهات'!$A$8:$A$22</f>
            </numRef>
          </cat>
          <val>
            <numRef>
              <f>'الاتجاهات'!$H$8:$H$22</f>
            </numRef>
          </val>
        </ser>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5.xml><?xml version="1.0" encoding="utf-8"?>
<chartSpace xmlns="http://schemas.openxmlformats.org/drawingml/2006/chart">
  <style val="12"/>
  <chart>
    <title>
      <tx>
        <rich>
          <a:bodyPr xmlns:a="http://schemas.openxmlformats.org/drawingml/2006/main"/>
          <a:p xmlns:a="http://schemas.openxmlformats.org/drawingml/2006/main">
            <a:pPr>
              <a:defRPr/>
            </a:pPr>
            <a:r>
              <a:t>Weekly Attendance Trend – الاتجاه الأسبوعي</a:t>
            </a:r>
          </a:p>
        </rich>
      </tx>
    </title>
    <plotArea>
      <lineChart>
        <grouping val="standard"/>
        <ser>
          <idx val="0"/>
          <order val="0"/>
          <spPr>
            <a:ln xmlns:a="http://schemas.openxmlformats.org/drawingml/2006/main" w="28000">
              <a:solidFill>
                <a:srgbClr val="1F3A5F"/>
              </a:solidFill>
              <a:prstDash val="solid"/>
            </a:ln>
          </spPr>
          <marker>
            <symbol val="circle"/>
            <size val="6"/>
            <spPr>
              <a:solidFill xmlns:a="http://schemas.openxmlformats.org/drawingml/2006/main">
                <a:srgbClr val="1F3A5F"/>
              </a:solidFill>
              <a:ln xmlns:a="http://schemas.openxmlformats.org/drawingml/2006/main">
                <a:prstDash val="solid"/>
              </a:ln>
            </spPr>
          </marker>
          <cat>
            <numRef>
              <f>'الاتجاهات'!$B$27:$B$36</f>
            </numRef>
          </cat>
          <val>
            <numRef>
              <f>'الاتجاهات'!$H$27:$H$36</f>
            </numRef>
          </val>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Monthly Attendance Rate – نسبة الحضور الشهرية</a:t>
            </a:r>
          </a:p>
        </rich>
      </tx>
    </title>
    <plotArea>
      <barChart>
        <barDir val="col"/>
        <grouping val="clustered"/>
        <ser>
          <idx val="0"/>
          <order val="0"/>
          <spPr>
            <a:solidFill xmlns:a="http://schemas.openxmlformats.org/drawingml/2006/main">
              <a:srgbClr val="2A7F8E"/>
            </a:solidFill>
            <a:ln xmlns:a="http://schemas.openxmlformats.org/drawingml/2006/main">
              <a:prstDash val="solid"/>
            </a:ln>
          </spPr>
          <cat>
            <numRef>
              <f>'الاتجاهات'!$A$41:$A$51</f>
            </numRef>
          </cat>
          <val>
            <numRef>
              <f>'الاتجاهات'!$H$41:$H$51</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12</col>
      <colOff>0</colOff>
      <row>11</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39</row>
      <rowOff>0</rowOff>
    </from>
    <to>
      <col>13</col>
      <colOff>0</colOff>
      <row>52</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46</row>
      <rowOff>0</rowOff>
    </from>
    <to>
      <col>5</col>
      <colOff>0</colOff>
      <row>58</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6</col>
      <colOff>40000</colOff>
      <row>0</row>
      <rowOff>20000</rowOff>
    </from>
    <to>
      <col>10</col>
      <colOff>-40000</colOff>
      <row>3</row>
      <rowOff>-20000</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wsDr>
</file>

<file path=xl/drawings/drawing2.xml><?xml version="1.0" encoding="utf-8"?>
<wsDr xmlns="http://schemas.openxmlformats.org/drawingml/2006/spreadsheetDrawing">
  <twoCellAnchor editAs="oneCell">
    <from>
      <col>9</col>
      <colOff>0</colOff>
      <row>6</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25</row>
      <rowOff>0</rowOff>
    </from>
    <to>
      <col>16</col>
      <colOff>0</colOff>
      <row>37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9</col>
      <colOff>0</colOff>
      <row>39</row>
      <rowOff>0</rowOff>
    </from>
    <to>
      <col>16</col>
      <colOff>0</colOff>
      <row>52</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2</col>
      <colOff>40000</colOff>
      <row>0</row>
      <rowOff>20000</rowOff>
    </from>
    <to>
      <col>6</col>
      <colOff>-40000</colOff>
      <row>2</row>
      <rowOff>-20000</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wsDr>
</file>

<file path=xl/tables/table1.xml><?xml version="1.0" encoding="utf-8"?>
<table xmlns="http://schemas.openxmlformats.org/spreadsheetml/2006/main" id="1" name="tblFollowUp" displayName="tblFollowUp" ref="A5:M65" headerRowCount="1">
  <autoFilter ref="A5:M65"/>
  <tableColumns count="13">
    <tableColumn id="1" name="الأولوية"/>
    <tableColumn id="2" name="اسم الطفل"/>
    <tableColumn id="3" name="الصف"/>
    <tableColumn id="4" name="إجمالي الغياب"/>
    <tableColumn id="5" name="نسبة الحضور"/>
    <tableColumn id="6" name="المستوى"/>
    <tableColumn id="7" name="رقم ولي الأمر"/>
    <tableColumn id="8" name="اسم ولي الأمر"/>
    <tableColumn id="9" name="تم التواصل؟"/>
    <tableColumn id="10" name="تاريخ آخر تواصل"/>
    <tableColumn id="11" name="الإجراء المطلوب"/>
    <tableColumn id="12" name="مرجع"/>
    <tableColumn id="13" name="مستوى"/>
  </tableColumns>
  <tableStyleInfo name="TableStyleLight1" showRowStripes="0"/>
</table>
</file>

<file path=xl/tables/table2.xml><?xml version="1.0" encoding="utf-8"?>
<table xmlns="http://schemas.openxmlformats.org/spreadsheetml/2006/main" id="2" name="tblAbsenceLog" displayName="tblAbsenceLog" ref="A5:J1505" headerRowCount="1">
  <autoFilter ref="A5:J1505"/>
  <tableColumns count="10">
    <tableColumn id="1" name="التاريخ"/>
    <tableColumn id="2" name="اسم الطفل"/>
    <tableColumn id="3" name="الرقم الطلابي"/>
    <tableColumn id="4" name="الصف"/>
    <tableColumn id="5" name="نوع الغياب"/>
    <tableColumn id="6" name="إجمالي الغياب حتى هذا التاريخ"/>
    <tableColumn id="7" name="مستوى التنبيه"/>
    <tableColumn id="8" name="حالة التواصل (الحالية)"/>
    <tableColumn id="9" name="الملاحظات"/>
    <tableColumn id="10" name="مرجع"/>
  </tableColumns>
  <tableStyleInfo name="TableStyleLight1" showRowStripes="1"/>
</table>
</file>

<file path=xl/tables/table3.xml><?xml version="1.0" encoding="utf-8"?>
<table xmlns="http://schemas.openxmlformats.org/spreadsheetml/2006/main" id="3" name="tblContactLog" displayName="tblContactLog" ref="A5:J305" headerRowCount="1">
  <autoFilter ref="A5:J305"/>
  <tableColumns count="10">
    <tableColumn id="1" name="التاريخ"/>
    <tableColumn id="2" name="الرقم الطلابي"/>
    <tableColumn id="3" name="اسم الطفل"/>
    <tableColumn id="4" name="الصف"/>
    <tableColumn id="5" name="عدد الغيابات عند التواصل"/>
    <tableColumn id="6" name="طريقة التواصل"/>
    <tableColumn id="7" name="نتيجة التواصل / ملاحظات"/>
    <tableColumn id="8" name="المستوى عند التواصل"/>
    <tableColumn id="9" name="مفتاح"/>
    <tableColumn id="10" name="تسلسل الطفل المحدد"/>
  </tableColumns>
  <tableStyleInfo name="TableStyleLight1" showRowStripes="1"/>
</table>
</file>

<file path=xl/tables/table4.xml><?xml version="1.0" encoding="utf-8"?>
<table xmlns="http://schemas.openxmlformats.org/spreadsheetml/2006/main" id="4" name="tblStudents" displayName="tblStudents" ref="A4:AX214" headerRowCount="1">
  <autoFilter ref="A4:AX214"/>
  <tableColumns count="50">
    <tableColumn id="1" name="م"/>
    <tableColumn id="2" name="الرقم الطلابي"/>
    <tableColumn id="3" name="اسم الطفل"/>
    <tableColumn id="4" name="الصف"/>
    <tableColumn id="5" name="الشعبة"/>
    <tableColumn id="6" name="الحالة الدراسية"/>
    <tableColumn id="7" name="تاريخ الالتحاق"/>
    <tableColumn id="8" name="اسم ولي الأمر"/>
    <tableColumn id="9" name="رقم التواصل"/>
    <tableColumn id="10" name="أيام الدوام"/>
    <tableColumn id="11" name="الحضور"/>
    <tableColumn id="12" name="الغياب"/>
    <tableColumn id="13" name="غياب بعذر"/>
    <tableColumn id="14" name="تأخير"/>
    <tableColumn id="15" name="نسبة الحضور"/>
    <tableColumn id="16" name="نسبة الغياب"/>
    <tableColumn id="17" name="مستوى التنبيه"/>
    <tableColumn id="18" name="حالة المتابعة"/>
    <tableColumn id="19" name="آخر تاريخ غياب"/>
    <tableColumn id="20" name="بلوغ حد المتابعة"/>
    <tableColumn id="21" name="بلوغ الغياب المتكرر"/>
    <tableColumn id="22" name="بلوغ الغياب المرتفع"/>
    <tableColumn id="23" name="بلوغ الحالة الحرجة"/>
    <tableColumn id="24" name="تاريخ آخر تواصل"/>
    <tableColumn id="25" name="طريقة آخر تواصل"/>
    <tableColumn id="26" name="تم التواصل؟"/>
    <tableColumn id="27" name="التواصل مع ولي الأمر"/>
    <tableColumn id="28" name="الإجراء المطلوب"/>
    <tableColumn id="29" name="فئة الحضور"/>
    <tableColumn id="30" name="ملاحظات"/>
    <tableColumn id="31" name="رقم مكرر؟"/>
    <tableColumn id="32" name="مشمول في فلتر اللوحة"/>
    <tableColumn id="33" name="حالة اليوم المحدد"/>
    <tableColumn id="34" name="حضور الفترة"/>
    <tableColumn id="35" name="أيام الفترة"/>
    <tableColumn id="36" name="مستوى بلغه اليوم"/>
    <tableColumn id="37" name="تسلسل تنبيه اليوم"/>
    <tableColumn id="38" name="مفتاح المتابعة"/>
    <tableColumn id="39" name="مفتاح الأعلى حضورًا"/>
    <tableColumn id="40" name="مفتاح الدعم"/>
    <tableColumn id="41" name="مفتاح الحرجة"/>
    <tableColumn id="42" name="مشمول في التقرير"/>
    <tableColumn id="43" name="مفتاح التقرير"/>
    <tableColumn id="44" name="حضور فترة التقرير"/>
    <tableColumn id="45" name="أيام فترة التقرير"/>
    <tableColumn id="46" name="غياب فترة التقرير"/>
    <tableColumn id="47" name="رقم الصف"/>
    <tableColumn id="48" name="رقم الصف الداخلي"/>
    <tableColumn id="49" name="حالة يوم التقرير"/>
    <tableColumn id="50" name="تسلسل غائبي يوم التقرير"/>
  </tableColumns>
  <tableStyleInfo name="TableStyleLight1" showRowStripes="1"/>
</table>
</file>

<file path=xl/tables/table5.xml><?xml version="1.0" encoding="utf-8"?>
<table xmlns="http://schemas.openxmlformats.org/spreadsheetml/2006/main" id="5" name="tblCalendar" displayName="tblCalendar" ref="A4:P222" headerRowCount="1">
  <autoFilter ref="A4:P222"/>
  <tableColumns count="16">
    <tableColumn id="1" name="التاريخ"/>
    <tableColumn id="2" name="اليوم"/>
    <tableColumn id="3" name="الشهر"/>
    <tableColumn id="4" name="مفتاح الشهر"/>
    <tableColumn id="5" name="الأسبوع الدراسي"/>
    <tableColumn id="6" name="الفصل"/>
    <tableColumn id="7" name="عطلة؟"/>
    <tableColumn id="8" name="يوم دراسي"/>
    <tableColumn id="9" name="المسجَّلون"/>
    <tableColumn id="10" name="حاضر"/>
    <tableColumn id="11" name="غياب بدون عذر"/>
    <tableColumn id="12" name="غياب بعذر"/>
    <tableColumn id="13" name="متأخر"/>
    <tableColumn id="14" name="نسبة الحضور"/>
    <tableColumn id="15" name="تم التسجيل؟"/>
    <tableColumn id="16" name="ترتيب اليوم المسجَّل"/>
  </tableColumns>
  <tableStyleInfo name="TableStyleLight1" showRowStripes="1"/>
</table>
</file>

<file path=xl/tables/table6.xml><?xml version="1.0" encoding="utf-8"?>
<table xmlns="http://schemas.openxmlformats.org/spreadsheetml/2006/main" id="6" name="tblClassDaily" displayName="tblClassDaily" ref="A1:G1527" headerRowCount="1">
  <autoFilter ref="A1:G1527"/>
  <tableColumns count="7">
    <tableColumn id="1" name="الصف"/>
    <tableColumn id="2" name="التاريخ"/>
    <tableColumn id="3" name="المحصورون"/>
    <tableColumn id="4" name="حاضر"/>
    <tableColumn id="5" name="غياب بدون عذر"/>
    <tableColumn id="6" name="غياب بعذر"/>
    <tableColumn id="7" name="متأخر"/>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table" Target="/xl/tables/table4.xml" Id="rId1"/></Relationships>
</file>

<file path=xl/worksheets/_rels/sheet17.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tabColor rgb="001F3A5F"/>
    <outlinePr summaryBelow="1" summaryRight="1"/>
    <pageSetUpPr fitToPage="1"/>
  </sheetPr>
  <dimension ref="A1:P78"/>
  <sheetViews>
    <sheetView showGridLines="0" rightToLeft="1" zoomScale="85" workbookViewId="0">
      <pane ySplit="5" topLeftCell="A6" activePane="bottomLeft" state="frozen"/>
      <selection pane="bottomLeft" activeCell="A1" sqref="A1"/>
    </sheetView>
  </sheetViews>
  <sheetFormatPr baseColWidth="8" defaultRowHeight="15"/>
  <cols>
    <col width="17"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s>
  <sheetData>
    <row r="1" ht="30" customHeight="1">
      <c r="A1" s="1">
        <f>SchoolName</f>
        <v/>
      </c>
    </row>
    <row r="2" ht="20" customHeight="1">
      <c r="A2" s="2">
        <f>"نطاق "&amp;SchoolZone</f>
        <v/>
      </c>
    </row>
    <row r="3" ht="24" customHeight="1">
      <c r="A3" s="3">
        <f>"نظام متابعة وتحليل الحضور والغياب – قسم "&amp;SectionName&amp;"   |   Smart Attendance Analytics System"</f>
        <v/>
      </c>
    </row>
    <row r="4" ht="20" customHeight="1">
      <c r="A4" s="4">
        <f>"العام الدراسي: "&amp;AcademicYear&amp;"   |   "&amp;CurrentTerm&amp;"   |   آخر يوم مسجَّل: "&amp;TEXT(LastRecorded,"dd/mm/yyyy")&amp;"   |   أيام مسجَّلة: "&amp;Rec_Days</f>
        <v/>
      </c>
    </row>
    <row r="5" ht="22" customHeight="1">
      <c r="A5" s="4" t="inlineStr">
        <is>
          <t>التاريخ (فارغ = آخر يوم مسجَّل)</t>
        </is>
      </c>
      <c r="B5" s="5" t="n"/>
      <c r="D5" s="4" t="inlineStr">
        <is>
          <t>الصف</t>
        </is>
      </c>
      <c r="E5" s="6" t="inlineStr">
        <is>
          <t>الكل</t>
        </is>
      </c>
      <c r="G5" s="4" t="inlineStr">
        <is>
          <t>الفترة (لنسبة الحضور العامة)</t>
        </is>
      </c>
      <c r="I5" s="6" t="inlineStr">
        <is>
          <t>الشهر</t>
        </is>
      </c>
      <c r="K5" s="7">
        <f>"يعرض بيانات يوم: "&amp;TEXT(Dash_Date,"dd/mm/yyyy")&amp;IF(Dash_DayIdx=0,"  (⚠ ليس يومًا في التقويم)","  – "&amp;INDEX(Cal_Day,Dash_DayIdx))&amp;IF(Today_Reg=0,"  ⚠ لم يُسجَّل حضور هذا اليوم","")</f>
        <v/>
      </c>
    </row>
    <row r="7" ht="26" customHeight="1">
      <c r="A7" s="8" t="inlineStr">
        <is>
          <t>إجمالي أطفال KG1</t>
        </is>
      </c>
      <c r="B7" s="9" t="n"/>
      <c r="C7" s="8" t="inlineStr">
        <is>
          <t>الحاضرون اليوم</t>
        </is>
      </c>
      <c r="D7" s="9" t="n"/>
      <c r="E7" s="8" t="inlineStr">
        <is>
          <t>الغائبون اليوم</t>
        </is>
      </c>
      <c r="F7" s="9" t="n"/>
      <c r="G7" s="8" t="inlineStr">
        <is>
          <t>نسبة الحضور اليوم</t>
        </is>
      </c>
      <c r="H7" s="9" t="n"/>
      <c r="I7" s="8">
        <f>"حالات "&amp;Thr_FollowUp&amp;"+ غياب"</f>
        <v/>
      </c>
      <c r="J7" s="9" t="n"/>
      <c r="K7" s="8">
        <f>"حالات "&amp;Thr_Repeated&amp;"+ غياب"</f>
        <v/>
      </c>
      <c r="L7" s="9" t="n"/>
      <c r="M7" s="8">
        <f>"حالات "&amp;Thr_High&amp;"+ غياب"</f>
        <v/>
      </c>
      <c r="N7" s="9" t="n"/>
      <c r="O7" s="8">
        <f>"حالات "&amp;Thr_Critical&amp;"+ غياب"</f>
        <v/>
      </c>
      <c r="P7" s="9" t="n"/>
    </row>
    <row r="8" ht="34" customHeight="1">
      <c r="A8" s="10">
        <f>Total_Kids</f>
        <v/>
      </c>
      <c r="B8" s="11" t="n"/>
      <c r="C8" s="12">
        <f>Today_Att</f>
        <v/>
      </c>
      <c r="D8" s="11" t="n"/>
      <c r="E8" s="13">
        <f>Today_A+Today_E</f>
        <v/>
      </c>
      <c r="F8" s="11" t="n"/>
      <c r="G8" s="14">
        <f>IF(Today_Rate="","—",Today_Rate)</f>
        <v/>
      </c>
      <c r="H8" s="11" t="n"/>
      <c r="I8" s="15">
        <f>COUNTIFS(Stu_InFilter,1,Stu_Level,"&gt;="&amp;Thr_FollowUp)</f>
        <v/>
      </c>
      <c r="J8" s="11" t="n"/>
      <c r="K8" s="16">
        <f>COUNTIFS(Stu_InFilter,1,Stu_Level,"&gt;="&amp;Thr_Repeated)</f>
        <v/>
      </c>
      <c r="L8" s="11" t="n"/>
      <c r="M8" s="17">
        <f>COUNTIFS(Stu_InFilter,1,Stu_Level,"&gt;="&amp;Thr_High)</f>
        <v/>
      </c>
      <c r="N8" s="11" t="n"/>
      <c r="O8" s="18">
        <f>COUNTIFS(Stu_InFilter,1,Stu_Level,"&gt;="&amp;Thr_Critical)</f>
        <v/>
      </c>
      <c r="P8" s="11" t="n"/>
    </row>
    <row r="9" ht="18" customHeight="1">
      <c r="A9" s="19">
        <f>"نشط – "&amp;Dash_Class</f>
        <v/>
      </c>
      <c r="B9" s="20" t="n"/>
      <c r="C9" s="19">
        <f>"منهم متأخرون: "&amp;Today_L</f>
        <v/>
      </c>
      <c r="D9" s="20" t="n"/>
      <c r="E9" s="19">
        <f>"منهم بعذر: "&amp;Today_E</f>
        <v/>
      </c>
      <c r="F9" s="20" t="n"/>
      <c r="G9" s="19">
        <f>"من "&amp;Today_Reg&amp;" مسجَّل"</f>
        <v/>
      </c>
      <c r="H9" s="20" t="n"/>
      <c r="I9" s="19">
        <f>"جديدة اليوم: "&amp;COUNTIF(Stu_LvlToday,Thr_FollowUp)</f>
        <v/>
      </c>
      <c r="J9" s="20" t="n"/>
      <c r="K9" s="19">
        <f>"جديدة اليوم: "&amp;COUNTIF(Stu_LvlToday,Thr_Repeated)</f>
        <v/>
      </c>
      <c r="L9" s="20" t="n"/>
      <c r="M9" s="19">
        <f>"جديدة اليوم: "&amp;COUNTIF(Stu_LvlToday,Thr_High)</f>
        <v/>
      </c>
      <c r="N9" s="20" t="n"/>
      <c r="O9" s="19">
        <f>"جديدة اليوم: "&amp;COUNTIF(Stu_LvlToday,Thr_Critical)</f>
        <v/>
      </c>
      <c r="P9" s="20" t="n"/>
    </row>
    <row r="11">
      <c r="A11" s="21" t="inlineStr">
        <is>
          <t>تنبيهات المتابعة اليومية   |   Today's Follow-Up Alerts</t>
        </is>
      </c>
      <c r="B11" s="22" t="n"/>
      <c r="C11" s="22" t="n"/>
      <c r="D11" s="22" t="n"/>
      <c r="E11" s="22" t="n"/>
      <c r="F11" s="22" t="n"/>
      <c r="G11" s="22" t="n"/>
      <c r="I11" s="21" t="inlineStr">
        <is>
          <t>نسبة الحضور العامة   |   KG1 Overall Attendance</t>
        </is>
      </c>
      <c r="J11" s="22" t="n"/>
      <c r="K11" s="22" t="n"/>
      <c r="L11" s="22" t="n"/>
      <c r="M11" s="22" t="n"/>
      <c r="N11" s="22" t="n"/>
      <c r="O11" s="22" t="n"/>
      <c r="P11" s="22" t="n"/>
    </row>
    <row r="12">
      <c r="A12" s="23">
        <f>"• "&amp;IF(COUNTIF(Stu_LvlToday,Thr_FollowUp)=0,"لا يوجد من وصل اليوم إلى ",IF(COUNTIF(Stu_LvlToday,Thr_FollowUp)=1,"طفل واحد وصل اليوم إلى ",COUNTIF(Stu_LvlToday,Thr_FollowUp)&amp;" أطفال وصلوا اليوم إلى "))&amp;Thr_FollowUp&amp;" أيام غياب"</f>
        <v/>
      </c>
      <c r="I12" s="24" t="inlineStr">
        <is>
          <t>KG1 Overall Attendance</t>
        </is>
      </c>
      <c r="J12" s="25" t="n"/>
      <c r="K12" s="25" t="n"/>
    </row>
    <row r="13" ht="44" customHeight="1">
      <c r="A13" s="26">
        <f>"• "&amp;IF(COUNTIF(Stu_LvlToday,Thr_Repeated)=0,"لا يوجد من وصل اليوم إلى ",IF(COUNTIF(Stu_LvlToday,Thr_Repeated)=1,"طفل واحد وصل اليوم إلى ",COUNTIF(Stu_LvlToday,Thr_Repeated)&amp;" أطفال وصلوا اليوم إلى "))&amp;Thr_Repeated&amp;" أيام غياب"</f>
        <v/>
      </c>
      <c r="I13" s="27">
        <f>IF(Dash_Rate="","—",Dash_Rate)</f>
        <v/>
      </c>
      <c r="J13" s="28" t="n"/>
      <c r="K13" s="28" t="n"/>
    </row>
    <row r="14">
      <c r="A14" s="29">
        <f>"• "&amp;IF(COUNTIF(Stu_LvlToday,Thr_High)=0,"لا يوجد من وصل اليوم إلى ",IF(COUNTIF(Stu_LvlToday,Thr_High)=1,"طفل واحد وصل اليوم إلى ",COUNTIF(Stu_LvlToday,Thr_High)&amp;" أطفال وصلوا اليوم إلى "))&amp;Thr_High&amp;" أيام غياب"</f>
        <v/>
      </c>
      <c r="I14" s="30">
        <f>Dash_PeriodText</f>
        <v/>
      </c>
      <c r="J14" s="25" t="n"/>
      <c r="K14" s="25" t="n"/>
    </row>
    <row r="15">
      <c r="A15" s="31">
        <f>"• "&amp;IF(COUNTIF(Stu_LvlToday,Thr_Critical)=0,"لا يوجد من وصل اليوم إلى ",IF(COUNTIF(Stu_LvlToday,Thr_Critical)=1,"طفل واحد وصل اليوم إلى ",COUNTIF(Stu_LvlToday,Thr_Critical)&amp;" أطفال وصلوا اليوم إلى "))&amp;Thr_Critical&amp;" أيام غياب"</f>
        <v/>
      </c>
      <c r="I15" s="30">
        <f>"الصف: "&amp;Dash_Class</f>
        <v/>
      </c>
      <c r="J15" s="25" t="n"/>
      <c r="K15" s="25" t="n"/>
    </row>
    <row r="16">
      <c r="A16" s="32">
        <f>"الحالات الجديدة التي انتقلت اليوم إلى مستوى أعلى ("&amp;TEXT(Dash_Date,"dd/mm/yyyy")&amp;") – تواصلي مع أولياء أمورهم مباشرة:"</f>
        <v/>
      </c>
    </row>
    <row r="17" ht="28" customHeight="1">
      <c r="A17" s="33" t="inlineStr">
        <is>
          <t>اسم الطفل</t>
        </is>
      </c>
      <c r="B17" s="33" t="inlineStr">
        <is>
          <t>الصف</t>
        </is>
      </c>
      <c r="C17" s="33" t="inlineStr">
        <is>
          <t>المستوى الذي بلغه</t>
        </is>
      </c>
      <c r="D17" s="33" t="inlineStr">
        <is>
          <t>إجمالي الغياب</t>
        </is>
      </c>
      <c r="E17" s="33" t="inlineStr">
        <is>
          <t>رقم ولي الأمر</t>
        </is>
      </c>
      <c r="F17" s="33" t="inlineStr">
        <is>
          <t>تم التواصل؟</t>
        </is>
      </c>
      <c r="G17" s="33" t="inlineStr">
        <is>
          <t>الإجراء</t>
        </is>
      </c>
      <c r="H17" s="34" t="inlineStr">
        <is>
          <t>المستوى</t>
        </is>
      </c>
      <c r="I17" s="4" t="inlineStr">
        <is>
          <t>توزيع الأطفال حسب فئة الحضور (العام كاملًا)</t>
        </is>
      </c>
    </row>
    <row r="18" ht="28" customHeight="1">
      <c r="A18" s="35">
        <f>IF('حسابات'!$D$38="","",INDEX(Stu_Name,'حسابات'!$D$38))</f>
        <v/>
      </c>
      <c r="B18" s="36">
        <f>IF('حسابات'!$D$38="","",INDEX(Stu_Class,'حسابات'!$D$38))</f>
        <v/>
      </c>
      <c r="C18" s="37">
        <f>IF('حسابات'!$D$38="","","بلغ "&amp;INDEX(Stu_LvlToday,'حسابات'!$D$38)&amp;" غيابات")</f>
        <v/>
      </c>
      <c r="D18" s="36">
        <f>IF('حسابات'!$D$38="","",INDEX(Stu_Abs,'حسابات'!$D$38))</f>
        <v/>
      </c>
      <c r="E18" s="36">
        <f>IF('حسابات'!$D$38="","",INDEX(Stu_Phone,'حسابات'!$D$38))</f>
        <v/>
      </c>
      <c r="F18" s="38">
        <f>IF('حسابات'!$D$38="","",INDEX(Stu_Contacted,'حسابات'!$D$38))</f>
        <v/>
      </c>
      <c r="G18" s="39">
        <f>IF('حسابات'!$D$38="","",INDEX(Stu_Action,'حسابات'!$D$38))</f>
        <v/>
      </c>
      <c r="H18" s="40">
        <f>IF('حسابات'!$D$38="","",INDEX(Stu_LvlToday,'حسابات'!$D$38))</f>
        <v/>
      </c>
      <c r="I18" s="33" t="inlineStr">
        <is>
          <t>الفئة</t>
        </is>
      </c>
      <c r="J18" s="33" t="inlineStr">
        <is>
          <t>عدد الأطفال</t>
        </is>
      </c>
      <c r="K18" s="33" t="inlineStr">
        <is>
          <t>النسبة</t>
        </is>
      </c>
    </row>
    <row r="19">
      <c r="A19" s="35">
        <f>IF('حسابات'!$D$39="","",INDEX(Stu_Name,'حسابات'!$D$39))</f>
        <v/>
      </c>
      <c r="B19" s="36">
        <f>IF('حسابات'!$D$39="","",INDEX(Stu_Class,'حسابات'!$D$39))</f>
        <v/>
      </c>
      <c r="C19" s="37">
        <f>IF('حسابات'!$D$39="","","بلغ "&amp;INDEX(Stu_LvlToday,'حسابات'!$D$39)&amp;" غيابات")</f>
        <v/>
      </c>
      <c r="D19" s="36">
        <f>IF('حسابات'!$D$39="","",INDEX(Stu_Abs,'حسابات'!$D$39))</f>
        <v/>
      </c>
      <c r="E19" s="36">
        <f>IF('حسابات'!$D$39="","",INDEX(Stu_Phone,'حسابات'!$D$39))</f>
        <v/>
      </c>
      <c r="F19" s="38">
        <f>IF('حسابات'!$D$39="","",INDEX(Stu_Contacted,'حسابات'!$D$39))</f>
        <v/>
      </c>
      <c r="G19" s="39">
        <f>IF('حسابات'!$D$39="","",INDEX(Stu_Action,'حسابات'!$D$39))</f>
        <v/>
      </c>
      <c r="H19" s="40">
        <f>IF('حسابات'!$D$39="","",INDEX(Stu_LvlToday,'حسابات'!$D$39))</f>
        <v/>
      </c>
      <c r="I19" s="41">
        <f>Cat_L1</f>
        <v/>
      </c>
      <c r="J19" s="42">
        <f>COUNTIFS(Stu_InFilter,1,Stu_Cat,Cat_L1)</f>
        <v/>
      </c>
      <c r="K19" s="43">
        <f>IF(Total_Kids=0,"",J19/Total_Kids)</f>
        <v/>
      </c>
    </row>
    <row r="20">
      <c r="A20" s="35">
        <f>IF('حسابات'!$D$40="","",INDEX(Stu_Name,'حسابات'!$D$40))</f>
        <v/>
      </c>
      <c r="B20" s="36">
        <f>IF('حسابات'!$D$40="","",INDEX(Stu_Class,'حسابات'!$D$40))</f>
        <v/>
      </c>
      <c r="C20" s="37">
        <f>IF('حسابات'!$D$40="","","بلغ "&amp;INDEX(Stu_LvlToday,'حسابات'!$D$40)&amp;" غيابات")</f>
        <v/>
      </c>
      <c r="D20" s="36">
        <f>IF('حسابات'!$D$40="","",INDEX(Stu_Abs,'حسابات'!$D$40))</f>
        <v/>
      </c>
      <c r="E20" s="36">
        <f>IF('حسابات'!$D$40="","",INDEX(Stu_Phone,'حسابات'!$D$40))</f>
        <v/>
      </c>
      <c r="F20" s="38">
        <f>IF('حسابات'!$D$40="","",INDEX(Stu_Contacted,'حسابات'!$D$40))</f>
        <v/>
      </c>
      <c r="G20" s="39">
        <f>IF('حسابات'!$D$40="","",INDEX(Stu_Action,'حسابات'!$D$40))</f>
        <v/>
      </c>
      <c r="H20" s="40">
        <f>IF('حسابات'!$D$40="","",INDEX(Stu_LvlToday,'حسابات'!$D$40))</f>
        <v/>
      </c>
      <c r="I20" s="41">
        <f>Cat_L2</f>
        <v/>
      </c>
      <c r="J20" s="42">
        <f>COUNTIFS(Stu_InFilter,1,Stu_Cat,Cat_L2)</f>
        <v/>
      </c>
      <c r="K20" s="43">
        <f>IF(Total_Kids=0,"",J20/Total_Kids)</f>
        <v/>
      </c>
    </row>
    <row r="21">
      <c r="A21" s="35">
        <f>IF('حسابات'!$D$41="","",INDEX(Stu_Name,'حسابات'!$D$41))</f>
        <v/>
      </c>
      <c r="B21" s="36">
        <f>IF('حسابات'!$D$41="","",INDEX(Stu_Class,'حسابات'!$D$41))</f>
        <v/>
      </c>
      <c r="C21" s="37">
        <f>IF('حسابات'!$D$41="","","بلغ "&amp;INDEX(Stu_LvlToday,'حسابات'!$D$41)&amp;" غيابات")</f>
        <v/>
      </c>
      <c r="D21" s="36">
        <f>IF('حسابات'!$D$41="","",INDEX(Stu_Abs,'حسابات'!$D$41))</f>
        <v/>
      </c>
      <c r="E21" s="36">
        <f>IF('حسابات'!$D$41="","",INDEX(Stu_Phone,'حسابات'!$D$41))</f>
        <v/>
      </c>
      <c r="F21" s="38">
        <f>IF('حسابات'!$D$41="","",INDEX(Stu_Contacted,'حسابات'!$D$41))</f>
        <v/>
      </c>
      <c r="G21" s="39">
        <f>IF('حسابات'!$D$41="","",INDEX(Stu_Action,'حسابات'!$D$41))</f>
        <v/>
      </c>
      <c r="H21" s="40">
        <f>IF('حسابات'!$D$41="","",INDEX(Stu_LvlToday,'حسابات'!$D$41))</f>
        <v/>
      </c>
      <c r="I21" s="44">
        <f>Cat_L3</f>
        <v/>
      </c>
      <c r="J21" s="42">
        <f>COUNTIFS(Stu_InFilter,1,Stu_Cat,Cat_L3)</f>
        <v/>
      </c>
      <c r="K21" s="43">
        <f>IF(Total_Kids=0,"",J21/Total_Kids)</f>
        <v/>
      </c>
    </row>
    <row r="22">
      <c r="A22" s="35">
        <f>IF('حسابات'!$D$42="","",INDEX(Stu_Name,'حسابات'!$D$42))</f>
        <v/>
      </c>
      <c r="B22" s="36">
        <f>IF('حسابات'!$D$42="","",INDEX(Stu_Class,'حسابات'!$D$42))</f>
        <v/>
      </c>
      <c r="C22" s="37">
        <f>IF('حسابات'!$D$42="","","بلغ "&amp;INDEX(Stu_LvlToday,'حسابات'!$D$42)&amp;" غيابات")</f>
        <v/>
      </c>
      <c r="D22" s="36">
        <f>IF('حسابات'!$D$42="","",INDEX(Stu_Abs,'حسابات'!$D$42))</f>
        <v/>
      </c>
      <c r="E22" s="36">
        <f>IF('حسابات'!$D$42="","",INDEX(Stu_Phone,'حسابات'!$D$42))</f>
        <v/>
      </c>
      <c r="F22" s="38">
        <f>IF('حسابات'!$D$42="","",INDEX(Stu_Contacted,'حسابات'!$D$42))</f>
        <v/>
      </c>
      <c r="G22" s="39">
        <f>IF('حسابات'!$D$42="","",INDEX(Stu_Action,'حسابات'!$D$42))</f>
        <v/>
      </c>
      <c r="H22" s="40">
        <f>IF('حسابات'!$D$42="","",INDEX(Stu_LvlToday,'حسابات'!$D$42))</f>
        <v/>
      </c>
      <c r="I22" s="45">
        <f>Cat_L4</f>
        <v/>
      </c>
      <c r="J22" s="42">
        <f>COUNTIFS(Stu_InFilter,1,Stu_Cat,Cat_L4)</f>
        <v/>
      </c>
      <c r="K22" s="43">
        <f>IF(Total_Kids=0,"",J22/Total_Kids)</f>
        <v/>
      </c>
    </row>
    <row r="23">
      <c r="A23" s="35">
        <f>IF('حسابات'!$D$43="","",INDEX(Stu_Name,'حسابات'!$D$43))</f>
        <v/>
      </c>
      <c r="B23" s="36">
        <f>IF('حسابات'!$D$43="","",INDEX(Stu_Class,'حسابات'!$D$43))</f>
        <v/>
      </c>
      <c r="C23" s="37">
        <f>IF('حسابات'!$D$43="","","بلغ "&amp;INDEX(Stu_LvlToday,'حسابات'!$D$43)&amp;" غيابات")</f>
        <v/>
      </c>
      <c r="D23" s="36">
        <f>IF('حسابات'!$D$43="","",INDEX(Stu_Abs,'حسابات'!$D$43))</f>
        <v/>
      </c>
      <c r="E23" s="36">
        <f>IF('حسابات'!$D$43="","",INDEX(Stu_Phone,'حسابات'!$D$43))</f>
        <v/>
      </c>
      <c r="F23" s="38">
        <f>IF('حسابات'!$D$43="","",INDEX(Stu_Contacted,'حسابات'!$D$43))</f>
        <v/>
      </c>
      <c r="G23" s="39">
        <f>IF('حسابات'!$D$43="","",INDEX(Stu_Action,'حسابات'!$D$43))</f>
        <v/>
      </c>
      <c r="H23" s="40">
        <f>IF('حسابات'!$D$43="","",INDEX(Stu_LvlToday,'حسابات'!$D$43))</f>
        <v/>
      </c>
      <c r="I23" s="46" t="inlineStr">
        <is>
          <t>«حضور كامل» = بدون أي غياب. الفئات الأخرى حسب نسبة الحضور التراكمية للعام.</t>
        </is>
      </c>
    </row>
    <row r="24">
      <c r="A24" s="35">
        <f>IF('حسابات'!$D$44="","",INDEX(Stu_Name,'حسابات'!$D$44))</f>
        <v/>
      </c>
      <c r="B24" s="36">
        <f>IF('حسابات'!$D$44="","",INDEX(Stu_Class,'حسابات'!$D$44))</f>
        <v/>
      </c>
      <c r="C24" s="37">
        <f>IF('حسابات'!$D$44="","","بلغ "&amp;INDEX(Stu_LvlToday,'حسابات'!$D$44)&amp;" غيابات")</f>
        <v/>
      </c>
      <c r="D24" s="36">
        <f>IF('حسابات'!$D$44="","",INDEX(Stu_Abs,'حسابات'!$D$44))</f>
        <v/>
      </c>
      <c r="E24" s="36">
        <f>IF('حسابات'!$D$44="","",INDEX(Stu_Phone,'حسابات'!$D$44))</f>
        <v/>
      </c>
      <c r="F24" s="38">
        <f>IF('حسابات'!$D$44="","",INDEX(Stu_Contacted,'حسابات'!$D$44))</f>
        <v/>
      </c>
      <c r="G24" s="39">
        <f>IF('حسابات'!$D$44="","",INDEX(Stu_Action,'حسابات'!$D$44))</f>
        <v/>
      </c>
      <c r="H24" s="40">
        <f>IF('حسابات'!$D$44="","",INDEX(Stu_LvlToday,'حسابات'!$D$44))</f>
        <v/>
      </c>
    </row>
    <row r="25">
      <c r="A25" s="35">
        <f>IF('حسابات'!$D$45="","",INDEX(Stu_Name,'حسابات'!$D$45))</f>
        <v/>
      </c>
      <c r="B25" s="36">
        <f>IF('حسابات'!$D$45="","",INDEX(Stu_Class,'حسابات'!$D$45))</f>
        <v/>
      </c>
      <c r="C25" s="37">
        <f>IF('حسابات'!$D$45="","","بلغ "&amp;INDEX(Stu_LvlToday,'حسابات'!$D$45)&amp;" غيابات")</f>
        <v/>
      </c>
      <c r="D25" s="36">
        <f>IF('حسابات'!$D$45="","",INDEX(Stu_Abs,'حسابات'!$D$45))</f>
        <v/>
      </c>
      <c r="E25" s="36">
        <f>IF('حسابات'!$D$45="","",INDEX(Stu_Phone,'حسابات'!$D$45))</f>
        <v/>
      </c>
      <c r="F25" s="38">
        <f>IF('حسابات'!$D$45="","",INDEX(Stu_Contacted,'حسابات'!$D$45))</f>
        <v/>
      </c>
      <c r="G25" s="39">
        <f>IF('حسابات'!$D$45="","",INDEX(Stu_Action,'حسابات'!$D$45))</f>
        <v/>
      </c>
      <c r="H25" s="40">
        <f>IF('حسابات'!$D$45="","",INDEX(Stu_LvlToday,'حسابات'!$D$45))</f>
        <v/>
      </c>
    </row>
    <row r="26">
      <c r="A26" s="35">
        <f>IF('حسابات'!$D$46="","",INDEX(Stu_Name,'حسابات'!$D$46))</f>
        <v/>
      </c>
      <c r="B26" s="36">
        <f>IF('حسابات'!$D$46="","",INDEX(Stu_Class,'حسابات'!$D$46))</f>
        <v/>
      </c>
      <c r="C26" s="37">
        <f>IF('حسابات'!$D$46="","","بلغ "&amp;INDEX(Stu_LvlToday,'حسابات'!$D$46)&amp;" غيابات")</f>
        <v/>
      </c>
      <c r="D26" s="36">
        <f>IF('حسابات'!$D$46="","",INDEX(Stu_Abs,'حسابات'!$D$46))</f>
        <v/>
      </c>
      <c r="E26" s="36">
        <f>IF('حسابات'!$D$46="","",INDEX(Stu_Phone,'حسابات'!$D$46))</f>
        <v/>
      </c>
      <c r="F26" s="38">
        <f>IF('حسابات'!$D$46="","",INDEX(Stu_Contacted,'حسابات'!$D$46))</f>
        <v/>
      </c>
      <c r="G26" s="39">
        <f>IF('حسابات'!$D$46="","",INDEX(Stu_Action,'حسابات'!$D$46))</f>
        <v/>
      </c>
      <c r="H26" s="40">
        <f>IF('حسابات'!$D$46="","",INDEX(Stu_LvlToday,'حسابات'!$D$46))</f>
        <v/>
      </c>
    </row>
    <row r="27">
      <c r="A27" s="35">
        <f>IF('حسابات'!$D$47="","",INDEX(Stu_Name,'حسابات'!$D$47))</f>
        <v/>
      </c>
      <c r="B27" s="36">
        <f>IF('حسابات'!$D$47="","",INDEX(Stu_Class,'حسابات'!$D$47))</f>
        <v/>
      </c>
      <c r="C27" s="37">
        <f>IF('حسابات'!$D$47="","","بلغ "&amp;INDEX(Stu_LvlToday,'حسابات'!$D$47)&amp;" غيابات")</f>
        <v/>
      </c>
      <c r="D27" s="36">
        <f>IF('حسابات'!$D$47="","",INDEX(Stu_Abs,'حسابات'!$D$47))</f>
        <v/>
      </c>
      <c r="E27" s="36">
        <f>IF('حسابات'!$D$47="","",INDEX(Stu_Phone,'حسابات'!$D$47))</f>
        <v/>
      </c>
      <c r="F27" s="38">
        <f>IF('حسابات'!$D$47="","",INDEX(Stu_Contacted,'حسابات'!$D$47))</f>
        <v/>
      </c>
      <c r="G27" s="39">
        <f>IF('حسابات'!$D$47="","",INDEX(Stu_Action,'حسابات'!$D$47))</f>
        <v/>
      </c>
      <c r="H27" s="40">
        <f>IF('حسابات'!$D$47="","",INDEX(Stu_LvlToday,'حسابات'!$D$47))</f>
        <v/>
      </c>
    </row>
    <row r="28">
      <c r="A28" s="47">
        <f>IF(COUNT(Stu_AlertSeq)=0,"لا توجد حالات جديدة اليوم ✓",IF(COUNT(Stu_AlertSeq)&gt;10,"⚠ يوجد "&amp;COUNT(Stu_AlertSeq)&amp;" حالة جديدة – تُعرض أول 10؛ راجعي قائمة المتابعة",""))</f>
        <v/>
      </c>
    </row>
    <row r="29">
      <c r="A29" s="21" t="inlineStr">
        <is>
          <t>تحليل اليوم   |   Today's Attendance Analysis</t>
        </is>
      </c>
      <c r="B29" s="22" t="n"/>
      <c r="C29" s="22" t="n"/>
      <c r="D29" s="22" t="n"/>
      <c r="F29" s="21" t="inlineStr">
        <is>
          <t>مقارنة الصفوف   |   Attendance by Class</t>
        </is>
      </c>
      <c r="G29" s="22" t="n"/>
      <c r="H29" s="22" t="n"/>
      <c r="I29" s="22" t="n"/>
      <c r="J29" s="22" t="n"/>
      <c r="K29" s="22" t="n"/>
      <c r="L29" s="22" t="n"/>
      <c r="M29" s="22" t="n"/>
    </row>
    <row r="30" ht="28" customHeight="1">
      <c r="A30" s="48" t="inlineStr">
        <is>
          <t>إجمالي الأطفال</t>
        </is>
      </c>
      <c r="B30" s="42">
        <f>Total_Kids</f>
        <v/>
      </c>
      <c r="F30" s="33" t="inlineStr">
        <is>
          <t>الصف</t>
        </is>
      </c>
      <c r="G30" s="33" t="inlineStr">
        <is>
          <t>عدد الأطفال</t>
        </is>
      </c>
      <c r="H30" s="33" t="inlineStr">
        <is>
          <t>الحاضرون اليوم</t>
        </is>
      </c>
      <c r="I30" s="33" t="inlineStr">
        <is>
          <t>الغائبون اليوم</t>
        </is>
      </c>
      <c r="J30" s="33" t="inlineStr">
        <is>
          <t>نسبة الحضور اليوم</t>
        </is>
      </c>
      <c r="K30" s="33" t="inlineStr">
        <is>
          <t>نسبة الحضور الشهرية</t>
        </is>
      </c>
      <c r="L30" s="33">
        <f>"حالات "&amp;Thr_FollowUp&amp;"+"</f>
        <v/>
      </c>
      <c r="M30" s="33">
        <f>"غياب مرتفع "&amp;Thr_High&amp;"+"</f>
        <v/>
      </c>
    </row>
    <row r="31">
      <c r="A31" s="48" t="inlineStr">
        <is>
          <t>الحاضرون (حاضر + متأخر)</t>
        </is>
      </c>
      <c r="B31" s="42">
        <f>Today_Att</f>
        <v/>
      </c>
      <c r="F31" s="38">
        <f>IF(INDEX(ClassActive,1)="نعم",INDEX(ClassList,1),"")</f>
        <v/>
      </c>
      <c r="G31" s="36">
        <f>IF($F31="","",COUNTIFS(Stu_Class,$F31,Stu_StStatus,"نشط"))</f>
        <v/>
      </c>
      <c r="H31" s="36">
        <f>IF($F31="","",COUNTIFS(Stu_Class,$F31,Stu_Today,"P",Stu_StStatus,"نشط")+COUNTIFS(Stu_Class,$F31,Stu_Today,"L",Stu_StStatus,"نشط"))</f>
        <v/>
      </c>
      <c r="I31" s="36">
        <f>IF($F31="","",COUNTIFS(Stu_Class,$F31,Stu_Today,"A",Stu_StStatus,"نشط")+COUNTIFS(Stu_Class,$F31,Stu_Today,"E",Stu_StStatus,"نشط"))</f>
        <v/>
      </c>
      <c r="J31" s="49">
        <f>IF($F31="","",IF(H31+I31=0,"",(COUNTIFS(Stu_Class,$F31,Stu_Today,"P",Stu_StStatus,"نشط")+IF(LateAsPresent="نعم",COUNTIFS(Stu_Class,$F31,Stu_Today,"L",Stu_StStatus,"نشط"),0))/(H31+I31)))</f>
        <v/>
      </c>
      <c r="K31" s="50">
        <f>IF($F31="","",IF((SUMIFS(CD_Reg,CD_Class,$F31,CD_Date,"&gt;="&amp;Dash_MStart,CD_Date,"&lt;="&amp;Dash_MEnd))=0,"",(IF($F31="الكل",SUMIFS(CD_Pres,CD_Date,"&gt;="&amp;Dash_MStart,CD_Date,"&lt;="&amp;Dash_MEnd),SUMIFS(CD_Pres,CD_Date,"&gt;="&amp;Dash_MStart,CD_Date,"&lt;="&amp;Dash_MEnd,CD_Class,$F31))+IF(LateAsPresent="نعم",IF($F31="الكل",SUMIFS(CD_Late,CD_Date,"&gt;="&amp;Dash_MStart,CD_Date,"&lt;="&amp;Dash_MEnd),SUMIFS(CD_Late,CD_Date,"&gt;="&amp;Dash_MStart,CD_Date,"&lt;="&amp;Dash_MEnd,CD_Class,$F31)),0))/(SUMIFS(CD_Reg,CD_Class,$F31,CD_Date,"&gt;="&amp;Dash_MStart,CD_Date,"&lt;="&amp;Dash_MEnd))))</f>
        <v/>
      </c>
      <c r="L31" s="36">
        <f>IF($F31="","",COUNTIFS(Stu_Class,$F31,Stu_StStatus,"نشط",Stu_Level,"&gt;="&amp;Thr_FollowUp))</f>
        <v/>
      </c>
      <c r="M31" s="36">
        <f>IF($F31="","",COUNTIFS(Stu_Class,$F31,Stu_StStatus,"نشط",Stu_Level,"&gt;="&amp;Thr_High))</f>
        <v/>
      </c>
    </row>
    <row r="32">
      <c r="A32" s="48" t="inlineStr">
        <is>
          <t>الغائبون (بدون عذر)</t>
        </is>
      </c>
      <c r="B32" s="42">
        <f>Today_A</f>
        <v/>
      </c>
      <c r="F32" s="38">
        <f>IF(INDEX(ClassActive,2)="نعم",INDEX(ClassList,2),"")</f>
        <v/>
      </c>
      <c r="G32" s="36">
        <f>IF($F32="","",COUNTIFS(Stu_Class,$F32,Stu_StStatus,"نشط"))</f>
        <v/>
      </c>
      <c r="H32" s="36">
        <f>IF($F32="","",COUNTIFS(Stu_Class,$F32,Stu_Today,"P",Stu_StStatus,"نشط")+COUNTIFS(Stu_Class,$F32,Stu_Today,"L",Stu_StStatus,"نشط"))</f>
        <v/>
      </c>
      <c r="I32" s="36">
        <f>IF($F32="","",COUNTIFS(Stu_Class,$F32,Stu_Today,"A",Stu_StStatus,"نشط")+COUNTIFS(Stu_Class,$F32,Stu_Today,"E",Stu_StStatus,"نشط"))</f>
        <v/>
      </c>
      <c r="J32" s="49">
        <f>IF($F32="","",IF(H32+I32=0,"",(COUNTIFS(Stu_Class,$F32,Stu_Today,"P",Stu_StStatus,"نشط")+IF(LateAsPresent="نعم",COUNTIFS(Stu_Class,$F32,Stu_Today,"L",Stu_StStatus,"نشط"),0))/(H32+I32)))</f>
        <v/>
      </c>
      <c r="K32" s="50">
        <f>IF($F32="","",IF((SUMIFS(CD_Reg,CD_Class,$F32,CD_Date,"&gt;="&amp;Dash_MStart,CD_Date,"&lt;="&amp;Dash_MEnd))=0,"",(IF($F32="الكل",SUMIFS(CD_Pres,CD_Date,"&gt;="&amp;Dash_MStart,CD_Date,"&lt;="&amp;Dash_MEnd),SUMIFS(CD_Pres,CD_Date,"&gt;="&amp;Dash_MStart,CD_Date,"&lt;="&amp;Dash_MEnd,CD_Class,$F32))+IF(LateAsPresent="نعم",IF($F32="الكل",SUMIFS(CD_Late,CD_Date,"&gt;="&amp;Dash_MStart,CD_Date,"&lt;="&amp;Dash_MEnd),SUMIFS(CD_Late,CD_Date,"&gt;="&amp;Dash_MStart,CD_Date,"&lt;="&amp;Dash_MEnd,CD_Class,$F32)),0))/(SUMIFS(CD_Reg,CD_Class,$F32,CD_Date,"&gt;="&amp;Dash_MStart,CD_Date,"&lt;="&amp;Dash_MEnd))))</f>
        <v/>
      </c>
      <c r="L32" s="36">
        <f>IF($F32="","",COUNTIFS(Stu_Class,$F32,Stu_StStatus,"نشط",Stu_Level,"&gt;="&amp;Thr_FollowUp))</f>
        <v/>
      </c>
      <c r="M32" s="36">
        <f>IF($F32="","",COUNTIFS(Stu_Class,$F32,Stu_StStatus,"نشط",Stu_Level,"&gt;="&amp;Thr_High))</f>
        <v/>
      </c>
    </row>
    <row r="33">
      <c r="A33" s="48" t="inlineStr">
        <is>
          <t>الغياب بعذر</t>
        </is>
      </c>
      <c r="B33" s="42">
        <f>Today_E</f>
        <v/>
      </c>
      <c r="F33" s="38">
        <f>IF(INDEX(ClassActive,3)="نعم",INDEX(ClassList,3),"")</f>
        <v/>
      </c>
      <c r="G33" s="36">
        <f>IF($F33="","",COUNTIFS(Stu_Class,$F33,Stu_StStatus,"نشط"))</f>
        <v/>
      </c>
      <c r="H33" s="36">
        <f>IF($F33="","",COUNTIFS(Stu_Class,$F33,Stu_Today,"P",Stu_StStatus,"نشط")+COUNTIFS(Stu_Class,$F33,Stu_Today,"L",Stu_StStatus,"نشط"))</f>
        <v/>
      </c>
      <c r="I33" s="36">
        <f>IF($F33="","",COUNTIFS(Stu_Class,$F33,Stu_Today,"A",Stu_StStatus,"نشط")+COUNTIFS(Stu_Class,$F33,Stu_Today,"E",Stu_StStatus,"نشط"))</f>
        <v/>
      </c>
      <c r="J33" s="49">
        <f>IF($F33="","",IF(H33+I33=0,"",(COUNTIFS(Stu_Class,$F33,Stu_Today,"P",Stu_StStatus,"نشط")+IF(LateAsPresent="نعم",COUNTIFS(Stu_Class,$F33,Stu_Today,"L",Stu_StStatus,"نشط"),0))/(H33+I33)))</f>
        <v/>
      </c>
      <c r="K33" s="50">
        <f>IF($F33="","",IF((SUMIFS(CD_Reg,CD_Class,$F33,CD_Date,"&gt;="&amp;Dash_MStart,CD_Date,"&lt;="&amp;Dash_MEnd))=0,"",(IF($F33="الكل",SUMIFS(CD_Pres,CD_Date,"&gt;="&amp;Dash_MStart,CD_Date,"&lt;="&amp;Dash_MEnd),SUMIFS(CD_Pres,CD_Date,"&gt;="&amp;Dash_MStart,CD_Date,"&lt;="&amp;Dash_MEnd,CD_Class,$F33))+IF(LateAsPresent="نعم",IF($F33="الكل",SUMIFS(CD_Late,CD_Date,"&gt;="&amp;Dash_MStart,CD_Date,"&lt;="&amp;Dash_MEnd),SUMIFS(CD_Late,CD_Date,"&gt;="&amp;Dash_MStart,CD_Date,"&lt;="&amp;Dash_MEnd,CD_Class,$F33)),0))/(SUMIFS(CD_Reg,CD_Class,$F33,CD_Date,"&gt;="&amp;Dash_MStart,CD_Date,"&lt;="&amp;Dash_MEnd))))</f>
        <v/>
      </c>
      <c r="L33" s="36">
        <f>IF($F33="","",COUNTIFS(Stu_Class,$F33,Stu_StStatus,"نشط",Stu_Level,"&gt;="&amp;Thr_FollowUp))</f>
        <v/>
      </c>
      <c r="M33" s="36">
        <f>IF($F33="","",COUNTIFS(Stu_Class,$F33,Stu_StStatus,"نشط",Stu_Level,"&gt;="&amp;Thr_High))</f>
        <v/>
      </c>
    </row>
    <row r="34">
      <c r="A34" s="48" t="inlineStr">
        <is>
          <t>المتأخرون</t>
        </is>
      </c>
      <c r="B34" s="42">
        <f>Today_L</f>
        <v/>
      </c>
      <c r="F34" s="38">
        <f>IF(INDEX(ClassActive,4)="نعم",INDEX(ClassList,4),"")</f>
        <v/>
      </c>
      <c r="G34" s="36">
        <f>IF($F34="","",COUNTIFS(Stu_Class,$F34,Stu_StStatus,"نشط"))</f>
        <v/>
      </c>
      <c r="H34" s="36">
        <f>IF($F34="","",COUNTIFS(Stu_Class,$F34,Stu_Today,"P",Stu_StStatus,"نشط")+COUNTIFS(Stu_Class,$F34,Stu_Today,"L",Stu_StStatus,"نشط"))</f>
        <v/>
      </c>
      <c r="I34" s="36">
        <f>IF($F34="","",COUNTIFS(Stu_Class,$F34,Stu_Today,"A",Stu_StStatus,"نشط")+COUNTIFS(Stu_Class,$F34,Stu_Today,"E",Stu_StStatus,"نشط"))</f>
        <v/>
      </c>
      <c r="J34" s="49">
        <f>IF($F34="","",IF(H34+I34=0,"",(COUNTIFS(Stu_Class,$F34,Stu_Today,"P",Stu_StStatus,"نشط")+IF(LateAsPresent="نعم",COUNTIFS(Stu_Class,$F34,Stu_Today,"L",Stu_StStatus,"نشط"),0))/(H34+I34)))</f>
        <v/>
      </c>
      <c r="K34" s="50">
        <f>IF($F34="","",IF((SUMIFS(CD_Reg,CD_Class,$F34,CD_Date,"&gt;="&amp;Dash_MStart,CD_Date,"&lt;="&amp;Dash_MEnd))=0,"",(IF($F34="الكل",SUMIFS(CD_Pres,CD_Date,"&gt;="&amp;Dash_MStart,CD_Date,"&lt;="&amp;Dash_MEnd),SUMIFS(CD_Pres,CD_Date,"&gt;="&amp;Dash_MStart,CD_Date,"&lt;="&amp;Dash_MEnd,CD_Class,$F34))+IF(LateAsPresent="نعم",IF($F34="الكل",SUMIFS(CD_Late,CD_Date,"&gt;="&amp;Dash_MStart,CD_Date,"&lt;="&amp;Dash_MEnd),SUMIFS(CD_Late,CD_Date,"&gt;="&amp;Dash_MStart,CD_Date,"&lt;="&amp;Dash_MEnd,CD_Class,$F34)),0))/(SUMIFS(CD_Reg,CD_Class,$F34,CD_Date,"&gt;="&amp;Dash_MStart,CD_Date,"&lt;="&amp;Dash_MEnd))))</f>
        <v/>
      </c>
      <c r="L34" s="36">
        <f>IF($F34="","",COUNTIFS(Stu_Class,$F34,Stu_StStatus,"نشط",Stu_Level,"&gt;="&amp;Thr_FollowUp))</f>
        <v/>
      </c>
      <c r="M34" s="36">
        <f>IF($F34="","",COUNTIFS(Stu_Class,$F34,Stu_StStatus,"نشط",Stu_Level,"&gt;="&amp;Thr_High))</f>
        <v/>
      </c>
    </row>
    <row r="35">
      <c r="A35" s="48" t="inlineStr">
        <is>
          <t>نسبة الحضور اليوم</t>
        </is>
      </c>
      <c r="B35" s="51">
        <f>IF(Today_Rate="","—",Today_Rate)</f>
        <v/>
      </c>
      <c r="F35" s="38">
        <f>IF(INDEX(ClassActive,5)="نعم",INDEX(ClassList,5),"")</f>
        <v/>
      </c>
      <c r="G35" s="36">
        <f>IF($F35="","",COUNTIFS(Stu_Class,$F35,Stu_StStatus,"نشط"))</f>
        <v/>
      </c>
      <c r="H35" s="36">
        <f>IF($F35="","",COUNTIFS(Stu_Class,$F35,Stu_Today,"P",Stu_StStatus,"نشط")+COUNTIFS(Stu_Class,$F35,Stu_Today,"L",Stu_StStatus,"نشط"))</f>
        <v/>
      </c>
      <c r="I35" s="36">
        <f>IF($F35="","",COUNTIFS(Stu_Class,$F35,Stu_Today,"A",Stu_StStatus,"نشط")+COUNTIFS(Stu_Class,$F35,Stu_Today,"E",Stu_StStatus,"نشط"))</f>
        <v/>
      </c>
      <c r="J35" s="49">
        <f>IF($F35="","",IF(H35+I35=0,"",(COUNTIFS(Stu_Class,$F35,Stu_Today,"P",Stu_StStatus,"نشط")+IF(LateAsPresent="نعم",COUNTIFS(Stu_Class,$F35,Stu_Today,"L",Stu_StStatus,"نشط"),0))/(H35+I35)))</f>
        <v/>
      </c>
      <c r="K35" s="50">
        <f>IF($F35="","",IF((SUMIFS(CD_Reg,CD_Class,$F35,CD_Date,"&gt;="&amp;Dash_MStart,CD_Date,"&lt;="&amp;Dash_MEnd))=0,"",(IF($F35="الكل",SUMIFS(CD_Pres,CD_Date,"&gt;="&amp;Dash_MStart,CD_Date,"&lt;="&amp;Dash_MEnd),SUMIFS(CD_Pres,CD_Date,"&gt;="&amp;Dash_MStart,CD_Date,"&lt;="&amp;Dash_MEnd,CD_Class,$F35))+IF(LateAsPresent="نعم",IF($F35="الكل",SUMIFS(CD_Late,CD_Date,"&gt;="&amp;Dash_MStart,CD_Date,"&lt;="&amp;Dash_MEnd),SUMIFS(CD_Late,CD_Date,"&gt;="&amp;Dash_MStart,CD_Date,"&lt;="&amp;Dash_MEnd,CD_Class,$F35)),0))/(SUMIFS(CD_Reg,CD_Class,$F35,CD_Date,"&gt;="&amp;Dash_MStart,CD_Date,"&lt;="&amp;Dash_MEnd))))</f>
        <v/>
      </c>
      <c r="L35" s="36">
        <f>IF($F35="","",COUNTIFS(Stu_Class,$F35,Stu_StStatus,"نشط",Stu_Level,"&gt;="&amp;Thr_FollowUp))</f>
        <v/>
      </c>
      <c r="M35" s="36">
        <f>IF($F35="","",COUNTIFS(Stu_Class,$F35,Stu_StStatus,"نشط",Stu_Level,"&gt;="&amp;Thr_High))</f>
        <v/>
      </c>
    </row>
    <row r="36">
      <c r="A36" s="48" t="inlineStr">
        <is>
          <t>الصف الأعلى حضورًا</t>
        </is>
      </c>
      <c r="B36" s="42">
        <f>Best_Class</f>
        <v/>
      </c>
      <c r="F36" s="38">
        <f>IF(INDEX(ClassActive,6)="نعم",INDEX(ClassList,6),"")</f>
        <v/>
      </c>
      <c r="G36" s="36">
        <f>IF($F36="","",COUNTIFS(Stu_Class,$F36,Stu_StStatus,"نشط"))</f>
        <v/>
      </c>
      <c r="H36" s="36">
        <f>IF($F36="","",COUNTIFS(Stu_Class,$F36,Stu_Today,"P",Stu_StStatus,"نشط")+COUNTIFS(Stu_Class,$F36,Stu_Today,"L",Stu_StStatus,"نشط"))</f>
        <v/>
      </c>
      <c r="I36" s="36">
        <f>IF($F36="","",COUNTIFS(Stu_Class,$F36,Stu_Today,"A",Stu_StStatus,"نشط")+COUNTIFS(Stu_Class,$F36,Stu_Today,"E",Stu_StStatus,"نشط"))</f>
        <v/>
      </c>
      <c r="J36" s="49">
        <f>IF($F36="","",IF(H36+I36=0,"",(COUNTIFS(Stu_Class,$F36,Stu_Today,"P",Stu_StStatus,"نشط")+IF(LateAsPresent="نعم",COUNTIFS(Stu_Class,$F36,Stu_Today,"L",Stu_StStatus,"نشط"),0))/(H36+I36)))</f>
        <v/>
      </c>
      <c r="K36" s="50">
        <f>IF($F36="","",IF((SUMIFS(CD_Reg,CD_Class,$F36,CD_Date,"&gt;="&amp;Dash_MStart,CD_Date,"&lt;="&amp;Dash_MEnd))=0,"",(IF($F36="الكل",SUMIFS(CD_Pres,CD_Date,"&gt;="&amp;Dash_MStart,CD_Date,"&lt;="&amp;Dash_MEnd),SUMIFS(CD_Pres,CD_Date,"&gt;="&amp;Dash_MStart,CD_Date,"&lt;="&amp;Dash_MEnd,CD_Class,$F36))+IF(LateAsPresent="نعم",IF($F36="الكل",SUMIFS(CD_Late,CD_Date,"&gt;="&amp;Dash_MStart,CD_Date,"&lt;="&amp;Dash_MEnd),SUMIFS(CD_Late,CD_Date,"&gt;="&amp;Dash_MStart,CD_Date,"&lt;="&amp;Dash_MEnd,CD_Class,$F36)),0))/(SUMIFS(CD_Reg,CD_Class,$F36,CD_Date,"&gt;="&amp;Dash_MStart,CD_Date,"&lt;="&amp;Dash_MEnd))))</f>
        <v/>
      </c>
      <c r="L36" s="36">
        <f>IF($F36="","",COUNTIFS(Stu_Class,$F36,Stu_StStatus,"نشط",Stu_Level,"&gt;="&amp;Thr_FollowUp))</f>
        <v/>
      </c>
      <c r="M36" s="36">
        <f>IF($F36="","",COUNTIFS(Stu_Class,$F36,Stu_StStatus,"نشط",Stu_Level,"&gt;="&amp;Thr_High))</f>
        <v/>
      </c>
    </row>
    <row r="37">
      <c r="A37" s="48" t="inlineStr">
        <is>
          <t>الصف الأقل حضورًا</t>
        </is>
      </c>
      <c r="B37" s="42">
        <f>Low_Class</f>
        <v/>
      </c>
      <c r="F37" s="38">
        <f>IF(INDEX(ClassActive,7)="نعم",INDEX(ClassList,7),"")</f>
        <v/>
      </c>
      <c r="G37" s="36">
        <f>IF($F37="","",COUNTIFS(Stu_Class,$F37,Stu_StStatus,"نشط"))</f>
        <v/>
      </c>
      <c r="H37" s="36">
        <f>IF($F37="","",COUNTIFS(Stu_Class,$F37,Stu_Today,"P",Stu_StStatus,"نشط")+COUNTIFS(Stu_Class,$F37,Stu_Today,"L",Stu_StStatus,"نشط"))</f>
        <v/>
      </c>
      <c r="I37" s="36">
        <f>IF($F37="","",COUNTIFS(Stu_Class,$F37,Stu_Today,"A",Stu_StStatus,"نشط")+COUNTIFS(Stu_Class,$F37,Stu_Today,"E",Stu_StStatus,"نشط"))</f>
        <v/>
      </c>
      <c r="J37" s="49">
        <f>IF($F37="","",IF(H37+I37=0,"",(COUNTIFS(Stu_Class,$F37,Stu_Today,"P",Stu_StStatus,"نشط")+IF(LateAsPresent="نعم",COUNTIFS(Stu_Class,$F37,Stu_Today,"L",Stu_StStatus,"نشط"),0))/(H37+I37)))</f>
        <v/>
      </c>
      <c r="K37" s="50">
        <f>IF($F37="","",IF((SUMIFS(CD_Reg,CD_Class,$F37,CD_Date,"&gt;="&amp;Dash_MStart,CD_Date,"&lt;="&amp;Dash_MEnd))=0,"",(IF($F37="الكل",SUMIFS(CD_Pres,CD_Date,"&gt;="&amp;Dash_MStart,CD_Date,"&lt;="&amp;Dash_MEnd),SUMIFS(CD_Pres,CD_Date,"&gt;="&amp;Dash_MStart,CD_Date,"&lt;="&amp;Dash_MEnd,CD_Class,$F37))+IF(LateAsPresent="نعم",IF($F37="الكل",SUMIFS(CD_Late,CD_Date,"&gt;="&amp;Dash_MStart,CD_Date,"&lt;="&amp;Dash_MEnd),SUMIFS(CD_Late,CD_Date,"&gt;="&amp;Dash_MStart,CD_Date,"&lt;="&amp;Dash_MEnd,CD_Class,$F37)),0))/(SUMIFS(CD_Reg,CD_Class,$F37,CD_Date,"&gt;="&amp;Dash_MStart,CD_Date,"&lt;="&amp;Dash_MEnd))))</f>
        <v/>
      </c>
      <c r="L37" s="36">
        <f>IF($F37="","",COUNTIFS(Stu_Class,$F37,Stu_StStatus,"نشط",Stu_Level,"&gt;="&amp;Thr_FollowUp))</f>
        <v/>
      </c>
      <c r="M37" s="36">
        <f>IF($F37="","",COUNTIFS(Stu_Class,$F37,Stu_StStatus,"نشط",Stu_Level,"&gt;="&amp;Thr_High))</f>
        <v/>
      </c>
    </row>
    <row r="38">
      <c r="A38" s="48" t="inlineStr">
        <is>
          <t>الصفوف المحصورة لهذا اليوم</t>
        </is>
      </c>
      <c r="B38" s="42">
        <f>Cls_Confirmed&amp;" من "&amp;Cls_Active</f>
        <v/>
      </c>
      <c r="F38" s="46" t="inlineStr">
        <is>
          <t>نسبة الحضور الشهرية = شهر التاريخ المحدد. الصفوف الفارغة = أوراق احتياطية غير مفعّلة.</t>
        </is>
      </c>
    </row>
    <row r="40" ht="28" customHeight="1">
      <c r="A40" s="33" t="inlineStr">
        <is>
          <t>التاريخ</t>
        </is>
      </c>
      <c r="B40" s="33" t="inlineStr">
        <is>
          <t>اليوم</t>
        </is>
      </c>
      <c r="C40" s="33" t="inlineStr">
        <is>
          <t>الحاضرون</t>
        </is>
      </c>
      <c r="D40" s="33" t="inlineStr">
        <is>
          <t>المسجَّلون</t>
        </is>
      </c>
      <c r="E40" s="33" t="inlineStr">
        <is>
          <t>نسبة الحضور</t>
        </is>
      </c>
    </row>
    <row r="41">
      <c r="A41" s="52">
        <f>IF((Rec_Days-5+1)&lt;1,"",INDEX(Cal_Date,MATCH((Rec_Days-5+1),Cal_RecIdx,0)))</f>
        <v/>
      </c>
      <c r="B41" s="53">
        <f>IF(A41="","",INDEX(Cal_Day,MATCH(A41,Cal_Date,0)))</f>
        <v/>
      </c>
      <c r="C41" s="53">
        <f>IF(A41="","",IF(Dash_Class="الكل",INDEX(Cal_Pres,MATCH(A41,Cal_Date,0))+INDEX(Cal_Late,MATCH(A41,Cal_Date,0)),IF(Dash_Class="الكل",SUMIFS(CD_Pres,CD_Date,A41),SUMIFS(CD_Pres,CD_Date,A41,CD_Class,Dash_Class))+IF(Dash_Class="الكل",SUMIFS(CD_Late,CD_Date,A41),SUMIFS(CD_Late,CD_Date,A41,CD_Class,Dash_Class))))</f>
        <v/>
      </c>
      <c r="D41" s="53">
        <f>IF(A41="","",IF(Dash_Class="الكل",INDEX(Cal_Reg,MATCH(A41,Cal_Date,0)),IF(Dash_Class="الكل",SUMIFS(CD_Pres,CD_Date,A41),SUMIFS(CD_Pres,CD_Date,A41,CD_Class,Dash_Class))+IF(Dash_Class="الكل",SUMIFS(CD_Abs,CD_Date,A41),SUMIFS(CD_Abs,CD_Date,A41,CD_Class,Dash_Class))+IF(Dash_Class="الكل",SUMIFS(CD_Exc,CD_Date,A41),SUMIFS(CD_Exc,CD_Date,A41,CD_Class,Dash_Class))+IF(Dash_Class="الكل",SUMIFS(CD_Late,CD_Date,A41),SUMIFS(CD_Late,CD_Date,A41,CD_Class,Dash_Class))))</f>
        <v/>
      </c>
      <c r="E41" s="54">
        <f>IF(OR(A41="",D41=0),"",IF(Dash_Class="الكل",INDEX(Cal_Rate,MATCH(A41,Cal_Date,0)),(IF(Dash_Class="الكل",SUMIFS(CD_Pres,CD_Date,A41),SUMIFS(CD_Pres,CD_Date,A41,CD_Class,Dash_Class))+IF(LateAsPresent="نعم",IF(Dash_Class="الكل",SUMIFS(CD_Late,CD_Date,A41),SUMIFS(CD_Late,CD_Date,A41,CD_Class,Dash_Class)),0))/D41))</f>
        <v/>
      </c>
    </row>
    <row r="42">
      <c r="A42" s="52">
        <f>IF((Rec_Days-5+2)&lt;1,"",INDEX(Cal_Date,MATCH((Rec_Days-5+2),Cal_RecIdx,0)))</f>
        <v/>
      </c>
      <c r="B42" s="53">
        <f>IF(A42="","",INDEX(Cal_Day,MATCH(A42,Cal_Date,0)))</f>
        <v/>
      </c>
      <c r="C42" s="53">
        <f>IF(A42="","",IF(Dash_Class="الكل",INDEX(Cal_Pres,MATCH(A42,Cal_Date,0))+INDEX(Cal_Late,MATCH(A42,Cal_Date,0)),IF(Dash_Class="الكل",SUMIFS(CD_Pres,CD_Date,A42),SUMIFS(CD_Pres,CD_Date,A42,CD_Class,Dash_Class))+IF(Dash_Class="الكل",SUMIFS(CD_Late,CD_Date,A42),SUMIFS(CD_Late,CD_Date,A42,CD_Class,Dash_Class))))</f>
        <v/>
      </c>
      <c r="D42" s="53">
        <f>IF(A42="","",IF(Dash_Class="الكل",INDEX(Cal_Reg,MATCH(A42,Cal_Date,0)),IF(Dash_Class="الكل",SUMIFS(CD_Pres,CD_Date,A42),SUMIFS(CD_Pres,CD_Date,A42,CD_Class,Dash_Class))+IF(Dash_Class="الكل",SUMIFS(CD_Abs,CD_Date,A42),SUMIFS(CD_Abs,CD_Date,A42,CD_Class,Dash_Class))+IF(Dash_Class="الكل",SUMIFS(CD_Exc,CD_Date,A42),SUMIFS(CD_Exc,CD_Date,A42,CD_Class,Dash_Class))+IF(Dash_Class="الكل",SUMIFS(CD_Late,CD_Date,A42),SUMIFS(CD_Late,CD_Date,A42,CD_Class,Dash_Class))))</f>
        <v/>
      </c>
      <c r="E42" s="54">
        <f>IF(OR(A42="",D42=0),"",IF(Dash_Class="الكل",INDEX(Cal_Rate,MATCH(A42,Cal_Date,0)),(IF(Dash_Class="الكل",SUMIFS(CD_Pres,CD_Date,A42),SUMIFS(CD_Pres,CD_Date,A42,CD_Class,Dash_Class))+IF(LateAsPresent="نعم",IF(Dash_Class="الكل",SUMIFS(CD_Late,CD_Date,A42),SUMIFS(CD_Late,CD_Date,A42,CD_Class,Dash_Class)),0))/D42))</f>
        <v/>
      </c>
    </row>
    <row r="43">
      <c r="A43" s="52">
        <f>IF((Rec_Days-5+3)&lt;1,"",INDEX(Cal_Date,MATCH((Rec_Days-5+3),Cal_RecIdx,0)))</f>
        <v/>
      </c>
      <c r="B43" s="53">
        <f>IF(A43="","",INDEX(Cal_Day,MATCH(A43,Cal_Date,0)))</f>
        <v/>
      </c>
      <c r="C43" s="53">
        <f>IF(A43="","",IF(Dash_Class="الكل",INDEX(Cal_Pres,MATCH(A43,Cal_Date,0))+INDEX(Cal_Late,MATCH(A43,Cal_Date,0)),IF(Dash_Class="الكل",SUMIFS(CD_Pres,CD_Date,A43),SUMIFS(CD_Pres,CD_Date,A43,CD_Class,Dash_Class))+IF(Dash_Class="الكل",SUMIFS(CD_Late,CD_Date,A43),SUMIFS(CD_Late,CD_Date,A43,CD_Class,Dash_Class))))</f>
        <v/>
      </c>
      <c r="D43" s="53">
        <f>IF(A43="","",IF(Dash_Class="الكل",INDEX(Cal_Reg,MATCH(A43,Cal_Date,0)),IF(Dash_Class="الكل",SUMIFS(CD_Pres,CD_Date,A43),SUMIFS(CD_Pres,CD_Date,A43,CD_Class,Dash_Class))+IF(Dash_Class="الكل",SUMIFS(CD_Abs,CD_Date,A43),SUMIFS(CD_Abs,CD_Date,A43,CD_Class,Dash_Class))+IF(Dash_Class="الكل",SUMIFS(CD_Exc,CD_Date,A43),SUMIFS(CD_Exc,CD_Date,A43,CD_Class,Dash_Class))+IF(Dash_Class="الكل",SUMIFS(CD_Late,CD_Date,A43),SUMIFS(CD_Late,CD_Date,A43,CD_Class,Dash_Class))))</f>
        <v/>
      </c>
      <c r="E43" s="54">
        <f>IF(OR(A43="",D43=0),"",IF(Dash_Class="الكل",INDEX(Cal_Rate,MATCH(A43,Cal_Date,0)),(IF(Dash_Class="الكل",SUMIFS(CD_Pres,CD_Date,A43),SUMIFS(CD_Pres,CD_Date,A43,CD_Class,Dash_Class))+IF(LateAsPresent="نعم",IF(Dash_Class="الكل",SUMIFS(CD_Late,CD_Date,A43),SUMIFS(CD_Late,CD_Date,A43,CD_Class,Dash_Class)),0))/D43))</f>
        <v/>
      </c>
    </row>
    <row r="44">
      <c r="A44" s="52">
        <f>IF((Rec_Days-5+4)&lt;1,"",INDEX(Cal_Date,MATCH((Rec_Days-5+4),Cal_RecIdx,0)))</f>
        <v/>
      </c>
      <c r="B44" s="53">
        <f>IF(A44="","",INDEX(Cal_Day,MATCH(A44,Cal_Date,0)))</f>
        <v/>
      </c>
      <c r="C44" s="53">
        <f>IF(A44="","",IF(Dash_Class="الكل",INDEX(Cal_Pres,MATCH(A44,Cal_Date,0))+INDEX(Cal_Late,MATCH(A44,Cal_Date,0)),IF(Dash_Class="الكل",SUMIFS(CD_Pres,CD_Date,A44),SUMIFS(CD_Pres,CD_Date,A44,CD_Class,Dash_Class))+IF(Dash_Class="الكل",SUMIFS(CD_Late,CD_Date,A44),SUMIFS(CD_Late,CD_Date,A44,CD_Class,Dash_Class))))</f>
        <v/>
      </c>
      <c r="D44" s="53">
        <f>IF(A44="","",IF(Dash_Class="الكل",INDEX(Cal_Reg,MATCH(A44,Cal_Date,0)),IF(Dash_Class="الكل",SUMIFS(CD_Pres,CD_Date,A44),SUMIFS(CD_Pres,CD_Date,A44,CD_Class,Dash_Class))+IF(Dash_Class="الكل",SUMIFS(CD_Abs,CD_Date,A44),SUMIFS(CD_Abs,CD_Date,A44,CD_Class,Dash_Class))+IF(Dash_Class="الكل",SUMIFS(CD_Exc,CD_Date,A44),SUMIFS(CD_Exc,CD_Date,A44,CD_Class,Dash_Class))+IF(Dash_Class="الكل",SUMIFS(CD_Late,CD_Date,A44),SUMIFS(CD_Late,CD_Date,A44,CD_Class,Dash_Class))))</f>
        <v/>
      </c>
      <c r="E44" s="54">
        <f>IF(OR(A44="",D44=0),"",IF(Dash_Class="الكل",INDEX(Cal_Rate,MATCH(A44,Cal_Date,0)),(IF(Dash_Class="الكل",SUMIFS(CD_Pres,CD_Date,A44),SUMIFS(CD_Pres,CD_Date,A44,CD_Class,Dash_Class))+IF(LateAsPresent="نعم",IF(Dash_Class="الكل",SUMIFS(CD_Late,CD_Date,A44),SUMIFS(CD_Late,CD_Date,A44,CD_Class,Dash_Class)),0))/D44))</f>
        <v/>
      </c>
    </row>
    <row r="45">
      <c r="A45" s="52">
        <f>IF((Rec_Days-5+5)&lt;1,"",INDEX(Cal_Date,MATCH((Rec_Days-5+5),Cal_RecIdx,0)))</f>
        <v/>
      </c>
      <c r="B45" s="53">
        <f>IF(A45="","",INDEX(Cal_Day,MATCH(A45,Cal_Date,0)))</f>
        <v/>
      </c>
      <c r="C45" s="53">
        <f>IF(A45="","",IF(Dash_Class="الكل",INDEX(Cal_Pres,MATCH(A45,Cal_Date,0))+INDEX(Cal_Late,MATCH(A45,Cal_Date,0)),IF(Dash_Class="الكل",SUMIFS(CD_Pres,CD_Date,A45),SUMIFS(CD_Pres,CD_Date,A45,CD_Class,Dash_Class))+IF(Dash_Class="الكل",SUMIFS(CD_Late,CD_Date,A45),SUMIFS(CD_Late,CD_Date,A45,CD_Class,Dash_Class))))</f>
        <v/>
      </c>
      <c r="D45" s="53">
        <f>IF(A45="","",IF(Dash_Class="الكل",INDEX(Cal_Reg,MATCH(A45,Cal_Date,0)),IF(Dash_Class="الكل",SUMIFS(CD_Pres,CD_Date,A45),SUMIFS(CD_Pres,CD_Date,A45,CD_Class,Dash_Class))+IF(Dash_Class="الكل",SUMIFS(CD_Abs,CD_Date,A45),SUMIFS(CD_Abs,CD_Date,A45,CD_Class,Dash_Class))+IF(Dash_Class="الكل",SUMIFS(CD_Exc,CD_Date,A45),SUMIFS(CD_Exc,CD_Date,A45,CD_Class,Dash_Class))+IF(Dash_Class="الكل",SUMIFS(CD_Late,CD_Date,A45),SUMIFS(CD_Late,CD_Date,A45,CD_Class,Dash_Class))))</f>
        <v/>
      </c>
      <c r="E45" s="54">
        <f>IF(OR(A45="",D45=0),"",IF(Dash_Class="الكل",INDEX(Cal_Rate,MATCH(A45,Cal_Date,0)),(IF(Dash_Class="الكل",SUMIFS(CD_Pres,CD_Date,A45),SUMIFS(CD_Pres,CD_Date,A45,CD_Class,Dash_Class))+IF(LateAsPresent="نعم",IF(Dash_Class="الكل",SUMIFS(CD_Late,CD_Date,A45),SUMIFS(CD_Late,CD_Date,A45,CD_Class,Dash_Class)),0))/D45))</f>
        <v/>
      </c>
    </row>
    <row r="60">
      <c r="A60" s="21" t="inlineStr">
        <is>
          <t>الأعلى حضورًا ⭐   |   Top Attendance</t>
        </is>
      </c>
      <c r="B60" s="22" t="n"/>
      <c r="C60" s="22" t="n"/>
      <c r="D60" s="22" t="n"/>
      <c r="E60" s="22" t="n"/>
      <c r="F60" s="21" t="inlineStr">
        <is>
          <t>أطفال يحتاجون دعمًا في الحضور   |   Students Requiring Attendance Support</t>
        </is>
      </c>
      <c r="G60" s="22" t="n"/>
      <c r="H60" s="22" t="n"/>
      <c r="I60" s="22" t="n"/>
      <c r="J60" s="22" t="n"/>
      <c r="K60" s="22" t="n"/>
      <c r="L60" s="21" t="inlineStr">
        <is>
          <t>حالات الغياب الحرجة 🔴   |   Critical Absence Cases</t>
        </is>
      </c>
      <c r="M60" s="22" t="n"/>
      <c r="N60" s="22" t="n"/>
      <c r="O60" s="22" t="n"/>
      <c r="P60" s="22" t="n"/>
    </row>
    <row r="61" ht="28" customHeight="1">
      <c r="A61" s="33" t="inlineStr">
        <is>
          <t>اسم الطفل</t>
        </is>
      </c>
      <c r="B61" s="33" t="inlineStr">
        <is>
          <t>الصف</t>
        </is>
      </c>
      <c r="C61" s="33" t="inlineStr">
        <is>
          <t>أيام الحضور</t>
        </is>
      </c>
      <c r="D61" s="33" t="inlineStr">
        <is>
          <t>نسبة الحضور</t>
        </is>
      </c>
      <c r="E61" s="33" t="inlineStr">
        <is>
          <t>الفئة</t>
        </is>
      </c>
      <c r="F61" s="55" t="inlineStr">
        <is>
          <t>اسم الطفل</t>
        </is>
      </c>
      <c r="G61" s="55" t="inlineStr">
        <is>
          <t>الصف</t>
        </is>
      </c>
      <c r="H61" s="55" t="inlineStr">
        <is>
          <t>أيام الغياب</t>
        </is>
      </c>
      <c r="I61" s="55" t="inlineStr">
        <is>
          <t>نسبة الحضور</t>
        </is>
      </c>
      <c r="J61" s="55" t="inlineStr">
        <is>
          <t>حالة المتابعة</t>
        </is>
      </c>
      <c r="K61" s="55" t="inlineStr">
        <is>
          <t>تم التواصل؟</t>
        </is>
      </c>
      <c r="L61" s="56" t="inlineStr">
        <is>
          <t>اسم الطفل</t>
        </is>
      </c>
      <c r="M61" s="56" t="inlineStr">
        <is>
          <t>الصف</t>
        </is>
      </c>
      <c r="N61" s="56" t="inlineStr">
        <is>
          <t>الغياب</t>
        </is>
      </c>
      <c r="O61" s="56" t="inlineStr">
        <is>
          <t>رقم ولي الأمر</t>
        </is>
      </c>
      <c r="P61" s="56" t="inlineStr">
        <is>
          <t>تم التواصل؟</t>
        </is>
      </c>
    </row>
    <row r="62">
      <c r="A62" s="35">
        <f>IF('حسابات'!$A$38="","",IF(0&lt;3,"⭐ ","")&amp;INDEX(Stu_Name,'حسابات'!$A$38))</f>
        <v/>
      </c>
      <c r="B62" s="36">
        <f>IF('حسابات'!$A$38="","",INDEX(Stu_Class,'حسابات'!$A$38))</f>
        <v/>
      </c>
      <c r="C62" s="36">
        <f>IF('حسابات'!$A$38="","",INDEX(Stu_Pres,'حسابات'!$A$38))</f>
        <v/>
      </c>
      <c r="D62" s="57">
        <f>IF('حسابات'!$A$38="","",INDEX(Stu_Rate,'حسابات'!$A$38))</f>
        <v/>
      </c>
      <c r="E62" s="53">
        <f>IF('حسابات'!$A$38="","",INDEX(Stu_Cat,'حسابات'!$A$38))</f>
        <v/>
      </c>
      <c r="F62" s="35">
        <f>IF('حسابات'!$B$38="","",INDEX(Stu_Name,'حسابات'!$B$38))</f>
        <v/>
      </c>
      <c r="G62" s="36">
        <f>IF('حسابات'!$B$38="","",INDEX(Stu_Class,'حسابات'!$B$38))</f>
        <v/>
      </c>
      <c r="H62" s="58">
        <f>IF('حسابات'!$B$38="","",INDEX(Stu_Abs,'حسابات'!$B$38)+INDEX(Stu_Exc,'حسابات'!$B$38))</f>
        <v/>
      </c>
      <c r="I62" s="50">
        <f>IF('حسابات'!$B$38="","",INDEX(Stu_Rate,'حسابات'!$B$38))</f>
        <v/>
      </c>
      <c r="J62" s="59">
        <f>IF('حسابات'!$B$38="","",INDEX(Stu_Status,'حسابات'!$B$38))</f>
        <v/>
      </c>
      <c r="K62" s="38">
        <f>IF('حسابات'!$B$38="","",INDEX(Stu_Contacted,'حسابات'!$B$38))</f>
        <v/>
      </c>
      <c r="L62" s="45">
        <f>IF('حسابات'!$C$38="","",INDEX(Stu_Name,'حسابات'!$C$38))</f>
        <v/>
      </c>
      <c r="M62" s="36">
        <f>IF('حسابات'!$C$38="","",INDEX(Stu_Class,'حسابات'!$C$38))</f>
        <v/>
      </c>
      <c r="N62" s="60">
        <f>IF('حسابات'!$C$38="","",INDEX(Stu_Abs,'حسابات'!$C$38))</f>
        <v/>
      </c>
      <c r="O62" s="36">
        <f>IF('حسابات'!$C$38="","",INDEX(Stu_Phone,'حسابات'!$C$38))</f>
        <v/>
      </c>
      <c r="P62" s="38">
        <f>IF('حسابات'!$C$38="","",INDEX(Stu_Contacted,'حسابات'!$C$38))</f>
        <v/>
      </c>
    </row>
    <row r="63">
      <c r="A63" s="35">
        <f>IF('حسابات'!$A$39="","",IF(1&lt;3,"⭐ ","")&amp;INDEX(Stu_Name,'حسابات'!$A$39))</f>
        <v/>
      </c>
      <c r="B63" s="36">
        <f>IF('حسابات'!$A$39="","",INDEX(Stu_Class,'حسابات'!$A$39))</f>
        <v/>
      </c>
      <c r="C63" s="36">
        <f>IF('حسابات'!$A$39="","",INDEX(Stu_Pres,'حسابات'!$A$39))</f>
        <v/>
      </c>
      <c r="D63" s="57">
        <f>IF('حسابات'!$A$39="","",INDEX(Stu_Rate,'حسابات'!$A$39))</f>
        <v/>
      </c>
      <c r="E63" s="53">
        <f>IF('حسابات'!$A$39="","",INDEX(Stu_Cat,'حسابات'!$A$39))</f>
        <v/>
      </c>
      <c r="F63" s="35">
        <f>IF('حسابات'!$B$39="","",INDEX(Stu_Name,'حسابات'!$B$39))</f>
        <v/>
      </c>
      <c r="G63" s="36">
        <f>IF('حسابات'!$B$39="","",INDEX(Stu_Class,'حسابات'!$B$39))</f>
        <v/>
      </c>
      <c r="H63" s="58">
        <f>IF('حسابات'!$B$39="","",INDEX(Stu_Abs,'حسابات'!$B$39)+INDEX(Stu_Exc,'حسابات'!$B$39))</f>
        <v/>
      </c>
      <c r="I63" s="50">
        <f>IF('حسابات'!$B$39="","",INDEX(Stu_Rate,'حسابات'!$B$39))</f>
        <v/>
      </c>
      <c r="J63" s="59">
        <f>IF('حسابات'!$B$39="","",INDEX(Stu_Status,'حسابات'!$B$39))</f>
        <v/>
      </c>
      <c r="K63" s="38">
        <f>IF('حسابات'!$B$39="","",INDEX(Stu_Contacted,'حسابات'!$B$39))</f>
        <v/>
      </c>
      <c r="L63" s="45">
        <f>IF('حسابات'!$C$39="","",INDEX(Stu_Name,'حسابات'!$C$39))</f>
        <v/>
      </c>
      <c r="M63" s="36">
        <f>IF('حسابات'!$C$39="","",INDEX(Stu_Class,'حسابات'!$C$39))</f>
        <v/>
      </c>
      <c r="N63" s="60">
        <f>IF('حسابات'!$C$39="","",INDEX(Stu_Abs,'حسابات'!$C$39))</f>
        <v/>
      </c>
      <c r="O63" s="36">
        <f>IF('حسابات'!$C$39="","",INDEX(Stu_Phone,'حسابات'!$C$39))</f>
        <v/>
      </c>
      <c r="P63" s="38">
        <f>IF('حسابات'!$C$39="","",INDEX(Stu_Contacted,'حسابات'!$C$39))</f>
        <v/>
      </c>
    </row>
    <row r="64">
      <c r="A64" s="35">
        <f>IF('حسابات'!$A$40="","",IF(2&lt;3,"⭐ ","")&amp;INDEX(Stu_Name,'حسابات'!$A$40))</f>
        <v/>
      </c>
      <c r="B64" s="36">
        <f>IF('حسابات'!$A$40="","",INDEX(Stu_Class,'حسابات'!$A$40))</f>
        <v/>
      </c>
      <c r="C64" s="36">
        <f>IF('حسابات'!$A$40="","",INDEX(Stu_Pres,'حسابات'!$A$40))</f>
        <v/>
      </c>
      <c r="D64" s="57">
        <f>IF('حسابات'!$A$40="","",INDEX(Stu_Rate,'حسابات'!$A$40))</f>
        <v/>
      </c>
      <c r="E64" s="53">
        <f>IF('حسابات'!$A$40="","",INDEX(Stu_Cat,'حسابات'!$A$40))</f>
        <v/>
      </c>
      <c r="F64" s="35">
        <f>IF('حسابات'!$B$40="","",INDEX(Stu_Name,'حسابات'!$B$40))</f>
        <v/>
      </c>
      <c r="G64" s="36">
        <f>IF('حسابات'!$B$40="","",INDEX(Stu_Class,'حسابات'!$B$40))</f>
        <v/>
      </c>
      <c r="H64" s="58">
        <f>IF('حسابات'!$B$40="","",INDEX(Stu_Abs,'حسابات'!$B$40)+INDEX(Stu_Exc,'حسابات'!$B$40))</f>
        <v/>
      </c>
      <c r="I64" s="50">
        <f>IF('حسابات'!$B$40="","",INDEX(Stu_Rate,'حسابات'!$B$40))</f>
        <v/>
      </c>
      <c r="J64" s="59">
        <f>IF('حسابات'!$B$40="","",INDEX(Stu_Status,'حسابات'!$B$40))</f>
        <v/>
      </c>
      <c r="K64" s="38">
        <f>IF('حسابات'!$B$40="","",INDEX(Stu_Contacted,'حسابات'!$B$40))</f>
        <v/>
      </c>
      <c r="L64" s="45">
        <f>IF('حسابات'!$C$40="","",INDEX(Stu_Name,'حسابات'!$C$40))</f>
        <v/>
      </c>
      <c r="M64" s="36">
        <f>IF('حسابات'!$C$40="","",INDEX(Stu_Class,'حسابات'!$C$40))</f>
        <v/>
      </c>
      <c r="N64" s="60">
        <f>IF('حسابات'!$C$40="","",INDEX(Stu_Abs,'حسابات'!$C$40))</f>
        <v/>
      </c>
      <c r="O64" s="36">
        <f>IF('حسابات'!$C$40="","",INDEX(Stu_Phone,'حسابات'!$C$40))</f>
        <v/>
      </c>
      <c r="P64" s="38">
        <f>IF('حسابات'!$C$40="","",INDEX(Stu_Contacted,'حسابات'!$C$40))</f>
        <v/>
      </c>
    </row>
    <row r="65">
      <c r="A65" s="35">
        <f>IF('حسابات'!$A$41="","",IF(3&lt;3,"⭐ ","")&amp;INDEX(Stu_Name,'حسابات'!$A$41))</f>
        <v/>
      </c>
      <c r="B65" s="36">
        <f>IF('حسابات'!$A$41="","",INDEX(Stu_Class,'حسابات'!$A$41))</f>
        <v/>
      </c>
      <c r="C65" s="36">
        <f>IF('حسابات'!$A$41="","",INDEX(Stu_Pres,'حسابات'!$A$41))</f>
        <v/>
      </c>
      <c r="D65" s="57">
        <f>IF('حسابات'!$A$41="","",INDEX(Stu_Rate,'حسابات'!$A$41))</f>
        <v/>
      </c>
      <c r="E65" s="53">
        <f>IF('حسابات'!$A$41="","",INDEX(Stu_Cat,'حسابات'!$A$41))</f>
        <v/>
      </c>
      <c r="F65" s="35">
        <f>IF('حسابات'!$B$41="","",INDEX(Stu_Name,'حسابات'!$B$41))</f>
        <v/>
      </c>
      <c r="G65" s="36">
        <f>IF('حسابات'!$B$41="","",INDEX(Stu_Class,'حسابات'!$B$41))</f>
        <v/>
      </c>
      <c r="H65" s="58">
        <f>IF('حسابات'!$B$41="","",INDEX(Stu_Abs,'حسابات'!$B$41)+INDEX(Stu_Exc,'حسابات'!$B$41))</f>
        <v/>
      </c>
      <c r="I65" s="50">
        <f>IF('حسابات'!$B$41="","",INDEX(Stu_Rate,'حسابات'!$B$41))</f>
        <v/>
      </c>
      <c r="J65" s="59">
        <f>IF('حسابات'!$B$41="","",INDEX(Stu_Status,'حسابات'!$B$41))</f>
        <v/>
      </c>
      <c r="K65" s="38">
        <f>IF('حسابات'!$B$41="","",INDEX(Stu_Contacted,'حسابات'!$B$41))</f>
        <v/>
      </c>
      <c r="L65" s="45">
        <f>IF('حسابات'!$C$41="","",INDEX(Stu_Name,'حسابات'!$C$41))</f>
        <v/>
      </c>
      <c r="M65" s="36">
        <f>IF('حسابات'!$C$41="","",INDEX(Stu_Class,'حسابات'!$C$41))</f>
        <v/>
      </c>
      <c r="N65" s="60">
        <f>IF('حسابات'!$C$41="","",INDEX(Stu_Abs,'حسابات'!$C$41))</f>
        <v/>
      </c>
      <c r="O65" s="36">
        <f>IF('حسابات'!$C$41="","",INDEX(Stu_Phone,'حسابات'!$C$41))</f>
        <v/>
      </c>
      <c r="P65" s="38">
        <f>IF('حسابات'!$C$41="","",INDEX(Stu_Contacted,'حسابات'!$C$41))</f>
        <v/>
      </c>
    </row>
    <row r="66">
      <c r="A66" s="35">
        <f>IF('حسابات'!$A$42="","",IF(4&lt;3,"⭐ ","")&amp;INDEX(Stu_Name,'حسابات'!$A$42))</f>
        <v/>
      </c>
      <c r="B66" s="36">
        <f>IF('حسابات'!$A$42="","",INDEX(Stu_Class,'حسابات'!$A$42))</f>
        <v/>
      </c>
      <c r="C66" s="36">
        <f>IF('حسابات'!$A$42="","",INDEX(Stu_Pres,'حسابات'!$A$42))</f>
        <v/>
      </c>
      <c r="D66" s="57">
        <f>IF('حسابات'!$A$42="","",INDEX(Stu_Rate,'حسابات'!$A$42))</f>
        <v/>
      </c>
      <c r="E66" s="53">
        <f>IF('حسابات'!$A$42="","",INDEX(Stu_Cat,'حسابات'!$A$42))</f>
        <v/>
      </c>
      <c r="F66" s="35">
        <f>IF('حسابات'!$B$42="","",INDEX(Stu_Name,'حسابات'!$B$42))</f>
        <v/>
      </c>
      <c r="G66" s="36">
        <f>IF('حسابات'!$B$42="","",INDEX(Stu_Class,'حسابات'!$B$42))</f>
        <v/>
      </c>
      <c r="H66" s="58">
        <f>IF('حسابات'!$B$42="","",INDEX(Stu_Abs,'حسابات'!$B$42)+INDEX(Stu_Exc,'حسابات'!$B$42))</f>
        <v/>
      </c>
      <c r="I66" s="50">
        <f>IF('حسابات'!$B$42="","",INDEX(Stu_Rate,'حسابات'!$B$42))</f>
        <v/>
      </c>
      <c r="J66" s="59">
        <f>IF('حسابات'!$B$42="","",INDEX(Stu_Status,'حسابات'!$B$42))</f>
        <v/>
      </c>
      <c r="K66" s="38">
        <f>IF('حسابات'!$B$42="","",INDEX(Stu_Contacted,'حسابات'!$B$42))</f>
        <v/>
      </c>
      <c r="L66" s="45">
        <f>IF('حسابات'!$C$42="","",INDEX(Stu_Name,'حسابات'!$C$42))</f>
        <v/>
      </c>
      <c r="M66" s="36">
        <f>IF('حسابات'!$C$42="","",INDEX(Stu_Class,'حسابات'!$C$42))</f>
        <v/>
      </c>
      <c r="N66" s="60">
        <f>IF('حسابات'!$C$42="","",INDEX(Stu_Abs,'حسابات'!$C$42))</f>
        <v/>
      </c>
      <c r="O66" s="36">
        <f>IF('حسابات'!$C$42="","",INDEX(Stu_Phone,'حسابات'!$C$42))</f>
        <v/>
      </c>
      <c r="P66" s="38">
        <f>IF('حسابات'!$C$42="","",INDEX(Stu_Contacted,'حسابات'!$C$42))</f>
        <v/>
      </c>
    </row>
    <row r="67">
      <c r="A67" s="35">
        <f>IF('حسابات'!$A$43="","",IF(5&lt;3,"⭐ ","")&amp;INDEX(Stu_Name,'حسابات'!$A$43))</f>
        <v/>
      </c>
      <c r="B67" s="36">
        <f>IF('حسابات'!$A$43="","",INDEX(Stu_Class,'حسابات'!$A$43))</f>
        <v/>
      </c>
      <c r="C67" s="36">
        <f>IF('حسابات'!$A$43="","",INDEX(Stu_Pres,'حسابات'!$A$43))</f>
        <v/>
      </c>
      <c r="D67" s="57">
        <f>IF('حسابات'!$A$43="","",INDEX(Stu_Rate,'حسابات'!$A$43))</f>
        <v/>
      </c>
      <c r="E67" s="53">
        <f>IF('حسابات'!$A$43="","",INDEX(Stu_Cat,'حسابات'!$A$43))</f>
        <v/>
      </c>
      <c r="F67" s="35">
        <f>IF('حسابات'!$B$43="","",INDEX(Stu_Name,'حسابات'!$B$43))</f>
        <v/>
      </c>
      <c r="G67" s="36">
        <f>IF('حسابات'!$B$43="","",INDEX(Stu_Class,'حسابات'!$B$43))</f>
        <v/>
      </c>
      <c r="H67" s="58">
        <f>IF('حسابات'!$B$43="","",INDEX(Stu_Abs,'حسابات'!$B$43)+INDEX(Stu_Exc,'حسابات'!$B$43))</f>
        <v/>
      </c>
      <c r="I67" s="50">
        <f>IF('حسابات'!$B$43="","",INDEX(Stu_Rate,'حسابات'!$B$43))</f>
        <v/>
      </c>
      <c r="J67" s="59">
        <f>IF('حسابات'!$B$43="","",INDEX(Stu_Status,'حسابات'!$B$43))</f>
        <v/>
      </c>
      <c r="K67" s="38">
        <f>IF('حسابات'!$B$43="","",INDEX(Stu_Contacted,'حسابات'!$B$43))</f>
        <v/>
      </c>
      <c r="L67" s="45">
        <f>IF('حسابات'!$C$43="","",INDEX(Stu_Name,'حسابات'!$C$43))</f>
        <v/>
      </c>
      <c r="M67" s="36">
        <f>IF('حسابات'!$C$43="","",INDEX(Stu_Class,'حسابات'!$C$43))</f>
        <v/>
      </c>
      <c r="N67" s="60">
        <f>IF('حسابات'!$C$43="","",INDEX(Stu_Abs,'حسابات'!$C$43))</f>
        <v/>
      </c>
      <c r="O67" s="36">
        <f>IF('حسابات'!$C$43="","",INDEX(Stu_Phone,'حسابات'!$C$43))</f>
        <v/>
      </c>
      <c r="P67" s="38">
        <f>IF('حسابات'!$C$43="","",INDEX(Stu_Contacted,'حسابات'!$C$43))</f>
        <v/>
      </c>
    </row>
    <row r="68">
      <c r="A68" s="35">
        <f>IF('حسابات'!$A$44="","",IF(6&lt;3,"⭐ ","")&amp;INDEX(Stu_Name,'حسابات'!$A$44))</f>
        <v/>
      </c>
      <c r="B68" s="36">
        <f>IF('حسابات'!$A$44="","",INDEX(Stu_Class,'حسابات'!$A$44))</f>
        <v/>
      </c>
      <c r="C68" s="36">
        <f>IF('حسابات'!$A$44="","",INDEX(Stu_Pres,'حسابات'!$A$44))</f>
        <v/>
      </c>
      <c r="D68" s="57">
        <f>IF('حسابات'!$A$44="","",INDEX(Stu_Rate,'حسابات'!$A$44))</f>
        <v/>
      </c>
      <c r="E68" s="53">
        <f>IF('حسابات'!$A$44="","",INDEX(Stu_Cat,'حسابات'!$A$44))</f>
        <v/>
      </c>
      <c r="F68" s="35">
        <f>IF('حسابات'!$B$44="","",INDEX(Stu_Name,'حسابات'!$B$44))</f>
        <v/>
      </c>
      <c r="G68" s="36">
        <f>IF('حسابات'!$B$44="","",INDEX(Stu_Class,'حسابات'!$B$44))</f>
        <v/>
      </c>
      <c r="H68" s="58">
        <f>IF('حسابات'!$B$44="","",INDEX(Stu_Abs,'حسابات'!$B$44)+INDEX(Stu_Exc,'حسابات'!$B$44))</f>
        <v/>
      </c>
      <c r="I68" s="50">
        <f>IF('حسابات'!$B$44="","",INDEX(Stu_Rate,'حسابات'!$B$44))</f>
        <v/>
      </c>
      <c r="J68" s="59">
        <f>IF('حسابات'!$B$44="","",INDEX(Stu_Status,'حسابات'!$B$44))</f>
        <v/>
      </c>
      <c r="K68" s="38">
        <f>IF('حسابات'!$B$44="","",INDEX(Stu_Contacted,'حسابات'!$B$44))</f>
        <v/>
      </c>
      <c r="L68" s="45">
        <f>IF('حسابات'!$C$44="","",INDEX(Stu_Name,'حسابات'!$C$44))</f>
        <v/>
      </c>
      <c r="M68" s="36">
        <f>IF('حسابات'!$C$44="","",INDEX(Stu_Class,'حسابات'!$C$44))</f>
        <v/>
      </c>
      <c r="N68" s="60">
        <f>IF('حسابات'!$C$44="","",INDEX(Stu_Abs,'حسابات'!$C$44))</f>
        <v/>
      </c>
      <c r="O68" s="36">
        <f>IF('حسابات'!$C$44="","",INDEX(Stu_Phone,'حسابات'!$C$44))</f>
        <v/>
      </c>
      <c r="P68" s="38">
        <f>IF('حسابات'!$C$44="","",INDEX(Stu_Contacted,'حسابات'!$C$44))</f>
        <v/>
      </c>
    </row>
    <row r="69">
      <c r="A69" s="35">
        <f>IF('حسابات'!$A$45="","",IF(7&lt;3,"⭐ ","")&amp;INDEX(Stu_Name,'حسابات'!$A$45))</f>
        <v/>
      </c>
      <c r="B69" s="36">
        <f>IF('حسابات'!$A$45="","",INDEX(Stu_Class,'حسابات'!$A$45))</f>
        <v/>
      </c>
      <c r="C69" s="36">
        <f>IF('حسابات'!$A$45="","",INDEX(Stu_Pres,'حسابات'!$A$45))</f>
        <v/>
      </c>
      <c r="D69" s="57">
        <f>IF('حسابات'!$A$45="","",INDEX(Stu_Rate,'حسابات'!$A$45))</f>
        <v/>
      </c>
      <c r="E69" s="53">
        <f>IF('حسابات'!$A$45="","",INDEX(Stu_Cat,'حسابات'!$A$45))</f>
        <v/>
      </c>
      <c r="F69" s="35">
        <f>IF('حسابات'!$B$45="","",INDEX(Stu_Name,'حسابات'!$B$45))</f>
        <v/>
      </c>
      <c r="G69" s="36">
        <f>IF('حسابات'!$B$45="","",INDEX(Stu_Class,'حسابات'!$B$45))</f>
        <v/>
      </c>
      <c r="H69" s="58">
        <f>IF('حسابات'!$B$45="","",INDEX(Stu_Abs,'حسابات'!$B$45)+INDEX(Stu_Exc,'حسابات'!$B$45))</f>
        <v/>
      </c>
      <c r="I69" s="50">
        <f>IF('حسابات'!$B$45="","",INDEX(Stu_Rate,'حسابات'!$B$45))</f>
        <v/>
      </c>
      <c r="J69" s="59">
        <f>IF('حسابات'!$B$45="","",INDEX(Stu_Status,'حسابات'!$B$45))</f>
        <v/>
      </c>
      <c r="K69" s="38">
        <f>IF('حسابات'!$B$45="","",INDEX(Stu_Contacted,'حسابات'!$B$45))</f>
        <v/>
      </c>
      <c r="L69" s="45">
        <f>IF('حسابات'!$C$45="","",INDEX(Stu_Name,'حسابات'!$C$45))</f>
        <v/>
      </c>
      <c r="M69" s="36">
        <f>IF('حسابات'!$C$45="","",INDEX(Stu_Class,'حسابات'!$C$45))</f>
        <v/>
      </c>
      <c r="N69" s="60">
        <f>IF('حسابات'!$C$45="","",INDEX(Stu_Abs,'حسابات'!$C$45))</f>
        <v/>
      </c>
      <c r="O69" s="36">
        <f>IF('حسابات'!$C$45="","",INDEX(Stu_Phone,'حسابات'!$C$45))</f>
        <v/>
      </c>
      <c r="P69" s="38">
        <f>IF('حسابات'!$C$45="","",INDEX(Stu_Contacted,'حسابات'!$C$45))</f>
        <v/>
      </c>
    </row>
    <row r="70">
      <c r="A70" s="35">
        <f>IF('حسابات'!$A$46="","",IF(8&lt;3,"⭐ ","")&amp;INDEX(Stu_Name,'حسابات'!$A$46))</f>
        <v/>
      </c>
      <c r="B70" s="36">
        <f>IF('حسابات'!$A$46="","",INDEX(Stu_Class,'حسابات'!$A$46))</f>
        <v/>
      </c>
      <c r="C70" s="36">
        <f>IF('حسابات'!$A$46="","",INDEX(Stu_Pres,'حسابات'!$A$46))</f>
        <v/>
      </c>
      <c r="D70" s="57">
        <f>IF('حسابات'!$A$46="","",INDEX(Stu_Rate,'حسابات'!$A$46))</f>
        <v/>
      </c>
      <c r="E70" s="53">
        <f>IF('حسابات'!$A$46="","",INDEX(Stu_Cat,'حسابات'!$A$46))</f>
        <v/>
      </c>
      <c r="F70" s="35">
        <f>IF('حسابات'!$B$46="","",INDEX(Stu_Name,'حسابات'!$B$46))</f>
        <v/>
      </c>
      <c r="G70" s="36">
        <f>IF('حسابات'!$B$46="","",INDEX(Stu_Class,'حسابات'!$B$46))</f>
        <v/>
      </c>
      <c r="H70" s="58">
        <f>IF('حسابات'!$B$46="","",INDEX(Stu_Abs,'حسابات'!$B$46)+INDEX(Stu_Exc,'حسابات'!$B$46))</f>
        <v/>
      </c>
      <c r="I70" s="50">
        <f>IF('حسابات'!$B$46="","",INDEX(Stu_Rate,'حسابات'!$B$46))</f>
        <v/>
      </c>
      <c r="J70" s="59">
        <f>IF('حسابات'!$B$46="","",INDEX(Stu_Status,'حسابات'!$B$46))</f>
        <v/>
      </c>
      <c r="K70" s="38">
        <f>IF('حسابات'!$B$46="","",INDEX(Stu_Contacted,'حسابات'!$B$46))</f>
        <v/>
      </c>
      <c r="L70" s="45">
        <f>IF('حسابات'!$C$46="","",INDEX(Stu_Name,'حسابات'!$C$46))</f>
        <v/>
      </c>
      <c r="M70" s="36">
        <f>IF('حسابات'!$C$46="","",INDEX(Stu_Class,'حسابات'!$C$46))</f>
        <v/>
      </c>
      <c r="N70" s="60">
        <f>IF('حسابات'!$C$46="","",INDEX(Stu_Abs,'حسابات'!$C$46))</f>
        <v/>
      </c>
      <c r="O70" s="36">
        <f>IF('حسابات'!$C$46="","",INDEX(Stu_Phone,'حسابات'!$C$46))</f>
        <v/>
      </c>
      <c r="P70" s="38">
        <f>IF('حسابات'!$C$46="","",INDEX(Stu_Contacted,'حسابات'!$C$46))</f>
        <v/>
      </c>
    </row>
    <row r="71">
      <c r="A71" s="35">
        <f>IF('حسابات'!$A$47="","",IF(9&lt;3,"⭐ ","")&amp;INDEX(Stu_Name,'حسابات'!$A$47))</f>
        <v/>
      </c>
      <c r="B71" s="36">
        <f>IF('حسابات'!$A$47="","",INDEX(Stu_Class,'حسابات'!$A$47))</f>
        <v/>
      </c>
      <c r="C71" s="36">
        <f>IF('حسابات'!$A$47="","",INDEX(Stu_Pres,'حسابات'!$A$47))</f>
        <v/>
      </c>
      <c r="D71" s="57">
        <f>IF('حسابات'!$A$47="","",INDEX(Stu_Rate,'حسابات'!$A$47))</f>
        <v/>
      </c>
      <c r="E71" s="53">
        <f>IF('حسابات'!$A$47="","",INDEX(Stu_Cat,'حسابات'!$A$47))</f>
        <v/>
      </c>
      <c r="F71" s="35">
        <f>IF('حسابات'!$B$47="","",INDEX(Stu_Name,'حسابات'!$B$47))</f>
        <v/>
      </c>
      <c r="G71" s="36">
        <f>IF('حسابات'!$B$47="","",INDEX(Stu_Class,'حسابات'!$B$47))</f>
        <v/>
      </c>
      <c r="H71" s="58">
        <f>IF('حسابات'!$B$47="","",INDEX(Stu_Abs,'حسابات'!$B$47)+INDEX(Stu_Exc,'حسابات'!$B$47))</f>
        <v/>
      </c>
      <c r="I71" s="50">
        <f>IF('حسابات'!$B$47="","",INDEX(Stu_Rate,'حسابات'!$B$47))</f>
        <v/>
      </c>
      <c r="J71" s="59">
        <f>IF('حسابات'!$B$47="","",INDEX(Stu_Status,'حسابات'!$B$47))</f>
        <v/>
      </c>
      <c r="K71" s="38">
        <f>IF('حسابات'!$B$47="","",INDEX(Stu_Contacted,'حسابات'!$B$47))</f>
        <v/>
      </c>
      <c r="L71" s="45">
        <f>IF('حسابات'!$C$47="","",INDEX(Stu_Name,'حسابات'!$C$47))</f>
        <v/>
      </c>
      <c r="M71" s="36">
        <f>IF('حسابات'!$C$47="","",INDEX(Stu_Class,'حسابات'!$C$47))</f>
        <v/>
      </c>
      <c r="N71" s="60">
        <f>IF('حسابات'!$C$47="","",INDEX(Stu_Abs,'حسابات'!$C$47))</f>
        <v/>
      </c>
      <c r="O71" s="36">
        <f>IF('حسابات'!$C$47="","",INDEX(Stu_Phone,'حسابات'!$C$47))</f>
        <v/>
      </c>
      <c r="P71" s="38">
        <f>IF('حسابات'!$C$47="","",INDEX(Stu_Contacted,'حسابات'!$C$47))</f>
        <v/>
      </c>
    </row>
    <row r="72">
      <c r="L72" s="47">
        <f>IF(COUNT(Stu_KeyCrit)=0,"لا توجد حالات حرجة ✓","")</f>
        <v/>
      </c>
    </row>
    <row r="74">
      <c r="A74" s="4" t="inlineStr">
        <is>
          <t>انتقال سريع:</t>
        </is>
      </c>
      <c r="B74" s="61">
        <f>HYPERLINK("#'الحضور اليومي'!A1","الحضور اليومي ⬅")</f>
        <v/>
      </c>
      <c r="D74" s="61">
        <f>HYPERLINK("#'قائمة المتابعة'!A1","قائمة المتابعة ⬅")</f>
        <v/>
      </c>
      <c r="F74" s="61">
        <f>HYPERLINK("#'سجل الغياب'!A1","سجل الغياب ⬅")</f>
        <v/>
      </c>
      <c r="H74" s="61">
        <f>HYPERLINK("#'سجل التواصل'!A1","سجل التواصل ⬅")</f>
        <v/>
      </c>
      <c r="J74" s="61">
        <f>HYPERLINK("#'ملف الطفل'!A1","ملف الطفل ⬅")</f>
        <v/>
      </c>
      <c r="L74" s="61">
        <f>HYPERLINK("#'الاتجاهات'!A1","الاتجاهات ⬅")</f>
        <v/>
      </c>
      <c r="N74" s="61">
        <f>HYPERLINK("#'التقرير'!A1","🖨 طباعة تقرير يومي/أسبوعي/شهري ⬅")</f>
        <v/>
      </c>
      <c r="P74" s="61">
        <f>HYPERLINK("#'الدليل'!A1","الدليل ⬅")</f>
        <v/>
      </c>
    </row>
    <row r="76">
      <c r="A76" s="62" t="inlineStr">
        <is>
          <t>يعتمد،</t>
        </is>
      </c>
      <c r="O76" s="63" t="inlineStr">
        <is>
          <t>مديرة المدرسة:</t>
        </is>
      </c>
    </row>
    <row r="77">
      <c r="A77" s="64" t="inlineStr">
        <is>
          <t>نعيمة الكتبي</t>
        </is>
      </c>
      <c r="O77" s="65" t="inlineStr">
        <is>
          <t>منى الغيثي</t>
        </is>
      </c>
    </row>
    <row r="78">
      <c r="A78" s="66">
        <f>"التاريخ: "&amp;TEXT(TODAY(),"dd/mm/yyyy")</f>
        <v/>
      </c>
      <c r="O78" s="67"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conditionalFormatting sqref="O7:P9">
    <cfRule type="expression" priority="1" dxfId="0">
      <formula>$O$8&gt;0</formula>
    </cfRule>
  </conditionalFormatting>
  <conditionalFormatting sqref="M7:N9">
    <cfRule type="expression" priority="2" dxfId="1">
      <formula>$M$8&gt;0</formula>
    </cfRule>
  </conditionalFormatting>
  <conditionalFormatting sqref="A18:G27">
    <cfRule type="expression" priority="3" dxfId="0">
      <formula>AND($A18&lt;&gt;"",$H18&gt;=Thr_Critical)</formula>
    </cfRule>
    <cfRule type="expression" priority="4" dxfId="1">
      <formula>AND($A18&lt;&gt;"",$H18=Thr_High)</formula>
    </cfRule>
  </conditionalFormatting>
  <conditionalFormatting sqref="F18:F27">
    <cfRule type="expression" priority="5" dxfId="2">
      <formula>$F18="لا"</formula>
    </cfRule>
    <cfRule type="expression" priority="6" dxfId="3">
      <formula>$F18="نعم"</formula>
    </cfRule>
  </conditionalFormatting>
  <conditionalFormatting sqref="B38">
    <cfRule type="expression" priority="7" dxfId="4">
      <formula>Cls_Confirmed&lt;Cls_Active</formula>
    </cfRule>
  </conditionalFormatting>
  <conditionalFormatting sqref="M31:M37">
    <cfRule type="expression" priority="8" dxfId="5">
      <formula>AND($M31&lt;&gt;"",$M31&gt;0)</formula>
    </cfRule>
  </conditionalFormatting>
  <conditionalFormatting sqref="L31:L37">
    <cfRule type="expression" priority="9" dxfId="6">
      <formula>AND($L31&lt;&gt;"",$L31&gt;0)</formula>
    </cfRule>
  </conditionalFormatting>
  <conditionalFormatting sqref="J31:J37">
    <cfRule type="expression" priority="10" dxfId="7">
      <formula>AND($J31&lt;&gt;"",$J31&lt;Cat_90)</formula>
    </cfRule>
  </conditionalFormatting>
  <conditionalFormatting sqref="K62:K71">
    <cfRule type="expression" priority="11" dxfId="2">
      <formula>K62="لا"</formula>
    </cfRule>
    <cfRule type="expression" priority="12" dxfId="3">
      <formula>K62="نعم"</formula>
    </cfRule>
  </conditionalFormatting>
  <conditionalFormatting sqref="P62:P71">
    <cfRule type="expression" priority="13" dxfId="2">
      <formula>P62="لا"</formula>
    </cfRule>
    <cfRule type="expression" priority="14" dxfId="3">
      <formula>P62="نعم"</formula>
    </cfRule>
  </conditionalFormatting>
  <conditionalFormatting sqref="J62:J71">
    <cfRule type="expression" priority="15" dxfId="8">
      <formula>ISNUMBER(SEARCH("حرجة",$J62))</formula>
    </cfRule>
    <cfRule type="expression" priority="16" dxfId="5">
      <formula>ISNUMBER(SEARCH("مرتفع",$J62))</formula>
    </cfRule>
    <cfRule type="expression" priority="17" dxfId="2">
      <formula>ISNUMBER(SEARCH("متكرر",$J62))</formula>
    </cfRule>
    <cfRule type="expression" priority="18" dxfId="6">
      <formula>ISNUMBER(SEARCH("متابعة",$J62))</formula>
    </cfRule>
  </conditionalFormatting>
  <conditionalFormatting sqref="L62:P71">
    <cfRule type="expression" priority="19" dxfId="9">
      <formula>$L62&lt;&gt;""</formula>
    </cfRule>
  </conditionalFormatting>
  <dataValidations count="3">
    <dataValidation sqref="E5" showDropDown="0" showInputMessage="1" showErrorMessage="1" allowBlank="0" errorTitle="قيمة غير صحيحة" error="اختاري صفًا أو «الكل»" type="list">
      <formula1>'الإعدادات'!$G$42:$G$49</formula1>
    </dataValidation>
    <dataValidation sqref="I5" showDropDown="0" showInputMessage="1" showErrorMessage="1" allowBlank="0" type="list">
      <formula1>'الإعدادات'!$G$5:$G$9</formula1>
    </dataValidation>
    <dataValidation sqref="B5" showDropDown="0" showInputMessage="1" showErrorMessage="1" allowBlank="1" errorTitle="تاريخ غير صحيح" error="اختاري يوم دوام من القائمة أو اتركي الخلية فارغة" promptTitle="التاريخ" prompt="اختاري أي تاريخ سابق لعرض بياناته؛ فارغ = آخر يوم مسجَّل" type="list">
      <formula1>'التقويم'!$A$5:$A$222</formula1>
    </dataValidation>
  </dataValidations>
  <pageMargins left="0.75" right="0.75" top="1" bottom="1"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tabColor rgb="002A7F8E"/>
    <outlinePr summaryBelow="1" summaryRight="1"/>
    <pageSetUpPr/>
  </sheetPr>
  <dimension ref="A1:J52"/>
  <sheetViews>
    <sheetView showGridLines="0" rightToLeft="1" zoomScale="100" workbookViewId="0">
      <pane ySplit="11" topLeftCell="A12" activePane="bottomLeft" state="frozen"/>
      <selection pane="bottomLeft" activeCell="A1" sqref="A1"/>
    </sheetView>
  </sheetViews>
  <sheetFormatPr baseColWidth="8" defaultRowHeight="15"/>
  <cols>
    <col width="6" customWidth="1" min="1" max="1"/>
    <col width="13" customWidth="1" min="2" max="2"/>
    <col width="24" customWidth="1" min="3" max="3"/>
    <col width="13" customWidth="1" min="4" max="4"/>
    <col width="8" customWidth="1" min="5" max="5"/>
    <col width="12" customWidth="1" min="6" max="6"/>
    <col width="16" customWidth="1" min="7" max="7"/>
    <col width="16" customWidth="1" min="8" max="8"/>
    <col width="12" customWidth="1" min="9" max="9"/>
    <col width="12" customWidth="1" min="10" max="10"/>
  </cols>
  <sheetData>
    <row r="1" ht="30" customHeight="1">
      <c r="A1" s="68" t="inlineStr">
        <is>
          <t>الحضور اليومي</t>
        </is>
      </c>
    </row>
    <row r="2">
      <c r="A2" s="69" t="inlineStr">
        <is>
          <t>اختاري أي تاريخ (سابق أو حالي) والصف: تظهر حالة التسجيل، ويأخذك الرابط مباشرة إلى عمود ذلك التاريخ في ورقة الصف لإدخال الحضور — يصلح للإدخال بأثر رجعي.</t>
        </is>
      </c>
    </row>
    <row r="3">
      <c r="A3" s="32" t="inlineStr">
        <is>
          <t>Daily Attendance – review &amp; navigation</t>
        </is>
      </c>
    </row>
    <row r="4">
      <c r="A4" s="62" t="inlineStr">
        <is>
          <t>التاريخ</t>
        </is>
      </c>
      <c r="B4" s="5" t="n"/>
      <c r="C4" s="46" t="inlineStr">
        <is>
          <t>(فارغ = آخر يوم مسجَّل)</t>
        </is>
      </c>
      <c r="D4" s="62" t="inlineStr">
        <is>
          <t>الصف</t>
        </is>
      </c>
      <c r="E4" s="6" t="inlineStr">
        <is>
          <t>KG1-1</t>
        </is>
      </c>
      <c r="G4" s="4" t="inlineStr">
        <is>
          <t>التاريخ الفعّال:</t>
        </is>
      </c>
      <c r="H4" s="70">
        <f>IF(Daily_DateInput="",LastRecorded,Daily_DateInput)</f>
        <v/>
      </c>
      <c r="I4" s="40">
        <f>IFERROR(MATCH(Daily_Date,Cal_Date,0),0)</f>
        <v/>
      </c>
      <c r="J4" s="40">
        <f>IFERROR(MATCH(Daily_Class,ClassList,0),0)</f>
        <v/>
      </c>
    </row>
    <row r="5" ht="22" customHeight="1">
      <c r="B5" s="71">
        <f>IF(Daily_DayIdx=0,"⚠ التاريخ ليس يومًا دراسيًا في التقويم",HYPERLINK("#'"&amp;Daily_Class&amp;"'!"&amp;ADDRESS(9,29+Daily_DayIdx),"⬅ فتح عمود هذا اليوم في سجل الصف "&amp;Daily_Class&amp;" للتسجيل"))</f>
        <v/>
      </c>
    </row>
    <row r="7">
      <c r="B7" s="72" t="inlineStr">
        <is>
          <t>اليوم</t>
        </is>
      </c>
      <c r="C7" s="72" t="inlineStr">
        <is>
          <t>يوم دراسي؟</t>
        </is>
      </c>
      <c r="D7" s="72" t="inlineStr">
        <is>
          <t>ضمن الحصر؟</t>
        </is>
      </c>
      <c r="E7" s="72" t="inlineStr">
        <is>
          <t>المسجَّلون</t>
        </is>
      </c>
      <c r="F7" s="72" t="inlineStr">
        <is>
          <t>حاضر</t>
        </is>
      </c>
      <c r="G7" s="72" t="inlineStr">
        <is>
          <t>غياب بدون عذر</t>
        </is>
      </c>
      <c r="H7" s="72" t="inlineStr">
        <is>
          <t>غياب بعذر</t>
        </is>
      </c>
      <c r="I7" s="72" t="inlineStr">
        <is>
          <t>متأخر</t>
        </is>
      </c>
      <c r="J7" s="72" t="inlineStr">
        <is>
          <t>نسبة الحضور</t>
        </is>
      </c>
    </row>
    <row r="8" ht="30" customHeight="1">
      <c r="B8" s="73">
        <f>IF(Daily_DayIdx=0,"—",INDEX(Cal_Day,Daily_DayIdx))</f>
        <v/>
      </c>
      <c r="C8" s="73">
        <f>IF(Daily_DayIdx=0,"—",IF(INDEX(Cal_School,Daily_DayIdx)=1,"نعم","عطلة"))</f>
        <v/>
      </c>
      <c r="D8" s="73">
        <f>IF(OR(Daily_DayIdx=0,Daily_ClsIdx=0),"—",IF(CHOOSE(Daily_ClsIdx,INDEX('KG1-1'!$AD$7:$IM$7,Daily_DayIdx),INDEX('KG1-2'!$AD$7:$IM$7,Daily_DayIdx),INDEX('KG1-3'!$AD$7:$IM$7,Daily_DayIdx),INDEX('KG1-4'!$AD$7:$IM$7,Daily_DayIdx),INDEX('KG1-5'!$AD$7:$IM$7,Daily_DayIdx),INDEX('KG1-6'!$AD$7:$IM$7,Daily_DayIdx),INDEX('KG1-7'!$AD$7:$IM$7,Daily_DayIdx))="✓","✓ محصور","غير محصور"))</f>
        <v/>
      </c>
      <c r="E8" s="73">
        <f>IF(OR(Daily_DayIdx=0,Daily_ClsIdx=0),0,CHOOSE(Daily_ClsIdx,INDEX('KG1-1'!$AD$44:$IM$44,Daily_DayIdx),INDEX('KG1-2'!$AD$44:$IM$44,Daily_DayIdx),INDEX('KG1-3'!$AD$44:$IM$44,Daily_DayIdx),INDEX('KG1-4'!$AD$44:$IM$44,Daily_DayIdx),INDEX('KG1-5'!$AD$44:$IM$44,Daily_DayIdx),INDEX('KG1-6'!$AD$44:$IM$44,Daily_DayIdx),INDEX('KG1-7'!$AD$44:$IM$44,Daily_DayIdx)))</f>
        <v/>
      </c>
      <c r="F8" s="73">
        <f>IF(OR(Daily_DayIdx=0,Daily_ClsIdx=0),0,CHOOSE(Daily_ClsIdx,INDEX('KG1-1'!$AD$43:$IM$43,Daily_DayIdx),INDEX('KG1-2'!$AD$43:$IM$43,Daily_DayIdx),INDEX('KG1-3'!$AD$43:$IM$43,Daily_DayIdx),INDEX('KG1-4'!$AD$43:$IM$43,Daily_DayIdx),INDEX('KG1-5'!$AD$43:$IM$43,Daily_DayIdx),INDEX('KG1-6'!$AD$43:$IM$43,Daily_DayIdx),INDEX('KG1-7'!$AD$43:$IM$43,Daily_DayIdx)))</f>
        <v/>
      </c>
      <c r="G8" s="73">
        <f>IF(OR(Daily_DayIdx=0,Daily_ClsIdx=0),0,CHOOSE(Daily_ClsIdx,INDEX('KG1-1'!$AD$40:$IM$40,Daily_DayIdx),INDEX('KG1-2'!$AD$40:$IM$40,Daily_DayIdx),INDEX('KG1-3'!$AD$40:$IM$40,Daily_DayIdx),INDEX('KG1-4'!$AD$40:$IM$40,Daily_DayIdx),INDEX('KG1-5'!$AD$40:$IM$40,Daily_DayIdx),INDEX('KG1-6'!$AD$40:$IM$40,Daily_DayIdx),INDEX('KG1-7'!$AD$40:$IM$40,Daily_DayIdx)))</f>
        <v/>
      </c>
      <c r="H8" s="73">
        <f>IF(OR(Daily_DayIdx=0,Daily_ClsIdx=0),0,CHOOSE(Daily_ClsIdx,INDEX('KG1-1'!$AD$41:$IM$41,Daily_DayIdx),INDEX('KG1-2'!$AD$41:$IM$41,Daily_DayIdx),INDEX('KG1-3'!$AD$41:$IM$41,Daily_DayIdx),INDEX('KG1-4'!$AD$41:$IM$41,Daily_DayIdx),INDEX('KG1-5'!$AD$41:$IM$41,Daily_DayIdx),INDEX('KG1-6'!$AD$41:$IM$41,Daily_DayIdx),INDEX('KG1-7'!$AD$41:$IM$41,Daily_DayIdx)))</f>
        <v/>
      </c>
      <c r="I8" s="73">
        <f>IF(OR(Daily_DayIdx=0,Daily_ClsIdx=0),0,CHOOSE(Daily_ClsIdx,INDEX('KG1-1'!$AD$42:$IM$42,Daily_DayIdx),INDEX('KG1-2'!$AD$42:$IM$42,Daily_DayIdx),INDEX('KG1-3'!$AD$42:$IM$42,Daily_DayIdx),INDEX('KG1-4'!$AD$42:$IM$42,Daily_DayIdx),INDEX('KG1-5'!$AD$42:$IM$42,Daily_DayIdx),INDEX('KG1-6'!$AD$42:$IM$42,Daily_DayIdx),INDEX('KG1-7'!$AD$42:$IM$42,Daily_DayIdx)))</f>
        <v/>
      </c>
      <c r="J8" s="74">
        <f>IF(OR(Daily_DayIdx=0,Daily_ClsIdx=0),"—",IF(CHOOSE(Daily_ClsIdx,INDEX('KG1-1'!$AD$45:$IM$45,Daily_DayIdx),INDEX('KG1-2'!$AD$45:$IM$45,Daily_DayIdx),INDEX('KG1-3'!$AD$45:$IM$45,Daily_DayIdx),INDEX('KG1-4'!$AD$45:$IM$45,Daily_DayIdx),INDEX('KG1-5'!$AD$45:$IM$45,Daily_DayIdx),INDEX('KG1-6'!$AD$45:$IM$45,Daily_DayIdx),INDEX('KG1-7'!$AD$45:$IM$45,Daily_DayIdx))="","—",CHOOSE(Daily_ClsIdx,INDEX('KG1-1'!$AD$45:$IM$45,Daily_DayIdx),INDEX('KG1-2'!$AD$45:$IM$45,Daily_DayIdx),INDEX('KG1-3'!$AD$45:$IM$45,Daily_DayIdx),INDEX('KG1-4'!$AD$45:$IM$45,Daily_DayIdx),INDEX('KG1-5'!$AD$45:$IM$45,Daily_DayIdx),INDEX('KG1-6'!$AD$45:$IM$45,Daily_DayIdx),INDEX('KG1-7'!$AD$45:$IM$45,Daily_DayIdx))))</f>
        <v/>
      </c>
    </row>
    <row r="10">
      <c r="A10" s="21" t="inlineStr">
        <is>
          <t>قائمة أطفال الصف وحالتهم في هذا اليوم</t>
        </is>
      </c>
      <c r="B10" s="22" t="n"/>
      <c r="C10" s="22" t="n"/>
      <c r="D10" s="22" t="n"/>
      <c r="E10" s="22" t="n"/>
      <c r="F10" s="22" t="n"/>
      <c r="G10" s="22" t="n"/>
      <c r="H10" s="22" t="n"/>
    </row>
    <row r="11" ht="28" customHeight="1">
      <c r="A11" s="33" t="inlineStr">
        <is>
          <t>م</t>
        </is>
      </c>
      <c r="B11" s="33" t="inlineStr">
        <is>
          <t>الرقم الطلابي</t>
        </is>
      </c>
      <c r="C11" s="33" t="inlineStr">
        <is>
          <t>اسم الطفل</t>
        </is>
      </c>
      <c r="D11" s="33" t="inlineStr">
        <is>
          <t>الحالة اليوم</t>
        </is>
      </c>
      <c r="E11" s="33" t="inlineStr">
        <is>
          <t>الرمز</t>
        </is>
      </c>
      <c r="F11" s="33" t="inlineStr">
        <is>
          <t>إجمالي الغياب</t>
        </is>
      </c>
      <c r="G11" s="33" t="inlineStr">
        <is>
          <t>حالة المتابعة</t>
        </is>
      </c>
      <c r="H11" s="33" t="inlineStr">
        <is>
          <t>التواصل مع ولي الأمر</t>
        </is>
      </c>
    </row>
    <row r="12">
      <c r="A12" s="36">
        <f>IF(B12="","",1)</f>
        <v/>
      </c>
      <c r="B12" s="36">
        <f>IF(Daily_ClsIdx=0,"",INDEX(Stu_ID,((Daily_ClsIdx-1)*30+1)))</f>
        <v/>
      </c>
      <c r="C12" s="35">
        <f>IF(B12="","",INDEX(Stu_Name,((Daily_ClsIdx-1)*30+1)))</f>
        <v/>
      </c>
      <c r="D12" s="38">
        <f>IF(B12="","",IF(INDEX(Stu_StStatus,((Daily_ClsIdx-1)*30+1))&lt;&gt;"نشط","غير نشط",IF(Daily_DayIdx=0,"—",IF(E12="","غير محصور",INDEX(StatusLabels,MATCH(E12,StatusCodes,0))))))</f>
        <v/>
      </c>
      <c r="E12" s="36">
        <f>IF(OR(B12="",Daily_DayIdx=0),"",IF(INDEX(CHOOSE(Daily_ClsIdx,'KG1-1'!$AD$7:$IM$7,'KG1-2'!$AD$7:$IM$7,'KG1-3'!$AD$7:$IM$7,'KG1-4'!$AD$7:$IM$7,'KG1-5'!$AD$7:$IM$7,'KG1-6'!$AD$7:$IM$7,'KG1-7'!$AD$7:$IM$7),Daily_DayIdx)&lt;&gt;"✓","",IF(INDEX(CHOOSE(Daily_ClsIdx,'KG1-1'!$AD$9:$IM$38,'KG1-2'!$AD$9:$IM$38,'KG1-3'!$AD$9:$IM$38,'KG1-4'!$AD$9:$IM$38,'KG1-5'!$AD$9:$IM$38,'KG1-6'!$AD$9:$IM$38,'KG1-7'!$AD$9:$IM$38),1,Daily_DayIdx)="","P",IFERROR(INDEX(StatusCodes,MATCH(INDEX(CHOOSE(Daily_ClsIdx,'KG1-1'!$AD$9:$IM$38,'KG1-2'!$AD$9:$IM$38,'KG1-3'!$AD$9:$IM$38,'KG1-4'!$AD$9:$IM$38,'KG1-5'!$AD$9:$IM$38,'KG1-6'!$AD$9:$IM$38,'KG1-7'!$AD$9:$IM$38),1,Daily_DayIdx),StatusLabels,0)),""))))</f>
        <v/>
      </c>
      <c r="F12" s="36">
        <f>IF(B12="","",INDEX(Stu_Abs,((Daily_ClsIdx-1)*30+1)))</f>
        <v/>
      </c>
      <c r="G12" s="36">
        <f>IF(B12="","",INDEX(Stu_Status,((Daily_ClsIdx-1)*30+1)))</f>
        <v/>
      </c>
      <c r="H12" s="36">
        <f>IF(B12="","",INDEX(Stu_ContactReq,((Daily_ClsIdx-1)*30+1)))</f>
        <v/>
      </c>
    </row>
    <row r="13">
      <c r="A13" s="36">
        <f>IF(B13="","",2)</f>
        <v/>
      </c>
      <c r="B13" s="36">
        <f>IF(Daily_ClsIdx=0,"",INDEX(Stu_ID,((Daily_ClsIdx-1)*30+2)))</f>
        <v/>
      </c>
      <c r="C13" s="35">
        <f>IF(B13="","",INDEX(Stu_Name,((Daily_ClsIdx-1)*30+2)))</f>
        <v/>
      </c>
      <c r="D13" s="38">
        <f>IF(B13="","",IF(INDEX(Stu_StStatus,((Daily_ClsIdx-1)*30+2))&lt;&gt;"نشط","غير نشط",IF(Daily_DayIdx=0,"—",IF(E13="","غير محصور",INDEX(StatusLabels,MATCH(E13,StatusCodes,0))))))</f>
        <v/>
      </c>
      <c r="E13" s="36">
        <f>IF(OR(B13="",Daily_DayIdx=0),"",IF(INDEX(CHOOSE(Daily_ClsIdx,'KG1-1'!$AD$7:$IM$7,'KG1-2'!$AD$7:$IM$7,'KG1-3'!$AD$7:$IM$7,'KG1-4'!$AD$7:$IM$7,'KG1-5'!$AD$7:$IM$7,'KG1-6'!$AD$7:$IM$7,'KG1-7'!$AD$7:$IM$7),Daily_DayIdx)&lt;&gt;"✓","",IF(INDEX(CHOOSE(Daily_ClsIdx,'KG1-1'!$AD$9:$IM$38,'KG1-2'!$AD$9:$IM$38,'KG1-3'!$AD$9:$IM$38,'KG1-4'!$AD$9:$IM$38,'KG1-5'!$AD$9:$IM$38,'KG1-6'!$AD$9:$IM$38,'KG1-7'!$AD$9:$IM$38),2,Daily_DayIdx)="","P",IFERROR(INDEX(StatusCodes,MATCH(INDEX(CHOOSE(Daily_ClsIdx,'KG1-1'!$AD$9:$IM$38,'KG1-2'!$AD$9:$IM$38,'KG1-3'!$AD$9:$IM$38,'KG1-4'!$AD$9:$IM$38,'KG1-5'!$AD$9:$IM$38,'KG1-6'!$AD$9:$IM$38,'KG1-7'!$AD$9:$IM$38),2,Daily_DayIdx),StatusLabels,0)),""))))</f>
        <v/>
      </c>
      <c r="F13" s="36">
        <f>IF(B13="","",INDEX(Stu_Abs,((Daily_ClsIdx-1)*30+2)))</f>
        <v/>
      </c>
      <c r="G13" s="36">
        <f>IF(B13="","",INDEX(Stu_Status,((Daily_ClsIdx-1)*30+2)))</f>
        <v/>
      </c>
      <c r="H13" s="36">
        <f>IF(B13="","",INDEX(Stu_ContactReq,((Daily_ClsIdx-1)*30+2)))</f>
        <v/>
      </c>
    </row>
    <row r="14">
      <c r="A14" s="36">
        <f>IF(B14="","",3)</f>
        <v/>
      </c>
      <c r="B14" s="36">
        <f>IF(Daily_ClsIdx=0,"",INDEX(Stu_ID,((Daily_ClsIdx-1)*30+3)))</f>
        <v/>
      </c>
      <c r="C14" s="35">
        <f>IF(B14="","",INDEX(Stu_Name,((Daily_ClsIdx-1)*30+3)))</f>
        <v/>
      </c>
      <c r="D14" s="38">
        <f>IF(B14="","",IF(INDEX(Stu_StStatus,((Daily_ClsIdx-1)*30+3))&lt;&gt;"نشط","غير نشط",IF(Daily_DayIdx=0,"—",IF(E14="","غير محصور",INDEX(StatusLabels,MATCH(E14,StatusCodes,0))))))</f>
        <v/>
      </c>
      <c r="E14" s="36">
        <f>IF(OR(B14="",Daily_DayIdx=0),"",IF(INDEX(CHOOSE(Daily_ClsIdx,'KG1-1'!$AD$7:$IM$7,'KG1-2'!$AD$7:$IM$7,'KG1-3'!$AD$7:$IM$7,'KG1-4'!$AD$7:$IM$7,'KG1-5'!$AD$7:$IM$7,'KG1-6'!$AD$7:$IM$7,'KG1-7'!$AD$7:$IM$7),Daily_DayIdx)&lt;&gt;"✓","",IF(INDEX(CHOOSE(Daily_ClsIdx,'KG1-1'!$AD$9:$IM$38,'KG1-2'!$AD$9:$IM$38,'KG1-3'!$AD$9:$IM$38,'KG1-4'!$AD$9:$IM$38,'KG1-5'!$AD$9:$IM$38,'KG1-6'!$AD$9:$IM$38,'KG1-7'!$AD$9:$IM$38),3,Daily_DayIdx)="","P",IFERROR(INDEX(StatusCodes,MATCH(INDEX(CHOOSE(Daily_ClsIdx,'KG1-1'!$AD$9:$IM$38,'KG1-2'!$AD$9:$IM$38,'KG1-3'!$AD$9:$IM$38,'KG1-4'!$AD$9:$IM$38,'KG1-5'!$AD$9:$IM$38,'KG1-6'!$AD$9:$IM$38,'KG1-7'!$AD$9:$IM$38),3,Daily_DayIdx),StatusLabels,0)),""))))</f>
        <v/>
      </c>
      <c r="F14" s="36">
        <f>IF(B14="","",INDEX(Stu_Abs,((Daily_ClsIdx-1)*30+3)))</f>
        <v/>
      </c>
      <c r="G14" s="36">
        <f>IF(B14="","",INDEX(Stu_Status,((Daily_ClsIdx-1)*30+3)))</f>
        <v/>
      </c>
      <c r="H14" s="36">
        <f>IF(B14="","",INDEX(Stu_ContactReq,((Daily_ClsIdx-1)*30+3)))</f>
        <v/>
      </c>
    </row>
    <row r="15">
      <c r="A15" s="36">
        <f>IF(B15="","",4)</f>
        <v/>
      </c>
      <c r="B15" s="36">
        <f>IF(Daily_ClsIdx=0,"",INDEX(Stu_ID,((Daily_ClsIdx-1)*30+4)))</f>
        <v/>
      </c>
      <c r="C15" s="35">
        <f>IF(B15="","",INDEX(Stu_Name,((Daily_ClsIdx-1)*30+4)))</f>
        <v/>
      </c>
      <c r="D15" s="38">
        <f>IF(B15="","",IF(INDEX(Stu_StStatus,((Daily_ClsIdx-1)*30+4))&lt;&gt;"نشط","غير نشط",IF(Daily_DayIdx=0,"—",IF(E15="","غير محصور",INDEX(StatusLabels,MATCH(E15,StatusCodes,0))))))</f>
        <v/>
      </c>
      <c r="E15" s="36">
        <f>IF(OR(B15="",Daily_DayIdx=0),"",IF(INDEX(CHOOSE(Daily_ClsIdx,'KG1-1'!$AD$7:$IM$7,'KG1-2'!$AD$7:$IM$7,'KG1-3'!$AD$7:$IM$7,'KG1-4'!$AD$7:$IM$7,'KG1-5'!$AD$7:$IM$7,'KG1-6'!$AD$7:$IM$7,'KG1-7'!$AD$7:$IM$7),Daily_DayIdx)&lt;&gt;"✓","",IF(INDEX(CHOOSE(Daily_ClsIdx,'KG1-1'!$AD$9:$IM$38,'KG1-2'!$AD$9:$IM$38,'KG1-3'!$AD$9:$IM$38,'KG1-4'!$AD$9:$IM$38,'KG1-5'!$AD$9:$IM$38,'KG1-6'!$AD$9:$IM$38,'KG1-7'!$AD$9:$IM$38),4,Daily_DayIdx)="","P",IFERROR(INDEX(StatusCodes,MATCH(INDEX(CHOOSE(Daily_ClsIdx,'KG1-1'!$AD$9:$IM$38,'KG1-2'!$AD$9:$IM$38,'KG1-3'!$AD$9:$IM$38,'KG1-4'!$AD$9:$IM$38,'KG1-5'!$AD$9:$IM$38,'KG1-6'!$AD$9:$IM$38,'KG1-7'!$AD$9:$IM$38),4,Daily_DayIdx),StatusLabels,0)),""))))</f>
        <v/>
      </c>
      <c r="F15" s="36">
        <f>IF(B15="","",INDEX(Stu_Abs,((Daily_ClsIdx-1)*30+4)))</f>
        <v/>
      </c>
      <c r="G15" s="36">
        <f>IF(B15="","",INDEX(Stu_Status,((Daily_ClsIdx-1)*30+4)))</f>
        <v/>
      </c>
      <c r="H15" s="36">
        <f>IF(B15="","",INDEX(Stu_ContactReq,((Daily_ClsIdx-1)*30+4)))</f>
        <v/>
      </c>
    </row>
    <row r="16">
      <c r="A16" s="36">
        <f>IF(B16="","",5)</f>
        <v/>
      </c>
      <c r="B16" s="36">
        <f>IF(Daily_ClsIdx=0,"",INDEX(Stu_ID,((Daily_ClsIdx-1)*30+5)))</f>
        <v/>
      </c>
      <c r="C16" s="35">
        <f>IF(B16="","",INDEX(Stu_Name,((Daily_ClsIdx-1)*30+5)))</f>
        <v/>
      </c>
      <c r="D16" s="38">
        <f>IF(B16="","",IF(INDEX(Stu_StStatus,((Daily_ClsIdx-1)*30+5))&lt;&gt;"نشط","غير نشط",IF(Daily_DayIdx=0,"—",IF(E16="","غير محصور",INDEX(StatusLabels,MATCH(E16,StatusCodes,0))))))</f>
        <v/>
      </c>
      <c r="E16" s="36">
        <f>IF(OR(B16="",Daily_DayIdx=0),"",IF(INDEX(CHOOSE(Daily_ClsIdx,'KG1-1'!$AD$7:$IM$7,'KG1-2'!$AD$7:$IM$7,'KG1-3'!$AD$7:$IM$7,'KG1-4'!$AD$7:$IM$7,'KG1-5'!$AD$7:$IM$7,'KG1-6'!$AD$7:$IM$7,'KG1-7'!$AD$7:$IM$7),Daily_DayIdx)&lt;&gt;"✓","",IF(INDEX(CHOOSE(Daily_ClsIdx,'KG1-1'!$AD$9:$IM$38,'KG1-2'!$AD$9:$IM$38,'KG1-3'!$AD$9:$IM$38,'KG1-4'!$AD$9:$IM$38,'KG1-5'!$AD$9:$IM$38,'KG1-6'!$AD$9:$IM$38,'KG1-7'!$AD$9:$IM$38),5,Daily_DayIdx)="","P",IFERROR(INDEX(StatusCodes,MATCH(INDEX(CHOOSE(Daily_ClsIdx,'KG1-1'!$AD$9:$IM$38,'KG1-2'!$AD$9:$IM$38,'KG1-3'!$AD$9:$IM$38,'KG1-4'!$AD$9:$IM$38,'KG1-5'!$AD$9:$IM$38,'KG1-6'!$AD$9:$IM$38,'KG1-7'!$AD$9:$IM$38),5,Daily_DayIdx),StatusLabels,0)),""))))</f>
        <v/>
      </c>
      <c r="F16" s="36">
        <f>IF(B16="","",INDEX(Stu_Abs,((Daily_ClsIdx-1)*30+5)))</f>
        <v/>
      </c>
      <c r="G16" s="36">
        <f>IF(B16="","",INDEX(Stu_Status,((Daily_ClsIdx-1)*30+5)))</f>
        <v/>
      </c>
      <c r="H16" s="36">
        <f>IF(B16="","",INDEX(Stu_ContactReq,((Daily_ClsIdx-1)*30+5)))</f>
        <v/>
      </c>
    </row>
    <row r="17">
      <c r="A17" s="36">
        <f>IF(B17="","",6)</f>
        <v/>
      </c>
      <c r="B17" s="36">
        <f>IF(Daily_ClsIdx=0,"",INDEX(Stu_ID,((Daily_ClsIdx-1)*30+6)))</f>
        <v/>
      </c>
      <c r="C17" s="35">
        <f>IF(B17="","",INDEX(Stu_Name,((Daily_ClsIdx-1)*30+6)))</f>
        <v/>
      </c>
      <c r="D17" s="38">
        <f>IF(B17="","",IF(INDEX(Stu_StStatus,((Daily_ClsIdx-1)*30+6))&lt;&gt;"نشط","غير نشط",IF(Daily_DayIdx=0,"—",IF(E17="","غير محصور",INDEX(StatusLabels,MATCH(E17,StatusCodes,0))))))</f>
        <v/>
      </c>
      <c r="E17" s="36">
        <f>IF(OR(B17="",Daily_DayIdx=0),"",IF(INDEX(CHOOSE(Daily_ClsIdx,'KG1-1'!$AD$7:$IM$7,'KG1-2'!$AD$7:$IM$7,'KG1-3'!$AD$7:$IM$7,'KG1-4'!$AD$7:$IM$7,'KG1-5'!$AD$7:$IM$7,'KG1-6'!$AD$7:$IM$7,'KG1-7'!$AD$7:$IM$7),Daily_DayIdx)&lt;&gt;"✓","",IF(INDEX(CHOOSE(Daily_ClsIdx,'KG1-1'!$AD$9:$IM$38,'KG1-2'!$AD$9:$IM$38,'KG1-3'!$AD$9:$IM$38,'KG1-4'!$AD$9:$IM$38,'KG1-5'!$AD$9:$IM$38,'KG1-6'!$AD$9:$IM$38,'KG1-7'!$AD$9:$IM$38),6,Daily_DayIdx)="","P",IFERROR(INDEX(StatusCodes,MATCH(INDEX(CHOOSE(Daily_ClsIdx,'KG1-1'!$AD$9:$IM$38,'KG1-2'!$AD$9:$IM$38,'KG1-3'!$AD$9:$IM$38,'KG1-4'!$AD$9:$IM$38,'KG1-5'!$AD$9:$IM$38,'KG1-6'!$AD$9:$IM$38,'KG1-7'!$AD$9:$IM$38),6,Daily_DayIdx),StatusLabels,0)),""))))</f>
        <v/>
      </c>
      <c r="F17" s="36">
        <f>IF(B17="","",INDEX(Stu_Abs,((Daily_ClsIdx-1)*30+6)))</f>
        <v/>
      </c>
      <c r="G17" s="36">
        <f>IF(B17="","",INDEX(Stu_Status,((Daily_ClsIdx-1)*30+6)))</f>
        <v/>
      </c>
      <c r="H17" s="36">
        <f>IF(B17="","",INDEX(Stu_ContactReq,((Daily_ClsIdx-1)*30+6)))</f>
        <v/>
      </c>
    </row>
    <row r="18">
      <c r="A18" s="36">
        <f>IF(B18="","",7)</f>
        <v/>
      </c>
      <c r="B18" s="36">
        <f>IF(Daily_ClsIdx=0,"",INDEX(Stu_ID,((Daily_ClsIdx-1)*30+7)))</f>
        <v/>
      </c>
      <c r="C18" s="35">
        <f>IF(B18="","",INDEX(Stu_Name,((Daily_ClsIdx-1)*30+7)))</f>
        <v/>
      </c>
      <c r="D18" s="38">
        <f>IF(B18="","",IF(INDEX(Stu_StStatus,((Daily_ClsIdx-1)*30+7))&lt;&gt;"نشط","غير نشط",IF(Daily_DayIdx=0,"—",IF(E18="","غير محصور",INDEX(StatusLabels,MATCH(E18,StatusCodes,0))))))</f>
        <v/>
      </c>
      <c r="E18" s="36">
        <f>IF(OR(B18="",Daily_DayIdx=0),"",IF(INDEX(CHOOSE(Daily_ClsIdx,'KG1-1'!$AD$7:$IM$7,'KG1-2'!$AD$7:$IM$7,'KG1-3'!$AD$7:$IM$7,'KG1-4'!$AD$7:$IM$7,'KG1-5'!$AD$7:$IM$7,'KG1-6'!$AD$7:$IM$7,'KG1-7'!$AD$7:$IM$7),Daily_DayIdx)&lt;&gt;"✓","",IF(INDEX(CHOOSE(Daily_ClsIdx,'KG1-1'!$AD$9:$IM$38,'KG1-2'!$AD$9:$IM$38,'KG1-3'!$AD$9:$IM$38,'KG1-4'!$AD$9:$IM$38,'KG1-5'!$AD$9:$IM$38,'KG1-6'!$AD$9:$IM$38,'KG1-7'!$AD$9:$IM$38),7,Daily_DayIdx)="","P",IFERROR(INDEX(StatusCodes,MATCH(INDEX(CHOOSE(Daily_ClsIdx,'KG1-1'!$AD$9:$IM$38,'KG1-2'!$AD$9:$IM$38,'KG1-3'!$AD$9:$IM$38,'KG1-4'!$AD$9:$IM$38,'KG1-5'!$AD$9:$IM$38,'KG1-6'!$AD$9:$IM$38,'KG1-7'!$AD$9:$IM$38),7,Daily_DayIdx),StatusLabels,0)),""))))</f>
        <v/>
      </c>
      <c r="F18" s="36">
        <f>IF(B18="","",INDEX(Stu_Abs,((Daily_ClsIdx-1)*30+7)))</f>
        <v/>
      </c>
      <c r="G18" s="36">
        <f>IF(B18="","",INDEX(Stu_Status,((Daily_ClsIdx-1)*30+7)))</f>
        <v/>
      </c>
      <c r="H18" s="36">
        <f>IF(B18="","",INDEX(Stu_ContactReq,((Daily_ClsIdx-1)*30+7)))</f>
        <v/>
      </c>
    </row>
    <row r="19">
      <c r="A19" s="36">
        <f>IF(B19="","",8)</f>
        <v/>
      </c>
      <c r="B19" s="36">
        <f>IF(Daily_ClsIdx=0,"",INDEX(Stu_ID,((Daily_ClsIdx-1)*30+8)))</f>
        <v/>
      </c>
      <c r="C19" s="35">
        <f>IF(B19="","",INDEX(Stu_Name,((Daily_ClsIdx-1)*30+8)))</f>
        <v/>
      </c>
      <c r="D19" s="38">
        <f>IF(B19="","",IF(INDEX(Stu_StStatus,((Daily_ClsIdx-1)*30+8))&lt;&gt;"نشط","غير نشط",IF(Daily_DayIdx=0,"—",IF(E19="","غير محصور",INDEX(StatusLabels,MATCH(E19,StatusCodes,0))))))</f>
        <v/>
      </c>
      <c r="E19" s="36">
        <f>IF(OR(B19="",Daily_DayIdx=0),"",IF(INDEX(CHOOSE(Daily_ClsIdx,'KG1-1'!$AD$7:$IM$7,'KG1-2'!$AD$7:$IM$7,'KG1-3'!$AD$7:$IM$7,'KG1-4'!$AD$7:$IM$7,'KG1-5'!$AD$7:$IM$7,'KG1-6'!$AD$7:$IM$7,'KG1-7'!$AD$7:$IM$7),Daily_DayIdx)&lt;&gt;"✓","",IF(INDEX(CHOOSE(Daily_ClsIdx,'KG1-1'!$AD$9:$IM$38,'KG1-2'!$AD$9:$IM$38,'KG1-3'!$AD$9:$IM$38,'KG1-4'!$AD$9:$IM$38,'KG1-5'!$AD$9:$IM$38,'KG1-6'!$AD$9:$IM$38,'KG1-7'!$AD$9:$IM$38),8,Daily_DayIdx)="","P",IFERROR(INDEX(StatusCodes,MATCH(INDEX(CHOOSE(Daily_ClsIdx,'KG1-1'!$AD$9:$IM$38,'KG1-2'!$AD$9:$IM$38,'KG1-3'!$AD$9:$IM$38,'KG1-4'!$AD$9:$IM$38,'KG1-5'!$AD$9:$IM$38,'KG1-6'!$AD$9:$IM$38,'KG1-7'!$AD$9:$IM$38),8,Daily_DayIdx),StatusLabels,0)),""))))</f>
        <v/>
      </c>
      <c r="F19" s="36">
        <f>IF(B19="","",INDEX(Stu_Abs,((Daily_ClsIdx-1)*30+8)))</f>
        <v/>
      </c>
      <c r="G19" s="36">
        <f>IF(B19="","",INDEX(Stu_Status,((Daily_ClsIdx-1)*30+8)))</f>
        <v/>
      </c>
      <c r="H19" s="36">
        <f>IF(B19="","",INDEX(Stu_ContactReq,((Daily_ClsIdx-1)*30+8)))</f>
        <v/>
      </c>
    </row>
    <row r="20">
      <c r="A20" s="36">
        <f>IF(B20="","",9)</f>
        <v/>
      </c>
      <c r="B20" s="36">
        <f>IF(Daily_ClsIdx=0,"",INDEX(Stu_ID,((Daily_ClsIdx-1)*30+9)))</f>
        <v/>
      </c>
      <c r="C20" s="35">
        <f>IF(B20="","",INDEX(Stu_Name,((Daily_ClsIdx-1)*30+9)))</f>
        <v/>
      </c>
      <c r="D20" s="38">
        <f>IF(B20="","",IF(INDEX(Stu_StStatus,((Daily_ClsIdx-1)*30+9))&lt;&gt;"نشط","غير نشط",IF(Daily_DayIdx=0,"—",IF(E20="","غير محصور",INDEX(StatusLabels,MATCH(E20,StatusCodes,0))))))</f>
        <v/>
      </c>
      <c r="E20" s="36">
        <f>IF(OR(B20="",Daily_DayIdx=0),"",IF(INDEX(CHOOSE(Daily_ClsIdx,'KG1-1'!$AD$7:$IM$7,'KG1-2'!$AD$7:$IM$7,'KG1-3'!$AD$7:$IM$7,'KG1-4'!$AD$7:$IM$7,'KG1-5'!$AD$7:$IM$7,'KG1-6'!$AD$7:$IM$7,'KG1-7'!$AD$7:$IM$7),Daily_DayIdx)&lt;&gt;"✓","",IF(INDEX(CHOOSE(Daily_ClsIdx,'KG1-1'!$AD$9:$IM$38,'KG1-2'!$AD$9:$IM$38,'KG1-3'!$AD$9:$IM$38,'KG1-4'!$AD$9:$IM$38,'KG1-5'!$AD$9:$IM$38,'KG1-6'!$AD$9:$IM$38,'KG1-7'!$AD$9:$IM$38),9,Daily_DayIdx)="","P",IFERROR(INDEX(StatusCodes,MATCH(INDEX(CHOOSE(Daily_ClsIdx,'KG1-1'!$AD$9:$IM$38,'KG1-2'!$AD$9:$IM$38,'KG1-3'!$AD$9:$IM$38,'KG1-4'!$AD$9:$IM$38,'KG1-5'!$AD$9:$IM$38,'KG1-6'!$AD$9:$IM$38,'KG1-7'!$AD$9:$IM$38),9,Daily_DayIdx),StatusLabels,0)),""))))</f>
        <v/>
      </c>
      <c r="F20" s="36">
        <f>IF(B20="","",INDEX(Stu_Abs,((Daily_ClsIdx-1)*30+9)))</f>
        <v/>
      </c>
      <c r="G20" s="36">
        <f>IF(B20="","",INDEX(Stu_Status,((Daily_ClsIdx-1)*30+9)))</f>
        <v/>
      </c>
      <c r="H20" s="36">
        <f>IF(B20="","",INDEX(Stu_ContactReq,((Daily_ClsIdx-1)*30+9)))</f>
        <v/>
      </c>
    </row>
    <row r="21">
      <c r="A21" s="36">
        <f>IF(B21="","",10)</f>
        <v/>
      </c>
      <c r="B21" s="36">
        <f>IF(Daily_ClsIdx=0,"",INDEX(Stu_ID,((Daily_ClsIdx-1)*30+10)))</f>
        <v/>
      </c>
      <c r="C21" s="35">
        <f>IF(B21="","",INDEX(Stu_Name,((Daily_ClsIdx-1)*30+10)))</f>
        <v/>
      </c>
      <c r="D21" s="38">
        <f>IF(B21="","",IF(INDEX(Stu_StStatus,((Daily_ClsIdx-1)*30+10))&lt;&gt;"نشط","غير نشط",IF(Daily_DayIdx=0,"—",IF(E21="","غير محصور",INDEX(StatusLabels,MATCH(E21,StatusCodes,0))))))</f>
        <v/>
      </c>
      <c r="E21" s="36">
        <f>IF(OR(B21="",Daily_DayIdx=0),"",IF(INDEX(CHOOSE(Daily_ClsIdx,'KG1-1'!$AD$7:$IM$7,'KG1-2'!$AD$7:$IM$7,'KG1-3'!$AD$7:$IM$7,'KG1-4'!$AD$7:$IM$7,'KG1-5'!$AD$7:$IM$7,'KG1-6'!$AD$7:$IM$7,'KG1-7'!$AD$7:$IM$7),Daily_DayIdx)&lt;&gt;"✓","",IF(INDEX(CHOOSE(Daily_ClsIdx,'KG1-1'!$AD$9:$IM$38,'KG1-2'!$AD$9:$IM$38,'KG1-3'!$AD$9:$IM$38,'KG1-4'!$AD$9:$IM$38,'KG1-5'!$AD$9:$IM$38,'KG1-6'!$AD$9:$IM$38,'KG1-7'!$AD$9:$IM$38),10,Daily_DayIdx)="","P",IFERROR(INDEX(StatusCodes,MATCH(INDEX(CHOOSE(Daily_ClsIdx,'KG1-1'!$AD$9:$IM$38,'KG1-2'!$AD$9:$IM$38,'KG1-3'!$AD$9:$IM$38,'KG1-4'!$AD$9:$IM$38,'KG1-5'!$AD$9:$IM$38,'KG1-6'!$AD$9:$IM$38,'KG1-7'!$AD$9:$IM$38),10,Daily_DayIdx),StatusLabels,0)),""))))</f>
        <v/>
      </c>
      <c r="F21" s="36">
        <f>IF(B21="","",INDEX(Stu_Abs,((Daily_ClsIdx-1)*30+10)))</f>
        <v/>
      </c>
      <c r="G21" s="36">
        <f>IF(B21="","",INDEX(Stu_Status,((Daily_ClsIdx-1)*30+10)))</f>
        <v/>
      </c>
      <c r="H21" s="36">
        <f>IF(B21="","",INDEX(Stu_ContactReq,((Daily_ClsIdx-1)*30+10)))</f>
        <v/>
      </c>
    </row>
    <row r="22">
      <c r="A22" s="36">
        <f>IF(B22="","",11)</f>
        <v/>
      </c>
      <c r="B22" s="36">
        <f>IF(Daily_ClsIdx=0,"",INDEX(Stu_ID,((Daily_ClsIdx-1)*30+11)))</f>
        <v/>
      </c>
      <c r="C22" s="35">
        <f>IF(B22="","",INDEX(Stu_Name,((Daily_ClsIdx-1)*30+11)))</f>
        <v/>
      </c>
      <c r="D22" s="38">
        <f>IF(B22="","",IF(INDEX(Stu_StStatus,((Daily_ClsIdx-1)*30+11))&lt;&gt;"نشط","غير نشط",IF(Daily_DayIdx=0,"—",IF(E22="","غير محصور",INDEX(StatusLabels,MATCH(E22,StatusCodes,0))))))</f>
        <v/>
      </c>
      <c r="E22" s="36">
        <f>IF(OR(B22="",Daily_DayIdx=0),"",IF(INDEX(CHOOSE(Daily_ClsIdx,'KG1-1'!$AD$7:$IM$7,'KG1-2'!$AD$7:$IM$7,'KG1-3'!$AD$7:$IM$7,'KG1-4'!$AD$7:$IM$7,'KG1-5'!$AD$7:$IM$7,'KG1-6'!$AD$7:$IM$7,'KG1-7'!$AD$7:$IM$7),Daily_DayIdx)&lt;&gt;"✓","",IF(INDEX(CHOOSE(Daily_ClsIdx,'KG1-1'!$AD$9:$IM$38,'KG1-2'!$AD$9:$IM$38,'KG1-3'!$AD$9:$IM$38,'KG1-4'!$AD$9:$IM$38,'KG1-5'!$AD$9:$IM$38,'KG1-6'!$AD$9:$IM$38,'KG1-7'!$AD$9:$IM$38),11,Daily_DayIdx)="","P",IFERROR(INDEX(StatusCodes,MATCH(INDEX(CHOOSE(Daily_ClsIdx,'KG1-1'!$AD$9:$IM$38,'KG1-2'!$AD$9:$IM$38,'KG1-3'!$AD$9:$IM$38,'KG1-4'!$AD$9:$IM$38,'KG1-5'!$AD$9:$IM$38,'KG1-6'!$AD$9:$IM$38,'KG1-7'!$AD$9:$IM$38),11,Daily_DayIdx),StatusLabels,0)),""))))</f>
        <v/>
      </c>
      <c r="F22" s="36">
        <f>IF(B22="","",INDEX(Stu_Abs,((Daily_ClsIdx-1)*30+11)))</f>
        <v/>
      </c>
      <c r="G22" s="36">
        <f>IF(B22="","",INDEX(Stu_Status,((Daily_ClsIdx-1)*30+11)))</f>
        <v/>
      </c>
      <c r="H22" s="36">
        <f>IF(B22="","",INDEX(Stu_ContactReq,((Daily_ClsIdx-1)*30+11)))</f>
        <v/>
      </c>
    </row>
    <row r="23">
      <c r="A23" s="36">
        <f>IF(B23="","",12)</f>
        <v/>
      </c>
      <c r="B23" s="36">
        <f>IF(Daily_ClsIdx=0,"",INDEX(Stu_ID,((Daily_ClsIdx-1)*30+12)))</f>
        <v/>
      </c>
      <c r="C23" s="35">
        <f>IF(B23="","",INDEX(Stu_Name,((Daily_ClsIdx-1)*30+12)))</f>
        <v/>
      </c>
      <c r="D23" s="38">
        <f>IF(B23="","",IF(INDEX(Stu_StStatus,((Daily_ClsIdx-1)*30+12))&lt;&gt;"نشط","غير نشط",IF(Daily_DayIdx=0,"—",IF(E23="","غير محصور",INDEX(StatusLabels,MATCH(E23,StatusCodes,0))))))</f>
        <v/>
      </c>
      <c r="E23" s="36">
        <f>IF(OR(B23="",Daily_DayIdx=0),"",IF(INDEX(CHOOSE(Daily_ClsIdx,'KG1-1'!$AD$7:$IM$7,'KG1-2'!$AD$7:$IM$7,'KG1-3'!$AD$7:$IM$7,'KG1-4'!$AD$7:$IM$7,'KG1-5'!$AD$7:$IM$7,'KG1-6'!$AD$7:$IM$7,'KG1-7'!$AD$7:$IM$7),Daily_DayIdx)&lt;&gt;"✓","",IF(INDEX(CHOOSE(Daily_ClsIdx,'KG1-1'!$AD$9:$IM$38,'KG1-2'!$AD$9:$IM$38,'KG1-3'!$AD$9:$IM$38,'KG1-4'!$AD$9:$IM$38,'KG1-5'!$AD$9:$IM$38,'KG1-6'!$AD$9:$IM$38,'KG1-7'!$AD$9:$IM$38),12,Daily_DayIdx)="","P",IFERROR(INDEX(StatusCodes,MATCH(INDEX(CHOOSE(Daily_ClsIdx,'KG1-1'!$AD$9:$IM$38,'KG1-2'!$AD$9:$IM$38,'KG1-3'!$AD$9:$IM$38,'KG1-4'!$AD$9:$IM$38,'KG1-5'!$AD$9:$IM$38,'KG1-6'!$AD$9:$IM$38,'KG1-7'!$AD$9:$IM$38),12,Daily_DayIdx),StatusLabels,0)),""))))</f>
        <v/>
      </c>
      <c r="F23" s="36">
        <f>IF(B23="","",INDEX(Stu_Abs,((Daily_ClsIdx-1)*30+12)))</f>
        <v/>
      </c>
      <c r="G23" s="36">
        <f>IF(B23="","",INDEX(Stu_Status,((Daily_ClsIdx-1)*30+12)))</f>
        <v/>
      </c>
      <c r="H23" s="36">
        <f>IF(B23="","",INDEX(Stu_ContactReq,((Daily_ClsIdx-1)*30+12)))</f>
        <v/>
      </c>
    </row>
    <row r="24">
      <c r="A24" s="36">
        <f>IF(B24="","",13)</f>
        <v/>
      </c>
      <c r="B24" s="36">
        <f>IF(Daily_ClsIdx=0,"",INDEX(Stu_ID,((Daily_ClsIdx-1)*30+13)))</f>
        <v/>
      </c>
      <c r="C24" s="35">
        <f>IF(B24="","",INDEX(Stu_Name,((Daily_ClsIdx-1)*30+13)))</f>
        <v/>
      </c>
      <c r="D24" s="38">
        <f>IF(B24="","",IF(INDEX(Stu_StStatus,((Daily_ClsIdx-1)*30+13))&lt;&gt;"نشط","غير نشط",IF(Daily_DayIdx=0,"—",IF(E24="","غير محصور",INDEX(StatusLabels,MATCH(E24,StatusCodes,0))))))</f>
        <v/>
      </c>
      <c r="E24" s="36">
        <f>IF(OR(B24="",Daily_DayIdx=0),"",IF(INDEX(CHOOSE(Daily_ClsIdx,'KG1-1'!$AD$7:$IM$7,'KG1-2'!$AD$7:$IM$7,'KG1-3'!$AD$7:$IM$7,'KG1-4'!$AD$7:$IM$7,'KG1-5'!$AD$7:$IM$7,'KG1-6'!$AD$7:$IM$7,'KG1-7'!$AD$7:$IM$7),Daily_DayIdx)&lt;&gt;"✓","",IF(INDEX(CHOOSE(Daily_ClsIdx,'KG1-1'!$AD$9:$IM$38,'KG1-2'!$AD$9:$IM$38,'KG1-3'!$AD$9:$IM$38,'KG1-4'!$AD$9:$IM$38,'KG1-5'!$AD$9:$IM$38,'KG1-6'!$AD$9:$IM$38,'KG1-7'!$AD$9:$IM$38),13,Daily_DayIdx)="","P",IFERROR(INDEX(StatusCodes,MATCH(INDEX(CHOOSE(Daily_ClsIdx,'KG1-1'!$AD$9:$IM$38,'KG1-2'!$AD$9:$IM$38,'KG1-3'!$AD$9:$IM$38,'KG1-4'!$AD$9:$IM$38,'KG1-5'!$AD$9:$IM$38,'KG1-6'!$AD$9:$IM$38,'KG1-7'!$AD$9:$IM$38),13,Daily_DayIdx),StatusLabels,0)),""))))</f>
        <v/>
      </c>
      <c r="F24" s="36">
        <f>IF(B24="","",INDEX(Stu_Abs,((Daily_ClsIdx-1)*30+13)))</f>
        <v/>
      </c>
      <c r="G24" s="36">
        <f>IF(B24="","",INDEX(Stu_Status,((Daily_ClsIdx-1)*30+13)))</f>
        <v/>
      </c>
      <c r="H24" s="36">
        <f>IF(B24="","",INDEX(Stu_ContactReq,((Daily_ClsIdx-1)*30+13)))</f>
        <v/>
      </c>
    </row>
    <row r="25">
      <c r="A25" s="36">
        <f>IF(B25="","",14)</f>
        <v/>
      </c>
      <c r="B25" s="36">
        <f>IF(Daily_ClsIdx=0,"",INDEX(Stu_ID,((Daily_ClsIdx-1)*30+14)))</f>
        <v/>
      </c>
      <c r="C25" s="35">
        <f>IF(B25="","",INDEX(Stu_Name,((Daily_ClsIdx-1)*30+14)))</f>
        <v/>
      </c>
      <c r="D25" s="38">
        <f>IF(B25="","",IF(INDEX(Stu_StStatus,((Daily_ClsIdx-1)*30+14))&lt;&gt;"نشط","غير نشط",IF(Daily_DayIdx=0,"—",IF(E25="","غير محصور",INDEX(StatusLabels,MATCH(E25,StatusCodes,0))))))</f>
        <v/>
      </c>
      <c r="E25" s="36">
        <f>IF(OR(B25="",Daily_DayIdx=0),"",IF(INDEX(CHOOSE(Daily_ClsIdx,'KG1-1'!$AD$7:$IM$7,'KG1-2'!$AD$7:$IM$7,'KG1-3'!$AD$7:$IM$7,'KG1-4'!$AD$7:$IM$7,'KG1-5'!$AD$7:$IM$7,'KG1-6'!$AD$7:$IM$7,'KG1-7'!$AD$7:$IM$7),Daily_DayIdx)&lt;&gt;"✓","",IF(INDEX(CHOOSE(Daily_ClsIdx,'KG1-1'!$AD$9:$IM$38,'KG1-2'!$AD$9:$IM$38,'KG1-3'!$AD$9:$IM$38,'KG1-4'!$AD$9:$IM$38,'KG1-5'!$AD$9:$IM$38,'KG1-6'!$AD$9:$IM$38,'KG1-7'!$AD$9:$IM$38),14,Daily_DayIdx)="","P",IFERROR(INDEX(StatusCodes,MATCH(INDEX(CHOOSE(Daily_ClsIdx,'KG1-1'!$AD$9:$IM$38,'KG1-2'!$AD$9:$IM$38,'KG1-3'!$AD$9:$IM$38,'KG1-4'!$AD$9:$IM$38,'KG1-5'!$AD$9:$IM$38,'KG1-6'!$AD$9:$IM$38,'KG1-7'!$AD$9:$IM$38),14,Daily_DayIdx),StatusLabels,0)),""))))</f>
        <v/>
      </c>
      <c r="F25" s="36">
        <f>IF(B25="","",INDEX(Stu_Abs,((Daily_ClsIdx-1)*30+14)))</f>
        <v/>
      </c>
      <c r="G25" s="36">
        <f>IF(B25="","",INDEX(Stu_Status,((Daily_ClsIdx-1)*30+14)))</f>
        <v/>
      </c>
      <c r="H25" s="36">
        <f>IF(B25="","",INDEX(Stu_ContactReq,((Daily_ClsIdx-1)*30+14)))</f>
        <v/>
      </c>
    </row>
    <row r="26">
      <c r="A26" s="36">
        <f>IF(B26="","",15)</f>
        <v/>
      </c>
      <c r="B26" s="36">
        <f>IF(Daily_ClsIdx=0,"",INDEX(Stu_ID,((Daily_ClsIdx-1)*30+15)))</f>
        <v/>
      </c>
      <c r="C26" s="35">
        <f>IF(B26="","",INDEX(Stu_Name,((Daily_ClsIdx-1)*30+15)))</f>
        <v/>
      </c>
      <c r="D26" s="38">
        <f>IF(B26="","",IF(INDEX(Stu_StStatus,((Daily_ClsIdx-1)*30+15))&lt;&gt;"نشط","غير نشط",IF(Daily_DayIdx=0,"—",IF(E26="","غير محصور",INDEX(StatusLabels,MATCH(E26,StatusCodes,0))))))</f>
        <v/>
      </c>
      <c r="E26" s="36">
        <f>IF(OR(B26="",Daily_DayIdx=0),"",IF(INDEX(CHOOSE(Daily_ClsIdx,'KG1-1'!$AD$7:$IM$7,'KG1-2'!$AD$7:$IM$7,'KG1-3'!$AD$7:$IM$7,'KG1-4'!$AD$7:$IM$7,'KG1-5'!$AD$7:$IM$7,'KG1-6'!$AD$7:$IM$7,'KG1-7'!$AD$7:$IM$7),Daily_DayIdx)&lt;&gt;"✓","",IF(INDEX(CHOOSE(Daily_ClsIdx,'KG1-1'!$AD$9:$IM$38,'KG1-2'!$AD$9:$IM$38,'KG1-3'!$AD$9:$IM$38,'KG1-4'!$AD$9:$IM$38,'KG1-5'!$AD$9:$IM$38,'KG1-6'!$AD$9:$IM$38,'KG1-7'!$AD$9:$IM$38),15,Daily_DayIdx)="","P",IFERROR(INDEX(StatusCodes,MATCH(INDEX(CHOOSE(Daily_ClsIdx,'KG1-1'!$AD$9:$IM$38,'KG1-2'!$AD$9:$IM$38,'KG1-3'!$AD$9:$IM$38,'KG1-4'!$AD$9:$IM$38,'KG1-5'!$AD$9:$IM$38,'KG1-6'!$AD$9:$IM$38,'KG1-7'!$AD$9:$IM$38),15,Daily_DayIdx),StatusLabels,0)),""))))</f>
        <v/>
      </c>
      <c r="F26" s="36">
        <f>IF(B26="","",INDEX(Stu_Abs,((Daily_ClsIdx-1)*30+15)))</f>
        <v/>
      </c>
      <c r="G26" s="36">
        <f>IF(B26="","",INDEX(Stu_Status,((Daily_ClsIdx-1)*30+15)))</f>
        <v/>
      </c>
      <c r="H26" s="36">
        <f>IF(B26="","",INDEX(Stu_ContactReq,((Daily_ClsIdx-1)*30+15)))</f>
        <v/>
      </c>
    </row>
    <row r="27">
      <c r="A27" s="36">
        <f>IF(B27="","",16)</f>
        <v/>
      </c>
      <c r="B27" s="36">
        <f>IF(Daily_ClsIdx=0,"",INDEX(Stu_ID,((Daily_ClsIdx-1)*30+16)))</f>
        <v/>
      </c>
      <c r="C27" s="35">
        <f>IF(B27="","",INDEX(Stu_Name,((Daily_ClsIdx-1)*30+16)))</f>
        <v/>
      </c>
      <c r="D27" s="38">
        <f>IF(B27="","",IF(INDEX(Stu_StStatus,((Daily_ClsIdx-1)*30+16))&lt;&gt;"نشط","غير نشط",IF(Daily_DayIdx=0,"—",IF(E27="","غير محصور",INDEX(StatusLabels,MATCH(E27,StatusCodes,0))))))</f>
        <v/>
      </c>
      <c r="E27" s="36">
        <f>IF(OR(B27="",Daily_DayIdx=0),"",IF(INDEX(CHOOSE(Daily_ClsIdx,'KG1-1'!$AD$7:$IM$7,'KG1-2'!$AD$7:$IM$7,'KG1-3'!$AD$7:$IM$7,'KG1-4'!$AD$7:$IM$7,'KG1-5'!$AD$7:$IM$7,'KG1-6'!$AD$7:$IM$7,'KG1-7'!$AD$7:$IM$7),Daily_DayIdx)&lt;&gt;"✓","",IF(INDEX(CHOOSE(Daily_ClsIdx,'KG1-1'!$AD$9:$IM$38,'KG1-2'!$AD$9:$IM$38,'KG1-3'!$AD$9:$IM$38,'KG1-4'!$AD$9:$IM$38,'KG1-5'!$AD$9:$IM$38,'KG1-6'!$AD$9:$IM$38,'KG1-7'!$AD$9:$IM$38),16,Daily_DayIdx)="","P",IFERROR(INDEX(StatusCodes,MATCH(INDEX(CHOOSE(Daily_ClsIdx,'KG1-1'!$AD$9:$IM$38,'KG1-2'!$AD$9:$IM$38,'KG1-3'!$AD$9:$IM$38,'KG1-4'!$AD$9:$IM$38,'KG1-5'!$AD$9:$IM$38,'KG1-6'!$AD$9:$IM$38,'KG1-7'!$AD$9:$IM$38),16,Daily_DayIdx),StatusLabels,0)),""))))</f>
        <v/>
      </c>
      <c r="F27" s="36">
        <f>IF(B27="","",INDEX(Stu_Abs,((Daily_ClsIdx-1)*30+16)))</f>
        <v/>
      </c>
      <c r="G27" s="36">
        <f>IF(B27="","",INDEX(Stu_Status,((Daily_ClsIdx-1)*30+16)))</f>
        <v/>
      </c>
      <c r="H27" s="36">
        <f>IF(B27="","",INDEX(Stu_ContactReq,((Daily_ClsIdx-1)*30+16)))</f>
        <v/>
      </c>
    </row>
    <row r="28">
      <c r="A28" s="36">
        <f>IF(B28="","",17)</f>
        <v/>
      </c>
      <c r="B28" s="36">
        <f>IF(Daily_ClsIdx=0,"",INDEX(Stu_ID,((Daily_ClsIdx-1)*30+17)))</f>
        <v/>
      </c>
      <c r="C28" s="35">
        <f>IF(B28="","",INDEX(Stu_Name,((Daily_ClsIdx-1)*30+17)))</f>
        <v/>
      </c>
      <c r="D28" s="38">
        <f>IF(B28="","",IF(INDEX(Stu_StStatus,((Daily_ClsIdx-1)*30+17))&lt;&gt;"نشط","غير نشط",IF(Daily_DayIdx=0,"—",IF(E28="","غير محصور",INDEX(StatusLabels,MATCH(E28,StatusCodes,0))))))</f>
        <v/>
      </c>
      <c r="E28" s="36">
        <f>IF(OR(B28="",Daily_DayIdx=0),"",IF(INDEX(CHOOSE(Daily_ClsIdx,'KG1-1'!$AD$7:$IM$7,'KG1-2'!$AD$7:$IM$7,'KG1-3'!$AD$7:$IM$7,'KG1-4'!$AD$7:$IM$7,'KG1-5'!$AD$7:$IM$7,'KG1-6'!$AD$7:$IM$7,'KG1-7'!$AD$7:$IM$7),Daily_DayIdx)&lt;&gt;"✓","",IF(INDEX(CHOOSE(Daily_ClsIdx,'KG1-1'!$AD$9:$IM$38,'KG1-2'!$AD$9:$IM$38,'KG1-3'!$AD$9:$IM$38,'KG1-4'!$AD$9:$IM$38,'KG1-5'!$AD$9:$IM$38,'KG1-6'!$AD$9:$IM$38,'KG1-7'!$AD$9:$IM$38),17,Daily_DayIdx)="","P",IFERROR(INDEX(StatusCodes,MATCH(INDEX(CHOOSE(Daily_ClsIdx,'KG1-1'!$AD$9:$IM$38,'KG1-2'!$AD$9:$IM$38,'KG1-3'!$AD$9:$IM$38,'KG1-4'!$AD$9:$IM$38,'KG1-5'!$AD$9:$IM$38,'KG1-6'!$AD$9:$IM$38,'KG1-7'!$AD$9:$IM$38),17,Daily_DayIdx),StatusLabels,0)),""))))</f>
        <v/>
      </c>
      <c r="F28" s="36">
        <f>IF(B28="","",INDEX(Stu_Abs,((Daily_ClsIdx-1)*30+17)))</f>
        <v/>
      </c>
      <c r="G28" s="36">
        <f>IF(B28="","",INDEX(Stu_Status,((Daily_ClsIdx-1)*30+17)))</f>
        <v/>
      </c>
      <c r="H28" s="36">
        <f>IF(B28="","",INDEX(Stu_ContactReq,((Daily_ClsIdx-1)*30+17)))</f>
        <v/>
      </c>
    </row>
    <row r="29">
      <c r="A29" s="36">
        <f>IF(B29="","",18)</f>
        <v/>
      </c>
      <c r="B29" s="36">
        <f>IF(Daily_ClsIdx=0,"",INDEX(Stu_ID,((Daily_ClsIdx-1)*30+18)))</f>
        <v/>
      </c>
      <c r="C29" s="35">
        <f>IF(B29="","",INDEX(Stu_Name,((Daily_ClsIdx-1)*30+18)))</f>
        <v/>
      </c>
      <c r="D29" s="38">
        <f>IF(B29="","",IF(INDEX(Stu_StStatus,((Daily_ClsIdx-1)*30+18))&lt;&gt;"نشط","غير نشط",IF(Daily_DayIdx=0,"—",IF(E29="","غير محصور",INDEX(StatusLabels,MATCH(E29,StatusCodes,0))))))</f>
        <v/>
      </c>
      <c r="E29" s="36">
        <f>IF(OR(B29="",Daily_DayIdx=0),"",IF(INDEX(CHOOSE(Daily_ClsIdx,'KG1-1'!$AD$7:$IM$7,'KG1-2'!$AD$7:$IM$7,'KG1-3'!$AD$7:$IM$7,'KG1-4'!$AD$7:$IM$7,'KG1-5'!$AD$7:$IM$7,'KG1-6'!$AD$7:$IM$7,'KG1-7'!$AD$7:$IM$7),Daily_DayIdx)&lt;&gt;"✓","",IF(INDEX(CHOOSE(Daily_ClsIdx,'KG1-1'!$AD$9:$IM$38,'KG1-2'!$AD$9:$IM$38,'KG1-3'!$AD$9:$IM$38,'KG1-4'!$AD$9:$IM$38,'KG1-5'!$AD$9:$IM$38,'KG1-6'!$AD$9:$IM$38,'KG1-7'!$AD$9:$IM$38),18,Daily_DayIdx)="","P",IFERROR(INDEX(StatusCodes,MATCH(INDEX(CHOOSE(Daily_ClsIdx,'KG1-1'!$AD$9:$IM$38,'KG1-2'!$AD$9:$IM$38,'KG1-3'!$AD$9:$IM$38,'KG1-4'!$AD$9:$IM$38,'KG1-5'!$AD$9:$IM$38,'KG1-6'!$AD$9:$IM$38,'KG1-7'!$AD$9:$IM$38),18,Daily_DayIdx),StatusLabels,0)),""))))</f>
        <v/>
      </c>
      <c r="F29" s="36">
        <f>IF(B29="","",INDEX(Stu_Abs,((Daily_ClsIdx-1)*30+18)))</f>
        <v/>
      </c>
      <c r="G29" s="36">
        <f>IF(B29="","",INDEX(Stu_Status,((Daily_ClsIdx-1)*30+18)))</f>
        <v/>
      </c>
      <c r="H29" s="36">
        <f>IF(B29="","",INDEX(Stu_ContactReq,((Daily_ClsIdx-1)*30+18)))</f>
        <v/>
      </c>
    </row>
    <row r="30">
      <c r="A30" s="36">
        <f>IF(B30="","",19)</f>
        <v/>
      </c>
      <c r="B30" s="36">
        <f>IF(Daily_ClsIdx=0,"",INDEX(Stu_ID,((Daily_ClsIdx-1)*30+19)))</f>
        <v/>
      </c>
      <c r="C30" s="35">
        <f>IF(B30="","",INDEX(Stu_Name,((Daily_ClsIdx-1)*30+19)))</f>
        <v/>
      </c>
      <c r="D30" s="38">
        <f>IF(B30="","",IF(INDEX(Stu_StStatus,((Daily_ClsIdx-1)*30+19))&lt;&gt;"نشط","غير نشط",IF(Daily_DayIdx=0,"—",IF(E30="","غير محصور",INDEX(StatusLabels,MATCH(E30,StatusCodes,0))))))</f>
        <v/>
      </c>
      <c r="E30" s="36">
        <f>IF(OR(B30="",Daily_DayIdx=0),"",IF(INDEX(CHOOSE(Daily_ClsIdx,'KG1-1'!$AD$7:$IM$7,'KG1-2'!$AD$7:$IM$7,'KG1-3'!$AD$7:$IM$7,'KG1-4'!$AD$7:$IM$7,'KG1-5'!$AD$7:$IM$7,'KG1-6'!$AD$7:$IM$7,'KG1-7'!$AD$7:$IM$7),Daily_DayIdx)&lt;&gt;"✓","",IF(INDEX(CHOOSE(Daily_ClsIdx,'KG1-1'!$AD$9:$IM$38,'KG1-2'!$AD$9:$IM$38,'KG1-3'!$AD$9:$IM$38,'KG1-4'!$AD$9:$IM$38,'KG1-5'!$AD$9:$IM$38,'KG1-6'!$AD$9:$IM$38,'KG1-7'!$AD$9:$IM$38),19,Daily_DayIdx)="","P",IFERROR(INDEX(StatusCodes,MATCH(INDEX(CHOOSE(Daily_ClsIdx,'KG1-1'!$AD$9:$IM$38,'KG1-2'!$AD$9:$IM$38,'KG1-3'!$AD$9:$IM$38,'KG1-4'!$AD$9:$IM$38,'KG1-5'!$AD$9:$IM$38,'KG1-6'!$AD$9:$IM$38,'KG1-7'!$AD$9:$IM$38),19,Daily_DayIdx),StatusLabels,0)),""))))</f>
        <v/>
      </c>
      <c r="F30" s="36">
        <f>IF(B30="","",INDEX(Stu_Abs,((Daily_ClsIdx-1)*30+19)))</f>
        <v/>
      </c>
      <c r="G30" s="36">
        <f>IF(B30="","",INDEX(Stu_Status,((Daily_ClsIdx-1)*30+19)))</f>
        <v/>
      </c>
      <c r="H30" s="36">
        <f>IF(B30="","",INDEX(Stu_ContactReq,((Daily_ClsIdx-1)*30+19)))</f>
        <v/>
      </c>
    </row>
    <row r="31">
      <c r="A31" s="36">
        <f>IF(B31="","",20)</f>
        <v/>
      </c>
      <c r="B31" s="36">
        <f>IF(Daily_ClsIdx=0,"",INDEX(Stu_ID,((Daily_ClsIdx-1)*30+20)))</f>
        <v/>
      </c>
      <c r="C31" s="35">
        <f>IF(B31="","",INDEX(Stu_Name,((Daily_ClsIdx-1)*30+20)))</f>
        <v/>
      </c>
      <c r="D31" s="38">
        <f>IF(B31="","",IF(INDEX(Stu_StStatus,((Daily_ClsIdx-1)*30+20))&lt;&gt;"نشط","غير نشط",IF(Daily_DayIdx=0,"—",IF(E31="","غير محصور",INDEX(StatusLabels,MATCH(E31,StatusCodes,0))))))</f>
        <v/>
      </c>
      <c r="E31" s="36">
        <f>IF(OR(B31="",Daily_DayIdx=0),"",IF(INDEX(CHOOSE(Daily_ClsIdx,'KG1-1'!$AD$7:$IM$7,'KG1-2'!$AD$7:$IM$7,'KG1-3'!$AD$7:$IM$7,'KG1-4'!$AD$7:$IM$7,'KG1-5'!$AD$7:$IM$7,'KG1-6'!$AD$7:$IM$7,'KG1-7'!$AD$7:$IM$7),Daily_DayIdx)&lt;&gt;"✓","",IF(INDEX(CHOOSE(Daily_ClsIdx,'KG1-1'!$AD$9:$IM$38,'KG1-2'!$AD$9:$IM$38,'KG1-3'!$AD$9:$IM$38,'KG1-4'!$AD$9:$IM$38,'KG1-5'!$AD$9:$IM$38,'KG1-6'!$AD$9:$IM$38,'KG1-7'!$AD$9:$IM$38),20,Daily_DayIdx)="","P",IFERROR(INDEX(StatusCodes,MATCH(INDEX(CHOOSE(Daily_ClsIdx,'KG1-1'!$AD$9:$IM$38,'KG1-2'!$AD$9:$IM$38,'KG1-3'!$AD$9:$IM$38,'KG1-4'!$AD$9:$IM$38,'KG1-5'!$AD$9:$IM$38,'KG1-6'!$AD$9:$IM$38,'KG1-7'!$AD$9:$IM$38),20,Daily_DayIdx),StatusLabels,0)),""))))</f>
        <v/>
      </c>
      <c r="F31" s="36">
        <f>IF(B31="","",INDEX(Stu_Abs,((Daily_ClsIdx-1)*30+20)))</f>
        <v/>
      </c>
      <c r="G31" s="36">
        <f>IF(B31="","",INDEX(Stu_Status,((Daily_ClsIdx-1)*30+20)))</f>
        <v/>
      </c>
      <c r="H31" s="36">
        <f>IF(B31="","",INDEX(Stu_ContactReq,((Daily_ClsIdx-1)*30+20)))</f>
        <v/>
      </c>
    </row>
    <row r="32">
      <c r="A32" s="36">
        <f>IF(B32="","",21)</f>
        <v/>
      </c>
      <c r="B32" s="36">
        <f>IF(Daily_ClsIdx=0,"",INDEX(Stu_ID,((Daily_ClsIdx-1)*30+21)))</f>
        <v/>
      </c>
      <c r="C32" s="35">
        <f>IF(B32="","",INDEX(Stu_Name,((Daily_ClsIdx-1)*30+21)))</f>
        <v/>
      </c>
      <c r="D32" s="38">
        <f>IF(B32="","",IF(INDEX(Stu_StStatus,((Daily_ClsIdx-1)*30+21))&lt;&gt;"نشط","غير نشط",IF(Daily_DayIdx=0,"—",IF(E32="","غير محصور",INDEX(StatusLabels,MATCH(E32,StatusCodes,0))))))</f>
        <v/>
      </c>
      <c r="E32" s="36">
        <f>IF(OR(B32="",Daily_DayIdx=0),"",IF(INDEX(CHOOSE(Daily_ClsIdx,'KG1-1'!$AD$7:$IM$7,'KG1-2'!$AD$7:$IM$7,'KG1-3'!$AD$7:$IM$7,'KG1-4'!$AD$7:$IM$7,'KG1-5'!$AD$7:$IM$7,'KG1-6'!$AD$7:$IM$7,'KG1-7'!$AD$7:$IM$7),Daily_DayIdx)&lt;&gt;"✓","",IF(INDEX(CHOOSE(Daily_ClsIdx,'KG1-1'!$AD$9:$IM$38,'KG1-2'!$AD$9:$IM$38,'KG1-3'!$AD$9:$IM$38,'KG1-4'!$AD$9:$IM$38,'KG1-5'!$AD$9:$IM$38,'KG1-6'!$AD$9:$IM$38,'KG1-7'!$AD$9:$IM$38),21,Daily_DayIdx)="","P",IFERROR(INDEX(StatusCodes,MATCH(INDEX(CHOOSE(Daily_ClsIdx,'KG1-1'!$AD$9:$IM$38,'KG1-2'!$AD$9:$IM$38,'KG1-3'!$AD$9:$IM$38,'KG1-4'!$AD$9:$IM$38,'KG1-5'!$AD$9:$IM$38,'KG1-6'!$AD$9:$IM$38,'KG1-7'!$AD$9:$IM$38),21,Daily_DayIdx),StatusLabels,0)),""))))</f>
        <v/>
      </c>
      <c r="F32" s="36">
        <f>IF(B32="","",INDEX(Stu_Abs,((Daily_ClsIdx-1)*30+21)))</f>
        <v/>
      </c>
      <c r="G32" s="36">
        <f>IF(B32="","",INDEX(Stu_Status,((Daily_ClsIdx-1)*30+21)))</f>
        <v/>
      </c>
      <c r="H32" s="36">
        <f>IF(B32="","",INDEX(Stu_ContactReq,((Daily_ClsIdx-1)*30+21)))</f>
        <v/>
      </c>
    </row>
    <row r="33">
      <c r="A33" s="36">
        <f>IF(B33="","",22)</f>
        <v/>
      </c>
      <c r="B33" s="36">
        <f>IF(Daily_ClsIdx=0,"",INDEX(Stu_ID,((Daily_ClsIdx-1)*30+22)))</f>
        <v/>
      </c>
      <c r="C33" s="35">
        <f>IF(B33="","",INDEX(Stu_Name,((Daily_ClsIdx-1)*30+22)))</f>
        <v/>
      </c>
      <c r="D33" s="38">
        <f>IF(B33="","",IF(INDEX(Stu_StStatus,((Daily_ClsIdx-1)*30+22))&lt;&gt;"نشط","غير نشط",IF(Daily_DayIdx=0,"—",IF(E33="","غير محصور",INDEX(StatusLabels,MATCH(E33,StatusCodes,0))))))</f>
        <v/>
      </c>
      <c r="E33" s="36">
        <f>IF(OR(B33="",Daily_DayIdx=0),"",IF(INDEX(CHOOSE(Daily_ClsIdx,'KG1-1'!$AD$7:$IM$7,'KG1-2'!$AD$7:$IM$7,'KG1-3'!$AD$7:$IM$7,'KG1-4'!$AD$7:$IM$7,'KG1-5'!$AD$7:$IM$7,'KG1-6'!$AD$7:$IM$7,'KG1-7'!$AD$7:$IM$7),Daily_DayIdx)&lt;&gt;"✓","",IF(INDEX(CHOOSE(Daily_ClsIdx,'KG1-1'!$AD$9:$IM$38,'KG1-2'!$AD$9:$IM$38,'KG1-3'!$AD$9:$IM$38,'KG1-4'!$AD$9:$IM$38,'KG1-5'!$AD$9:$IM$38,'KG1-6'!$AD$9:$IM$38,'KG1-7'!$AD$9:$IM$38),22,Daily_DayIdx)="","P",IFERROR(INDEX(StatusCodes,MATCH(INDEX(CHOOSE(Daily_ClsIdx,'KG1-1'!$AD$9:$IM$38,'KG1-2'!$AD$9:$IM$38,'KG1-3'!$AD$9:$IM$38,'KG1-4'!$AD$9:$IM$38,'KG1-5'!$AD$9:$IM$38,'KG1-6'!$AD$9:$IM$38,'KG1-7'!$AD$9:$IM$38),22,Daily_DayIdx),StatusLabels,0)),""))))</f>
        <v/>
      </c>
      <c r="F33" s="36">
        <f>IF(B33="","",INDEX(Stu_Abs,((Daily_ClsIdx-1)*30+22)))</f>
        <v/>
      </c>
      <c r="G33" s="36">
        <f>IF(B33="","",INDEX(Stu_Status,((Daily_ClsIdx-1)*30+22)))</f>
        <v/>
      </c>
      <c r="H33" s="36">
        <f>IF(B33="","",INDEX(Stu_ContactReq,((Daily_ClsIdx-1)*30+22)))</f>
        <v/>
      </c>
    </row>
    <row r="34">
      <c r="A34" s="36">
        <f>IF(B34="","",23)</f>
        <v/>
      </c>
      <c r="B34" s="36">
        <f>IF(Daily_ClsIdx=0,"",INDEX(Stu_ID,((Daily_ClsIdx-1)*30+23)))</f>
        <v/>
      </c>
      <c r="C34" s="35">
        <f>IF(B34="","",INDEX(Stu_Name,((Daily_ClsIdx-1)*30+23)))</f>
        <v/>
      </c>
      <c r="D34" s="38">
        <f>IF(B34="","",IF(INDEX(Stu_StStatus,((Daily_ClsIdx-1)*30+23))&lt;&gt;"نشط","غير نشط",IF(Daily_DayIdx=0,"—",IF(E34="","غير محصور",INDEX(StatusLabels,MATCH(E34,StatusCodes,0))))))</f>
        <v/>
      </c>
      <c r="E34" s="36">
        <f>IF(OR(B34="",Daily_DayIdx=0),"",IF(INDEX(CHOOSE(Daily_ClsIdx,'KG1-1'!$AD$7:$IM$7,'KG1-2'!$AD$7:$IM$7,'KG1-3'!$AD$7:$IM$7,'KG1-4'!$AD$7:$IM$7,'KG1-5'!$AD$7:$IM$7,'KG1-6'!$AD$7:$IM$7,'KG1-7'!$AD$7:$IM$7),Daily_DayIdx)&lt;&gt;"✓","",IF(INDEX(CHOOSE(Daily_ClsIdx,'KG1-1'!$AD$9:$IM$38,'KG1-2'!$AD$9:$IM$38,'KG1-3'!$AD$9:$IM$38,'KG1-4'!$AD$9:$IM$38,'KG1-5'!$AD$9:$IM$38,'KG1-6'!$AD$9:$IM$38,'KG1-7'!$AD$9:$IM$38),23,Daily_DayIdx)="","P",IFERROR(INDEX(StatusCodes,MATCH(INDEX(CHOOSE(Daily_ClsIdx,'KG1-1'!$AD$9:$IM$38,'KG1-2'!$AD$9:$IM$38,'KG1-3'!$AD$9:$IM$38,'KG1-4'!$AD$9:$IM$38,'KG1-5'!$AD$9:$IM$38,'KG1-6'!$AD$9:$IM$38,'KG1-7'!$AD$9:$IM$38),23,Daily_DayIdx),StatusLabels,0)),""))))</f>
        <v/>
      </c>
      <c r="F34" s="36">
        <f>IF(B34="","",INDEX(Stu_Abs,((Daily_ClsIdx-1)*30+23)))</f>
        <v/>
      </c>
      <c r="G34" s="36">
        <f>IF(B34="","",INDEX(Stu_Status,((Daily_ClsIdx-1)*30+23)))</f>
        <v/>
      </c>
      <c r="H34" s="36">
        <f>IF(B34="","",INDEX(Stu_ContactReq,((Daily_ClsIdx-1)*30+23)))</f>
        <v/>
      </c>
    </row>
    <row r="35">
      <c r="A35" s="36">
        <f>IF(B35="","",24)</f>
        <v/>
      </c>
      <c r="B35" s="36">
        <f>IF(Daily_ClsIdx=0,"",INDEX(Stu_ID,((Daily_ClsIdx-1)*30+24)))</f>
        <v/>
      </c>
      <c r="C35" s="35">
        <f>IF(B35="","",INDEX(Stu_Name,((Daily_ClsIdx-1)*30+24)))</f>
        <v/>
      </c>
      <c r="D35" s="38">
        <f>IF(B35="","",IF(INDEX(Stu_StStatus,((Daily_ClsIdx-1)*30+24))&lt;&gt;"نشط","غير نشط",IF(Daily_DayIdx=0,"—",IF(E35="","غير محصور",INDEX(StatusLabels,MATCH(E35,StatusCodes,0))))))</f>
        <v/>
      </c>
      <c r="E35" s="36">
        <f>IF(OR(B35="",Daily_DayIdx=0),"",IF(INDEX(CHOOSE(Daily_ClsIdx,'KG1-1'!$AD$7:$IM$7,'KG1-2'!$AD$7:$IM$7,'KG1-3'!$AD$7:$IM$7,'KG1-4'!$AD$7:$IM$7,'KG1-5'!$AD$7:$IM$7,'KG1-6'!$AD$7:$IM$7,'KG1-7'!$AD$7:$IM$7),Daily_DayIdx)&lt;&gt;"✓","",IF(INDEX(CHOOSE(Daily_ClsIdx,'KG1-1'!$AD$9:$IM$38,'KG1-2'!$AD$9:$IM$38,'KG1-3'!$AD$9:$IM$38,'KG1-4'!$AD$9:$IM$38,'KG1-5'!$AD$9:$IM$38,'KG1-6'!$AD$9:$IM$38,'KG1-7'!$AD$9:$IM$38),24,Daily_DayIdx)="","P",IFERROR(INDEX(StatusCodes,MATCH(INDEX(CHOOSE(Daily_ClsIdx,'KG1-1'!$AD$9:$IM$38,'KG1-2'!$AD$9:$IM$38,'KG1-3'!$AD$9:$IM$38,'KG1-4'!$AD$9:$IM$38,'KG1-5'!$AD$9:$IM$38,'KG1-6'!$AD$9:$IM$38,'KG1-7'!$AD$9:$IM$38),24,Daily_DayIdx),StatusLabels,0)),""))))</f>
        <v/>
      </c>
      <c r="F35" s="36">
        <f>IF(B35="","",INDEX(Stu_Abs,((Daily_ClsIdx-1)*30+24)))</f>
        <v/>
      </c>
      <c r="G35" s="36">
        <f>IF(B35="","",INDEX(Stu_Status,((Daily_ClsIdx-1)*30+24)))</f>
        <v/>
      </c>
      <c r="H35" s="36">
        <f>IF(B35="","",INDEX(Stu_ContactReq,((Daily_ClsIdx-1)*30+24)))</f>
        <v/>
      </c>
    </row>
    <row r="36">
      <c r="A36" s="36">
        <f>IF(B36="","",25)</f>
        <v/>
      </c>
      <c r="B36" s="36">
        <f>IF(Daily_ClsIdx=0,"",INDEX(Stu_ID,((Daily_ClsIdx-1)*30+25)))</f>
        <v/>
      </c>
      <c r="C36" s="35">
        <f>IF(B36="","",INDEX(Stu_Name,((Daily_ClsIdx-1)*30+25)))</f>
        <v/>
      </c>
      <c r="D36" s="38">
        <f>IF(B36="","",IF(INDEX(Stu_StStatus,((Daily_ClsIdx-1)*30+25))&lt;&gt;"نشط","غير نشط",IF(Daily_DayIdx=0,"—",IF(E36="","غير محصور",INDEX(StatusLabels,MATCH(E36,StatusCodes,0))))))</f>
        <v/>
      </c>
      <c r="E36" s="36">
        <f>IF(OR(B36="",Daily_DayIdx=0),"",IF(INDEX(CHOOSE(Daily_ClsIdx,'KG1-1'!$AD$7:$IM$7,'KG1-2'!$AD$7:$IM$7,'KG1-3'!$AD$7:$IM$7,'KG1-4'!$AD$7:$IM$7,'KG1-5'!$AD$7:$IM$7,'KG1-6'!$AD$7:$IM$7,'KG1-7'!$AD$7:$IM$7),Daily_DayIdx)&lt;&gt;"✓","",IF(INDEX(CHOOSE(Daily_ClsIdx,'KG1-1'!$AD$9:$IM$38,'KG1-2'!$AD$9:$IM$38,'KG1-3'!$AD$9:$IM$38,'KG1-4'!$AD$9:$IM$38,'KG1-5'!$AD$9:$IM$38,'KG1-6'!$AD$9:$IM$38,'KG1-7'!$AD$9:$IM$38),25,Daily_DayIdx)="","P",IFERROR(INDEX(StatusCodes,MATCH(INDEX(CHOOSE(Daily_ClsIdx,'KG1-1'!$AD$9:$IM$38,'KG1-2'!$AD$9:$IM$38,'KG1-3'!$AD$9:$IM$38,'KG1-4'!$AD$9:$IM$38,'KG1-5'!$AD$9:$IM$38,'KG1-6'!$AD$9:$IM$38,'KG1-7'!$AD$9:$IM$38),25,Daily_DayIdx),StatusLabels,0)),""))))</f>
        <v/>
      </c>
      <c r="F36" s="36">
        <f>IF(B36="","",INDEX(Stu_Abs,((Daily_ClsIdx-1)*30+25)))</f>
        <v/>
      </c>
      <c r="G36" s="36">
        <f>IF(B36="","",INDEX(Stu_Status,((Daily_ClsIdx-1)*30+25)))</f>
        <v/>
      </c>
      <c r="H36" s="36">
        <f>IF(B36="","",INDEX(Stu_ContactReq,((Daily_ClsIdx-1)*30+25)))</f>
        <v/>
      </c>
    </row>
    <row r="37">
      <c r="A37" s="36">
        <f>IF(B37="","",26)</f>
        <v/>
      </c>
      <c r="B37" s="36">
        <f>IF(Daily_ClsIdx=0,"",INDEX(Stu_ID,((Daily_ClsIdx-1)*30+26)))</f>
        <v/>
      </c>
      <c r="C37" s="35">
        <f>IF(B37="","",INDEX(Stu_Name,((Daily_ClsIdx-1)*30+26)))</f>
        <v/>
      </c>
      <c r="D37" s="38">
        <f>IF(B37="","",IF(INDEX(Stu_StStatus,((Daily_ClsIdx-1)*30+26))&lt;&gt;"نشط","غير نشط",IF(Daily_DayIdx=0,"—",IF(E37="","غير محصور",INDEX(StatusLabels,MATCH(E37,StatusCodes,0))))))</f>
        <v/>
      </c>
      <c r="E37" s="36">
        <f>IF(OR(B37="",Daily_DayIdx=0),"",IF(INDEX(CHOOSE(Daily_ClsIdx,'KG1-1'!$AD$7:$IM$7,'KG1-2'!$AD$7:$IM$7,'KG1-3'!$AD$7:$IM$7,'KG1-4'!$AD$7:$IM$7,'KG1-5'!$AD$7:$IM$7,'KG1-6'!$AD$7:$IM$7,'KG1-7'!$AD$7:$IM$7),Daily_DayIdx)&lt;&gt;"✓","",IF(INDEX(CHOOSE(Daily_ClsIdx,'KG1-1'!$AD$9:$IM$38,'KG1-2'!$AD$9:$IM$38,'KG1-3'!$AD$9:$IM$38,'KG1-4'!$AD$9:$IM$38,'KG1-5'!$AD$9:$IM$38,'KG1-6'!$AD$9:$IM$38,'KG1-7'!$AD$9:$IM$38),26,Daily_DayIdx)="","P",IFERROR(INDEX(StatusCodes,MATCH(INDEX(CHOOSE(Daily_ClsIdx,'KG1-1'!$AD$9:$IM$38,'KG1-2'!$AD$9:$IM$38,'KG1-3'!$AD$9:$IM$38,'KG1-4'!$AD$9:$IM$38,'KG1-5'!$AD$9:$IM$38,'KG1-6'!$AD$9:$IM$38,'KG1-7'!$AD$9:$IM$38),26,Daily_DayIdx),StatusLabels,0)),""))))</f>
        <v/>
      </c>
      <c r="F37" s="36">
        <f>IF(B37="","",INDEX(Stu_Abs,((Daily_ClsIdx-1)*30+26)))</f>
        <v/>
      </c>
      <c r="G37" s="36">
        <f>IF(B37="","",INDEX(Stu_Status,((Daily_ClsIdx-1)*30+26)))</f>
        <v/>
      </c>
      <c r="H37" s="36">
        <f>IF(B37="","",INDEX(Stu_ContactReq,((Daily_ClsIdx-1)*30+26)))</f>
        <v/>
      </c>
    </row>
    <row r="38">
      <c r="A38" s="36">
        <f>IF(B38="","",27)</f>
        <v/>
      </c>
      <c r="B38" s="36">
        <f>IF(Daily_ClsIdx=0,"",INDEX(Stu_ID,((Daily_ClsIdx-1)*30+27)))</f>
        <v/>
      </c>
      <c r="C38" s="35">
        <f>IF(B38="","",INDEX(Stu_Name,((Daily_ClsIdx-1)*30+27)))</f>
        <v/>
      </c>
      <c r="D38" s="38">
        <f>IF(B38="","",IF(INDEX(Stu_StStatus,((Daily_ClsIdx-1)*30+27))&lt;&gt;"نشط","غير نشط",IF(Daily_DayIdx=0,"—",IF(E38="","غير محصور",INDEX(StatusLabels,MATCH(E38,StatusCodes,0))))))</f>
        <v/>
      </c>
      <c r="E38" s="36">
        <f>IF(OR(B38="",Daily_DayIdx=0),"",IF(INDEX(CHOOSE(Daily_ClsIdx,'KG1-1'!$AD$7:$IM$7,'KG1-2'!$AD$7:$IM$7,'KG1-3'!$AD$7:$IM$7,'KG1-4'!$AD$7:$IM$7,'KG1-5'!$AD$7:$IM$7,'KG1-6'!$AD$7:$IM$7,'KG1-7'!$AD$7:$IM$7),Daily_DayIdx)&lt;&gt;"✓","",IF(INDEX(CHOOSE(Daily_ClsIdx,'KG1-1'!$AD$9:$IM$38,'KG1-2'!$AD$9:$IM$38,'KG1-3'!$AD$9:$IM$38,'KG1-4'!$AD$9:$IM$38,'KG1-5'!$AD$9:$IM$38,'KG1-6'!$AD$9:$IM$38,'KG1-7'!$AD$9:$IM$38),27,Daily_DayIdx)="","P",IFERROR(INDEX(StatusCodes,MATCH(INDEX(CHOOSE(Daily_ClsIdx,'KG1-1'!$AD$9:$IM$38,'KG1-2'!$AD$9:$IM$38,'KG1-3'!$AD$9:$IM$38,'KG1-4'!$AD$9:$IM$38,'KG1-5'!$AD$9:$IM$38,'KG1-6'!$AD$9:$IM$38,'KG1-7'!$AD$9:$IM$38),27,Daily_DayIdx),StatusLabels,0)),""))))</f>
        <v/>
      </c>
      <c r="F38" s="36">
        <f>IF(B38="","",INDEX(Stu_Abs,((Daily_ClsIdx-1)*30+27)))</f>
        <v/>
      </c>
      <c r="G38" s="36">
        <f>IF(B38="","",INDEX(Stu_Status,((Daily_ClsIdx-1)*30+27)))</f>
        <v/>
      </c>
      <c r="H38" s="36">
        <f>IF(B38="","",INDEX(Stu_ContactReq,((Daily_ClsIdx-1)*30+27)))</f>
        <v/>
      </c>
    </row>
    <row r="39">
      <c r="A39" s="36">
        <f>IF(B39="","",28)</f>
        <v/>
      </c>
      <c r="B39" s="36">
        <f>IF(Daily_ClsIdx=0,"",INDEX(Stu_ID,((Daily_ClsIdx-1)*30+28)))</f>
        <v/>
      </c>
      <c r="C39" s="35">
        <f>IF(B39="","",INDEX(Stu_Name,((Daily_ClsIdx-1)*30+28)))</f>
        <v/>
      </c>
      <c r="D39" s="38">
        <f>IF(B39="","",IF(INDEX(Stu_StStatus,((Daily_ClsIdx-1)*30+28))&lt;&gt;"نشط","غير نشط",IF(Daily_DayIdx=0,"—",IF(E39="","غير محصور",INDEX(StatusLabels,MATCH(E39,StatusCodes,0))))))</f>
        <v/>
      </c>
      <c r="E39" s="36">
        <f>IF(OR(B39="",Daily_DayIdx=0),"",IF(INDEX(CHOOSE(Daily_ClsIdx,'KG1-1'!$AD$7:$IM$7,'KG1-2'!$AD$7:$IM$7,'KG1-3'!$AD$7:$IM$7,'KG1-4'!$AD$7:$IM$7,'KG1-5'!$AD$7:$IM$7,'KG1-6'!$AD$7:$IM$7,'KG1-7'!$AD$7:$IM$7),Daily_DayIdx)&lt;&gt;"✓","",IF(INDEX(CHOOSE(Daily_ClsIdx,'KG1-1'!$AD$9:$IM$38,'KG1-2'!$AD$9:$IM$38,'KG1-3'!$AD$9:$IM$38,'KG1-4'!$AD$9:$IM$38,'KG1-5'!$AD$9:$IM$38,'KG1-6'!$AD$9:$IM$38,'KG1-7'!$AD$9:$IM$38),28,Daily_DayIdx)="","P",IFERROR(INDEX(StatusCodes,MATCH(INDEX(CHOOSE(Daily_ClsIdx,'KG1-1'!$AD$9:$IM$38,'KG1-2'!$AD$9:$IM$38,'KG1-3'!$AD$9:$IM$38,'KG1-4'!$AD$9:$IM$38,'KG1-5'!$AD$9:$IM$38,'KG1-6'!$AD$9:$IM$38,'KG1-7'!$AD$9:$IM$38),28,Daily_DayIdx),StatusLabels,0)),""))))</f>
        <v/>
      </c>
      <c r="F39" s="36">
        <f>IF(B39="","",INDEX(Stu_Abs,((Daily_ClsIdx-1)*30+28)))</f>
        <v/>
      </c>
      <c r="G39" s="36">
        <f>IF(B39="","",INDEX(Stu_Status,((Daily_ClsIdx-1)*30+28)))</f>
        <v/>
      </c>
      <c r="H39" s="36">
        <f>IF(B39="","",INDEX(Stu_ContactReq,((Daily_ClsIdx-1)*30+28)))</f>
        <v/>
      </c>
    </row>
    <row r="40">
      <c r="A40" s="36">
        <f>IF(B40="","",29)</f>
        <v/>
      </c>
      <c r="B40" s="36">
        <f>IF(Daily_ClsIdx=0,"",INDEX(Stu_ID,((Daily_ClsIdx-1)*30+29)))</f>
        <v/>
      </c>
      <c r="C40" s="35">
        <f>IF(B40="","",INDEX(Stu_Name,((Daily_ClsIdx-1)*30+29)))</f>
        <v/>
      </c>
      <c r="D40" s="38">
        <f>IF(B40="","",IF(INDEX(Stu_StStatus,((Daily_ClsIdx-1)*30+29))&lt;&gt;"نشط","غير نشط",IF(Daily_DayIdx=0,"—",IF(E40="","غير محصور",INDEX(StatusLabels,MATCH(E40,StatusCodes,0))))))</f>
        <v/>
      </c>
      <c r="E40" s="36">
        <f>IF(OR(B40="",Daily_DayIdx=0),"",IF(INDEX(CHOOSE(Daily_ClsIdx,'KG1-1'!$AD$7:$IM$7,'KG1-2'!$AD$7:$IM$7,'KG1-3'!$AD$7:$IM$7,'KG1-4'!$AD$7:$IM$7,'KG1-5'!$AD$7:$IM$7,'KG1-6'!$AD$7:$IM$7,'KG1-7'!$AD$7:$IM$7),Daily_DayIdx)&lt;&gt;"✓","",IF(INDEX(CHOOSE(Daily_ClsIdx,'KG1-1'!$AD$9:$IM$38,'KG1-2'!$AD$9:$IM$38,'KG1-3'!$AD$9:$IM$38,'KG1-4'!$AD$9:$IM$38,'KG1-5'!$AD$9:$IM$38,'KG1-6'!$AD$9:$IM$38,'KG1-7'!$AD$9:$IM$38),29,Daily_DayIdx)="","P",IFERROR(INDEX(StatusCodes,MATCH(INDEX(CHOOSE(Daily_ClsIdx,'KG1-1'!$AD$9:$IM$38,'KG1-2'!$AD$9:$IM$38,'KG1-3'!$AD$9:$IM$38,'KG1-4'!$AD$9:$IM$38,'KG1-5'!$AD$9:$IM$38,'KG1-6'!$AD$9:$IM$38,'KG1-7'!$AD$9:$IM$38),29,Daily_DayIdx),StatusLabels,0)),""))))</f>
        <v/>
      </c>
      <c r="F40" s="36">
        <f>IF(B40="","",INDEX(Stu_Abs,((Daily_ClsIdx-1)*30+29)))</f>
        <v/>
      </c>
      <c r="G40" s="36">
        <f>IF(B40="","",INDEX(Stu_Status,((Daily_ClsIdx-1)*30+29)))</f>
        <v/>
      </c>
      <c r="H40" s="36">
        <f>IF(B40="","",INDEX(Stu_ContactReq,((Daily_ClsIdx-1)*30+29)))</f>
        <v/>
      </c>
    </row>
    <row r="41">
      <c r="A41" s="36">
        <f>IF(B41="","",30)</f>
        <v/>
      </c>
      <c r="B41" s="36">
        <f>IF(Daily_ClsIdx=0,"",INDEX(Stu_ID,((Daily_ClsIdx-1)*30+30)))</f>
        <v/>
      </c>
      <c r="C41" s="35">
        <f>IF(B41="","",INDEX(Stu_Name,((Daily_ClsIdx-1)*30+30)))</f>
        <v/>
      </c>
      <c r="D41" s="38">
        <f>IF(B41="","",IF(INDEX(Stu_StStatus,((Daily_ClsIdx-1)*30+30))&lt;&gt;"نشط","غير نشط",IF(Daily_DayIdx=0,"—",IF(E41="","غير محصور",INDEX(StatusLabels,MATCH(E41,StatusCodes,0))))))</f>
        <v/>
      </c>
      <c r="E41" s="36">
        <f>IF(OR(B41="",Daily_DayIdx=0),"",IF(INDEX(CHOOSE(Daily_ClsIdx,'KG1-1'!$AD$7:$IM$7,'KG1-2'!$AD$7:$IM$7,'KG1-3'!$AD$7:$IM$7,'KG1-4'!$AD$7:$IM$7,'KG1-5'!$AD$7:$IM$7,'KG1-6'!$AD$7:$IM$7,'KG1-7'!$AD$7:$IM$7),Daily_DayIdx)&lt;&gt;"✓","",IF(INDEX(CHOOSE(Daily_ClsIdx,'KG1-1'!$AD$9:$IM$38,'KG1-2'!$AD$9:$IM$38,'KG1-3'!$AD$9:$IM$38,'KG1-4'!$AD$9:$IM$38,'KG1-5'!$AD$9:$IM$38,'KG1-6'!$AD$9:$IM$38,'KG1-7'!$AD$9:$IM$38),30,Daily_DayIdx)="","P",IFERROR(INDEX(StatusCodes,MATCH(INDEX(CHOOSE(Daily_ClsIdx,'KG1-1'!$AD$9:$IM$38,'KG1-2'!$AD$9:$IM$38,'KG1-3'!$AD$9:$IM$38,'KG1-4'!$AD$9:$IM$38,'KG1-5'!$AD$9:$IM$38,'KG1-6'!$AD$9:$IM$38,'KG1-7'!$AD$9:$IM$38),30,Daily_DayIdx),StatusLabels,0)),""))))</f>
        <v/>
      </c>
      <c r="F41" s="36">
        <f>IF(B41="","",INDEX(Stu_Abs,((Daily_ClsIdx-1)*30+30)))</f>
        <v/>
      </c>
      <c r="G41" s="36">
        <f>IF(B41="","",INDEX(Stu_Status,((Daily_ClsIdx-1)*30+30)))</f>
        <v/>
      </c>
      <c r="H41" s="36">
        <f>IF(B41="","",INDEX(Stu_ContactReq,((Daily_ClsIdx-1)*30+30)))</f>
        <v/>
      </c>
    </row>
    <row r="44">
      <c r="A44" s="21" t="inlineStr">
        <is>
          <t>جميع الصفوف في هذا اليوم   |   All classes – selected day</t>
        </is>
      </c>
      <c r="B44" s="22" t="n"/>
      <c r="C44" s="22" t="n"/>
      <c r="D44" s="22" t="n"/>
      <c r="E44" s="22" t="n"/>
      <c r="F44" s="22" t="n"/>
      <c r="G44" s="22" t="n"/>
      <c r="H44" s="22" t="n"/>
    </row>
    <row r="45" ht="28" customHeight="1">
      <c r="A45" s="33" t="inlineStr"/>
      <c r="B45" s="33" t="inlineStr">
        <is>
          <t>الصف</t>
        </is>
      </c>
      <c r="C45" s="33" t="inlineStr">
        <is>
          <t>ضمن الحصر؟</t>
        </is>
      </c>
      <c r="D45" s="33" t="inlineStr">
        <is>
          <t>المسجَّلون</t>
        </is>
      </c>
      <c r="E45" s="33" t="inlineStr">
        <is>
          <t>حاضر</t>
        </is>
      </c>
      <c r="F45" s="33" t="inlineStr">
        <is>
          <t>غياب بدون عذر</t>
        </is>
      </c>
      <c r="G45" s="33" t="inlineStr">
        <is>
          <t>غياب بعذر</t>
        </is>
      </c>
      <c r="H45" s="33" t="inlineStr">
        <is>
          <t>متأخر</t>
        </is>
      </c>
      <c r="I45" s="33" t="inlineStr">
        <is>
          <t>نسبة الحضور</t>
        </is>
      </c>
    </row>
    <row r="46">
      <c r="B46" s="38">
        <f>IF(INDEX(ClassActive,1)="نعم",'KG1-1'!$B$2,"")</f>
        <v/>
      </c>
      <c r="C46" s="36">
        <f>IF(OR($B46="",Daily_DayIdx=0),"",IF(INDEX('KG1-1'!$AD$7:$IM$7,Daily_DayIdx)="✓","✓","غير محصور"))</f>
        <v/>
      </c>
      <c r="D46" s="36">
        <f>IF(OR($B46="",Daily_DayIdx=0),"",INDEX('KG1-1'!$AD$44:$IM$44,Daily_DayIdx))</f>
        <v/>
      </c>
      <c r="E46" s="36">
        <f>IF(OR($B46="",Daily_DayIdx=0),"",INDEX('KG1-1'!$AD$43:$IM$43,Daily_DayIdx))</f>
        <v/>
      </c>
      <c r="F46" s="36">
        <f>IF(OR($B46="",Daily_DayIdx=0),"",INDEX('KG1-1'!$AD$40:$IM$40,Daily_DayIdx))</f>
        <v/>
      </c>
      <c r="G46" s="36">
        <f>IF(OR($B46="",Daily_DayIdx=0),"",INDEX('KG1-1'!$AD$41:$IM$41,Daily_DayIdx))</f>
        <v/>
      </c>
      <c r="H46" s="36">
        <f>IF(OR($B46="",Daily_DayIdx=0),"",INDEX('KG1-1'!$AD$42:$IM$42,Daily_DayIdx))</f>
        <v/>
      </c>
      <c r="I46" s="50">
        <f>IF(OR($B46="",Daily_DayIdx=0),"",INDEX('KG1-1'!$AD$45:$IM$45,Daily_DayIdx))</f>
        <v/>
      </c>
    </row>
    <row r="47">
      <c r="B47" s="38">
        <f>IF(INDEX(ClassActive,2)="نعم",'KG1-2'!$B$2,"")</f>
        <v/>
      </c>
      <c r="C47" s="36">
        <f>IF(OR($B47="",Daily_DayIdx=0),"",IF(INDEX('KG1-2'!$AD$7:$IM$7,Daily_DayIdx)="✓","✓","غير محصور"))</f>
        <v/>
      </c>
      <c r="D47" s="36">
        <f>IF(OR($B47="",Daily_DayIdx=0),"",INDEX('KG1-2'!$AD$44:$IM$44,Daily_DayIdx))</f>
        <v/>
      </c>
      <c r="E47" s="36">
        <f>IF(OR($B47="",Daily_DayIdx=0),"",INDEX('KG1-2'!$AD$43:$IM$43,Daily_DayIdx))</f>
        <v/>
      </c>
      <c r="F47" s="36">
        <f>IF(OR($B47="",Daily_DayIdx=0),"",INDEX('KG1-2'!$AD$40:$IM$40,Daily_DayIdx))</f>
        <v/>
      </c>
      <c r="G47" s="36">
        <f>IF(OR($B47="",Daily_DayIdx=0),"",INDEX('KG1-2'!$AD$41:$IM$41,Daily_DayIdx))</f>
        <v/>
      </c>
      <c r="H47" s="36">
        <f>IF(OR($B47="",Daily_DayIdx=0),"",INDEX('KG1-2'!$AD$42:$IM$42,Daily_DayIdx))</f>
        <v/>
      </c>
      <c r="I47" s="50">
        <f>IF(OR($B47="",Daily_DayIdx=0),"",INDEX('KG1-2'!$AD$45:$IM$45,Daily_DayIdx))</f>
        <v/>
      </c>
    </row>
    <row r="48">
      <c r="B48" s="38">
        <f>IF(INDEX(ClassActive,3)="نعم",'KG1-3'!$B$2,"")</f>
        <v/>
      </c>
      <c r="C48" s="36">
        <f>IF(OR($B48="",Daily_DayIdx=0),"",IF(INDEX('KG1-3'!$AD$7:$IM$7,Daily_DayIdx)="✓","✓","غير محصور"))</f>
        <v/>
      </c>
      <c r="D48" s="36">
        <f>IF(OR($B48="",Daily_DayIdx=0),"",INDEX('KG1-3'!$AD$44:$IM$44,Daily_DayIdx))</f>
        <v/>
      </c>
      <c r="E48" s="36">
        <f>IF(OR($B48="",Daily_DayIdx=0),"",INDEX('KG1-3'!$AD$43:$IM$43,Daily_DayIdx))</f>
        <v/>
      </c>
      <c r="F48" s="36">
        <f>IF(OR($B48="",Daily_DayIdx=0),"",INDEX('KG1-3'!$AD$40:$IM$40,Daily_DayIdx))</f>
        <v/>
      </c>
      <c r="G48" s="36">
        <f>IF(OR($B48="",Daily_DayIdx=0),"",INDEX('KG1-3'!$AD$41:$IM$41,Daily_DayIdx))</f>
        <v/>
      </c>
      <c r="H48" s="36">
        <f>IF(OR($B48="",Daily_DayIdx=0),"",INDEX('KG1-3'!$AD$42:$IM$42,Daily_DayIdx))</f>
        <v/>
      </c>
      <c r="I48" s="50">
        <f>IF(OR($B48="",Daily_DayIdx=0),"",INDEX('KG1-3'!$AD$45:$IM$45,Daily_DayIdx))</f>
        <v/>
      </c>
    </row>
    <row r="49">
      <c r="B49" s="38">
        <f>IF(INDEX(ClassActive,4)="نعم",'KG1-4'!$B$2,"")</f>
        <v/>
      </c>
      <c r="C49" s="36">
        <f>IF(OR($B49="",Daily_DayIdx=0),"",IF(INDEX('KG1-4'!$AD$7:$IM$7,Daily_DayIdx)="✓","✓","غير محصور"))</f>
        <v/>
      </c>
      <c r="D49" s="36">
        <f>IF(OR($B49="",Daily_DayIdx=0),"",INDEX('KG1-4'!$AD$44:$IM$44,Daily_DayIdx))</f>
        <v/>
      </c>
      <c r="E49" s="36">
        <f>IF(OR($B49="",Daily_DayIdx=0),"",INDEX('KG1-4'!$AD$43:$IM$43,Daily_DayIdx))</f>
        <v/>
      </c>
      <c r="F49" s="36">
        <f>IF(OR($B49="",Daily_DayIdx=0),"",INDEX('KG1-4'!$AD$40:$IM$40,Daily_DayIdx))</f>
        <v/>
      </c>
      <c r="G49" s="36">
        <f>IF(OR($B49="",Daily_DayIdx=0),"",INDEX('KG1-4'!$AD$41:$IM$41,Daily_DayIdx))</f>
        <v/>
      </c>
      <c r="H49" s="36">
        <f>IF(OR($B49="",Daily_DayIdx=0),"",INDEX('KG1-4'!$AD$42:$IM$42,Daily_DayIdx))</f>
        <v/>
      </c>
      <c r="I49" s="50">
        <f>IF(OR($B49="",Daily_DayIdx=0),"",INDEX('KG1-4'!$AD$45:$IM$45,Daily_DayIdx))</f>
        <v/>
      </c>
    </row>
    <row r="50">
      <c r="B50" s="38">
        <f>IF(INDEX(ClassActive,5)="نعم",'KG1-5'!$B$2,"")</f>
        <v/>
      </c>
      <c r="C50" s="36">
        <f>IF(OR($B50="",Daily_DayIdx=0),"",IF(INDEX('KG1-5'!$AD$7:$IM$7,Daily_DayIdx)="✓","✓","غير محصور"))</f>
        <v/>
      </c>
      <c r="D50" s="36">
        <f>IF(OR($B50="",Daily_DayIdx=0),"",INDEX('KG1-5'!$AD$44:$IM$44,Daily_DayIdx))</f>
        <v/>
      </c>
      <c r="E50" s="36">
        <f>IF(OR($B50="",Daily_DayIdx=0),"",INDEX('KG1-5'!$AD$43:$IM$43,Daily_DayIdx))</f>
        <v/>
      </c>
      <c r="F50" s="36">
        <f>IF(OR($B50="",Daily_DayIdx=0),"",INDEX('KG1-5'!$AD$40:$IM$40,Daily_DayIdx))</f>
        <v/>
      </c>
      <c r="G50" s="36">
        <f>IF(OR($B50="",Daily_DayIdx=0),"",INDEX('KG1-5'!$AD$41:$IM$41,Daily_DayIdx))</f>
        <v/>
      </c>
      <c r="H50" s="36">
        <f>IF(OR($B50="",Daily_DayIdx=0),"",INDEX('KG1-5'!$AD$42:$IM$42,Daily_DayIdx))</f>
        <v/>
      </c>
      <c r="I50" s="50">
        <f>IF(OR($B50="",Daily_DayIdx=0),"",INDEX('KG1-5'!$AD$45:$IM$45,Daily_DayIdx))</f>
        <v/>
      </c>
    </row>
    <row r="51">
      <c r="B51" s="38">
        <f>IF(INDEX(ClassActive,6)="نعم",'KG1-6'!$B$2,"")</f>
        <v/>
      </c>
      <c r="C51" s="36">
        <f>IF(OR($B51="",Daily_DayIdx=0),"",IF(INDEX('KG1-6'!$AD$7:$IM$7,Daily_DayIdx)="✓","✓","غير محصور"))</f>
        <v/>
      </c>
      <c r="D51" s="36">
        <f>IF(OR($B51="",Daily_DayIdx=0),"",INDEX('KG1-6'!$AD$44:$IM$44,Daily_DayIdx))</f>
        <v/>
      </c>
      <c r="E51" s="36">
        <f>IF(OR($B51="",Daily_DayIdx=0),"",INDEX('KG1-6'!$AD$43:$IM$43,Daily_DayIdx))</f>
        <v/>
      </c>
      <c r="F51" s="36">
        <f>IF(OR($B51="",Daily_DayIdx=0),"",INDEX('KG1-6'!$AD$40:$IM$40,Daily_DayIdx))</f>
        <v/>
      </c>
      <c r="G51" s="36">
        <f>IF(OR($B51="",Daily_DayIdx=0),"",INDEX('KG1-6'!$AD$41:$IM$41,Daily_DayIdx))</f>
        <v/>
      </c>
      <c r="H51" s="36">
        <f>IF(OR($B51="",Daily_DayIdx=0),"",INDEX('KG1-6'!$AD$42:$IM$42,Daily_DayIdx))</f>
        <v/>
      </c>
      <c r="I51" s="50">
        <f>IF(OR($B51="",Daily_DayIdx=0),"",INDEX('KG1-6'!$AD$45:$IM$45,Daily_DayIdx))</f>
        <v/>
      </c>
    </row>
    <row r="52">
      <c r="B52" s="38">
        <f>IF(INDEX(ClassActive,7)="نعم",'KG1-7'!$B$2,"")</f>
        <v/>
      </c>
      <c r="C52" s="36">
        <f>IF(OR($B52="",Daily_DayIdx=0),"",IF(INDEX('KG1-7'!$AD$7:$IM$7,Daily_DayIdx)="✓","✓","غير محصور"))</f>
        <v/>
      </c>
      <c r="D52" s="36">
        <f>IF(OR($B52="",Daily_DayIdx=0),"",INDEX('KG1-7'!$AD$44:$IM$44,Daily_DayIdx))</f>
        <v/>
      </c>
      <c r="E52" s="36">
        <f>IF(OR($B52="",Daily_DayIdx=0),"",INDEX('KG1-7'!$AD$43:$IM$43,Daily_DayIdx))</f>
        <v/>
      </c>
      <c r="F52" s="36">
        <f>IF(OR($B52="",Daily_DayIdx=0),"",INDEX('KG1-7'!$AD$40:$IM$40,Daily_DayIdx))</f>
        <v/>
      </c>
      <c r="G52" s="36">
        <f>IF(OR($B52="",Daily_DayIdx=0),"",INDEX('KG1-7'!$AD$41:$IM$41,Daily_DayIdx))</f>
        <v/>
      </c>
      <c r="H52" s="36">
        <f>IF(OR($B52="",Daily_DayIdx=0),"",INDEX('KG1-7'!$AD$42:$IM$42,Daily_DayIdx))</f>
        <v/>
      </c>
      <c r="I52" s="50">
        <f>IF(OR($B52="",Daily_DayIdx=0),"",INDEX('KG1-7'!$AD$45:$IM$45,Daily_DayIdx))</f>
        <v/>
      </c>
    </row>
  </sheetData>
  <sheetProtection selectLockedCells="0" selectUnlockedCells="0" sheet="1" objects="0" insertRows="1" insertHyperlinks="1" autoFilter="0" scenarios="0" formatColumns="0" deleteColumns="1" insertColumns="1" pivotTables="1" deleteRows="1" formatCells="1" formatRows="0" sort="0"/>
  <conditionalFormatting sqref="D8">
    <cfRule type="expression" priority="1" dxfId="6">
      <formula>$D$8="غير محصور"</formula>
    </cfRule>
    <cfRule type="expression" priority="2" dxfId="3">
      <formula>$D$8="✓ محصور"</formula>
    </cfRule>
  </conditionalFormatting>
  <conditionalFormatting sqref="D12:D41">
    <cfRule type="expression" priority="3" dxfId="3">
      <formula>$D12="حاضر"</formula>
    </cfRule>
    <cfRule type="expression" priority="4" dxfId="10">
      <formula>$D12="غياب بدون عذر"</formula>
    </cfRule>
    <cfRule type="expression" priority="5" dxfId="11">
      <formula>$D12="غياب بعذر"</formula>
    </cfRule>
    <cfRule type="expression" priority="6" dxfId="12">
      <formula>$D12="متأخر"</formula>
    </cfRule>
    <cfRule type="expression" priority="7" dxfId="6">
      <formula>$D12="غير محصور"</formula>
    </cfRule>
  </conditionalFormatting>
  <conditionalFormatting sqref="G12:G41">
    <cfRule type="expression" priority="8" dxfId="8">
      <formula>ISNUMBER(SEARCH("حرجة",$G12))</formula>
    </cfRule>
    <cfRule type="expression" priority="9" dxfId="6">
      <formula>ISNUMBER(SEARCH("⚠",$G12))</formula>
    </cfRule>
  </conditionalFormatting>
  <conditionalFormatting sqref="H12:H41">
    <cfRule type="expression" priority="10" dxfId="2">
      <formula>ISNUMBER(SEARCH("مطلوب",$H12))</formula>
    </cfRule>
  </conditionalFormatting>
  <conditionalFormatting sqref="C46:C53">
    <cfRule type="expression" priority="11" dxfId="6">
      <formula>$C46="غير محصور"</formula>
    </cfRule>
  </conditionalFormatting>
  <dataValidations count="2">
    <dataValidation sqref="E4" showDropDown="0" showInputMessage="1" showErrorMessage="1" allowBlank="0" errorTitle="قيمة غير صحيحة" error="اختاري صفًا مفعّلًا" type="list">
      <formula1>'الإعدادات'!$G$43:$G$49</formula1>
    </dataValidation>
    <dataValidation sqref="B4" showDropDown="0" showInputMessage="1" showErrorMessage="1" allowBlank="1" errorTitle="تاريخ غير صحيح" error="اختاري يوم دوام من القائمة" promptTitle="التاريخ" prompt="اختاري التاريخ (السابق أو الحالي) الذي تريدين تسجيله أو مراجعته" type="list">
      <formula1>'التقويم'!$A$5:$A$222</formula1>
    </dataValidation>
  </dataValidations>
  <pageMargins left="0.75" right="0.75" top="1" bottom="1" header="0.5" footer="0.5"/>
</worksheet>
</file>

<file path=xl/worksheets/sheet3.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أسبوعًا",IFERROR(HYPERLINK("#'KG1-1'!"&amp;ADDRESS(9,29+MATCH(INDEX(Week_From,MATCH($I$1,Week_Label,0)),$AD$5:$IM$5,0)),"⬅ فتح أيام الأسبوع"),"⚠ أسبوع غير معروف"))</f>
        <v/>
      </c>
      <c r="K1" s="61">
        <f>HYPERLINK("#'KG1-1'!D9","⬅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KG1-1</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تاريخًا",IFERROR(HYPERLINK("#'KG1-1'!"&amp;ADDRESS(9,29+MATCH($I$3,$AD$5:$IM$5,0)),"⬅ فتح عمود "&amp;TEXT($I$3,"dd/mm/yyyy")),"⚠ ليس يوم دوام"))</f>
        <v/>
      </c>
      <c r="K3" s="61">
        <f>HYPERLINK("#'KG1-1'!"&amp;ADDRESS(9,29+IFERROR(MATCH(TODAY(),$AD$5:$IM$5,1),1)),"⬅ عمود اليوم")</f>
        <v/>
      </c>
      <c r="L3" s="61">
        <f>HYPERLINK("#'KG1-1'!"&amp;ADDRESS(9,29+IFERROR(MATCH($L$2,$AD$5:$IM$5,1),1)),"⬅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26101</v>
      </c>
      <c r="C9" s="90" t="inlineStr">
        <is>
          <t>أحمد محمد النعيمي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0506360060</t>
        </is>
      </c>
      <c r="K9" s="92" t="inlineStr">
        <is>
          <t>محمد النعيمي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0506360060</t>
        </is>
      </c>
      <c r="AA9" s="89" t="inlineStr">
        <is>
          <t>0559876543</t>
        </is>
      </c>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26102</v>
      </c>
      <c r="C10" s="90" t="inlineStr">
        <is>
          <t>شما سعيد البلوشي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0569586960</t>
        </is>
      </c>
      <c r="K10" s="92" t="inlineStr">
        <is>
          <t>سعيد البلوشي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0569586960</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غياب بدون عذر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غياب بعذر</t>
        </is>
      </c>
      <c r="BM10" s="94" t="inlineStr">
        <is>
          <t>حاضر</t>
        </is>
      </c>
      <c r="BN10" s="94" t="inlineStr">
        <is>
          <t>حاضر</t>
        </is>
      </c>
      <c r="BO10" s="94" t="inlineStr">
        <is>
          <t>غياب بدون عذر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26103</v>
      </c>
      <c r="C11" s="90" t="inlineStr">
        <is>
          <t>حمدان سلطان العامري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0504746093</t>
        </is>
      </c>
      <c r="K11" s="92" t="inlineStr">
        <is>
          <t>سلطان العامري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0504746093</t>
        </is>
      </c>
      <c r="AA11" s="89" t="n"/>
      <c r="AB11" s="89" t="n"/>
      <c r="AC11" s="89" t="n"/>
      <c r="AD11" s="94" t="inlineStr">
        <is>
          <t>حاضر</t>
        </is>
      </c>
      <c r="AE11" s="94" t="inlineStr">
        <is>
          <t>حاضر</t>
        </is>
      </c>
      <c r="AF11" s="94" t="inlineStr">
        <is>
          <t>حاضر</t>
        </is>
      </c>
      <c r="AG11" s="94" t="inlineStr">
        <is>
          <t>غياب بعذر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متأخر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غياب بدون عذر</t>
        </is>
      </c>
      <c r="BP11" s="94" t="inlineStr">
        <is>
          <t>حاضر</t>
        </is>
      </c>
      <c r="BQ11" s="94" t="inlineStr">
        <is>
          <t>حاضر</t>
        </is>
      </c>
      <c r="BR11" s="94" t="inlineStr">
        <is>
          <t>غياب بدون عذر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غياب بدون عذر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26104</v>
      </c>
      <c r="C12" s="90" t="inlineStr">
        <is>
          <t>موزة خليفة المنصوري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0568056747</t>
        </is>
      </c>
      <c r="K12" s="92" t="inlineStr">
        <is>
          <t>خليفة المنصوري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0568056747</t>
        </is>
      </c>
      <c r="AA12" s="89" t="n"/>
      <c r="AB12" s="89" t="n"/>
      <c r="AC12" s="89" t="n"/>
      <c r="AD12" s="94" t="inlineStr">
        <is>
          <t>حاضر</t>
        </is>
      </c>
      <c r="AE12" s="94" t="inlineStr">
        <is>
          <t>حاضر</t>
        </is>
      </c>
      <c r="AF12" s="94" t="inlineStr">
        <is>
          <t>غياب بدون عذر</t>
        </is>
      </c>
      <c r="AG12" s="94" t="inlineStr">
        <is>
          <t>حاضر</t>
        </is>
      </c>
      <c r="AH12" s="94" t="inlineStr">
        <is>
          <t>حاضر</t>
        </is>
      </c>
      <c r="AI12" s="94" t="inlineStr">
        <is>
          <t>حاضر</t>
        </is>
      </c>
      <c r="AJ12" s="94" t="inlineStr">
        <is>
          <t>حاضر</t>
        </is>
      </c>
      <c r="AK12" s="94" t="inlineStr">
        <is>
          <t>غياب بدون عذر</t>
        </is>
      </c>
      <c r="AL12" s="94" t="inlineStr">
        <is>
          <t>حاضر</t>
        </is>
      </c>
      <c r="AM12" s="94" t="inlineStr">
        <is>
          <t>حاضر</t>
        </is>
      </c>
      <c r="AN12" s="94" t="inlineStr">
        <is>
          <t>حاضر</t>
        </is>
      </c>
      <c r="AO12" s="94" t="inlineStr">
        <is>
          <t>غياب بدون عذر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غياب بدون عذر</t>
        </is>
      </c>
      <c r="BC12" s="94" t="inlineStr">
        <is>
          <t>حاضر</t>
        </is>
      </c>
      <c r="BD12" s="94" t="inlineStr">
        <is>
          <t>حاضر</t>
        </is>
      </c>
      <c r="BE12" s="94" t="inlineStr">
        <is>
          <t>حاضر</t>
        </is>
      </c>
      <c r="BF12" s="94" t="inlineStr">
        <is>
          <t>حاضر</t>
        </is>
      </c>
      <c r="BG12" s="94" t="inlineStr">
        <is>
          <t>متأخر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غياب بدون عذر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26105</v>
      </c>
      <c r="C13" s="90" t="inlineStr">
        <is>
          <t>ماجد محمد الزعابي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0569236009</t>
        </is>
      </c>
      <c r="K13" s="92" t="inlineStr">
        <is>
          <t>محمد الزعابي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0569236009</t>
        </is>
      </c>
      <c r="AA13" s="89" t="n"/>
      <c r="AB13" s="89" t="n"/>
      <c r="AC13" s="89" t="n"/>
      <c r="AD13" s="94" t="inlineStr">
        <is>
          <t>غياب بدون عذر</t>
        </is>
      </c>
      <c r="AE13" s="94" t="inlineStr">
        <is>
          <t>حاضر</t>
        </is>
      </c>
      <c r="AF13" s="94" t="inlineStr">
        <is>
          <t>حاضر</t>
        </is>
      </c>
      <c r="AG13" s="94" t="inlineStr">
        <is>
          <t>حاضر</t>
        </is>
      </c>
      <c r="AH13" s="94" t="inlineStr">
        <is>
          <t>غياب بدون عذر</t>
        </is>
      </c>
      <c r="AI13" s="94" t="inlineStr">
        <is>
          <t>حاضر</t>
        </is>
      </c>
      <c r="AJ13" s="94" t="inlineStr">
        <is>
          <t>غياب بدون عذر</t>
        </is>
      </c>
      <c r="AK13" s="94" t="inlineStr">
        <is>
          <t>حاضر</t>
        </is>
      </c>
      <c r="AL13" s="94" t="inlineStr">
        <is>
          <t>حاضر</t>
        </is>
      </c>
      <c r="AM13" s="94" t="inlineStr">
        <is>
          <t>حاضر</t>
        </is>
      </c>
      <c r="AN13" s="94" t="inlineStr">
        <is>
          <t>متأخر</t>
        </is>
      </c>
      <c r="AO13" s="94" t="inlineStr">
        <is>
          <t>حاضر</t>
        </is>
      </c>
      <c r="AP13" s="94" t="inlineStr">
        <is>
          <t>حاضر</t>
        </is>
      </c>
      <c r="AQ13" s="94" t="inlineStr">
        <is>
          <t>حاضر</t>
        </is>
      </c>
      <c r="AR13" s="94" t="inlineStr">
        <is>
          <t>غياب بدون عذر</t>
        </is>
      </c>
      <c r="AS13" s="94" t="inlineStr">
        <is>
          <t>حاضر</t>
        </is>
      </c>
      <c r="AT13" s="94" t="inlineStr">
        <is>
          <t>حاضر</t>
        </is>
      </c>
      <c r="AU13" s="94" t="inlineStr">
        <is>
          <t>حاضر</t>
        </is>
      </c>
      <c r="AV13" s="94" t="inlineStr">
        <is>
          <t>غياب بدون عذر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غياب بدون عذر</t>
        </is>
      </c>
      <c r="BO13" s="94" t="inlineStr">
        <is>
          <t>حاضر</t>
        </is>
      </c>
      <c r="BP13" s="94" t="inlineStr">
        <is>
          <t>حاضر</t>
        </is>
      </c>
      <c r="BQ13" s="94" t="inlineStr">
        <is>
          <t>غياب بدون عذر</t>
        </is>
      </c>
      <c r="BR13" s="94" t="inlineStr">
        <is>
          <t>حاضر</t>
        </is>
      </c>
      <c r="BS13" s="94" t="inlineStr">
        <is>
          <t>حاضر</t>
        </is>
      </c>
      <c r="BT13" s="94" t="inlineStr">
        <is>
          <t>حاضر</t>
        </is>
      </c>
      <c r="BU13" s="94" t="inlineStr">
        <is>
          <t>غياب بدون عذر</t>
        </is>
      </c>
      <c r="BV13" s="94" t="inlineStr">
        <is>
          <t>غياب بدون عذر</t>
        </is>
      </c>
      <c r="BW13" s="94" t="inlineStr">
        <is>
          <t>غياب بدون عذر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26106</v>
      </c>
      <c r="C14" s="90" t="inlineStr">
        <is>
          <t>دانة سعيد الحوسني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0568400346</t>
        </is>
      </c>
      <c r="K14" s="92" t="inlineStr">
        <is>
          <t>سعيد الحوسني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0568400346</t>
        </is>
      </c>
      <c r="AA14" s="89" t="n"/>
      <c r="AB14" s="89" t="n"/>
      <c r="AC14" s="89" t="n"/>
      <c r="AD14" s="94" t="inlineStr">
        <is>
          <t>حاضر</t>
        </is>
      </c>
      <c r="AE14" s="94" t="inlineStr">
        <is>
          <t>حاضر</t>
        </is>
      </c>
      <c r="AF14" s="94" t="inlineStr">
        <is>
          <t>غياب بدون عذر</t>
        </is>
      </c>
      <c r="AG14" s="94" t="inlineStr">
        <is>
          <t>حاضر</t>
        </is>
      </c>
      <c r="AH14" s="94" t="inlineStr">
        <is>
          <t>حاضر</t>
        </is>
      </c>
      <c r="AI14" s="94" t="inlineStr">
        <is>
          <t>حاضر</t>
        </is>
      </c>
      <c r="AJ14" s="94" t="inlineStr">
        <is>
          <t>غياب بدون عذر</t>
        </is>
      </c>
      <c r="AK14" s="94" t="inlineStr">
        <is>
          <t>غياب بدون عذر</t>
        </is>
      </c>
      <c r="AL14" s="94" t="inlineStr">
        <is>
          <t>حاضر</t>
        </is>
      </c>
      <c r="AM14" s="94" t="inlineStr">
        <is>
          <t>حاضر</t>
        </is>
      </c>
      <c r="AN14" s="94" t="inlineStr">
        <is>
          <t>حاضر</t>
        </is>
      </c>
      <c r="AO14" s="94" t="inlineStr">
        <is>
          <t>غياب بعذر</t>
        </is>
      </c>
      <c r="AP14" s="94" t="inlineStr">
        <is>
          <t>غياب بدون عذر</t>
        </is>
      </c>
      <c r="AQ14" s="94" t="inlineStr">
        <is>
          <t>حاضر</t>
        </is>
      </c>
      <c r="AR14" s="94" t="inlineStr">
        <is>
          <t>حاضر</t>
        </is>
      </c>
      <c r="AS14" s="94" t="inlineStr">
        <is>
          <t>حاضر</t>
        </is>
      </c>
      <c r="AT14" s="94" t="inlineStr">
        <is>
          <t>حاضر</t>
        </is>
      </c>
      <c r="AU14" s="94" t="inlineStr">
        <is>
          <t>غياب بدون عذر</t>
        </is>
      </c>
      <c r="AV14" s="94" t="inlineStr">
        <is>
          <t>غياب بدون عذر</t>
        </is>
      </c>
      <c r="AW14" s="94" t="inlineStr">
        <is>
          <t>حاضر</t>
        </is>
      </c>
      <c r="AX14" s="94" t="inlineStr">
        <is>
          <t>غياب بدون عذر</t>
        </is>
      </c>
      <c r="AY14" s="94" t="inlineStr">
        <is>
          <t>حاضر</t>
        </is>
      </c>
      <c r="AZ14" s="94" t="inlineStr">
        <is>
          <t>حاضر</t>
        </is>
      </c>
      <c r="BA14" s="94" t="inlineStr">
        <is>
          <t>حاضر</t>
        </is>
      </c>
      <c r="BB14" s="94" t="inlineStr">
        <is>
          <t>حاضر</t>
        </is>
      </c>
      <c r="BC14" s="94" t="inlineStr">
        <is>
          <t>غياب بدون عذر</t>
        </is>
      </c>
      <c r="BD14" s="94" t="inlineStr">
        <is>
          <t>حاضر</t>
        </is>
      </c>
      <c r="BE14" s="94" t="inlineStr">
        <is>
          <t>حاضر</t>
        </is>
      </c>
      <c r="BF14" s="94" t="inlineStr">
        <is>
          <t>غياب بدون عذر</t>
        </is>
      </c>
      <c r="BG14" s="94" t="inlineStr">
        <is>
          <t>حاضر</t>
        </is>
      </c>
      <c r="BH14" s="94" t="inlineStr">
        <is>
          <t>غياب بدون عذر</t>
        </is>
      </c>
      <c r="BI14" s="94" t="inlineStr">
        <is>
          <t>حاضر</t>
        </is>
      </c>
      <c r="BJ14" s="94" t="inlineStr">
        <is>
          <t>حاضر</t>
        </is>
      </c>
      <c r="BK14" s="94" t="inlineStr">
        <is>
          <t>حاضر</t>
        </is>
      </c>
      <c r="BL14" s="94" t="inlineStr">
        <is>
          <t>حاضر</t>
        </is>
      </c>
      <c r="BM14" s="94" t="inlineStr">
        <is>
          <t>غياب بدون عذر</t>
        </is>
      </c>
      <c r="BN14" s="94" t="inlineStr">
        <is>
          <t>غياب بدون عذر</t>
        </is>
      </c>
      <c r="BO14" s="94" t="inlineStr">
        <is>
          <t>حاضر</t>
        </is>
      </c>
      <c r="BP14" s="94" t="inlineStr">
        <is>
          <t>غياب بدون عذر</t>
        </is>
      </c>
      <c r="BQ14" s="94" t="inlineStr">
        <is>
          <t>حاضر</t>
        </is>
      </c>
      <c r="BR14" s="94" t="inlineStr">
        <is>
          <t>غياب بدون عذر</t>
        </is>
      </c>
      <c r="BS14" s="94" t="inlineStr">
        <is>
          <t>غياب بدون عذر</t>
        </is>
      </c>
      <c r="BT14" s="94" t="inlineStr">
        <is>
          <t>غياب بدون عذر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26107</v>
      </c>
      <c r="C15" s="90" t="inlineStr">
        <is>
          <t>طارق سلطان الشامسي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0521042527</t>
        </is>
      </c>
      <c r="K15" s="92" t="inlineStr">
        <is>
          <t>سلطان الشامسي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0521042527</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غياب بدون عذر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متأخر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غياب بعذر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26108</v>
      </c>
      <c r="C16" s="90" t="inlineStr">
        <is>
          <t>فاطمة خليفة السويدي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0562354318</t>
        </is>
      </c>
      <c r="K16" s="92" t="inlineStr">
        <is>
          <t>خليفة السويدي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0562354318</t>
        </is>
      </c>
      <c r="AA16" s="89" t="n"/>
      <c r="AB16" s="89" t="n"/>
      <c r="AC16" s="89" t="n"/>
      <c r="AD16" s="94" t="inlineStr">
        <is>
          <t>حاضر</t>
        </is>
      </c>
      <c r="AE16" s="94" t="inlineStr">
        <is>
          <t>حاضر</t>
        </is>
      </c>
      <c r="AF16" s="94" t="inlineStr">
        <is>
          <t>حاضر</t>
        </is>
      </c>
      <c r="AG16" s="94" t="inlineStr">
        <is>
          <t>حاضر</t>
        </is>
      </c>
      <c r="AH16" s="94" t="inlineStr">
        <is>
          <t>غياب بدون عذر</t>
        </is>
      </c>
      <c r="AI16" s="94" t="inlineStr">
        <is>
          <t>حاضر</t>
        </is>
      </c>
      <c r="AJ16" s="94" t="inlineStr">
        <is>
          <t>حاضر</t>
        </is>
      </c>
      <c r="AK16" s="94" t="inlineStr">
        <is>
          <t>غياب بدون عذر</t>
        </is>
      </c>
      <c r="AL16" s="94" t="inlineStr">
        <is>
          <t>حاضر</t>
        </is>
      </c>
      <c r="AM16" s="94" t="inlineStr">
        <is>
          <t>حاضر</t>
        </is>
      </c>
      <c r="AN16" s="94" t="inlineStr">
        <is>
          <t>غياب بدون عذر</t>
        </is>
      </c>
      <c r="AO16" s="94" t="inlineStr">
        <is>
          <t>حاضر</t>
        </is>
      </c>
      <c r="AP16" s="94" t="inlineStr">
        <is>
          <t>حاضر</t>
        </is>
      </c>
      <c r="AQ16" s="94" t="inlineStr">
        <is>
          <t>حاضر</t>
        </is>
      </c>
      <c r="AR16" s="94" t="inlineStr">
        <is>
          <t>متأخر</t>
        </is>
      </c>
      <c r="AS16" s="94" t="inlineStr">
        <is>
          <t>غياب بعذر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26109</v>
      </c>
      <c r="C17" s="90" t="inlineStr">
        <is>
          <t>راشد محمد المرزوقي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0505819091</t>
        </is>
      </c>
      <c r="K17" s="92" t="inlineStr">
        <is>
          <t>محمد المرزوقي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0505819091</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غياب بدون عذر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26110</v>
      </c>
      <c r="C18" s="90" t="inlineStr">
        <is>
          <t>سارة سعيد الكعبي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0508543956</t>
        </is>
      </c>
      <c r="K18" s="92" t="inlineStr">
        <is>
          <t>سعيد الكعبي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0508543956</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غياب بدون عذر</t>
        </is>
      </c>
      <c r="AQ18" s="94" t="inlineStr">
        <is>
          <t>حاضر</t>
        </is>
      </c>
      <c r="AR18" s="94" t="inlineStr">
        <is>
          <t>حاضر</t>
        </is>
      </c>
      <c r="AS18" s="94" t="inlineStr">
        <is>
          <t>حاضر</t>
        </is>
      </c>
      <c r="AT18" s="94" t="inlineStr">
        <is>
          <t>حاضر</t>
        </is>
      </c>
      <c r="AU18" s="94" t="inlineStr">
        <is>
          <t>حاضر</t>
        </is>
      </c>
      <c r="AV18" s="94" t="inlineStr">
        <is>
          <t>متأخر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غياب بدون عذر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غياب بدون عذر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26111</v>
      </c>
      <c r="C19" s="90" t="inlineStr">
        <is>
          <t>عمر سلطان المهيري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0509225646</t>
        </is>
      </c>
      <c r="K19" s="92" t="inlineStr">
        <is>
          <t>سلطان المهيري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0509225646</t>
        </is>
      </c>
      <c r="AA19" s="89" t="n"/>
      <c r="AB19" s="89" t="n"/>
      <c r="AC19" s="89" t="n"/>
      <c r="AD19" s="94" t="inlineStr">
        <is>
          <t>حاضر</t>
        </is>
      </c>
      <c r="AE19" s="94" t="inlineStr">
        <is>
          <t>حاضر</t>
        </is>
      </c>
      <c r="AF19" s="94" t="inlineStr">
        <is>
          <t>حاضر</t>
        </is>
      </c>
      <c r="AG19" s="94" t="inlineStr">
        <is>
          <t>حاضر</t>
        </is>
      </c>
      <c r="AH19" s="94" t="inlineStr">
        <is>
          <t>غياب بدون عذر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غياب بدون عذر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غياب بدون عذر</t>
        </is>
      </c>
      <c r="BS19" s="94" t="inlineStr">
        <is>
          <t>حاضر</t>
        </is>
      </c>
      <c r="BT19" s="94" t="inlineStr">
        <is>
          <t>حاضر</t>
        </is>
      </c>
      <c r="BU19" s="94" t="inlineStr">
        <is>
          <t>غياب بدون عذر</t>
        </is>
      </c>
      <c r="BV19" s="94" t="inlineStr">
        <is>
          <t>غياب بعذر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26112</v>
      </c>
      <c r="C20" s="90" t="inlineStr">
        <is>
          <t>مهرة خليفة الخييلي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0544526984</t>
        </is>
      </c>
      <c r="K20" s="92" t="inlineStr">
        <is>
          <t>خليفة الخييلي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0544526984</t>
        </is>
      </c>
      <c r="AA20" s="89" t="n"/>
      <c r="AB20" s="89" t="n"/>
      <c r="AC20" s="89" t="n"/>
      <c r="AD20" s="94" t="inlineStr">
        <is>
          <t>حاضر</t>
        </is>
      </c>
      <c r="AE20" s="94" t="inlineStr">
        <is>
          <t>متأخر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غياب بدون عذر</t>
        </is>
      </c>
      <c r="BY20" s="94" t="inlineStr">
        <is>
          <t>غياب بدون عذر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26113</v>
      </c>
      <c r="C21" s="90" t="inlineStr">
        <is>
          <t>ناصر محمد المزروعي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0555219689</t>
        </is>
      </c>
      <c r="K21" s="92" t="inlineStr">
        <is>
          <t>محمد المزروعي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0555219689</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غياب بدون عذر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متأخر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غياب بدون عذر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26114</v>
      </c>
      <c r="C22" s="90" t="inlineStr">
        <is>
          <t>جواهر سعيد الكتبي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0546983360</t>
        </is>
      </c>
      <c r="K22" s="92" t="inlineStr">
        <is>
          <t>سعيد الكتبي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0546983360</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غياب بدون عذر</t>
        </is>
      </c>
      <c r="BB22" s="94" t="inlineStr">
        <is>
          <t>حاضر</t>
        </is>
      </c>
      <c r="BC22" s="94" t="inlineStr">
        <is>
          <t>غياب بعذر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متأخر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26115</v>
      </c>
      <c r="C23" s="90" t="inlineStr">
        <is>
          <t>خالد سلطان الدرمكي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0559616569</t>
        </is>
      </c>
      <c r="K23" s="92" t="inlineStr">
        <is>
          <t>سلطان الدرمكي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0559616569</t>
        </is>
      </c>
      <c r="AA23" s="89" t="n"/>
      <c r="AB23" s="89" t="n"/>
      <c r="AC23" s="89" t="n"/>
      <c r="AD23" s="94" t="inlineStr">
        <is>
          <t>متأخر</t>
        </is>
      </c>
      <c r="AE23" s="94" t="inlineStr">
        <is>
          <t>حاضر</t>
        </is>
      </c>
      <c r="AF23" s="94" t="inlineStr">
        <is>
          <t>حاضر</t>
        </is>
      </c>
      <c r="AG23" s="94" t="inlineStr">
        <is>
          <t>حاضر</t>
        </is>
      </c>
      <c r="AH23" s="94" t="inlineStr">
        <is>
          <t>غياب بدون عذر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غياب بدون عذر</t>
        </is>
      </c>
      <c r="AQ23" s="94" t="inlineStr">
        <is>
          <t>حاضر</t>
        </is>
      </c>
      <c r="AR23" s="94" t="inlineStr">
        <is>
          <t>حاضر</t>
        </is>
      </c>
      <c r="AS23" s="94" t="inlineStr">
        <is>
          <t>حاضر</t>
        </is>
      </c>
      <c r="AT23" s="94" t="inlineStr">
        <is>
          <t>متأخر</t>
        </is>
      </c>
      <c r="AU23" s="94" t="inlineStr">
        <is>
          <t>حاضر</t>
        </is>
      </c>
      <c r="AV23" s="94" t="inlineStr">
        <is>
          <t>حاضر</t>
        </is>
      </c>
      <c r="AW23" s="94" t="inlineStr">
        <is>
          <t>حاضر</t>
        </is>
      </c>
      <c r="AX23" s="94" t="inlineStr">
        <is>
          <t>حاضر</t>
        </is>
      </c>
      <c r="AY23" s="94" t="inlineStr">
        <is>
          <t>غياب بدون عذر</t>
        </is>
      </c>
      <c r="AZ23" s="94" t="inlineStr">
        <is>
          <t>حاضر</t>
        </is>
      </c>
      <c r="BA23" s="94" t="inlineStr">
        <is>
          <t>غياب بدون عذر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متأخر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26116</v>
      </c>
      <c r="C24" s="90" t="inlineStr">
        <is>
          <t>حصة خليفة الظاهري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0506710873</t>
        </is>
      </c>
      <c r="K24" s="92" t="inlineStr">
        <is>
          <t>خليفة الظاهري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0506710873</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متأخر</t>
        </is>
      </c>
      <c r="AM24" s="94" t="inlineStr">
        <is>
          <t>حاضر</t>
        </is>
      </c>
      <c r="AN24" s="94" t="inlineStr">
        <is>
          <t>حاضر</t>
        </is>
      </c>
      <c r="AO24" s="94" t="inlineStr">
        <is>
          <t>حاضر</t>
        </is>
      </c>
      <c r="AP24" s="94" t="inlineStr">
        <is>
          <t>متأخر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غياب بعذر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غياب بدون عذر</t>
        </is>
      </c>
      <c r="BJ24" s="94" t="inlineStr">
        <is>
          <t>حاضر</t>
        </is>
      </c>
      <c r="BK24" s="94" t="inlineStr">
        <is>
          <t>متأخر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26117</v>
      </c>
      <c r="C25" s="90" t="inlineStr">
        <is>
          <t>عبدالله محمد القبيسي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0505900991</t>
        </is>
      </c>
      <c r="K25" s="92" t="inlineStr">
        <is>
          <t>محمد القبيسي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0505900991</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غياب بدون عذر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غياب بدون عذر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26118</v>
      </c>
      <c r="C26" s="90" t="inlineStr">
        <is>
          <t>ريم سعيد الشحي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0548674700</t>
        </is>
      </c>
      <c r="K26" s="92" t="inlineStr">
        <is>
          <t>سعيد الشحي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0548674700</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غياب بدون عذر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غياب بدون عذر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26119</v>
      </c>
      <c r="C27" s="90" t="inlineStr">
        <is>
          <t>منصور سلطان الحمادي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0526184138</t>
        </is>
      </c>
      <c r="K27" s="92" t="inlineStr">
        <is>
          <t>سلطان الحمادي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0526184138</t>
        </is>
      </c>
      <c r="AA27" s="89" t="n"/>
      <c r="AB27" s="89" t="n"/>
      <c r="AC27" s="89" t="n"/>
      <c r="AD27" s="94" t="inlineStr">
        <is>
          <t>غياب بدون عذر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غياب بعذر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26120</v>
      </c>
      <c r="C28" s="90" t="inlineStr">
        <is>
          <t>أمل خليفة الرميثي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0507188185</t>
        </is>
      </c>
      <c r="K28" s="92" t="inlineStr">
        <is>
          <t>خليفة الرميثي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0507188185</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غياب بدون عذر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4.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أسبوعًا",IFERROR(HYPERLINK("#'KG1-2'!"&amp;ADDRESS(9,29+MATCH(INDEX(Week_From,MATCH($I$1,Week_Label,0)),$AD$5:$IM$5,0)),"⬅ فتح أيام الأسبوع"),"⚠ أسبوع غير معروف"))</f>
        <v/>
      </c>
      <c r="K1" s="61">
        <f>HYPERLINK("#'KG1-2'!D9","⬅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KG1-2</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تاريخًا",IFERROR(HYPERLINK("#'KG1-2'!"&amp;ADDRESS(9,29+MATCH($I$3,$AD$5:$IM$5,0)),"⬅ فتح عمود "&amp;TEXT($I$3,"dd/mm/yyyy")),"⚠ ليس يوم دوام"))</f>
        <v/>
      </c>
      <c r="K3" s="61">
        <f>HYPERLINK("#'KG1-2'!"&amp;ADDRESS(9,29+IFERROR(MATCH(TODAY(),$AD$5:$IM$5,1),1)),"⬅ عمود اليوم")</f>
        <v/>
      </c>
      <c r="L3" s="61">
        <f>HYPERLINK("#'KG1-2'!"&amp;ADDRESS(9,29+IFERROR(MATCH($L$2,$AD$5:$IM$5,1),1)),"⬅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26201</v>
      </c>
      <c r="C9" s="90" t="inlineStr">
        <is>
          <t>سارة سالم الكتبي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0548735513</t>
        </is>
      </c>
      <c r="K9" s="92" t="inlineStr">
        <is>
          <t>سالم الكتبي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0548735513</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متأخر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متأخر</t>
        </is>
      </c>
      <c r="BR9" s="94" t="inlineStr">
        <is>
          <t>حاضر</t>
        </is>
      </c>
      <c r="BS9" s="94" t="inlineStr">
        <is>
          <t>حاضر</t>
        </is>
      </c>
      <c r="BT9" s="94" t="inlineStr">
        <is>
          <t>حاضر</t>
        </is>
      </c>
      <c r="BU9" s="94" t="inlineStr">
        <is>
          <t>حاضر</t>
        </is>
      </c>
      <c r="BV9" s="94" t="inlineStr">
        <is>
          <t>حاضر</t>
        </is>
      </c>
      <c r="BW9" s="94" t="inlineStr">
        <is>
          <t>متأخر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26202</v>
      </c>
      <c r="C10" s="90" t="inlineStr">
        <is>
          <t>عمر حمد الدرمكي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0552521428</t>
        </is>
      </c>
      <c r="K10" s="92" t="inlineStr">
        <is>
          <t>حمد الدرمكي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0552521428</t>
        </is>
      </c>
      <c r="AA10" s="89" t="n"/>
      <c r="AB10" s="89" t="n"/>
      <c r="AC10" s="89" t="n"/>
      <c r="AD10" s="94" t="inlineStr">
        <is>
          <t>حاضر</t>
        </is>
      </c>
      <c r="AE10" s="94" t="inlineStr">
        <is>
          <t>حاضر</t>
        </is>
      </c>
      <c r="AF10" s="94" t="inlineStr">
        <is>
          <t>حاضر</t>
        </is>
      </c>
      <c r="AG10" s="94" t="inlineStr">
        <is>
          <t>غياب بدون عذر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غياب بدون عذر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متأخر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26203</v>
      </c>
      <c r="C11" s="90" t="inlineStr">
        <is>
          <t>مهرة مبارك الظاهري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0559362688</t>
        </is>
      </c>
      <c r="K11" s="92" t="inlineStr">
        <is>
          <t>مبارك الظاهري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0559362688</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متأخر</t>
        </is>
      </c>
      <c r="AU11" s="94" t="inlineStr">
        <is>
          <t>غياب بعذر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متأخر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غياب بدون عذر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26204</v>
      </c>
      <c r="C12" s="90" t="inlineStr">
        <is>
          <t>ناصر ماجد القبيسي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0508137754</t>
        </is>
      </c>
      <c r="K12" s="92" t="inlineStr">
        <is>
          <t>ماجد القبيسي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0508137754</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غياب بعذر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26205</v>
      </c>
      <c r="C13" s="90" t="inlineStr">
        <is>
          <t>جواهر سالم الشحي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0569238128</t>
        </is>
      </c>
      <c r="K13" s="92" t="inlineStr">
        <is>
          <t>سالم الشحي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0569238128</t>
        </is>
      </c>
      <c r="AA13" s="89" t="n"/>
      <c r="AB13" s="89" t="n"/>
      <c r="AC13" s="89" t="n"/>
      <c r="AD13" s="94" t="inlineStr">
        <is>
          <t>حاضر</t>
        </is>
      </c>
      <c r="AE13" s="94" t="inlineStr">
        <is>
          <t>غياب بدون عذر</t>
        </is>
      </c>
      <c r="AF13" s="94" t="inlineStr">
        <is>
          <t>حاضر</t>
        </is>
      </c>
      <c r="AG13" s="94" t="inlineStr">
        <is>
          <t>غياب بدون عذر</t>
        </is>
      </c>
      <c r="AH13" s="94" t="inlineStr">
        <is>
          <t>حاضر</t>
        </is>
      </c>
      <c r="AI13" s="94" t="inlineStr">
        <is>
          <t>حاضر</t>
        </is>
      </c>
      <c r="AJ13" s="94" t="inlineStr">
        <is>
          <t>حاضر</t>
        </is>
      </c>
      <c r="AK13" s="94" t="inlineStr">
        <is>
          <t>غياب بدون عذر</t>
        </is>
      </c>
      <c r="AL13" s="94" t="inlineStr">
        <is>
          <t>حاضر</t>
        </is>
      </c>
      <c r="AM13" s="94" t="inlineStr">
        <is>
          <t>حاضر</t>
        </is>
      </c>
      <c r="AN13" s="94" t="inlineStr">
        <is>
          <t>حاضر</t>
        </is>
      </c>
      <c r="AO13" s="94" t="inlineStr">
        <is>
          <t>حاضر</t>
        </is>
      </c>
      <c r="AP13" s="94" t="inlineStr">
        <is>
          <t>متأخر</t>
        </is>
      </c>
      <c r="AQ13" s="94" t="inlineStr">
        <is>
          <t>غياب بدون عذر</t>
        </is>
      </c>
      <c r="AR13" s="94" t="inlineStr">
        <is>
          <t>حاضر</t>
        </is>
      </c>
      <c r="AS13" s="94" t="inlineStr">
        <is>
          <t>متأخر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غياب بدون عذر</t>
        </is>
      </c>
      <c r="BB13" s="94" t="inlineStr">
        <is>
          <t>حاضر</t>
        </is>
      </c>
      <c r="BC13" s="94" t="inlineStr">
        <is>
          <t>حاضر</t>
        </is>
      </c>
      <c r="BD13" s="94" t="inlineStr">
        <is>
          <t>حاضر</t>
        </is>
      </c>
      <c r="BE13" s="94" t="inlineStr">
        <is>
          <t>حاضر</t>
        </is>
      </c>
      <c r="BF13" s="94" t="inlineStr">
        <is>
          <t>غياب بدون عذر</t>
        </is>
      </c>
      <c r="BG13" s="94" t="inlineStr">
        <is>
          <t>حاضر</t>
        </is>
      </c>
      <c r="BH13" s="94" t="inlineStr">
        <is>
          <t>غياب بدون عذر</t>
        </is>
      </c>
      <c r="BI13" s="94" t="inlineStr">
        <is>
          <t>حاضر</t>
        </is>
      </c>
      <c r="BJ13" s="94" t="inlineStr">
        <is>
          <t>غياب بعذر</t>
        </is>
      </c>
      <c r="BK13" s="94" t="inlineStr">
        <is>
          <t>حاضر</t>
        </is>
      </c>
      <c r="BL13" s="94" t="inlineStr">
        <is>
          <t>حاضر</t>
        </is>
      </c>
      <c r="BM13" s="94" t="inlineStr">
        <is>
          <t>حاضر</t>
        </is>
      </c>
      <c r="BN13" s="94" t="inlineStr">
        <is>
          <t>حاضر</t>
        </is>
      </c>
      <c r="BO13" s="94" t="inlineStr">
        <is>
          <t>حاضر</t>
        </is>
      </c>
      <c r="BP13" s="94" t="inlineStr">
        <is>
          <t>متأخر</t>
        </is>
      </c>
      <c r="BQ13" s="94" t="inlineStr">
        <is>
          <t>غياب بدون عذر</t>
        </is>
      </c>
      <c r="BR13" s="94" t="inlineStr">
        <is>
          <t>حاضر</t>
        </is>
      </c>
      <c r="BS13" s="94" t="inlineStr">
        <is>
          <t>غياب بدون عذر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غياب بدون عذر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26206</v>
      </c>
      <c r="C14" s="90" t="inlineStr">
        <is>
          <t>خالد حمد الحمادي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0559802211</t>
        </is>
      </c>
      <c r="K14" s="92" t="inlineStr">
        <is>
          <t>حمد الحمادي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0559802211</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غياب بدون عذر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26207</v>
      </c>
      <c r="C15" s="90" t="inlineStr">
        <is>
          <t>حصة مبارك الرميثي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0548045862</t>
        </is>
      </c>
      <c r="K15" s="92" t="inlineStr">
        <is>
          <t>مبارك الرميثي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0548045862</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غياب بدون عذر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غياب بدون عذر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26208</v>
      </c>
      <c r="C16" s="90" t="inlineStr">
        <is>
          <t>عبدالله ماجد النعيمي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0569039473</t>
        </is>
      </c>
      <c r="K16" s="92" t="inlineStr">
        <is>
          <t>ماجد النعيمي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0569039473</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متأخر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26209</v>
      </c>
      <c r="C17" s="90" t="inlineStr">
        <is>
          <t>ريم سالم البلوشي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0569690383</t>
        </is>
      </c>
      <c r="K17" s="92" t="inlineStr">
        <is>
          <t>سالم البلوشي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0569690383</t>
        </is>
      </c>
      <c r="AA17" s="89" t="n"/>
      <c r="AB17" s="89" t="n"/>
      <c r="AC17" s="89" t="n"/>
      <c r="AD17" s="94" t="inlineStr">
        <is>
          <t>حاضر</t>
        </is>
      </c>
      <c r="AE17" s="94" t="inlineStr">
        <is>
          <t>حاضر</t>
        </is>
      </c>
      <c r="AF17" s="94" t="inlineStr">
        <is>
          <t>متأخر</t>
        </is>
      </c>
      <c r="AG17" s="94" t="inlineStr">
        <is>
          <t>حاضر</t>
        </is>
      </c>
      <c r="AH17" s="94" t="inlineStr">
        <is>
          <t>حاضر</t>
        </is>
      </c>
      <c r="AI17" s="94" t="inlineStr">
        <is>
          <t>حاضر</t>
        </is>
      </c>
      <c r="AJ17" s="94" t="inlineStr">
        <is>
          <t>حاضر</t>
        </is>
      </c>
      <c r="AK17" s="94" t="inlineStr">
        <is>
          <t>حاضر</t>
        </is>
      </c>
      <c r="AL17" s="94" t="inlineStr">
        <is>
          <t>غياب بعذر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غياب بدون عذر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غياب بدون عذر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26210</v>
      </c>
      <c r="C18" s="90" t="inlineStr">
        <is>
          <t>منصور حمد العامري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0504766902</t>
        </is>
      </c>
      <c r="K18" s="92" t="inlineStr">
        <is>
          <t>حمد العامري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0504766902</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غياب بدون عذر</t>
        </is>
      </c>
      <c r="AM18" s="94" t="inlineStr">
        <is>
          <t>حاضر</t>
        </is>
      </c>
      <c r="AN18" s="94" t="inlineStr">
        <is>
          <t>حاضر</t>
        </is>
      </c>
      <c r="AO18" s="94" t="inlineStr">
        <is>
          <t>حاضر</t>
        </is>
      </c>
      <c r="AP18" s="94" t="inlineStr">
        <is>
          <t>حاضر</t>
        </is>
      </c>
      <c r="AQ18" s="94" t="inlineStr">
        <is>
          <t>حاضر</t>
        </is>
      </c>
      <c r="AR18" s="94" t="inlineStr">
        <is>
          <t>غياب بعذر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غياب بعذر</t>
        </is>
      </c>
      <c r="BQ18" s="94" t="inlineStr">
        <is>
          <t>حاضر</t>
        </is>
      </c>
      <c r="BR18" s="94" t="inlineStr">
        <is>
          <t>حاضر</t>
        </is>
      </c>
      <c r="BS18" s="94" t="inlineStr">
        <is>
          <t>متأخر</t>
        </is>
      </c>
      <c r="BT18" s="94" t="inlineStr">
        <is>
          <t>حاضر</t>
        </is>
      </c>
      <c r="BU18" s="94" t="inlineStr">
        <is>
          <t>حاضر</t>
        </is>
      </c>
      <c r="BV18" s="94" t="inlineStr">
        <is>
          <t>متأخر</t>
        </is>
      </c>
      <c r="BW18" s="94" t="inlineStr">
        <is>
          <t>متأخر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26211</v>
      </c>
      <c r="C19" s="90" t="inlineStr">
        <is>
          <t>أمل مبارك المنصوري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0521820199</t>
        </is>
      </c>
      <c r="K19" s="92" t="inlineStr">
        <is>
          <t>مبارك المنصوري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0521820199</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26212</v>
      </c>
      <c r="C20" s="90" t="inlineStr">
        <is>
          <t>أحمد ماجد الزعابي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0562720946</t>
        </is>
      </c>
      <c r="K20" s="92" t="inlineStr">
        <is>
          <t>ماجد الزعابي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0562720946</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متأخر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متأخر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26213</v>
      </c>
      <c r="C21" s="90" t="inlineStr">
        <is>
          <t>شما سالم الحوسني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0568204296</t>
        </is>
      </c>
      <c r="K21" s="92" t="inlineStr">
        <is>
          <t>سالم الحوسني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0568204296</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متأخر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متأخر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غياب بعذر</t>
        </is>
      </c>
      <c r="BS21" s="94" t="inlineStr">
        <is>
          <t>حاضر</t>
        </is>
      </c>
      <c r="BT21" s="94" t="inlineStr">
        <is>
          <t>حاضر</t>
        </is>
      </c>
      <c r="BU21" s="94" t="inlineStr">
        <is>
          <t>حاضر</t>
        </is>
      </c>
      <c r="BV21" s="94" t="inlineStr">
        <is>
          <t>متأخر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26214</v>
      </c>
      <c r="C22" s="90" t="inlineStr">
        <is>
          <t>حمدان حمد الشامسي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0553389286</t>
        </is>
      </c>
      <c r="K22" s="92" t="inlineStr">
        <is>
          <t>حمد الشامسي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0553389286</t>
        </is>
      </c>
      <c r="AA22" s="89" t="n"/>
      <c r="AB22" s="89" t="n"/>
      <c r="AC22" s="89" t="n"/>
      <c r="AD22" s="94" t="inlineStr">
        <is>
          <t>حاضر</t>
        </is>
      </c>
      <c r="AE22" s="94" t="inlineStr">
        <is>
          <t>حاضر</t>
        </is>
      </c>
      <c r="AF22" s="94" t="inlineStr">
        <is>
          <t>حاضر</t>
        </is>
      </c>
      <c r="AG22" s="94" t="inlineStr">
        <is>
          <t>حاضر</t>
        </is>
      </c>
      <c r="AH22" s="94" t="inlineStr">
        <is>
          <t>متأخر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غياب بعذر</t>
        </is>
      </c>
      <c r="BF22" s="94" t="inlineStr">
        <is>
          <t>متأخر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متأخر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26215</v>
      </c>
      <c r="C23" s="90" t="inlineStr">
        <is>
          <t>موزة مبارك السويدي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0554840762</t>
        </is>
      </c>
      <c r="K23" s="92" t="inlineStr">
        <is>
          <t>مبارك السويدي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0554840762</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غياب بدون عذر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غياب بدون عذر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26216</v>
      </c>
      <c r="C24" s="90" t="inlineStr">
        <is>
          <t>ماجد ماجد المرزوقي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0508663770</t>
        </is>
      </c>
      <c r="K24" s="92" t="inlineStr">
        <is>
          <t>ماجد المرزوقي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0508663770</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متأخر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غياب بعذر</t>
        </is>
      </c>
      <c r="BI24" s="94" t="inlineStr">
        <is>
          <t>حاضر</t>
        </is>
      </c>
      <c r="BJ24" s="94" t="inlineStr">
        <is>
          <t>حاضر</t>
        </is>
      </c>
      <c r="BK24" s="94" t="inlineStr">
        <is>
          <t>حاضر</t>
        </is>
      </c>
      <c r="BL24" s="94" t="inlineStr">
        <is>
          <t>متأخر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غياب بدون عذر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26217</v>
      </c>
      <c r="C25" s="90" t="inlineStr">
        <is>
          <t>دانة سالم الكعبي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0555211189</t>
        </is>
      </c>
      <c r="K25" s="92" t="inlineStr">
        <is>
          <t>سالم الكعبي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0555211189</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غياب بدون عذر</t>
        </is>
      </c>
      <c r="AR25" s="94" t="inlineStr">
        <is>
          <t>حاضر</t>
        </is>
      </c>
      <c r="AS25" s="94" t="inlineStr">
        <is>
          <t>حاضر</t>
        </is>
      </c>
      <c r="AT25" s="94" t="inlineStr">
        <is>
          <t>حاضر</t>
        </is>
      </c>
      <c r="AU25" s="94" t="inlineStr">
        <is>
          <t>حاضر</t>
        </is>
      </c>
      <c r="AV25" s="94" t="inlineStr">
        <is>
          <t>حاضر</t>
        </is>
      </c>
      <c r="AW25" s="94" t="inlineStr">
        <is>
          <t>غياب بعذر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متأخر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26218</v>
      </c>
      <c r="C26" s="90" t="inlineStr">
        <is>
          <t>طارق حمد المهيري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0567745788</t>
        </is>
      </c>
      <c r="K26" s="92" t="inlineStr">
        <is>
          <t>حمد المهيري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0567745788</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متأخر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متأخر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غياب بعذر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26219</v>
      </c>
      <c r="C27" s="90" t="inlineStr">
        <is>
          <t>فاطمة مبارك الخييلي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0549420478</t>
        </is>
      </c>
      <c r="K27" s="92" t="inlineStr">
        <is>
          <t>مبارك الخييلي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0549420478</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متأخر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26220</v>
      </c>
      <c r="C28" s="90" t="inlineStr">
        <is>
          <t>راشد ماجد المزروعي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0557743569</t>
        </is>
      </c>
      <c r="K28" s="92" t="inlineStr">
        <is>
          <t>ماجد المزروعي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0557743569</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غياب بدون عذر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غياب بدون عذر</t>
        </is>
      </c>
      <c r="BA28" s="94" t="inlineStr">
        <is>
          <t>غياب بدون عذر</t>
        </is>
      </c>
      <c r="BB28" s="94" t="inlineStr">
        <is>
          <t>غياب بدون عذر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متأخر</t>
        </is>
      </c>
      <c r="BR28" s="94" t="inlineStr">
        <is>
          <t>حاضر</t>
        </is>
      </c>
      <c r="BS28" s="94" t="inlineStr">
        <is>
          <t>حاضر</t>
        </is>
      </c>
      <c r="BT28" s="94" t="inlineStr">
        <is>
          <t>حاضر</t>
        </is>
      </c>
      <c r="BU28" s="94" t="inlineStr">
        <is>
          <t>متأخر</t>
        </is>
      </c>
      <c r="BV28" s="94" t="inlineStr">
        <is>
          <t>متأخر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5.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أسبوعًا",IFERROR(HYPERLINK("#'KG1-3'!"&amp;ADDRESS(9,29+MATCH(INDEX(Week_From,MATCH($I$1,Week_Label,0)),$AD$5:$IM$5,0)),"⬅ فتح أيام الأسبوع"),"⚠ أسبوع غير معروف"))</f>
        <v/>
      </c>
      <c r="K1" s="61">
        <f>HYPERLINK("#'KG1-3'!D9","⬅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KG1-3</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تاريخًا",IFERROR(HYPERLINK("#'KG1-3'!"&amp;ADDRESS(9,29+MATCH($I$3,$AD$5:$IM$5,0)),"⬅ فتح عمود "&amp;TEXT($I$3,"dd/mm/yyyy")),"⚠ ليس يوم دوام"))</f>
        <v/>
      </c>
      <c r="K3" s="61">
        <f>HYPERLINK("#'KG1-3'!"&amp;ADDRESS(9,29+IFERROR(MATCH(TODAY(),$AD$5:$IM$5,1),1)),"⬅ عمود اليوم")</f>
        <v/>
      </c>
      <c r="L3" s="61">
        <f>HYPERLINK("#'KG1-3'!"&amp;ADDRESS(9,29+IFERROR(MATCH($L$2,$AD$5:$IM$5,1),1)),"⬅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26301</v>
      </c>
      <c r="C9" s="90" t="inlineStr">
        <is>
          <t>منصور عبدالله الشامسي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0554397912</t>
        </is>
      </c>
      <c r="K9" s="92" t="inlineStr">
        <is>
          <t>عبدالله الشامسي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0554397912</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متأخر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متأخر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متأخر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26302</v>
      </c>
      <c r="C10" s="90" t="inlineStr">
        <is>
          <t>أمل عمر السويدي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0545513674</t>
        </is>
      </c>
      <c r="K10" s="92" t="inlineStr">
        <is>
          <t>عمر السويدي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0545513674</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26303</v>
      </c>
      <c r="C11" s="90" t="inlineStr">
        <is>
          <t>أحمد عيسى المرزوقي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0501555481</t>
        </is>
      </c>
      <c r="K11" s="92" t="inlineStr">
        <is>
          <t>عيسى المرزوقي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0501555481</t>
        </is>
      </c>
      <c r="AA11" s="89" t="n"/>
      <c r="AB11" s="89" t="n"/>
      <c r="AC11" s="89" t="n"/>
      <c r="AD11" s="94" t="inlineStr">
        <is>
          <t>غياب بدون عذر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غياب بعذر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متأخر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غياب بعذر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26304</v>
      </c>
      <c r="C12" s="90" t="inlineStr">
        <is>
          <t>شما أحمد الكعبي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0528687780</t>
        </is>
      </c>
      <c r="K12" s="92" t="inlineStr">
        <is>
          <t>أحمد الكعبي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0528687780</t>
        </is>
      </c>
      <c r="AA12" s="89" t="n"/>
      <c r="AB12" s="89" t="n"/>
      <c r="AC12" s="89" t="n"/>
      <c r="AD12" s="94" t="inlineStr">
        <is>
          <t>حاضر</t>
        </is>
      </c>
      <c r="AE12" s="94" t="inlineStr">
        <is>
          <t>حاضر</t>
        </is>
      </c>
      <c r="AF12" s="94" t="inlineStr">
        <is>
          <t>حاضر</t>
        </is>
      </c>
      <c r="AG12" s="94" t="inlineStr">
        <is>
          <t>حاضر</t>
        </is>
      </c>
      <c r="AH12" s="94" t="inlineStr">
        <is>
          <t>متأخر</t>
        </is>
      </c>
      <c r="AI12" s="94" t="inlineStr">
        <is>
          <t>حاضر</t>
        </is>
      </c>
      <c r="AJ12" s="94" t="inlineStr">
        <is>
          <t>غياب بدون عذر</t>
        </is>
      </c>
      <c r="AK12" s="94" t="inlineStr">
        <is>
          <t>حاضر</t>
        </is>
      </c>
      <c r="AL12" s="94" t="inlineStr">
        <is>
          <t>حاضر</t>
        </is>
      </c>
      <c r="AM12" s="94" t="inlineStr">
        <is>
          <t>حاضر</t>
        </is>
      </c>
      <c r="AN12" s="94" t="inlineStr">
        <is>
          <t>حاضر</t>
        </is>
      </c>
      <c r="AO12" s="94" t="inlineStr">
        <is>
          <t>متأخر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غياب بدون عذر</t>
        </is>
      </c>
      <c r="BA12" s="94" t="inlineStr">
        <is>
          <t>حاضر</t>
        </is>
      </c>
      <c r="BB12" s="94" t="inlineStr">
        <is>
          <t>حاضر</t>
        </is>
      </c>
      <c r="BC12" s="94" t="inlineStr">
        <is>
          <t>حاضر</t>
        </is>
      </c>
      <c r="BD12" s="94" t="inlineStr">
        <is>
          <t>غياب بدون عذر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غياب بدون عذر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غياب بدون عذر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26305</v>
      </c>
      <c r="C13" s="90" t="inlineStr">
        <is>
          <t>حمدان عبدالله المهيري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0569212741</t>
        </is>
      </c>
      <c r="K13" s="92" t="inlineStr">
        <is>
          <t>عبدالله المهيري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0569212741</t>
        </is>
      </c>
      <c r="AA13" s="89" t="n"/>
      <c r="AB13" s="89" t="n"/>
      <c r="AC13" s="89" t="n"/>
      <c r="AD13" s="94" t="inlineStr">
        <is>
          <t>حاضر</t>
        </is>
      </c>
      <c r="AE13" s="94" t="inlineStr">
        <is>
          <t>حاضر</t>
        </is>
      </c>
      <c r="AF13" s="94" t="inlineStr">
        <is>
          <t>متأخر</t>
        </is>
      </c>
      <c r="AG13" s="94" t="inlineStr">
        <is>
          <t>حاضر</t>
        </is>
      </c>
      <c r="AH13" s="94" t="inlineStr">
        <is>
          <t>غياب بدون عذر</t>
        </is>
      </c>
      <c r="AI13" s="94" t="inlineStr">
        <is>
          <t>حاضر</t>
        </is>
      </c>
      <c r="AJ13" s="94" t="inlineStr">
        <is>
          <t>حاضر</t>
        </is>
      </c>
      <c r="AK13" s="94" t="inlineStr">
        <is>
          <t>حاضر</t>
        </is>
      </c>
      <c r="AL13" s="94" t="inlineStr">
        <is>
          <t>حاضر</t>
        </is>
      </c>
      <c r="AM13" s="94" t="inlineStr">
        <is>
          <t>غياب بدون عذر</t>
        </is>
      </c>
      <c r="AN13" s="94" t="inlineStr">
        <is>
          <t>حاضر</t>
        </is>
      </c>
      <c r="AO13" s="94" t="inlineStr">
        <is>
          <t>حاضر</t>
        </is>
      </c>
      <c r="AP13" s="94" t="inlineStr">
        <is>
          <t>حاضر</t>
        </is>
      </c>
      <c r="AQ13" s="94" t="inlineStr">
        <is>
          <t>متأخر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غياب بدون عذر</t>
        </is>
      </c>
      <c r="BL13" s="94" t="inlineStr">
        <is>
          <t>حاضر</t>
        </is>
      </c>
      <c r="BM13" s="94" t="inlineStr">
        <is>
          <t>حاضر</t>
        </is>
      </c>
      <c r="BN13" s="94" t="inlineStr">
        <is>
          <t>حاضر</t>
        </is>
      </c>
      <c r="BO13" s="94" t="inlineStr">
        <is>
          <t>حاضر</t>
        </is>
      </c>
      <c r="BP13" s="94" t="inlineStr">
        <is>
          <t>غياب بعذر</t>
        </is>
      </c>
      <c r="BQ13" s="94" t="inlineStr">
        <is>
          <t>حاضر</t>
        </is>
      </c>
      <c r="BR13" s="94" t="inlineStr">
        <is>
          <t>حاضر</t>
        </is>
      </c>
      <c r="BS13" s="94" t="inlineStr">
        <is>
          <t>حاضر</t>
        </is>
      </c>
      <c r="BT13" s="94" t="inlineStr">
        <is>
          <t>حاضر</t>
        </is>
      </c>
      <c r="BU13" s="94" t="inlineStr">
        <is>
          <t>متأخر</t>
        </is>
      </c>
      <c r="BV13" s="94" t="inlineStr">
        <is>
          <t>حاضر</t>
        </is>
      </c>
      <c r="BW13" s="94" t="inlineStr">
        <is>
          <t>حاضر</t>
        </is>
      </c>
      <c r="BX13" s="94" t="inlineStr">
        <is>
          <t>حاضر</t>
        </is>
      </c>
      <c r="BY13" s="94" t="inlineStr">
        <is>
          <t>غياب بدون عذر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26306</v>
      </c>
      <c r="C14" s="90" t="inlineStr">
        <is>
          <t>موزة عمر الخييلي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0544352718</t>
        </is>
      </c>
      <c r="K14" s="92" t="inlineStr">
        <is>
          <t>عمر الخييلي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0544352718</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غياب بدون عذر</t>
        </is>
      </c>
      <c r="AO14" s="94" t="inlineStr">
        <is>
          <t>غياب بدون عذر</t>
        </is>
      </c>
      <c r="AP14" s="94" t="inlineStr">
        <is>
          <t>حاضر</t>
        </is>
      </c>
      <c r="AQ14" s="94" t="inlineStr">
        <is>
          <t>غياب بدون عذر</t>
        </is>
      </c>
      <c r="AR14" s="94" t="inlineStr">
        <is>
          <t>حاضر</t>
        </is>
      </c>
      <c r="AS14" s="94" t="inlineStr">
        <is>
          <t>حاضر</t>
        </is>
      </c>
      <c r="AT14" s="94" t="inlineStr">
        <is>
          <t>غياب بدون عذر</t>
        </is>
      </c>
      <c r="AU14" s="94" t="inlineStr">
        <is>
          <t>حاضر</t>
        </is>
      </c>
      <c r="AV14" s="94" t="inlineStr">
        <is>
          <t>غياب بدون عذر</t>
        </is>
      </c>
      <c r="AW14" s="94" t="inlineStr">
        <is>
          <t>حاضر</t>
        </is>
      </c>
      <c r="AX14" s="94" t="inlineStr">
        <is>
          <t>حاضر</t>
        </is>
      </c>
      <c r="AY14" s="94" t="inlineStr">
        <is>
          <t>غياب بدون عذر</t>
        </is>
      </c>
      <c r="AZ14" s="94" t="inlineStr">
        <is>
          <t>حاضر</t>
        </is>
      </c>
      <c r="BA14" s="94" t="inlineStr">
        <is>
          <t>حاضر</t>
        </is>
      </c>
      <c r="BB14" s="94" t="inlineStr">
        <is>
          <t>حاضر</t>
        </is>
      </c>
      <c r="BC14" s="94" t="inlineStr">
        <is>
          <t>حاضر</t>
        </is>
      </c>
      <c r="BD14" s="94" t="inlineStr">
        <is>
          <t>حاضر</t>
        </is>
      </c>
      <c r="BE14" s="94" t="inlineStr">
        <is>
          <t>غياب بدون عذر</t>
        </is>
      </c>
      <c r="BF14" s="94" t="inlineStr">
        <is>
          <t>غياب بدون عذر</t>
        </is>
      </c>
      <c r="BG14" s="94" t="inlineStr">
        <is>
          <t>حاضر</t>
        </is>
      </c>
      <c r="BH14" s="94" t="inlineStr">
        <is>
          <t>حاضر</t>
        </is>
      </c>
      <c r="BI14" s="94" t="inlineStr">
        <is>
          <t>غياب بدون عذر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غياب بدون عذر</t>
        </is>
      </c>
      <c r="BR14" s="94" t="inlineStr">
        <is>
          <t>حاضر</t>
        </is>
      </c>
      <c r="BS14" s="94" t="inlineStr">
        <is>
          <t>غياب بدون عذر</t>
        </is>
      </c>
      <c r="BT14" s="94" t="inlineStr">
        <is>
          <t>غياب بدون عذر</t>
        </is>
      </c>
      <c r="BU14" s="94" t="inlineStr">
        <is>
          <t>حاضر</t>
        </is>
      </c>
      <c r="BV14" s="94" t="inlineStr">
        <is>
          <t>حاضر</t>
        </is>
      </c>
      <c r="BW14" s="94" t="inlineStr">
        <is>
          <t>غياب بدون عذر</t>
        </is>
      </c>
      <c r="BX14" s="94" t="inlineStr">
        <is>
          <t>غياب بدون عذر</t>
        </is>
      </c>
      <c r="BY14" s="94" t="inlineStr">
        <is>
          <t>غياب بدون عذر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26307</v>
      </c>
      <c r="C15" s="90" t="inlineStr">
        <is>
          <t>ماجد عيسى المزروعي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0549146498</t>
        </is>
      </c>
      <c r="K15" s="92" t="inlineStr">
        <is>
          <t>عيسى المزروعي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0549146498</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متأخر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غياب بدون عذر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26308</v>
      </c>
      <c r="C16" s="90" t="inlineStr">
        <is>
          <t>دانة أحمد الكتبي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0559577633</t>
        </is>
      </c>
      <c r="K16" s="92" t="inlineStr">
        <is>
          <t>أحمد الكتبي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0559577633</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غياب بعذر</t>
        </is>
      </c>
      <c r="AV16" s="94" t="inlineStr">
        <is>
          <t>حاضر</t>
        </is>
      </c>
      <c r="AW16" s="94" t="inlineStr">
        <is>
          <t>حاضر</t>
        </is>
      </c>
      <c r="AX16" s="94" t="inlineStr">
        <is>
          <t>حاضر</t>
        </is>
      </c>
      <c r="AY16" s="94" t="inlineStr">
        <is>
          <t>متأخر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غياب بدون عذر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26309</v>
      </c>
      <c r="C17" s="90" t="inlineStr">
        <is>
          <t>طارق عبدالله الدرمكي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0558285161</t>
        </is>
      </c>
      <c r="K17" s="92" t="inlineStr">
        <is>
          <t>عبدالله الدرمكي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0558285161</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غياب بعذر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غياب بدون عذر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26310</v>
      </c>
      <c r="C18" s="90" t="inlineStr">
        <is>
          <t>فاطمة عمر الظاهري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0561564049</t>
        </is>
      </c>
      <c r="K18" s="92" t="inlineStr">
        <is>
          <t>عمر الظاهري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0561564049</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26311</v>
      </c>
      <c r="C19" s="90" t="inlineStr">
        <is>
          <t>راشد عيسى القبيسي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0546312624</t>
        </is>
      </c>
      <c r="K19" s="92" t="inlineStr">
        <is>
          <t>عيسى القبيسي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0546312624</t>
        </is>
      </c>
      <c r="AA19" s="89" t="n"/>
      <c r="AB19" s="89" t="n"/>
      <c r="AC19" s="89" t="n"/>
      <c r="AD19" s="94" t="inlineStr">
        <is>
          <t>حاضر</t>
        </is>
      </c>
      <c r="AE19" s="94" t="inlineStr">
        <is>
          <t>متأخر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متأخر</t>
        </is>
      </c>
      <c r="AS19" s="94" t="inlineStr">
        <is>
          <t>حاضر</t>
        </is>
      </c>
      <c r="AT19" s="94" t="inlineStr">
        <is>
          <t>غياب بعذر</t>
        </is>
      </c>
      <c r="AU19" s="94" t="inlineStr">
        <is>
          <t>حاضر</t>
        </is>
      </c>
      <c r="AV19" s="94" t="inlineStr">
        <is>
          <t>حاضر</t>
        </is>
      </c>
      <c r="AW19" s="94" t="inlineStr">
        <is>
          <t>حاضر</t>
        </is>
      </c>
      <c r="AX19" s="94" t="inlineStr">
        <is>
          <t>حاضر</t>
        </is>
      </c>
      <c r="AY19" s="94" t="inlineStr">
        <is>
          <t>متأخر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26312</v>
      </c>
      <c r="C20" s="90" t="inlineStr">
        <is>
          <t>سارة أحمد الشحي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0552650441</t>
        </is>
      </c>
      <c r="K20" s="92" t="inlineStr">
        <is>
          <t>أحمد الشحي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0552650441</t>
        </is>
      </c>
      <c r="AA20" s="89" t="n"/>
      <c r="AB20" s="89" t="n"/>
      <c r="AC20" s="89" t="n"/>
      <c r="AD20" s="94" t="inlineStr">
        <is>
          <t>حاضر</t>
        </is>
      </c>
      <c r="AE20" s="94" t="inlineStr">
        <is>
          <t>حاضر</t>
        </is>
      </c>
      <c r="AF20" s="94" t="inlineStr">
        <is>
          <t>حاضر</t>
        </is>
      </c>
      <c r="AG20" s="94" t="inlineStr">
        <is>
          <t>حاضر</t>
        </is>
      </c>
      <c r="AH20" s="94" t="inlineStr">
        <is>
          <t>غياب بدون عذر</t>
        </is>
      </c>
      <c r="AI20" s="94" t="inlineStr">
        <is>
          <t>حاضر</t>
        </is>
      </c>
      <c r="AJ20" s="94" t="inlineStr">
        <is>
          <t>حاضر</t>
        </is>
      </c>
      <c r="AK20" s="94" t="inlineStr">
        <is>
          <t>حاضر</t>
        </is>
      </c>
      <c r="AL20" s="94" t="inlineStr">
        <is>
          <t>غياب بدون عذر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غياب بدون عذر</t>
        </is>
      </c>
      <c r="BJ20" s="94" t="inlineStr">
        <is>
          <t>حاضر</t>
        </is>
      </c>
      <c r="BK20" s="94" t="inlineStr">
        <is>
          <t>حاضر</t>
        </is>
      </c>
      <c r="BL20" s="94" t="inlineStr">
        <is>
          <t>حاضر</t>
        </is>
      </c>
      <c r="BM20" s="94" t="inlineStr">
        <is>
          <t>غياب بعذر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متأخر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26313</v>
      </c>
      <c r="C21" s="90" t="inlineStr">
        <is>
          <t>عمر عبدالله الحمادي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0559643174</t>
        </is>
      </c>
      <c r="K21" s="92" t="inlineStr">
        <is>
          <t>عبدالله الحمادي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0559643174</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غياب بدون عذر</t>
        </is>
      </c>
      <c r="AM21" s="94" t="inlineStr">
        <is>
          <t>حاضر</t>
        </is>
      </c>
      <c r="AN21" s="94" t="inlineStr">
        <is>
          <t>حاضر</t>
        </is>
      </c>
      <c r="AO21" s="94" t="inlineStr">
        <is>
          <t>حاضر</t>
        </is>
      </c>
      <c r="AP21" s="94" t="inlineStr">
        <is>
          <t>غياب بعذر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متأخر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متأخر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26314</v>
      </c>
      <c r="C22" s="90" t="inlineStr">
        <is>
          <t>مهرة عمر الرميثي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0548598748</t>
        </is>
      </c>
      <c r="K22" s="92" t="inlineStr">
        <is>
          <t>عمر الرميثي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0548598748</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غياب بدون عذر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غياب بدون عذر</t>
        </is>
      </c>
      <c r="BO22" s="94" t="inlineStr">
        <is>
          <t>غياب بدون عذر</t>
        </is>
      </c>
      <c r="BP22" s="94" t="inlineStr">
        <is>
          <t>حاضر</t>
        </is>
      </c>
      <c r="BQ22" s="94" t="inlineStr">
        <is>
          <t>حاضر</t>
        </is>
      </c>
      <c r="BR22" s="94" t="inlineStr">
        <is>
          <t>حاضر</t>
        </is>
      </c>
      <c r="BS22" s="94" t="inlineStr">
        <is>
          <t>غياب بدون عذر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26315</v>
      </c>
      <c r="C23" s="90" t="inlineStr">
        <is>
          <t>ناصر عيسى النعيمي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0528143344</t>
        </is>
      </c>
      <c r="K23" s="92" t="inlineStr">
        <is>
          <t>عيسى النعيمي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0528143344</t>
        </is>
      </c>
      <c r="AA23" s="89" t="n"/>
      <c r="AB23" s="89" t="n"/>
      <c r="AC23" s="89" t="n"/>
      <c r="AD23" s="94" t="inlineStr">
        <is>
          <t>حاضر</t>
        </is>
      </c>
      <c r="AE23" s="94" t="inlineStr">
        <is>
          <t>حاضر</t>
        </is>
      </c>
      <c r="AF23" s="94" t="inlineStr">
        <is>
          <t>متأخر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متأخر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متأخر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26316</v>
      </c>
      <c r="C24" s="90" t="inlineStr">
        <is>
          <t>جواهر أحمد البلوشي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0552078693</t>
        </is>
      </c>
      <c r="K24" s="92" t="inlineStr">
        <is>
          <t>أحمد البلوشي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0552078693</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متأخر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غياب بعذر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متأخر</t>
        </is>
      </c>
      <c r="BH24" s="94" t="inlineStr">
        <is>
          <t>حاضر</t>
        </is>
      </c>
      <c r="BI24" s="94" t="inlineStr">
        <is>
          <t>حاضر</t>
        </is>
      </c>
      <c r="BJ24" s="94" t="inlineStr">
        <is>
          <t>حاضر</t>
        </is>
      </c>
      <c r="BK24" s="94" t="inlineStr">
        <is>
          <t>حاضر</t>
        </is>
      </c>
      <c r="BL24" s="94" t="inlineStr">
        <is>
          <t>غياب بعذر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26317</v>
      </c>
      <c r="C25" s="90" t="inlineStr">
        <is>
          <t>خالد عبدالله العامري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0549362112</t>
        </is>
      </c>
      <c r="K25" s="92" t="inlineStr">
        <is>
          <t>عبدالله العامري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0549362112</t>
        </is>
      </c>
      <c r="AA25" s="89" t="n"/>
      <c r="AB25" s="89" t="n"/>
      <c r="AC25" s="89" t="n"/>
      <c r="AD25" s="94" t="inlineStr">
        <is>
          <t>حاضر</t>
        </is>
      </c>
      <c r="AE25" s="94" t="inlineStr">
        <is>
          <t>حاضر</t>
        </is>
      </c>
      <c r="AF25" s="94" t="inlineStr">
        <is>
          <t>غياب بدون عذر</t>
        </is>
      </c>
      <c r="AG25" s="94" t="inlineStr">
        <is>
          <t>حاضر</t>
        </is>
      </c>
      <c r="AH25" s="94" t="inlineStr">
        <is>
          <t>حاضر</t>
        </is>
      </c>
      <c r="AI25" s="94" t="inlineStr">
        <is>
          <t>حاضر</t>
        </is>
      </c>
      <c r="AJ25" s="94" t="inlineStr">
        <is>
          <t>غياب بدون عذر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متأخر</t>
        </is>
      </c>
      <c r="AY25" s="94" t="inlineStr">
        <is>
          <t>حاضر</t>
        </is>
      </c>
      <c r="AZ25" s="94" t="inlineStr">
        <is>
          <t>غياب بدون عذر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غياب بدون عذر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26318</v>
      </c>
      <c r="C26" s="90" t="inlineStr">
        <is>
          <t>حصة عمر المنصوري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0542621728</t>
        </is>
      </c>
      <c r="K26" s="92" t="inlineStr">
        <is>
          <t>عمر المنصوري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0542621728</t>
        </is>
      </c>
      <c r="AA26" s="89" t="n"/>
      <c r="AB26" s="89" t="n"/>
      <c r="AC26" s="89" t="n"/>
      <c r="AD26" s="94" t="inlineStr">
        <is>
          <t>حاضر</t>
        </is>
      </c>
      <c r="AE26" s="94" t="inlineStr">
        <is>
          <t>حاضر</t>
        </is>
      </c>
      <c r="AF26" s="94" t="inlineStr">
        <is>
          <t>حاضر</t>
        </is>
      </c>
      <c r="AG26" s="94" t="inlineStr">
        <is>
          <t>حاضر</t>
        </is>
      </c>
      <c r="AH26" s="94" t="inlineStr">
        <is>
          <t>غياب بعذر</t>
        </is>
      </c>
      <c r="AI26" s="94" t="inlineStr">
        <is>
          <t>حاضر</t>
        </is>
      </c>
      <c r="AJ26" s="94" t="inlineStr">
        <is>
          <t>حاضر</t>
        </is>
      </c>
      <c r="AK26" s="94" t="inlineStr">
        <is>
          <t>حاضر</t>
        </is>
      </c>
      <c r="AL26" s="94" t="inlineStr">
        <is>
          <t>حاضر</t>
        </is>
      </c>
      <c r="AM26" s="94" t="inlineStr">
        <is>
          <t>غياب بدون عذر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متأخر</t>
        </is>
      </c>
      <c r="AW26" s="94" t="inlineStr">
        <is>
          <t>غياب بدون عذر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متأخر</t>
        </is>
      </c>
      <c r="BE26" s="94" t="inlineStr">
        <is>
          <t>حاضر</t>
        </is>
      </c>
      <c r="BF26" s="94" t="inlineStr">
        <is>
          <t>حاضر</t>
        </is>
      </c>
      <c r="BG26" s="94" t="inlineStr">
        <is>
          <t>حاضر</t>
        </is>
      </c>
      <c r="BH26" s="94" t="inlineStr">
        <is>
          <t>حاضر</t>
        </is>
      </c>
      <c r="BI26" s="94" t="inlineStr">
        <is>
          <t>متأخر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26319</v>
      </c>
      <c r="C27" s="90" t="inlineStr">
        <is>
          <t>عبدالله عيسى الزعابي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0527900650</t>
        </is>
      </c>
      <c r="K27" s="92" t="inlineStr">
        <is>
          <t>عيسى الزعابي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0527900650</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غياب بدون عذر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26320</v>
      </c>
      <c r="C28" s="90" t="inlineStr">
        <is>
          <t>ريم أحمد الحوسني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0528539593</t>
        </is>
      </c>
      <c r="K28" s="92" t="inlineStr">
        <is>
          <t>أحمد الحوسني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0528539593</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غياب بدون عذر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غياب بعذر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6.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أسبوعًا",IFERROR(HYPERLINK("#'KG1-4'!"&amp;ADDRESS(9,29+MATCH(INDEX(Week_From,MATCH($I$1,Week_Label,0)),$AD$5:$IM$5,0)),"⬅ فتح أيام الأسبوع"),"⚠ أسبوع غير معروف"))</f>
        <v/>
      </c>
      <c r="K1" s="61">
        <f>HYPERLINK("#'KG1-4'!D9","⬅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KG1-4</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تاريخًا",IFERROR(HYPERLINK("#'KG1-4'!"&amp;ADDRESS(9,29+MATCH($I$3,$AD$5:$IM$5,0)),"⬅ فتح عمود "&amp;TEXT($I$3,"dd/mm/yyyy")),"⚠ ليس يوم دوام"))</f>
        <v/>
      </c>
      <c r="K3" s="61">
        <f>HYPERLINK("#'KG1-4'!"&amp;ADDRESS(9,29+IFERROR(MATCH(TODAY(),$AD$5:$IM$5,1),1)),"⬅ عمود اليوم")</f>
        <v/>
      </c>
      <c r="L3" s="61">
        <f>HYPERLINK("#'KG1-4'!"&amp;ADDRESS(9,29+IFERROR(MATCH($L$2,$AD$5:$IM$5,1),1)),"⬅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26401</v>
      </c>
      <c r="C9" s="90" t="inlineStr">
        <is>
          <t>فاطمة ناصر الرميثي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0502546333</t>
        </is>
      </c>
      <c r="K9" s="92" t="inlineStr">
        <is>
          <t>ناصر الرميثي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0502546333</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متأخر</t>
        </is>
      </c>
      <c r="AS9" s="94" t="inlineStr">
        <is>
          <t>حاضر</t>
        </is>
      </c>
      <c r="AT9" s="94" t="inlineStr">
        <is>
          <t>حاضر</t>
        </is>
      </c>
      <c r="AU9" s="94" t="inlineStr">
        <is>
          <t>حاضر</t>
        </is>
      </c>
      <c r="AV9" s="94" t="inlineStr">
        <is>
          <t>حاضر</t>
        </is>
      </c>
      <c r="AW9" s="94" t="inlineStr">
        <is>
          <t>متأخر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26402</v>
      </c>
      <c r="C10" s="90" t="inlineStr">
        <is>
          <t>راشد جمعة النعيمي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0508570388</t>
        </is>
      </c>
      <c r="K10" s="92" t="inlineStr">
        <is>
          <t>جمعة النعيمي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0508570388</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غياب بدون عذر</t>
        </is>
      </c>
      <c r="BD10" s="94" t="inlineStr">
        <is>
          <t>حاضر</t>
        </is>
      </c>
      <c r="BE10" s="94" t="inlineStr">
        <is>
          <t>حاضر</t>
        </is>
      </c>
      <c r="BF10" s="94" t="inlineStr">
        <is>
          <t>حاضر</t>
        </is>
      </c>
      <c r="BG10" s="94" t="inlineStr">
        <is>
          <t>غياب بعذر</t>
        </is>
      </c>
      <c r="BH10" s="94" t="inlineStr">
        <is>
          <t>حاضر</t>
        </is>
      </c>
      <c r="BI10" s="94" t="inlineStr">
        <is>
          <t>حاضر</t>
        </is>
      </c>
      <c r="BJ10" s="94" t="inlineStr">
        <is>
          <t>حاضر</t>
        </is>
      </c>
      <c r="BK10" s="94" t="inlineStr">
        <is>
          <t>غياب بدون عذر</t>
        </is>
      </c>
      <c r="BL10" s="94" t="inlineStr">
        <is>
          <t>غياب بدون عذر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26403</v>
      </c>
      <c r="C11" s="90" t="inlineStr">
        <is>
          <t>سارة عبيد البلوشي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0562393608</t>
        </is>
      </c>
      <c r="K11" s="92" t="inlineStr">
        <is>
          <t>عبيد البلوشي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0562393608</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غياب بدون عذر</t>
        </is>
      </c>
      <c r="BI11" s="94" t="inlineStr">
        <is>
          <t>غياب بدون عذر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متأخر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26404</v>
      </c>
      <c r="C12" s="90" t="inlineStr">
        <is>
          <t>عمر راشد العامري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0564335171</t>
        </is>
      </c>
      <c r="K12" s="92" t="inlineStr">
        <is>
          <t>راشد العامري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0564335171</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غياب بعذر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متأخر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26405</v>
      </c>
      <c r="C13" s="90" t="inlineStr">
        <is>
          <t>مهرة ناصر المنصوري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0523027004</t>
        </is>
      </c>
      <c r="K13" s="92" t="inlineStr">
        <is>
          <t>ناصر المنصوري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0523027004</t>
        </is>
      </c>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متأخر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غياب بعذر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26406</v>
      </c>
      <c r="C14" s="90" t="inlineStr">
        <is>
          <t>ناصر جمعة الزعابي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0561749254</t>
        </is>
      </c>
      <c r="K14" s="92" t="inlineStr">
        <is>
          <t>جمعة الزعابي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0561749254</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غياب بدون عذر</t>
        </is>
      </c>
      <c r="AN14" s="94" t="inlineStr">
        <is>
          <t>حاضر</t>
        </is>
      </c>
      <c r="AO14" s="94" t="inlineStr">
        <is>
          <t>حاضر</t>
        </is>
      </c>
      <c r="AP14" s="94" t="inlineStr">
        <is>
          <t>غياب بدون عذر</t>
        </is>
      </c>
      <c r="AQ14" s="94" t="inlineStr">
        <is>
          <t>حاضر</t>
        </is>
      </c>
      <c r="AR14" s="94" t="inlineStr">
        <is>
          <t>حاضر</t>
        </is>
      </c>
      <c r="AS14" s="94" t="inlineStr">
        <is>
          <t>حاضر</t>
        </is>
      </c>
      <c r="AT14" s="94" t="inlineStr">
        <is>
          <t>حاضر</t>
        </is>
      </c>
      <c r="AU14" s="94" t="inlineStr">
        <is>
          <t>غياب بدون عذر</t>
        </is>
      </c>
      <c r="AV14" s="94" t="inlineStr">
        <is>
          <t>غياب بدون عذر</t>
        </is>
      </c>
      <c r="AW14" s="94" t="inlineStr">
        <is>
          <t>حاضر</t>
        </is>
      </c>
      <c r="AX14" s="94" t="inlineStr">
        <is>
          <t>غياب بدون عذر</t>
        </is>
      </c>
      <c r="AY14" s="94" t="inlineStr">
        <is>
          <t>حاضر</t>
        </is>
      </c>
      <c r="AZ14" s="94" t="inlineStr">
        <is>
          <t>حاضر</t>
        </is>
      </c>
      <c r="BA14" s="94" t="inlineStr">
        <is>
          <t>غياب بدون عذر</t>
        </is>
      </c>
      <c r="BB14" s="94" t="inlineStr">
        <is>
          <t>حاضر</t>
        </is>
      </c>
      <c r="BC14" s="94" t="inlineStr">
        <is>
          <t>غياب بدون عذر</t>
        </is>
      </c>
      <c r="BD14" s="94" t="inlineStr">
        <is>
          <t>غياب بعذر</t>
        </is>
      </c>
      <c r="BE14" s="94" t="inlineStr">
        <is>
          <t>غياب بدون عذر</t>
        </is>
      </c>
      <c r="BF14" s="94" t="inlineStr">
        <is>
          <t>حاضر</t>
        </is>
      </c>
      <c r="BG14" s="94" t="inlineStr">
        <is>
          <t>حاضر</t>
        </is>
      </c>
      <c r="BH14" s="94" t="inlineStr">
        <is>
          <t>حاضر</t>
        </is>
      </c>
      <c r="BI14" s="94" t="inlineStr">
        <is>
          <t>غياب بعذر</t>
        </is>
      </c>
      <c r="BJ14" s="94" t="inlineStr">
        <is>
          <t>غياب بدون عذر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غياب بدون عذر</t>
        </is>
      </c>
      <c r="BT14" s="94" t="inlineStr">
        <is>
          <t>غياب بدون عذر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26407</v>
      </c>
      <c r="C15" s="90" t="inlineStr">
        <is>
          <t>جواهر عبيد الحوسني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0565505293</t>
        </is>
      </c>
      <c r="K15" s="92" t="inlineStr">
        <is>
          <t>عبيد الحوسني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0565505293</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غياب بعذر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غياب بدون عذر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غياب بدون عذر</t>
        </is>
      </c>
      <c r="BH15" s="94" t="inlineStr">
        <is>
          <t>حاضر</t>
        </is>
      </c>
      <c r="BI15" s="94" t="inlineStr">
        <is>
          <t>متأخر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26408</v>
      </c>
      <c r="C16" s="90" t="inlineStr">
        <is>
          <t>خالد راشد الشامسي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0543596457</t>
        </is>
      </c>
      <c r="K16" s="92" t="inlineStr">
        <is>
          <t>راشد الشامسي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0543596457</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غياب بدون عذر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متأخر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26409</v>
      </c>
      <c r="C17" s="90" t="inlineStr">
        <is>
          <t>حصة ناصر السويدي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0506258696</t>
        </is>
      </c>
      <c r="K17" s="92" t="inlineStr">
        <is>
          <t>ناصر السويدي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0506258696</t>
        </is>
      </c>
      <c r="AA17" s="89" t="n"/>
      <c r="AB17" s="89" t="n"/>
      <c r="AC17" s="89" t="n"/>
      <c r="AD17" s="94" t="inlineStr">
        <is>
          <t>حاضر</t>
        </is>
      </c>
      <c r="AE17" s="94" t="inlineStr">
        <is>
          <t>حاضر</t>
        </is>
      </c>
      <c r="AF17" s="94" t="inlineStr">
        <is>
          <t>متأخر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غياب بدون عذر</t>
        </is>
      </c>
      <c r="BL17" s="94" t="inlineStr">
        <is>
          <t>حاضر</t>
        </is>
      </c>
      <c r="BM17" s="94" t="inlineStr">
        <is>
          <t>حاضر</t>
        </is>
      </c>
      <c r="BN17" s="94" t="inlineStr">
        <is>
          <t>حاضر</t>
        </is>
      </c>
      <c r="BO17" s="94" t="inlineStr">
        <is>
          <t>متأخر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26410</v>
      </c>
      <c r="C18" s="90" t="inlineStr">
        <is>
          <t>عبدالله جمعة المرزوقي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0569254204</t>
        </is>
      </c>
      <c r="K18" s="92" t="inlineStr">
        <is>
          <t>جمعة المرزوقي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0569254204</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غياب بدون عذر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غياب بدون عذر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متأخر</t>
        </is>
      </c>
      <c r="BW18" s="94" t="inlineStr">
        <is>
          <t>حاضر</t>
        </is>
      </c>
      <c r="BX18" s="94" t="inlineStr">
        <is>
          <t>حاضر</t>
        </is>
      </c>
      <c r="BY18" s="94" t="inlineStr">
        <is>
          <t>غياب بدون عذر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26411</v>
      </c>
      <c r="C19" s="90" t="inlineStr">
        <is>
          <t>ريم عبيد الكعبي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0524740105</t>
        </is>
      </c>
      <c r="K19" s="92" t="inlineStr">
        <is>
          <t>عبيد الكعبي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0524740105</t>
        </is>
      </c>
      <c r="AA19" s="89" t="n"/>
      <c r="AB19" s="89" t="n"/>
      <c r="AC19" s="89" t="n"/>
      <c r="AD19" s="94" t="inlineStr">
        <is>
          <t>حاضر</t>
        </is>
      </c>
      <c r="AE19" s="94" t="inlineStr">
        <is>
          <t>غياب بدون عذر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متأخر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غياب بدون عذر</t>
        </is>
      </c>
      <c r="BM19" s="94" t="inlineStr">
        <is>
          <t>حاضر</t>
        </is>
      </c>
      <c r="BN19" s="94" t="inlineStr">
        <is>
          <t>حاضر</t>
        </is>
      </c>
      <c r="BO19" s="94" t="inlineStr">
        <is>
          <t>حاضر</t>
        </is>
      </c>
      <c r="BP19" s="94" t="inlineStr">
        <is>
          <t>متأخر</t>
        </is>
      </c>
      <c r="BQ19" s="94" t="inlineStr">
        <is>
          <t>حاضر</t>
        </is>
      </c>
      <c r="BR19" s="94" t="inlineStr">
        <is>
          <t>حاضر</t>
        </is>
      </c>
      <c r="BS19" s="94" t="inlineStr">
        <is>
          <t>حاضر</t>
        </is>
      </c>
      <c r="BT19" s="94" t="inlineStr">
        <is>
          <t>حاضر</t>
        </is>
      </c>
      <c r="BU19" s="94" t="inlineStr">
        <is>
          <t>حاضر</t>
        </is>
      </c>
      <c r="BV19" s="94" t="inlineStr">
        <is>
          <t>غياب بعذر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26412</v>
      </c>
      <c r="C20" s="90" t="inlineStr">
        <is>
          <t>منصور راشد المهيري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0553201443</t>
        </is>
      </c>
      <c r="K20" s="92" t="inlineStr">
        <is>
          <t>راشد المهيري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0553201443</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غياب بدون عذر</t>
        </is>
      </c>
      <c r="AK20" s="94" t="inlineStr">
        <is>
          <t>حاضر</t>
        </is>
      </c>
      <c r="AL20" s="94" t="inlineStr">
        <is>
          <t>حاضر</t>
        </is>
      </c>
      <c r="AM20" s="94" t="inlineStr">
        <is>
          <t>حاضر</t>
        </is>
      </c>
      <c r="AN20" s="94" t="inlineStr">
        <is>
          <t>متأخر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غياب بدون عذر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26413</v>
      </c>
      <c r="C21" s="90" t="inlineStr">
        <is>
          <t>أمل ناصر الخييلي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0569467819</t>
        </is>
      </c>
      <c r="K21" s="92" t="inlineStr">
        <is>
          <t>ناصر الخييلي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0569467819</t>
        </is>
      </c>
      <c r="AA21" s="89" t="n"/>
      <c r="AB21" s="89" t="n"/>
      <c r="AC21" s="89" t="n"/>
      <c r="AD21" s="94" t="inlineStr">
        <is>
          <t>غياب بدون عذر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متأخر</t>
        </is>
      </c>
      <c r="AP21" s="94" t="inlineStr">
        <is>
          <t>متأخر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غياب بدون عذر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26414</v>
      </c>
      <c r="C22" s="90" t="inlineStr">
        <is>
          <t>أحمد جمعة المزروعي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0542416554</t>
        </is>
      </c>
      <c r="K22" s="92" t="inlineStr">
        <is>
          <t>جمعة المزروعي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0542416554</t>
        </is>
      </c>
      <c r="AA22" s="89" t="n"/>
      <c r="AB22" s="89" t="n"/>
      <c r="AC22" s="89" t="n"/>
      <c r="AD22" s="94" t="inlineStr">
        <is>
          <t>حاضر</t>
        </is>
      </c>
      <c r="AE22" s="94" t="inlineStr">
        <is>
          <t>حاضر</t>
        </is>
      </c>
      <c r="AF22" s="94" t="inlineStr">
        <is>
          <t>حاضر</t>
        </is>
      </c>
      <c r="AG22" s="94" t="inlineStr">
        <is>
          <t>متأخر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غياب بعذر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غياب بدون عذر</t>
        </is>
      </c>
      <c r="BA22" s="94" t="inlineStr">
        <is>
          <t>غياب بدون عذر</t>
        </is>
      </c>
      <c r="BB22" s="94" t="inlineStr">
        <is>
          <t>متأخر</t>
        </is>
      </c>
      <c r="BC22" s="94" t="inlineStr">
        <is>
          <t>حاضر</t>
        </is>
      </c>
      <c r="BD22" s="94" t="inlineStr">
        <is>
          <t>حاضر</t>
        </is>
      </c>
      <c r="BE22" s="94" t="inlineStr">
        <is>
          <t>حاضر</t>
        </is>
      </c>
      <c r="BF22" s="94" t="inlineStr">
        <is>
          <t>حاضر</t>
        </is>
      </c>
      <c r="BG22" s="94" t="inlineStr">
        <is>
          <t>متأخر</t>
        </is>
      </c>
      <c r="BH22" s="94" t="inlineStr">
        <is>
          <t>حاضر</t>
        </is>
      </c>
      <c r="BI22" s="94" t="inlineStr">
        <is>
          <t>غياب بدون عذر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26415</v>
      </c>
      <c r="C23" s="90" t="inlineStr">
        <is>
          <t>شما عبيد الكتبي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0553686393</t>
        </is>
      </c>
      <c r="K23" s="92" t="inlineStr">
        <is>
          <t>عبيد الكتبي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0553686393</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غياب بدون عذر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متأخر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غياب بعذر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غياب بدون عذر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26416</v>
      </c>
      <c r="C24" s="90" t="inlineStr">
        <is>
          <t>حمدان راشد الدرمكي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0526133900</t>
        </is>
      </c>
      <c r="K24" s="92" t="inlineStr">
        <is>
          <t>راشد الدرمكي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0526133900</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غياب بدون عذر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غياب بعذر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26417</v>
      </c>
      <c r="C25" s="90" t="inlineStr">
        <is>
          <t>موزة ناصر الظاهري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0567912869</t>
        </is>
      </c>
      <c r="K25" s="92" t="inlineStr">
        <is>
          <t>ناصر الظاهري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0567912869</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غياب بدون عذر</t>
        </is>
      </c>
      <c r="AM25" s="94" t="inlineStr">
        <is>
          <t>غياب بدون عذر</t>
        </is>
      </c>
      <c r="AN25" s="94" t="inlineStr">
        <is>
          <t>حاضر</t>
        </is>
      </c>
      <c r="AO25" s="94" t="inlineStr">
        <is>
          <t>حاضر</t>
        </is>
      </c>
      <c r="AP25" s="94" t="inlineStr">
        <is>
          <t>غياب بعذر</t>
        </is>
      </c>
      <c r="AQ25" s="94" t="inlineStr">
        <is>
          <t>غياب بعذر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غياب بدون عذر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متأخر</t>
        </is>
      </c>
      <c r="BU25" s="94" t="inlineStr">
        <is>
          <t>حاضر</t>
        </is>
      </c>
      <c r="BV25" s="94" t="inlineStr">
        <is>
          <t>حاضر</t>
        </is>
      </c>
      <c r="BW25" s="94" t="inlineStr">
        <is>
          <t>حاضر</t>
        </is>
      </c>
      <c r="BX25" s="94" t="inlineStr">
        <is>
          <t>غياب بدون عذر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26418</v>
      </c>
      <c r="C26" s="90" t="inlineStr">
        <is>
          <t>ماجد جمعة القبيسي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0553492025</t>
        </is>
      </c>
      <c r="K26" s="92" t="inlineStr">
        <is>
          <t>جمعة القبيسي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0553492025</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غياب بدون عذر</t>
        </is>
      </c>
      <c r="AM26" s="94" t="inlineStr">
        <is>
          <t>حاضر</t>
        </is>
      </c>
      <c r="AN26" s="94" t="inlineStr">
        <is>
          <t>حاضر</t>
        </is>
      </c>
      <c r="AO26" s="94" t="inlineStr">
        <is>
          <t>حاضر</t>
        </is>
      </c>
      <c r="AP26" s="94" t="inlineStr">
        <is>
          <t>حاضر</t>
        </is>
      </c>
      <c r="AQ26" s="94" t="inlineStr">
        <is>
          <t>غياب بعذر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متأخر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متأخر</t>
        </is>
      </c>
      <c r="BO26" s="94" t="inlineStr">
        <is>
          <t>حاضر</t>
        </is>
      </c>
      <c r="BP26" s="94" t="inlineStr">
        <is>
          <t>متأخر</t>
        </is>
      </c>
      <c r="BQ26" s="94" t="inlineStr">
        <is>
          <t>حاضر</t>
        </is>
      </c>
      <c r="BR26" s="94" t="inlineStr">
        <is>
          <t>حاضر</t>
        </is>
      </c>
      <c r="BS26" s="94" t="inlineStr">
        <is>
          <t>حاضر</t>
        </is>
      </c>
      <c r="BT26" s="94" t="inlineStr">
        <is>
          <t>حاضر</t>
        </is>
      </c>
      <c r="BU26" s="94" t="inlineStr">
        <is>
          <t>غياب بدون عذر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26419</v>
      </c>
      <c r="C27" s="90" t="inlineStr">
        <is>
          <t>دانة عبيد الشحي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0564300029</t>
        </is>
      </c>
      <c r="K27" s="92" t="inlineStr">
        <is>
          <t>عبيد الشحي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0564300029</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متأخر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غياب بعذر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غياب بعذر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26420</v>
      </c>
      <c r="C28" s="90" t="inlineStr">
        <is>
          <t>طارق راشد الحمادي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0551237093</t>
        </is>
      </c>
      <c r="K28" s="92" t="inlineStr">
        <is>
          <t>راشد الحمادي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0551237093</t>
        </is>
      </c>
      <c r="AA28" s="89" t="inlineStr">
        <is>
          <t>0501234567</t>
        </is>
      </c>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غياب بدون عذر</t>
        </is>
      </c>
      <c r="AM28" s="94" t="inlineStr">
        <is>
          <t>حاضر</t>
        </is>
      </c>
      <c r="AN28" s="94" t="inlineStr">
        <is>
          <t>حاضر</t>
        </is>
      </c>
      <c r="AO28" s="94" t="inlineStr">
        <is>
          <t>حاضر</t>
        </is>
      </c>
      <c r="AP28" s="94" t="inlineStr">
        <is>
          <t>غياب بدون عذر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غياب بدون عذر</t>
        </is>
      </c>
      <c r="AY28" s="94" t="inlineStr">
        <is>
          <t>حاضر</t>
        </is>
      </c>
      <c r="AZ28" s="94" t="inlineStr">
        <is>
          <t>غياب بدون عذر</t>
        </is>
      </c>
      <c r="BA28" s="94" t="inlineStr">
        <is>
          <t>حاضر</t>
        </is>
      </c>
      <c r="BB28" s="94" t="inlineStr">
        <is>
          <t>حاضر</t>
        </is>
      </c>
      <c r="BC28" s="94" t="inlineStr">
        <is>
          <t>متأخر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غياب بدون عذر</t>
        </is>
      </c>
      <c r="BV28" s="94" t="inlineStr">
        <is>
          <t>حاضر</t>
        </is>
      </c>
      <c r="BW28" s="94" t="inlineStr">
        <is>
          <t>حاضر</t>
        </is>
      </c>
      <c r="BX28" s="94" t="inlineStr">
        <is>
          <t>غياب بدون عذر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7.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أسبوعًا",IFERROR(HYPERLINK("#'KG1-5'!"&amp;ADDRESS(9,29+MATCH(INDEX(Week_From,MATCH($I$1,Week_Label,0)),$AD$5:$IM$5,0)),"⬅ فتح أيام الأسبوع"),"⚠ أسبوع غير معروف"))</f>
        <v/>
      </c>
      <c r="K1" s="61">
        <f>HYPERLINK("#'KG1-5'!D9","⬅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KG1-5</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46330</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تاريخًا",IFERROR(HYPERLINK("#'KG1-5'!"&amp;ADDRESS(9,29+MATCH($I$3,$AD$5:$IM$5,0)),"⬅ فتح عمود "&amp;TEXT($I$3,"dd/mm/yyyy")),"⚠ ليس يوم دوام"))</f>
        <v/>
      </c>
      <c r="K3" s="61">
        <f>HYPERLINK("#'KG1-5'!"&amp;ADDRESS(9,29+IFERROR(MATCH(TODAY(),$AD$5:$IM$5,1),1)),"⬅ عمود اليوم")</f>
        <v/>
      </c>
      <c r="L3" s="61">
        <f>HYPERLINK("#'KG1-5'!"&amp;ADDRESS(9,29+IFERROR(MATCH($L$2,$AD$5:$IM$5,1),1)),"⬅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26501</v>
      </c>
      <c r="C9" s="90" t="inlineStr">
        <is>
          <t>عبدالله يوسف المزروعي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0507532175</t>
        </is>
      </c>
      <c r="K9" s="92" t="inlineStr">
        <is>
          <t>يوسف المزروعي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0507532175</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متأخر</t>
        </is>
      </c>
      <c r="AW9" s="94" t="inlineStr">
        <is>
          <t>حاضر</t>
        </is>
      </c>
      <c r="AX9" s="94" t="inlineStr">
        <is>
          <t>متأخر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متأخر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26502</v>
      </c>
      <c r="C10" s="90" t="inlineStr">
        <is>
          <t>ريم حسن الكتبي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0501861935</t>
        </is>
      </c>
      <c r="K10" s="92" t="inlineStr">
        <is>
          <t>حسن الكتبي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0501861935</t>
        </is>
      </c>
      <c r="AA10" s="89" t="n"/>
      <c r="AB10" s="89" t="n"/>
      <c r="AC10" s="89" t="n"/>
      <c r="AD10" s="94" t="inlineStr">
        <is>
          <t>متأخر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متأخر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26503</v>
      </c>
      <c r="C11" s="90" t="inlineStr">
        <is>
          <t>منصور خالد الدرمكي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0546929115</t>
        </is>
      </c>
      <c r="K11" s="92" t="inlineStr">
        <is>
          <t>خالد الدرمكي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0546929115</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26504</v>
      </c>
      <c r="C12" s="90" t="inlineStr">
        <is>
          <t>أمل علي الظاهري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0501429199</t>
        </is>
      </c>
      <c r="K12" s="92" t="inlineStr">
        <is>
          <t>علي الظاهري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0501429199</t>
        </is>
      </c>
      <c r="AA12" s="89" t="n"/>
      <c r="AB12" s="89" t="n"/>
      <c r="AC12" s="89" t="n"/>
      <c r="AD12" s="94" t="inlineStr">
        <is>
          <t>حاضر</t>
        </is>
      </c>
      <c r="AE12" s="94" t="inlineStr">
        <is>
          <t>حاضر</t>
        </is>
      </c>
      <c r="AF12" s="94" t="inlineStr">
        <is>
          <t>حاضر</t>
        </is>
      </c>
      <c r="AG12" s="94" t="inlineStr">
        <is>
          <t>متأخر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غياب بدون عذر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متأخر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غياب بعذر</t>
        </is>
      </c>
      <c r="BQ12" s="94" t="inlineStr">
        <is>
          <t>حاضر</t>
        </is>
      </c>
      <c r="BR12" s="94" t="inlineStr">
        <is>
          <t>حاضر</t>
        </is>
      </c>
      <c r="BS12" s="94" t="inlineStr">
        <is>
          <t>غياب بدون عذر</t>
        </is>
      </c>
      <c r="BT12" s="94" t="inlineStr">
        <is>
          <t>غياب بعذر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26505</v>
      </c>
      <c r="C13" s="90" t="inlineStr">
        <is>
          <t>أحمد يوسف القبيسي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0568986364</t>
        </is>
      </c>
      <c r="K13" s="92" t="inlineStr">
        <is>
          <t>يوسف القبيسي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0568986364</t>
        </is>
      </c>
      <c r="AA13" s="89" t="n"/>
      <c r="AB13" s="89" t="n"/>
      <c r="AC13" s="89" t="n"/>
      <c r="AD13" s="94" t="inlineStr">
        <is>
          <t>حاضر</t>
        </is>
      </c>
      <c r="AE13" s="94" t="inlineStr">
        <is>
          <t>حاضر</t>
        </is>
      </c>
      <c r="AF13" s="94" t="inlineStr">
        <is>
          <t>حاضر</t>
        </is>
      </c>
      <c r="AG13" s="94" t="inlineStr">
        <is>
          <t>حاضر</t>
        </is>
      </c>
      <c r="AH13" s="94" t="inlineStr">
        <is>
          <t>متأخر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غياب بدون عذر</t>
        </is>
      </c>
      <c r="AQ13" s="94" t="inlineStr">
        <is>
          <t>حاضر</t>
        </is>
      </c>
      <c r="AR13" s="94" t="inlineStr">
        <is>
          <t>حاضر</t>
        </is>
      </c>
      <c r="AS13" s="94" t="inlineStr">
        <is>
          <t>حاضر</t>
        </is>
      </c>
      <c r="AT13" s="94" t="inlineStr">
        <is>
          <t>متأخر</t>
        </is>
      </c>
      <c r="AU13" s="94" t="inlineStr">
        <is>
          <t>غياب بدون عذر</t>
        </is>
      </c>
      <c r="AV13" s="94" t="inlineStr">
        <is>
          <t>حاضر</t>
        </is>
      </c>
      <c r="AW13" s="94" t="inlineStr">
        <is>
          <t>حاضر</t>
        </is>
      </c>
      <c r="AX13" s="94" t="inlineStr">
        <is>
          <t>متأخر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غياب بدون عذر</t>
        </is>
      </c>
      <c r="BG13" s="94" t="inlineStr">
        <is>
          <t>حاضر</t>
        </is>
      </c>
      <c r="BH13" s="94" t="inlineStr">
        <is>
          <t>غياب بدون عذر</t>
        </is>
      </c>
      <c r="BI13" s="94" t="inlineStr">
        <is>
          <t>حاضر</t>
        </is>
      </c>
      <c r="BJ13" s="94" t="inlineStr">
        <is>
          <t>غياب بدون عذر</t>
        </is>
      </c>
      <c r="BK13" s="94" t="inlineStr">
        <is>
          <t>حاضر</t>
        </is>
      </c>
      <c r="BL13" s="94" t="inlineStr">
        <is>
          <t>حاضر</t>
        </is>
      </c>
      <c r="BM13" s="94" t="inlineStr">
        <is>
          <t>حاضر</t>
        </is>
      </c>
      <c r="BN13" s="94" t="inlineStr">
        <is>
          <t>حاضر</t>
        </is>
      </c>
      <c r="BO13" s="94" t="inlineStr">
        <is>
          <t>حاضر</t>
        </is>
      </c>
      <c r="BP13" s="94" t="inlineStr">
        <is>
          <t>غياب بدون عذر</t>
        </is>
      </c>
      <c r="BQ13" s="94" t="inlineStr">
        <is>
          <t>حاضر</t>
        </is>
      </c>
      <c r="BR13" s="94" t="inlineStr">
        <is>
          <t>حاضر</t>
        </is>
      </c>
      <c r="BS13" s="94" t="inlineStr">
        <is>
          <t>حاضر</t>
        </is>
      </c>
      <c r="BT13" s="94" t="inlineStr">
        <is>
          <t>حاضر</t>
        </is>
      </c>
      <c r="BU13" s="94" t="inlineStr">
        <is>
          <t>غياب بدون عذر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26506</v>
      </c>
      <c r="C14" s="90" t="inlineStr">
        <is>
          <t>شما حسن الشحي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0546094766</t>
        </is>
      </c>
      <c r="K14" s="92" t="inlineStr">
        <is>
          <t>حسن الشحي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0546094766</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غياب بدون عذر</t>
        </is>
      </c>
      <c r="AP14" s="94" t="inlineStr">
        <is>
          <t>حاضر</t>
        </is>
      </c>
      <c r="AQ14" s="94" t="inlineStr">
        <is>
          <t>حاضر</t>
        </is>
      </c>
      <c r="AR14" s="94" t="inlineStr">
        <is>
          <t>متأخر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غياب بعذر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غياب بدون عذر</t>
        </is>
      </c>
      <c r="BX14" s="94" t="inlineStr">
        <is>
          <t>حاضر</t>
        </is>
      </c>
      <c r="BY14" s="94" t="inlineStr">
        <is>
          <t>غياب بعذر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26507</v>
      </c>
      <c r="C15" s="90" t="inlineStr">
        <is>
          <t>حمدان خالد الحمادي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0556470089</t>
        </is>
      </c>
      <c r="K15" s="92" t="inlineStr">
        <is>
          <t>خالد الحمادي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0556470089</t>
        </is>
      </c>
      <c r="AA15" s="89" t="n"/>
      <c r="AB15" s="89" t="n"/>
      <c r="AC15" s="89" t="n"/>
      <c r="AD15" s="94" t="inlineStr">
        <is>
          <t>حاضر</t>
        </is>
      </c>
      <c r="AE15" s="94" t="inlineStr">
        <is>
          <t>حاضر</t>
        </is>
      </c>
      <c r="AF15" s="94" t="inlineStr">
        <is>
          <t>حاضر</t>
        </is>
      </c>
      <c r="AG15" s="94" t="inlineStr">
        <is>
          <t>متأخر</t>
        </is>
      </c>
      <c r="AH15" s="94" t="inlineStr">
        <is>
          <t>حاضر</t>
        </is>
      </c>
      <c r="AI15" s="94" t="inlineStr">
        <is>
          <t>حاضر</t>
        </is>
      </c>
      <c r="AJ15" s="94" t="inlineStr">
        <is>
          <t>حاضر</t>
        </is>
      </c>
      <c r="AK15" s="94" t="inlineStr">
        <is>
          <t>حاضر</t>
        </is>
      </c>
      <c r="AL15" s="94" t="inlineStr">
        <is>
          <t>متأخر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متأخر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26508</v>
      </c>
      <c r="C16" s="90" t="inlineStr">
        <is>
          <t>موزة علي الرميثي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0509347833</t>
        </is>
      </c>
      <c r="K16" s="92" t="inlineStr">
        <is>
          <t>علي الرميثي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0509347833</t>
        </is>
      </c>
      <c r="AA16" s="89" t="n"/>
      <c r="AB16" s="89" t="n"/>
      <c r="AC16" s="89" t="n"/>
      <c r="AD16" s="94" t="inlineStr">
        <is>
          <t>حاضر</t>
        </is>
      </c>
      <c r="AE16" s="94" t="inlineStr">
        <is>
          <t>حاضر</t>
        </is>
      </c>
      <c r="AF16" s="94" t="inlineStr">
        <is>
          <t>حاضر</t>
        </is>
      </c>
      <c r="AG16" s="94" t="inlineStr">
        <is>
          <t>غياب بدون عذر</t>
        </is>
      </c>
      <c r="AH16" s="94" t="inlineStr">
        <is>
          <t>حاضر</t>
        </is>
      </c>
      <c r="AI16" s="94" t="inlineStr">
        <is>
          <t>حاضر</t>
        </is>
      </c>
      <c r="AJ16" s="94" t="inlineStr">
        <is>
          <t>حاضر</t>
        </is>
      </c>
      <c r="AK16" s="94" t="inlineStr">
        <is>
          <t>غياب بدون عذر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غياب بعذر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غياب بدون عذر</t>
        </is>
      </c>
      <c r="BP16" s="94" t="inlineStr">
        <is>
          <t>حاضر</t>
        </is>
      </c>
      <c r="BQ16" s="94" t="inlineStr">
        <is>
          <t>غياب بدون عذر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26509</v>
      </c>
      <c r="C17" s="90" t="inlineStr">
        <is>
          <t>ماجد يوسف النعيمي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0553864434</t>
        </is>
      </c>
      <c r="K17" s="92" t="inlineStr">
        <is>
          <t>يوسف النعيمي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0553864434</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متأخر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26510</v>
      </c>
      <c r="C18" s="90" t="inlineStr">
        <is>
          <t>دانة حسن البلوشي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0529717671</t>
        </is>
      </c>
      <c r="K18" s="92" t="inlineStr">
        <is>
          <t>حسن البلوشي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0529717671</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متأخر</t>
        </is>
      </c>
      <c r="BR18" s="94" t="inlineStr">
        <is>
          <t>حاضر</t>
        </is>
      </c>
      <c r="BS18" s="94" t="inlineStr">
        <is>
          <t>غياب بعذر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26511</v>
      </c>
      <c r="C19" s="90" t="inlineStr">
        <is>
          <t>طارق خالد العامري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0528274727</t>
        </is>
      </c>
      <c r="K19" s="92" t="inlineStr">
        <is>
          <t>خالد العامري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0528274727</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غياب بدون عذر</t>
        </is>
      </c>
      <c r="AU19" s="94" t="inlineStr">
        <is>
          <t>متأخر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متأخر</t>
        </is>
      </c>
      <c r="BG19" s="94" t="inlineStr">
        <is>
          <t>حاضر</t>
        </is>
      </c>
      <c r="BH19" s="94" t="inlineStr">
        <is>
          <t>حاضر</t>
        </is>
      </c>
      <c r="BI19" s="94" t="inlineStr">
        <is>
          <t>حاضر</t>
        </is>
      </c>
      <c r="BJ19" s="94" t="inlineStr">
        <is>
          <t>غياب بدون عذر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متأخر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26512</v>
      </c>
      <c r="C20" s="90" t="inlineStr">
        <is>
          <t>فاطمة علي المنصوري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0566644171</t>
        </is>
      </c>
      <c r="K20" s="92" t="inlineStr">
        <is>
          <t>علي المنصوري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0566644171</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غياب بعذر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غياب بدون عذر</t>
        </is>
      </c>
      <c r="BR20" s="94" t="inlineStr">
        <is>
          <t>حاضر</t>
        </is>
      </c>
      <c r="BS20" s="94" t="inlineStr">
        <is>
          <t>حاضر</t>
        </is>
      </c>
      <c r="BT20" s="94" t="inlineStr">
        <is>
          <t>حاضر</t>
        </is>
      </c>
      <c r="BU20" s="94" t="inlineStr">
        <is>
          <t>حاضر</t>
        </is>
      </c>
      <c r="BV20" s="94" t="inlineStr">
        <is>
          <t>حاضر</t>
        </is>
      </c>
      <c r="BW20" s="94" t="inlineStr">
        <is>
          <t>غياب بدون عذر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26513</v>
      </c>
      <c r="C21" s="90" t="inlineStr">
        <is>
          <t>راشد يوسف الزعابي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0554914569</t>
        </is>
      </c>
      <c r="K21" s="92" t="inlineStr">
        <is>
          <t>يوسف الزعابي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0554914569</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غياب بعذر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26514</v>
      </c>
      <c r="C22" s="90" t="inlineStr">
        <is>
          <t>سارة حسن الحوسني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0507696744</t>
        </is>
      </c>
      <c r="K22" s="92" t="inlineStr">
        <is>
          <t>حسن الحوسني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0507696744</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غياب بدون عذر</t>
        </is>
      </c>
      <c r="AW22" s="94" t="inlineStr">
        <is>
          <t>حاضر</t>
        </is>
      </c>
      <c r="AX22" s="94" t="inlineStr">
        <is>
          <t>حاضر</t>
        </is>
      </c>
      <c r="AY22" s="94" t="inlineStr">
        <is>
          <t>غياب بدون عذر</t>
        </is>
      </c>
      <c r="AZ22" s="94" t="inlineStr">
        <is>
          <t>حاضر</t>
        </is>
      </c>
      <c r="BA22" s="94" t="inlineStr">
        <is>
          <t>حاضر</t>
        </is>
      </c>
      <c r="BB22" s="94" t="inlineStr">
        <is>
          <t>حاضر</t>
        </is>
      </c>
      <c r="BC22" s="94" t="inlineStr">
        <is>
          <t>حاضر</t>
        </is>
      </c>
      <c r="BD22" s="94" t="inlineStr">
        <is>
          <t>غياب بدون عذر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26515</v>
      </c>
      <c r="C23" s="90" t="inlineStr">
        <is>
          <t>عمر خالد الشامسي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0504279843</t>
        </is>
      </c>
      <c r="K23" s="92" t="inlineStr">
        <is>
          <t>خالد الشامسي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0504279843</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متأخر</t>
        </is>
      </c>
      <c r="AW23" s="94" t="inlineStr">
        <is>
          <t>حاضر</t>
        </is>
      </c>
      <c r="AX23" s="94" t="inlineStr">
        <is>
          <t>حاضر</t>
        </is>
      </c>
      <c r="AY23" s="94" t="inlineStr">
        <is>
          <t>حاضر</t>
        </is>
      </c>
      <c r="AZ23" s="94" t="inlineStr">
        <is>
          <t>حاضر</t>
        </is>
      </c>
      <c r="BA23" s="94" t="inlineStr">
        <is>
          <t>حاضر</t>
        </is>
      </c>
      <c r="BB23" s="94" t="inlineStr">
        <is>
          <t>غياب بدون عذر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26516</v>
      </c>
      <c r="C24" s="90" t="inlineStr">
        <is>
          <t>مهرة علي السويدي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0521758944</t>
        </is>
      </c>
      <c r="K24" s="92" t="inlineStr">
        <is>
          <t>علي السويدي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0521758944</t>
        </is>
      </c>
      <c r="AA24" s="89" t="n"/>
      <c r="AB24" s="89" t="n"/>
      <c r="AC24" s="89" t="n"/>
      <c r="AD24" s="94" t="inlineStr">
        <is>
          <t>حاضر</t>
        </is>
      </c>
      <c r="AE24" s="94" t="inlineStr">
        <is>
          <t>متأخر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26517</v>
      </c>
      <c r="C25" s="90" t="inlineStr">
        <is>
          <t>ناصر يوسف المرزوقي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0561808451</t>
        </is>
      </c>
      <c r="K25" s="92" t="inlineStr">
        <is>
          <t>يوسف المرزوقي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0561808451</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متأخر</t>
        </is>
      </c>
      <c r="AK25" s="94" t="inlineStr">
        <is>
          <t>حاضر</t>
        </is>
      </c>
      <c r="AL25" s="94" t="inlineStr">
        <is>
          <t>حاضر</t>
        </is>
      </c>
      <c r="AM25" s="94" t="inlineStr">
        <is>
          <t>غياب بدون عذر</t>
        </is>
      </c>
      <c r="AN25" s="94" t="inlineStr">
        <is>
          <t>غياب بعذر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متأخر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26518</v>
      </c>
      <c r="C26" s="90" t="inlineStr">
        <is>
          <t>جواهر حسن الكعبي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0554162996</t>
        </is>
      </c>
      <c r="K26" s="92" t="inlineStr">
        <is>
          <t>حسن الكعبي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0554162996</t>
        </is>
      </c>
      <c r="AA26" s="89" t="n"/>
      <c r="AB26" s="89" t="n"/>
      <c r="AC26" s="89" t="n"/>
      <c r="AD26" s="94" t="inlineStr">
        <is>
          <t>حاضر</t>
        </is>
      </c>
      <c r="AE26" s="94" t="inlineStr">
        <is>
          <t>حاضر</t>
        </is>
      </c>
      <c r="AF26" s="94" t="inlineStr">
        <is>
          <t>غياب بعذر</t>
        </is>
      </c>
      <c r="AG26" s="94" t="inlineStr">
        <is>
          <t>حاضر</t>
        </is>
      </c>
      <c r="AH26" s="94" t="inlineStr">
        <is>
          <t>حاضر</t>
        </is>
      </c>
      <c r="AI26" s="94" t="inlineStr">
        <is>
          <t>حاضر</t>
        </is>
      </c>
      <c r="AJ26" s="94" t="inlineStr">
        <is>
          <t>غياب بدون عذر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غياب بدون عذر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غياب بدون عذر</t>
        </is>
      </c>
      <c r="BI26" s="94" t="inlineStr">
        <is>
          <t>حاضر</t>
        </is>
      </c>
      <c r="BJ26" s="94" t="inlineStr">
        <is>
          <t>غياب بدون عذر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26519</v>
      </c>
      <c r="C27" s="90" t="inlineStr">
        <is>
          <t>خالد خالد المهيري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0551343426</t>
        </is>
      </c>
      <c r="K27" s="92" t="inlineStr">
        <is>
          <t>خالد المهيري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0551343426</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26520</v>
      </c>
      <c r="C28" s="90" t="inlineStr">
        <is>
          <t>حصة علي الخييلي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0529890860</t>
        </is>
      </c>
      <c r="K28" s="92" t="inlineStr">
        <is>
          <t>علي الخييلي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0529890860</t>
        </is>
      </c>
      <c r="AA28" s="89" t="n"/>
      <c r="AB28" s="89" t="n"/>
      <c r="AC28" s="89" t="n"/>
      <c r="AD28" s="94" t="inlineStr">
        <is>
          <t>حاضر</t>
        </is>
      </c>
      <c r="AE28" s="94" t="inlineStr">
        <is>
          <t>حاضر</t>
        </is>
      </c>
      <c r="AF28" s="94" t="inlineStr">
        <is>
          <t>حاضر</t>
        </is>
      </c>
      <c r="AG28" s="94" t="inlineStr">
        <is>
          <t>غياب بدون عذر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متأخر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غياب بعذر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8.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أسبوعًا",IFERROR(HYPERLINK("#'KG1-6'!"&amp;ADDRESS(9,29+MATCH(INDEX(Week_From,MATCH($I$1,Week_Label,0)),$AD$5:$IM$5,0)),"⬅ فتح أيام الأسبوع"),"⚠ أسبوع غير معروف"))</f>
        <v/>
      </c>
      <c r="K1" s="61">
        <f>HYPERLINK("#'KG1-6'!D9","⬅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KG1-6</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تاريخًا",IFERROR(HYPERLINK("#'KG1-6'!"&amp;ADDRESS(9,29+MATCH($I$3,$AD$5:$IM$5,0)),"⬅ فتح عمود "&amp;TEXT($I$3,"dd/mm/yyyy")),"⚠ ليس يوم دوام"))</f>
        <v/>
      </c>
      <c r="K3" s="61">
        <f>HYPERLINK("#'KG1-6'!"&amp;ADDRESS(9,29+IFERROR(MATCH(TODAY(),$AD$5:$IM$5,1),1)),"⬅ عمود اليوم")</f>
        <v/>
      </c>
      <c r="L3" s="61">
        <f>HYPERLINK("#'KG1-6'!"&amp;ADDRESS(9,29+IFERROR(MATCH($L$2,$AD$5:$IM$5,1),1)),"⬅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26601</v>
      </c>
      <c r="C9" s="90" t="inlineStr">
        <is>
          <t>دانة خليفة الحوسني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0529671348</t>
        </is>
      </c>
      <c r="K9" s="92" t="inlineStr">
        <is>
          <t>خليفة الحوسني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0529671348</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متأخر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غياب بدون عذر</t>
        </is>
      </c>
      <c r="BQ9" s="94" t="inlineStr">
        <is>
          <t>غياب بدون عذر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26602</v>
      </c>
      <c r="C10" s="90" t="inlineStr">
        <is>
          <t>طارق محمد الشامسي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0523690909</t>
        </is>
      </c>
      <c r="K10" s="92" t="inlineStr">
        <is>
          <t>محمد الشامسي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0523690909</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غياب بدون عذر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غياب بدون عذر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غياب بدون عذر</t>
        </is>
      </c>
      <c r="BQ10" s="94" t="inlineStr">
        <is>
          <t>حاضر</t>
        </is>
      </c>
      <c r="BR10" s="94" t="inlineStr">
        <is>
          <t>حاضر</t>
        </is>
      </c>
      <c r="BS10" s="94" t="inlineStr">
        <is>
          <t>غياب بدون عذر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26603</v>
      </c>
      <c r="C11" s="90" t="inlineStr">
        <is>
          <t>فاطمة سعيد السويدي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0527542635</t>
        </is>
      </c>
      <c r="K11" s="92" t="inlineStr">
        <is>
          <t>سعيد السويدي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0527542635</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متأخر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غياب بدون عذر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غياب بدون عذر</t>
        </is>
      </c>
      <c r="BN11" s="94" t="inlineStr">
        <is>
          <t>حاضر</t>
        </is>
      </c>
      <c r="BO11" s="94" t="inlineStr">
        <is>
          <t>حاضر</t>
        </is>
      </c>
      <c r="BP11" s="94" t="inlineStr">
        <is>
          <t>حاضر</t>
        </is>
      </c>
      <c r="BQ11" s="94" t="inlineStr">
        <is>
          <t>حاضر</t>
        </is>
      </c>
      <c r="BR11" s="94" t="inlineStr">
        <is>
          <t>حاضر</t>
        </is>
      </c>
      <c r="BS11" s="94" t="inlineStr">
        <is>
          <t>غياب بدون عذر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26604</v>
      </c>
      <c r="C12" s="90" t="inlineStr">
        <is>
          <t>راشد سلطان المرزوقي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0548136260</t>
        </is>
      </c>
      <c r="K12" s="92" t="inlineStr">
        <is>
          <t>سلطان المرزوقي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0548136260</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غياب بدون عذر</t>
        </is>
      </c>
      <c r="AR12" s="94" t="inlineStr">
        <is>
          <t>حاضر</t>
        </is>
      </c>
      <c r="AS12" s="94" t="inlineStr">
        <is>
          <t>حاضر</t>
        </is>
      </c>
      <c r="AT12" s="94" t="inlineStr">
        <is>
          <t>غياب بدون عذر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غياب بدون عذر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غياب بدون عذر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متأخر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26605</v>
      </c>
      <c r="C13" s="90" t="inlineStr">
        <is>
          <t>سارة خليفة الكعبي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0567947223</t>
        </is>
      </c>
      <c r="K13" s="92" t="inlineStr">
        <is>
          <t>خليفة الكعبي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0567947223</t>
        </is>
      </c>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غياب بدون عذر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26606</v>
      </c>
      <c r="C14" s="90" t="inlineStr">
        <is>
          <t>عمر محمد المهيري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0507428783</t>
        </is>
      </c>
      <c r="K14" s="92" t="inlineStr">
        <is>
          <t>محمد المهيري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0507428783</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غياب بدون عذر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غياب بعذر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26607</v>
      </c>
      <c r="C15" s="90" t="inlineStr">
        <is>
          <t>مهرة سعيد الخييلي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0544140674</t>
        </is>
      </c>
      <c r="K15" s="92" t="inlineStr">
        <is>
          <t>سعيد الخييلي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0544140674</t>
        </is>
      </c>
      <c r="AA15" s="89" t="n"/>
      <c r="AB15" s="89" t="n"/>
      <c r="AC15" s="89" t="n"/>
      <c r="AD15" s="94" t="inlineStr">
        <is>
          <t>غياب بدون عذر</t>
        </is>
      </c>
      <c r="AE15" s="94" t="inlineStr">
        <is>
          <t>متأخر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متأخر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غياب بدون عذر</t>
        </is>
      </c>
      <c r="AZ15" s="94" t="inlineStr">
        <is>
          <t>حاضر</t>
        </is>
      </c>
      <c r="BA15" s="94" t="inlineStr">
        <is>
          <t>حاضر</t>
        </is>
      </c>
      <c r="BB15" s="94" t="inlineStr">
        <is>
          <t>غياب بدون عذر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غياب بدون عذر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26608</v>
      </c>
      <c r="C16" s="90" t="inlineStr">
        <is>
          <t>ناصر سلطان المزروعي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0543930894</t>
        </is>
      </c>
      <c r="K16" s="92" t="inlineStr">
        <is>
          <t>سلطان المزروعي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0543930894</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غياب بعذر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غياب بعذر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26609</v>
      </c>
      <c r="C17" s="90" t="inlineStr">
        <is>
          <t>جواهر خليفة الكتبي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0548783206</t>
        </is>
      </c>
      <c r="K17" s="92" t="inlineStr">
        <is>
          <t>خليفة الكتبي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0548783206</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متأخر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غياب بدون عذر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26610</v>
      </c>
      <c r="C18" s="90" t="inlineStr">
        <is>
          <t>خالد محمد الدرمكي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0557974916</t>
        </is>
      </c>
      <c r="K18" s="92" t="inlineStr">
        <is>
          <t>محمد الدرمكي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0557974916</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غياب بدون عذر</t>
        </is>
      </c>
      <c r="AL18" s="94" t="inlineStr">
        <is>
          <t>غياب بعذر</t>
        </is>
      </c>
      <c r="AM18" s="94" t="inlineStr">
        <is>
          <t>متأخر</t>
        </is>
      </c>
      <c r="AN18" s="94" t="inlineStr">
        <is>
          <t>حاضر</t>
        </is>
      </c>
      <c r="AO18" s="94" t="inlineStr">
        <is>
          <t>حاضر</t>
        </is>
      </c>
      <c r="AP18" s="94" t="inlineStr">
        <is>
          <t>حاضر</t>
        </is>
      </c>
      <c r="AQ18" s="94" t="inlineStr">
        <is>
          <t>حاضر</t>
        </is>
      </c>
      <c r="AR18" s="94" t="inlineStr">
        <is>
          <t>حاضر</t>
        </is>
      </c>
      <c r="AS18" s="94" t="inlineStr">
        <is>
          <t>غياب بدون عذر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26611</v>
      </c>
      <c r="C19" s="90" t="inlineStr">
        <is>
          <t>حصة سعيد الظاهري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0548846710</t>
        </is>
      </c>
      <c r="K19" s="92" t="inlineStr">
        <is>
          <t>سعيد الظاهري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0548846710</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غياب بدون عذر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غياب بعذر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متأخر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متأخر</t>
        </is>
      </c>
      <c r="BS19" s="94" t="inlineStr">
        <is>
          <t>حاضر</t>
        </is>
      </c>
      <c r="BT19" s="94" t="inlineStr">
        <is>
          <t>متأخر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26612</v>
      </c>
      <c r="C20" s="90" t="inlineStr">
        <is>
          <t>عبدالله سلطان القبيسي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0526465836</t>
        </is>
      </c>
      <c r="K20" s="92" t="inlineStr">
        <is>
          <t>سلطان القبيسي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0526465836</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متأخر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26613</v>
      </c>
      <c r="C21" s="90" t="inlineStr">
        <is>
          <t>ريم خليفة الشحي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0569087503</t>
        </is>
      </c>
      <c r="K21" s="92" t="inlineStr">
        <is>
          <t>خليفة الشحي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0569087503</t>
        </is>
      </c>
      <c r="AA21" s="89" t="n"/>
      <c r="AB21" s="89" t="n"/>
      <c r="AC21" s="89" t="n"/>
      <c r="AD21" s="94" t="inlineStr">
        <is>
          <t>حاضر</t>
        </is>
      </c>
      <c r="AE21" s="94" t="inlineStr">
        <is>
          <t>حاضر</t>
        </is>
      </c>
      <c r="AF21" s="94" t="inlineStr">
        <is>
          <t>حاضر</t>
        </is>
      </c>
      <c r="AG21" s="94" t="inlineStr">
        <is>
          <t>حاضر</t>
        </is>
      </c>
      <c r="AH21" s="94" t="inlineStr">
        <is>
          <t>غياب بعذر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26614</v>
      </c>
      <c r="C22" s="90" t="inlineStr">
        <is>
          <t>منصور محمد الحمادي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0553015037</t>
        </is>
      </c>
      <c r="K22" s="92" t="inlineStr">
        <is>
          <t>محمد الحمادي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0553015037</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26615</v>
      </c>
      <c r="C23" s="90" t="inlineStr">
        <is>
          <t>أمل سعيد الرميثي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0569802987</t>
        </is>
      </c>
      <c r="K23" s="92" t="inlineStr">
        <is>
          <t>سعيد الرميثي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0569802987</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26616</v>
      </c>
      <c r="C24" s="90" t="inlineStr">
        <is>
          <t>أحمد سلطان النعيمي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0542586554</t>
        </is>
      </c>
      <c r="K24" s="92" t="inlineStr">
        <is>
          <t>سلطان النعيمي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0542586554</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متأخر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متأخر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26617</v>
      </c>
      <c r="C25" s="90" t="inlineStr">
        <is>
          <t>شما خليفة البلوشي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0524881154</t>
        </is>
      </c>
      <c r="K25" s="92" t="inlineStr">
        <is>
          <t>خليفة البلوشي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0524881154</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26618</v>
      </c>
      <c r="C26" s="90" t="inlineStr">
        <is>
          <t>حمدان محمد العامري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0502562287</t>
        </is>
      </c>
      <c r="K26" s="92" t="inlineStr">
        <is>
          <t>محمد العامري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0502562287</t>
        </is>
      </c>
      <c r="AA26" s="89" t="n"/>
      <c r="AB26" s="89" t="n"/>
      <c r="AC26" s="89" t="n"/>
      <c r="AD26" s="94" t="inlineStr">
        <is>
          <t>حاضر</t>
        </is>
      </c>
      <c r="AE26" s="94" t="inlineStr">
        <is>
          <t>حاضر</t>
        </is>
      </c>
      <c r="AF26" s="94" t="inlineStr">
        <is>
          <t>متأخر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غياب بعذر</t>
        </is>
      </c>
      <c r="BD26" s="94" t="inlineStr">
        <is>
          <t>غياب بدون عذر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غياب بدون عذر</t>
        </is>
      </c>
      <c r="BU26" s="94" t="inlineStr">
        <is>
          <t>غياب بدون عذر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26619</v>
      </c>
      <c r="C27" s="90" t="inlineStr">
        <is>
          <t>موزة سعيد المنصوري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0556543899</t>
        </is>
      </c>
      <c r="K27" s="92" t="inlineStr">
        <is>
          <t>سعيد المنصوري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0556543899</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غياب بعذر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غياب بعذر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26620</v>
      </c>
      <c r="C28" s="90" t="inlineStr">
        <is>
          <t>ماجد سلطان الزعابي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0554061027</t>
        </is>
      </c>
      <c r="K28" s="92" t="inlineStr">
        <is>
          <t>سلطان الزعابي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0554061027</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متأخر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متأخر</t>
        </is>
      </c>
      <c r="BG28" s="94" t="inlineStr">
        <is>
          <t>حاضر</t>
        </is>
      </c>
      <c r="BH28" s="94" t="inlineStr">
        <is>
          <t>حاضر</t>
        </is>
      </c>
      <c r="BI28" s="94" t="inlineStr">
        <is>
          <t>حاضر</t>
        </is>
      </c>
      <c r="BJ28" s="94" t="inlineStr">
        <is>
          <t>غياب بدون عذر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9.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أسبوعًا",IFERROR(HYPERLINK("#'KG1-7'!"&amp;ADDRESS(9,29+MATCH(INDEX(Week_From,MATCH($I$1,Week_Label,0)),$AD$5:$IM$5,0)),"⬅ فتح أيام الأسبوع"),"⚠ أسبوع غير معروف"))</f>
        <v/>
      </c>
      <c r="K1" s="61">
        <f>HYPERLINK("#'KG1-7'!D9","⬅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KG1-7</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v>46331</v>
      </c>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تاريخًا",IFERROR(HYPERLINK("#'KG1-7'!"&amp;ADDRESS(9,29+MATCH($I$3,$AD$5:$IM$5,0)),"⬅ فتح عمود "&amp;TEXT($I$3,"dd/mm/yyyy")),"⚠ ليس يوم دوام"))</f>
        <v/>
      </c>
      <c r="K3" s="61">
        <f>HYPERLINK("#'KG1-7'!"&amp;ADDRESS(9,29+IFERROR(MATCH(TODAY(),$AD$5:$IM$5,1),1)),"⬅ عمود اليوم")</f>
        <v/>
      </c>
      <c r="L3" s="61">
        <f>HYPERLINK("#'KG1-7'!"&amp;ADDRESS(9,29+IFERROR(MATCH($L$2,$AD$5:$IM$5,1),1)),"⬅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26701</v>
      </c>
      <c r="C9" s="90" t="inlineStr">
        <is>
          <t>خالد ماجد الحمادي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0506904743</t>
        </is>
      </c>
      <c r="K9" s="92" t="inlineStr">
        <is>
          <t>ماجد الحمادي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0506904743</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غياب بعذر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26702</v>
      </c>
      <c r="C10" s="90" t="inlineStr">
        <is>
          <t>حصة سالم الرميثي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0526900575</t>
        </is>
      </c>
      <c r="K10" s="92" t="inlineStr">
        <is>
          <t>سالم الرميثي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0526900575</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غياب بعذر</t>
        </is>
      </c>
      <c r="AN10" s="94" t="inlineStr">
        <is>
          <t>حاضر</t>
        </is>
      </c>
      <c r="AO10" s="94" t="inlineStr">
        <is>
          <t>متأخر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26703</v>
      </c>
      <c r="C11" s="90" t="inlineStr">
        <is>
          <t>عبدالله حمد النعيمي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0564632979</t>
        </is>
      </c>
      <c r="K11" s="92" t="inlineStr">
        <is>
          <t>حمد النعيمي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0564632979</t>
        </is>
      </c>
      <c r="AA11" s="89" t="n"/>
      <c r="AB11" s="89" t="n"/>
      <c r="AC11" s="89" t="n"/>
      <c r="AD11" s="94" t="inlineStr">
        <is>
          <t>غياب بدون عذر</t>
        </is>
      </c>
      <c r="AE11" s="94" t="inlineStr">
        <is>
          <t>غياب بدون عذر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غياب بدون عذر</t>
        </is>
      </c>
      <c r="AV11" s="94" t="inlineStr">
        <is>
          <t>غياب بدون عذر</t>
        </is>
      </c>
      <c r="AW11" s="94" t="inlineStr">
        <is>
          <t>حاضر</t>
        </is>
      </c>
      <c r="AX11" s="94" t="inlineStr">
        <is>
          <t>حاضر</t>
        </is>
      </c>
      <c r="AY11" s="94" t="inlineStr">
        <is>
          <t>حاضر</t>
        </is>
      </c>
      <c r="AZ11" s="94" t="inlineStr">
        <is>
          <t>متأخر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متأخر</t>
        </is>
      </c>
      <c r="BJ11" s="94" t="inlineStr">
        <is>
          <t>حاضر</t>
        </is>
      </c>
      <c r="BK11" s="94" t="inlineStr">
        <is>
          <t>متأخر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26704</v>
      </c>
      <c r="C12" s="90" t="inlineStr">
        <is>
          <t>ريم مبارك البلوشي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0505705543</t>
        </is>
      </c>
      <c r="K12" s="92" t="inlineStr">
        <is>
          <t>مبارك البلوشي</t>
        </is>
      </c>
      <c r="L12" s="92" t="inlineStr">
        <is>
          <t>متابعة مستمرة مع الأسرة</t>
        </is>
      </c>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0505705543</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غياب بدون عذر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غياب بدون عذر</t>
        </is>
      </c>
      <c r="AZ12" s="94" t="inlineStr">
        <is>
          <t>حاضر</t>
        </is>
      </c>
      <c r="BA12" s="94" t="inlineStr">
        <is>
          <t>غياب بعذر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26705</v>
      </c>
      <c r="C13" s="90" t="inlineStr">
        <is>
          <t>منصور ماجد العامري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0564597623</t>
        </is>
      </c>
      <c r="K13" s="92" t="inlineStr">
        <is>
          <t>ماجد العامري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0564597623</t>
        </is>
      </c>
      <c r="AA13" s="89" t="n"/>
      <c r="AB13" s="89" t="n"/>
      <c r="AC13" s="89" t="n"/>
      <c r="AD13" s="94" t="inlineStr">
        <is>
          <t>حاضر</t>
        </is>
      </c>
      <c r="AE13" s="94" t="inlineStr">
        <is>
          <t>حاضر</t>
        </is>
      </c>
      <c r="AF13" s="94" t="inlineStr">
        <is>
          <t>غياب بدون عذر</t>
        </is>
      </c>
      <c r="AG13" s="94" t="inlineStr">
        <is>
          <t>حاضر</t>
        </is>
      </c>
      <c r="AH13" s="94" t="inlineStr">
        <is>
          <t>حاضر</t>
        </is>
      </c>
      <c r="AI13" s="94" t="inlineStr">
        <is>
          <t>حاضر</t>
        </is>
      </c>
      <c r="AJ13" s="94" t="inlineStr">
        <is>
          <t>متأخر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غياب بدون عذر</t>
        </is>
      </c>
      <c r="AT13" s="94" t="inlineStr">
        <is>
          <t>حاضر</t>
        </is>
      </c>
      <c r="AU13" s="94" t="inlineStr">
        <is>
          <t>غياب بعذر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غياب بدون عذر</t>
        </is>
      </c>
      <c r="BE13" s="94" t="inlineStr">
        <is>
          <t>حاضر</t>
        </is>
      </c>
      <c r="BF13" s="94" t="inlineStr">
        <is>
          <t>حاضر</t>
        </is>
      </c>
      <c r="BG13" s="94" t="inlineStr">
        <is>
          <t>غياب بدون عذر</t>
        </is>
      </c>
      <c r="BH13" s="94" t="inlineStr">
        <is>
          <t>حاضر</t>
        </is>
      </c>
      <c r="BI13" s="94" t="inlineStr">
        <is>
          <t>حاضر</t>
        </is>
      </c>
      <c r="BJ13" s="94" t="inlineStr">
        <is>
          <t>حاضر</t>
        </is>
      </c>
      <c r="BK13" s="94" t="inlineStr">
        <is>
          <t>حاضر</t>
        </is>
      </c>
      <c r="BL13" s="94" t="inlineStr">
        <is>
          <t>حاضر</t>
        </is>
      </c>
      <c r="BM13" s="94" t="inlineStr">
        <is>
          <t>غياب بعذر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26706</v>
      </c>
      <c r="C14" s="90" t="inlineStr">
        <is>
          <t>أمل سالم المنصوري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0565944247</t>
        </is>
      </c>
      <c r="K14" s="92" t="inlineStr">
        <is>
          <t>سالم المنصوري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0565944247</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متأخر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متأخر</t>
        </is>
      </c>
      <c r="BB14" s="94" t="inlineStr">
        <is>
          <t>حاضر</t>
        </is>
      </c>
      <c r="BC14" s="94" t="inlineStr">
        <is>
          <t>متأخر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غياب بعذر</t>
        </is>
      </c>
      <c r="BR14" s="94" t="inlineStr">
        <is>
          <t>حاضر</t>
        </is>
      </c>
      <c r="BS14" s="94" t="inlineStr">
        <is>
          <t>حاضر</t>
        </is>
      </c>
      <c r="BT14" s="94" t="inlineStr">
        <is>
          <t>غياب بدون عذر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26707</v>
      </c>
      <c r="C15" s="90" t="inlineStr">
        <is>
          <t>أحمد حمد الزعابي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0565497983</t>
        </is>
      </c>
      <c r="K15" s="92" t="inlineStr">
        <is>
          <t>حمد الزعابي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0565497983</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متأخر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26708</v>
      </c>
      <c r="C16" s="90" t="inlineStr">
        <is>
          <t>شما مبارك الحوسني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0563224963</t>
        </is>
      </c>
      <c r="K16" s="92" t="inlineStr">
        <is>
          <t>مبارك الحوسني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0563224963</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متأخر</t>
        </is>
      </c>
      <c r="BG16" s="94" t="inlineStr">
        <is>
          <t>غياب بدون عذر</t>
        </is>
      </c>
      <c r="BH16" s="94" t="inlineStr">
        <is>
          <t>حاضر</t>
        </is>
      </c>
      <c r="BI16" s="94" t="inlineStr">
        <is>
          <t>حاضر</t>
        </is>
      </c>
      <c r="BJ16" s="94" t="inlineStr">
        <is>
          <t>حاضر</t>
        </is>
      </c>
      <c r="BK16" s="94" t="inlineStr">
        <is>
          <t>حاضر</t>
        </is>
      </c>
      <c r="BL16" s="94" t="inlineStr">
        <is>
          <t>غياب بدون عذر</t>
        </is>
      </c>
      <c r="BM16" s="94" t="inlineStr">
        <is>
          <t>حاضر</t>
        </is>
      </c>
      <c r="BN16" s="94" t="inlineStr">
        <is>
          <t>حاضر</t>
        </is>
      </c>
      <c r="BO16" s="94" t="inlineStr">
        <is>
          <t>حاضر</t>
        </is>
      </c>
      <c r="BP16" s="94" t="inlineStr">
        <is>
          <t>حاضر</t>
        </is>
      </c>
      <c r="BQ16" s="94" t="inlineStr">
        <is>
          <t>متأخر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26709</v>
      </c>
      <c r="C17" s="90" t="inlineStr">
        <is>
          <t>حمدان ماجد الشامسي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0505424365</t>
        </is>
      </c>
      <c r="K17" s="92" t="inlineStr">
        <is>
          <t>ماجد الشامسي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0505424365</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غياب بعذر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غياب بدون عذر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26710</v>
      </c>
      <c r="C18" s="90" t="inlineStr">
        <is>
          <t>موزة سالم السويدي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0508315753</t>
        </is>
      </c>
      <c r="K18" s="92" t="inlineStr">
        <is>
          <t>سالم السويدي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0508315753</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غياب بعذر</t>
        </is>
      </c>
      <c r="AV18" s="94" t="inlineStr">
        <is>
          <t>حاضر</t>
        </is>
      </c>
      <c r="AW18" s="94" t="inlineStr">
        <is>
          <t>متأخر</t>
        </is>
      </c>
      <c r="AX18" s="94" t="inlineStr">
        <is>
          <t>حاضر</t>
        </is>
      </c>
      <c r="AY18" s="94" t="inlineStr">
        <is>
          <t>حاضر</t>
        </is>
      </c>
      <c r="AZ18" s="94" t="inlineStr">
        <is>
          <t>حاضر</t>
        </is>
      </c>
      <c r="BA18" s="94" t="inlineStr">
        <is>
          <t>غياب بدون عذر</t>
        </is>
      </c>
      <c r="BB18" s="94" t="inlineStr">
        <is>
          <t>حاضر</t>
        </is>
      </c>
      <c r="BC18" s="94" t="inlineStr">
        <is>
          <t>حاضر</t>
        </is>
      </c>
      <c r="BD18" s="94" t="inlineStr">
        <is>
          <t>حاضر</t>
        </is>
      </c>
      <c r="BE18" s="94" t="inlineStr">
        <is>
          <t>حاضر</t>
        </is>
      </c>
      <c r="BF18" s="94" t="inlineStr">
        <is>
          <t>غياب بعذر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متأخر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26711</v>
      </c>
      <c r="C19" s="90" t="inlineStr">
        <is>
          <t>ماجد حمد المرزوقي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0522778984</t>
        </is>
      </c>
      <c r="K19" s="92" t="inlineStr">
        <is>
          <t>حمد المرزوقي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0522778984</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غياب بدون عذر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متأخر</t>
        </is>
      </c>
      <c r="BA19" s="94" t="inlineStr">
        <is>
          <t>حاضر</t>
        </is>
      </c>
      <c r="BB19" s="94" t="inlineStr">
        <is>
          <t>حاضر</t>
        </is>
      </c>
      <c r="BC19" s="94" t="inlineStr">
        <is>
          <t>حاضر</t>
        </is>
      </c>
      <c r="BD19" s="94" t="inlineStr">
        <is>
          <t>حاضر</t>
        </is>
      </c>
      <c r="BE19" s="94" t="inlineStr">
        <is>
          <t>متأخر</t>
        </is>
      </c>
      <c r="BF19" s="94" t="inlineStr">
        <is>
          <t>حاضر</t>
        </is>
      </c>
      <c r="BG19" s="94" t="inlineStr">
        <is>
          <t>حاضر</t>
        </is>
      </c>
      <c r="BH19" s="94" t="inlineStr">
        <is>
          <t>حاضر</t>
        </is>
      </c>
      <c r="BI19" s="94" t="inlineStr">
        <is>
          <t>غياب بدون عذر</t>
        </is>
      </c>
      <c r="BJ19" s="94" t="inlineStr">
        <is>
          <t>حاضر</t>
        </is>
      </c>
      <c r="BK19" s="94" t="inlineStr">
        <is>
          <t>حاضر</t>
        </is>
      </c>
      <c r="BL19" s="94" t="inlineStr">
        <is>
          <t>حاضر</t>
        </is>
      </c>
      <c r="BM19" s="94" t="inlineStr">
        <is>
          <t>متأخر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26712</v>
      </c>
      <c r="C20" s="90" t="inlineStr">
        <is>
          <t>دانة مبارك الكعبي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0506976939</t>
        </is>
      </c>
      <c r="K20" s="92" t="inlineStr">
        <is>
          <t>مبارك الكعبي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0506976939</t>
        </is>
      </c>
      <c r="AA20" s="89" t="n"/>
      <c r="AB20" s="89" t="n"/>
      <c r="AC20" s="89" t="n"/>
      <c r="AD20" s="94" t="inlineStr">
        <is>
          <t>غياب بدون عذر</t>
        </is>
      </c>
      <c r="AE20" s="94" t="inlineStr">
        <is>
          <t>حاضر</t>
        </is>
      </c>
      <c r="AF20" s="94" t="inlineStr">
        <is>
          <t>حاضر</t>
        </is>
      </c>
      <c r="AG20" s="94" t="inlineStr">
        <is>
          <t>غياب بدون عذر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غياب بعذر</t>
        </is>
      </c>
      <c r="BN20" s="94" t="inlineStr">
        <is>
          <t>حاضر</t>
        </is>
      </c>
      <c r="BO20" s="94" t="inlineStr">
        <is>
          <t>غياب بدون عذر</t>
        </is>
      </c>
      <c r="BP20" s="94" t="inlineStr">
        <is>
          <t>حاضر</t>
        </is>
      </c>
      <c r="BQ20" s="94" t="inlineStr">
        <is>
          <t>حاضر</t>
        </is>
      </c>
      <c r="BR20" s="94" t="inlineStr">
        <is>
          <t>حاضر</t>
        </is>
      </c>
      <c r="BS20" s="94" t="inlineStr">
        <is>
          <t>غياب بعذر</t>
        </is>
      </c>
      <c r="BT20" s="94" t="inlineStr">
        <is>
          <t>حاضر</t>
        </is>
      </c>
      <c r="BU20" s="94" t="inlineStr">
        <is>
          <t>حاضر</t>
        </is>
      </c>
      <c r="BV20" s="94" t="inlineStr">
        <is>
          <t>حاضر</t>
        </is>
      </c>
      <c r="BW20" s="94" t="inlineStr">
        <is>
          <t>حاضر</t>
        </is>
      </c>
      <c r="BX20" s="94" t="inlineStr">
        <is>
          <t>حاضر</t>
        </is>
      </c>
      <c r="BY20" s="94" t="inlineStr">
        <is>
          <t>متأخر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26713</v>
      </c>
      <c r="C21" s="90" t="inlineStr">
        <is>
          <t>طارق ماجد المهيري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0522783754</t>
        </is>
      </c>
      <c r="K21" s="92" t="inlineStr">
        <is>
          <t>ماجد المهيري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0522783754</t>
        </is>
      </c>
      <c r="AA21" s="89" t="n"/>
      <c r="AB21" s="89" t="n"/>
      <c r="AC21" s="89" t="n"/>
      <c r="AD21" s="94" t="inlineStr">
        <is>
          <t>حاضر</t>
        </is>
      </c>
      <c r="AE21" s="94" t="inlineStr">
        <is>
          <t>غياب بعذر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متأخر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26714</v>
      </c>
      <c r="C22" s="90" t="inlineStr">
        <is>
          <t>فاطمة سالم الخييلي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0566260511</t>
        </is>
      </c>
      <c r="K22" s="92" t="inlineStr">
        <is>
          <t>سالم الخييلي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0566260511</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غياب بعذر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متأخر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متأخر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26715</v>
      </c>
      <c r="C23" s="90" t="inlineStr">
        <is>
          <t>راشد حمد المزروعي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0542072316</t>
        </is>
      </c>
      <c r="K23" s="92" t="inlineStr">
        <is>
          <t>حمد المزروعي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0542072316</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متأخر</t>
        </is>
      </c>
      <c r="AS23" s="94" t="inlineStr">
        <is>
          <t>حاضر</t>
        </is>
      </c>
      <c r="AT23" s="94" t="inlineStr">
        <is>
          <t>حاضر</t>
        </is>
      </c>
      <c r="AU23" s="94" t="inlineStr">
        <is>
          <t>حاضر</t>
        </is>
      </c>
      <c r="AV23" s="94" t="inlineStr">
        <is>
          <t>متأخر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متأخر</t>
        </is>
      </c>
      <c r="BK23" s="94" t="inlineStr">
        <is>
          <t>حاضر</t>
        </is>
      </c>
      <c r="BL23" s="94" t="inlineStr">
        <is>
          <t>غياب بدون عذر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26716</v>
      </c>
      <c r="C24" s="90" t="inlineStr">
        <is>
          <t>سارة مبارك الكتبي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0546278142</t>
        </is>
      </c>
      <c r="K24" s="92" t="inlineStr">
        <is>
          <t>مبارك الكتبي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0546278142</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غياب بدون عذر</t>
        </is>
      </c>
      <c r="AT24" s="94" t="inlineStr">
        <is>
          <t>حاضر</t>
        </is>
      </c>
      <c r="AU24" s="94" t="inlineStr">
        <is>
          <t>حاضر</t>
        </is>
      </c>
      <c r="AV24" s="94" t="inlineStr">
        <is>
          <t>حاضر</t>
        </is>
      </c>
      <c r="AW24" s="94" t="inlineStr">
        <is>
          <t>غياب بعذر</t>
        </is>
      </c>
      <c r="AX24" s="94" t="inlineStr">
        <is>
          <t>حاضر</t>
        </is>
      </c>
      <c r="AY24" s="94" t="inlineStr">
        <is>
          <t>حاضر</t>
        </is>
      </c>
      <c r="AZ24" s="94" t="inlineStr">
        <is>
          <t>حاضر</t>
        </is>
      </c>
      <c r="BA24" s="94" t="inlineStr">
        <is>
          <t>متأخر</t>
        </is>
      </c>
      <c r="BB24" s="94" t="inlineStr">
        <is>
          <t>حاضر</t>
        </is>
      </c>
      <c r="BC24" s="94" t="inlineStr">
        <is>
          <t>حاضر</t>
        </is>
      </c>
      <c r="BD24" s="94" t="inlineStr">
        <is>
          <t>متأخر</t>
        </is>
      </c>
      <c r="BE24" s="94" t="inlineStr">
        <is>
          <t>حاضر</t>
        </is>
      </c>
      <c r="BF24" s="94" t="inlineStr">
        <is>
          <t>حاضر</t>
        </is>
      </c>
      <c r="BG24" s="94" t="inlineStr">
        <is>
          <t>غياب بعذر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26717</v>
      </c>
      <c r="C25" s="90" t="inlineStr">
        <is>
          <t>عمر ماجد الدرمكي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0525376476</t>
        </is>
      </c>
      <c r="K25" s="92" t="inlineStr">
        <is>
          <t>ماجد الدرمكي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0525376476</t>
        </is>
      </c>
      <c r="AA25" s="89" t="n"/>
      <c r="AB25" s="89" t="n"/>
      <c r="AC25" s="89" t="n"/>
      <c r="AD25" s="94" t="inlineStr">
        <is>
          <t>حاضر</t>
        </is>
      </c>
      <c r="AE25" s="94" t="inlineStr">
        <is>
          <t>حاضر</t>
        </is>
      </c>
      <c r="AF25" s="94" t="inlineStr">
        <is>
          <t>حاضر</t>
        </is>
      </c>
      <c r="AG25" s="94" t="inlineStr">
        <is>
          <t>متأخر</t>
        </is>
      </c>
      <c r="AH25" s="94" t="inlineStr">
        <is>
          <t>حاضر</t>
        </is>
      </c>
      <c r="AI25" s="94" t="inlineStr">
        <is>
          <t>حاضر</t>
        </is>
      </c>
      <c r="AJ25" s="94" t="inlineStr">
        <is>
          <t>حاضر</t>
        </is>
      </c>
      <c r="AK25" s="94" t="inlineStr">
        <is>
          <t>حاضر</t>
        </is>
      </c>
      <c r="AL25" s="94" t="inlineStr">
        <is>
          <t>متأخر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غياب بدون عذر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غياب بدون عذر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26718</v>
      </c>
      <c r="C26" s="90" t="inlineStr">
        <is>
          <t>مهرة سالم الظاهري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0542054935</t>
        </is>
      </c>
      <c r="K26" s="92" t="inlineStr">
        <is>
          <t>سالم الظاهري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0542054935</t>
        </is>
      </c>
      <c r="AA26" s="89" t="n"/>
      <c r="AB26" s="89" t="n"/>
      <c r="AC26" s="89" t="n"/>
      <c r="AD26" s="94" t="inlineStr">
        <is>
          <t>حاضر</t>
        </is>
      </c>
      <c r="AE26" s="94" t="inlineStr">
        <is>
          <t>حاضر</t>
        </is>
      </c>
      <c r="AF26" s="94" t="inlineStr">
        <is>
          <t>حاضر</t>
        </is>
      </c>
      <c r="AG26" s="94" t="inlineStr">
        <is>
          <t>حاضر</t>
        </is>
      </c>
      <c r="AH26" s="94" t="inlineStr">
        <is>
          <t>متأخر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غياب بعذر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26719</v>
      </c>
      <c r="C27" s="90" t="inlineStr">
        <is>
          <t>ناصر حمد القبيسي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0507906212</t>
        </is>
      </c>
      <c r="K27" s="92" t="inlineStr">
        <is>
          <t>حمد القبيسي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0507906212</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26720</v>
      </c>
      <c r="C28" s="90" t="inlineStr">
        <is>
          <t>جواهر مبارك الشحي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0547954630</t>
        </is>
      </c>
      <c r="K28" s="92" t="inlineStr">
        <is>
          <t>مبارك الشحي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0547954630</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غياب بدون عذر</t>
        </is>
      </c>
      <c r="AU28" s="94" t="inlineStr">
        <is>
          <t>حاضر</t>
        </is>
      </c>
      <c r="AV28" s="94" t="inlineStr">
        <is>
          <t>غياب بدون عذر</t>
        </is>
      </c>
      <c r="AW28" s="94" t="inlineStr">
        <is>
          <t>حاضر</t>
        </is>
      </c>
      <c r="AX28" s="94" t="inlineStr">
        <is>
          <t>متأخر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غياب بدون عذر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غياب بدون عذر</t>
        </is>
      </c>
      <c r="BS28" s="94" t="inlineStr">
        <is>
          <t>حاضر</t>
        </is>
      </c>
      <c r="BT28" s="94" t="inlineStr">
        <is>
          <t>حاضر</t>
        </is>
      </c>
      <c r="BU28" s="94" t="inlineStr">
        <is>
          <t>حاضر</t>
        </is>
      </c>
      <c r="BV28" s="94" t="inlineStr">
        <is>
          <t>حاضر</t>
        </is>
      </c>
      <c r="BW28" s="94" t="inlineStr">
        <is>
          <t>حاضر</t>
        </is>
      </c>
      <c r="BX28" s="94" t="inlineStr">
        <is>
          <t>متأخر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c r="C29" s="90" t="n"/>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n"/>
      <c r="K29" s="92" t="n"/>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n"/>
      <c r="AA29" s="89" t="n"/>
      <c r="AB29" s="89" t="n"/>
      <c r="AC29" s="89" t="n"/>
      <c r="AD29" s="94" t="n"/>
      <c r="AE29" s="94" t="n"/>
      <c r="AF29" s="94" t="n"/>
      <c r="AG29" s="94" t="n"/>
      <c r="AH29" s="94" t="n"/>
      <c r="AI29" s="94" t="n"/>
      <c r="AJ29" s="94" t="n"/>
      <c r="AK29" s="94" t="n"/>
      <c r="AL29" s="94" t="n"/>
      <c r="AM29" s="94" t="n"/>
      <c r="AN29" s="94" t="n"/>
      <c r="AO29" s="94" t="n"/>
      <c r="AP29" s="94" t="n"/>
      <c r="AQ29" s="94" t="n"/>
      <c r="AR29" s="94" t="n"/>
      <c r="AS29" s="94" t="n"/>
      <c r="AT29" s="94" t="n"/>
      <c r="AU29" s="94" t="n"/>
      <c r="AV29" s="94" t="n"/>
      <c r="AW29" s="94" t="n"/>
      <c r="AX29" s="94" t="n"/>
      <c r="AY29" s="94" t="n"/>
      <c r="AZ29" s="94" t="n"/>
      <c r="BA29" s="94" t="n"/>
      <c r="BB29" s="94" t="n"/>
      <c r="BC29" s="94" t="n"/>
      <c r="BD29" s="94" t="n"/>
      <c r="BE29" s="94" t="n"/>
      <c r="BF29" s="94" t="n"/>
      <c r="BG29" s="94" t="n"/>
      <c r="BH29" s="94" t="n"/>
      <c r="BI29" s="94" t="n"/>
      <c r="BJ29" s="94" t="n"/>
      <c r="BK29" s="94" t="n"/>
      <c r="BL29" s="94" t="n"/>
      <c r="BM29" s="94" t="n"/>
      <c r="BN29" s="94" t="n"/>
      <c r="BO29" s="94" t="n"/>
      <c r="BP29" s="94" t="n"/>
      <c r="BQ29" s="94" t="n"/>
      <c r="BR29" s="94" t="n"/>
      <c r="BS29" s="94" t="n"/>
      <c r="BT29" s="94" t="n"/>
      <c r="BU29" s="94" t="n"/>
      <c r="BV29" s="94" t="n"/>
      <c r="BW29" s="94" t="n"/>
      <c r="BX29" s="94" t="n"/>
      <c r="BY29" s="94" t="n"/>
      <c r="BZ29" s="94" t="n"/>
      <c r="CA29" s="94" t="n"/>
      <c r="CB29" s="94" t="n"/>
      <c r="CC29" s="94" t="n"/>
      <c r="CD29" s="94" t="n"/>
      <c r="CE29" s="94" t="n"/>
      <c r="CF29" s="94" t="n"/>
      <c r="CG29" s="94" t="n"/>
      <c r="CH29" s="94" t="n"/>
      <c r="CI29" s="94" t="n"/>
      <c r="CJ29" s="94" t="n"/>
      <c r="CK29" s="94" t="n"/>
      <c r="CL29" s="94" t="n"/>
      <c r="CM29" s="94" t="n"/>
      <c r="CN29" s="94" t="n"/>
      <c r="CO29" s="94" t="n"/>
      <c r="CP29" s="94" t="n"/>
      <c r="CQ29" s="94" t="n"/>
      <c r="CR29" s="94" t="n"/>
      <c r="CS29" s="94" t="n"/>
      <c r="CT29" s="94" t="n"/>
      <c r="CU29" s="94" t="n"/>
      <c r="CV29" s="94" t="n"/>
      <c r="CW29" s="94" t="n"/>
      <c r="CX29" s="94" t="n"/>
      <c r="CY29" s="94" t="n"/>
      <c r="CZ29" s="94" t="n"/>
      <c r="DA29" s="94" t="n"/>
      <c r="DB29" s="94" t="n"/>
      <c r="DC29" s="94" t="n"/>
      <c r="DD29" s="94" t="n"/>
      <c r="DE29" s="94" t="n"/>
      <c r="DF29" s="94" t="n"/>
      <c r="DG29" s="94" t="n"/>
      <c r="DH29" s="94" t="n"/>
      <c r="DI29" s="94" t="n"/>
      <c r="DJ29" s="94" t="n"/>
      <c r="DK29" s="94" t="n"/>
      <c r="DL29" s="94" t="n"/>
      <c r="DM29" s="94" t="n"/>
      <c r="DN29" s="94" t="n"/>
      <c r="DO29" s="94" t="n"/>
      <c r="DP29" s="94" t="n"/>
      <c r="DQ29" s="94" t="n"/>
      <c r="DR29" s="94" t="n"/>
      <c r="DS29" s="94" t="n"/>
      <c r="DT29" s="94" t="n"/>
      <c r="DU29" s="94" t="n"/>
      <c r="DV29" s="94" t="n"/>
      <c r="DW29" s="94" t="n"/>
      <c r="DX29" s="94" t="n"/>
      <c r="DY29" s="94" t="n"/>
      <c r="DZ29" s="94" t="n"/>
      <c r="EA29" s="94" t="n"/>
      <c r="EB29" s="94" t="n"/>
      <c r="EC29" s="94" t="n"/>
      <c r="ED29" s="94" t="n"/>
      <c r="EE29" s="94" t="n"/>
      <c r="EF29" s="94" t="n"/>
      <c r="EG29" s="94" t="n"/>
      <c r="EH29" s="94" t="n"/>
      <c r="EI29" s="94" t="n"/>
      <c r="EJ29" s="94" t="n"/>
      <c r="EK29" s="94" t="n"/>
      <c r="EL29" s="94" t="n"/>
      <c r="EM29" s="94" t="n"/>
      <c r="EN29" s="94" t="n"/>
      <c r="EO29" s="94" t="n"/>
      <c r="EP29" s="94" t="n"/>
      <c r="EQ29" s="94" t="n"/>
      <c r="ER29" s="94" t="n"/>
      <c r="ES29" s="94" t="n"/>
      <c r="ET29" s="94" t="n"/>
      <c r="EU29" s="94" t="n"/>
      <c r="EV29" s="94" t="n"/>
      <c r="EW29" s="94" t="n"/>
      <c r="EX29" s="94" t="n"/>
      <c r="EY29" s="94" t="n"/>
      <c r="EZ29" s="94" t="n"/>
      <c r="FA29" s="94" t="n"/>
      <c r="FB29" s="94" t="n"/>
      <c r="FC29" s="94" t="n"/>
      <c r="FD29" s="94" t="n"/>
      <c r="FE29" s="94" t="n"/>
      <c r="FF29" s="94" t="n"/>
      <c r="FG29" s="94" t="n"/>
      <c r="FH29" s="94" t="n"/>
      <c r="FI29" s="94" t="n"/>
      <c r="FJ29" s="94" t="n"/>
      <c r="FK29" s="94" t="n"/>
      <c r="FL29" s="94" t="n"/>
      <c r="FM29" s="94" t="n"/>
      <c r="FN29" s="94" t="n"/>
      <c r="FO29" s="94" t="n"/>
      <c r="FP29" s="94" t="n"/>
      <c r="FQ29" s="94" t="n"/>
      <c r="FR29" s="94" t="n"/>
      <c r="FS29" s="94" t="n"/>
      <c r="FT29" s="94" t="n"/>
      <c r="FU29" s="94" t="n"/>
      <c r="FV29" s="94" t="n"/>
      <c r="FW29" s="94" t="n"/>
      <c r="FX29" s="94" t="n"/>
      <c r="FY29" s="94" t="n"/>
      <c r="FZ29" s="94" t="n"/>
      <c r="GA29" s="94" t="n"/>
      <c r="GB29" s="94" t="n"/>
      <c r="GC29" s="94" t="n"/>
      <c r="GD29" s="94" t="n"/>
      <c r="GE29" s="94" t="n"/>
      <c r="GF29" s="94" t="n"/>
      <c r="GG29" s="94" t="n"/>
      <c r="GH29" s="94" t="n"/>
      <c r="GI29" s="94" t="n"/>
      <c r="GJ29" s="94" t="n"/>
      <c r="GK29" s="94" t="n"/>
      <c r="GL29" s="94" t="n"/>
      <c r="GM29" s="94" t="n"/>
      <c r="GN29" s="94" t="n"/>
      <c r="GO29" s="94" t="n"/>
      <c r="GP29" s="94" t="n"/>
      <c r="GQ29" s="94" t="n"/>
      <c r="GR29" s="94" t="n"/>
      <c r="GS29" s="94" t="n"/>
      <c r="GT29" s="94" t="n"/>
      <c r="GU29" s="94" t="n"/>
      <c r="GV29" s="94" t="n"/>
      <c r="GW29" s="94" t="n"/>
      <c r="GX29" s="94" t="n"/>
      <c r="GY29" s="94" t="n"/>
      <c r="GZ29" s="94" t="n"/>
      <c r="HA29" s="94" t="n"/>
      <c r="HB29" s="94" t="n"/>
      <c r="HC29" s="94" t="n"/>
      <c r="HD29" s="94" t="n"/>
      <c r="HE29" s="94" t="n"/>
      <c r="HF29" s="94" t="n"/>
      <c r="HG29" s="94" t="n"/>
      <c r="HH29" s="94" t="n"/>
      <c r="HI29" s="94" t="n"/>
      <c r="HJ29" s="94" t="n"/>
      <c r="HK29" s="94" t="n"/>
      <c r="HL29" s="94" t="n"/>
      <c r="HM29" s="94" t="n"/>
      <c r="HN29" s="94" t="n"/>
      <c r="HO29" s="94" t="n"/>
      <c r="HP29" s="94" t="n"/>
      <c r="HQ29" s="94" t="n"/>
      <c r="HR29" s="94" t="n"/>
      <c r="HS29" s="94" t="n"/>
      <c r="HT29" s="94" t="n"/>
      <c r="HU29" s="94" t="n"/>
      <c r="HV29" s="94" t="n"/>
      <c r="HW29" s="94" t="n"/>
      <c r="HX29" s="94" t="n"/>
      <c r="HY29" s="94" t="n"/>
      <c r="HZ29" s="94" t="n"/>
      <c r="IA29" s="94" t="n"/>
      <c r="IB29" s="94" t="n"/>
      <c r="IC29" s="94" t="n"/>
      <c r="ID29" s="94" t="n"/>
      <c r="IE29" s="94" t="n"/>
      <c r="IF29" s="94" t="n"/>
      <c r="IG29" s="94" t="n"/>
      <c r="IH29" s="94" t="n"/>
      <c r="II29" s="94" t="n"/>
      <c r="IJ29" s="94" t="n"/>
      <c r="IK29" s="94" t="n"/>
      <c r="IL29" s="94" t="n"/>
      <c r="IM29" s="94" t="n"/>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M65"/>
  <sheetViews>
    <sheetView showGridLines="0" rightToLeft="1" zoomScale="100" workbookViewId="0">
      <pane ySplit="5" topLeftCell="A6" activePane="bottomLeft" state="frozen"/>
      <selection pane="bottomLeft" activeCell="A1" sqref="A1"/>
    </sheetView>
  </sheetViews>
  <sheetFormatPr baseColWidth="8" defaultRowHeight="15"/>
  <cols>
    <col width="8" customWidth="1" min="1" max="1"/>
    <col width="22" customWidth="1" min="2" max="2"/>
    <col width="9" customWidth="1" min="3" max="3"/>
    <col width="9" customWidth="1" min="4" max="4"/>
    <col width="9" customWidth="1" min="5" max="5"/>
    <col width="15" customWidth="1" min="6" max="6"/>
    <col width="13" customWidth="1" min="7" max="7"/>
    <col width="16" customWidth="1" min="8" max="8"/>
    <col width="10" customWidth="1" min="9" max="9"/>
    <col width="12" customWidth="1" min="10" max="10"/>
    <col width="40" customWidth="1" min="11" max="11"/>
    <col width="3" customWidth="1" min="12" max="12"/>
  </cols>
  <sheetData>
    <row r="1" ht="30" customHeight="1">
      <c r="A1" s="68" t="inlineStr">
        <is>
          <t>قائمة المتابعة</t>
        </is>
      </c>
    </row>
    <row r="2">
      <c r="A2" s="69" t="inlineStr">
        <is>
          <t>الأطفال الذين بلغ غيابهم حد المتابعة أو أكثر — مرتبون تلقائيًا حسب الأولوية (الأعلى غيابًا أولًا). جميع الصفوف.</t>
        </is>
      </c>
    </row>
    <row r="3">
      <c r="A3" s="62" t="inlineStr">
        <is>
          <t>عدد الحالات:</t>
        </is>
      </c>
      <c r="B3" s="79">
        <f>COUNT(Stu_KeyFU)</f>
        <v/>
      </c>
      <c r="C3" s="62" t="inlineStr">
        <is>
          <t>تحتاج تواصلًا:</t>
        </is>
      </c>
      <c r="D3" s="99">
        <f>COUNTIFS(Stu_KeyFU,"&gt;0",Stu_Contacted,"لا")</f>
        <v/>
      </c>
    </row>
    <row r="5" ht="36" customHeight="1">
      <c r="A5" s="85" t="inlineStr">
        <is>
          <t>الأولوية</t>
        </is>
      </c>
      <c r="B5" s="85" t="inlineStr">
        <is>
          <t>اسم الطفل</t>
        </is>
      </c>
      <c r="C5" s="85" t="inlineStr">
        <is>
          <t>الصف</t>
        </is>
      </c>
      <c r="D5" s="85" t="inlineStr">
        <is>
          <t>إجمالي الغياب</t>
        </is>
      </c>
      <c r="E5" s="85" t="inlineStr">
        <is>
          <t>نسبة الحضور</t>
        </is>
      </c>
      <c r="F5" s="85" t="inlineStr">
        <is>
          <t>المستوى</t>
        </is>
      </c>
      <c r="G5" s="85" t="inlineStr">
        <is>
          <t>رقم ولي الأمر</t>
        </is>
      </c>
      <c r="H5" s="85" t="inlineStr">
        <is>
          <t>اسم ولي الأمر</t>
        </is>
      </c>
      <c r="I5" s="85" t="inlineStr">
        <is>
          <t>تم التواصل؟</t>
        </is>
      </c>
      <c r="J5" s="85" t="inlineStr">
        <is>
          <t>تاريخ آخر تواصل</t>
        </is>
      </c>
      <c r="K5" s="85" t="inlineStr">
        <is>
          <t>الإجراء المطلوب</t>
        </is>
      </c>
      <c r="L5" s="85" t="inlineStr">
        <is>
          <t>مرجع</t>
        </is>
      </c>
      <c r="M5" s="34" t="inlineStr">
        <is>
          <t>مستوى</t>
        </is>
      </c>
    </row>
    <row r="6">
      <c r="A6" s="100">
        <f>IF($L6="","",1)</f>
        <v/>
      </c>
      <c r="B6" s="101">
        <f>IF($L6="","",INDEX(Stu_Name,$L6))</f>
        <v/>
      </c>
      <c r="C6" s="88">
        <f>IF($L6="","",INDEX(Stu_Class,$L6))</f>
        <v/>
      </c>
      <c r="D6" s="102">
        <f>IF($L6="","",INDEX(Stu_Abs,$L6))</f>
        <v/>
      </c>
      <c r="E6" s="91">
        <f>IF($L6="","",INDEX(Stu_Rate,$L6))</f>
        <v/>
      </c>
      <c r="F6" s="102">
        <f>IF($L6="","",INDEX(Stu_Status,$L6))</f>
        <v/>
      </c>
      <c r="G6" s="88">
        <f>IF($L6="","",INDEX(Stu_Phone,$L6))</f>
        <v/>
      </c>
      <c r="H6" s="103">
        <f>IF($L6="","",INDEX(Stu_Guardian,$L6))</f>
        <v/>
      </c>
      <c r="I6" s="102">
        <f>IF($L6="","",INDEX(Stu_Contacted,$L6))</f>
        <v/>
      </c>
      <c r="J6" s="93">
        <f>IF($L6="","",INDEX(Stu_LastContact,$L6))</f>
        <v/>
      </c>
      <c r="K6" s="103">
        <f>IF($L6="","",INDEX(Stu_Action,$L6))</f>
        <v/>
      </c>
      <c r="L6" s="40">
        <f>IFERROR(MATCH(LARGE(Stu_KeyFU,1),Stu_KeyFU,0),"")</f>
        <v/>
      </c>
      <c r="M6" s="40">
        <f>IF($L6="","",INDEX(Stu_Level,$L6))</f>
        <v/>
      </c>
    </row>
    <row r="7">
      <c r="A7" s="100">
        <f>IF($L7="","",2)</f>
        <v/>
      </c>
      <c r="B7" s="101">
        <f>IF($L7="","",INDEX(Stu_Name,$L7))</f>
        <v/>
      </c>
      <c r="C7" s="88">
        <f>IF($L7="","",INDEX(Stu_Class,$L7))</f>
        <v/>
      </c>
      <c r="D7" s="102">
        <f>IF($L7="","",INDEX(Stu_Abs,$L7))</f>
        <v/>
      </c>
      <c r="E7" s="91">
        <f>IF($L7="","",INDEX(Stu_Rate,$L7))</f>
        <v/>
      </c>
      <c r="F7" s="102">
        <f>IF($L7="","",INDEX(Stu_Status,$L7))</f>
        <v/>
      </c>
      <c r="G7" s="88">
        <f>IF($L7="","",INDEX(Stu_Phone,$L7))</f>
        <v/>
      </c>
      <c r="H7" s="103">
        <f>IF($L7="","",INDEX(Stu_Guardian,$L7))</f>
        <v/>
      </c>
      <c r="I7" s="102">
        <f>IF($L7="","",INDEX(Stu_Contacted,$L7))</f>
        <v/>
      </c>
      <c r="J7" s="93">
        <f>IF($L7="","",INDEX(Stu_LastContact,$L7))</f>
        <v/>
      </c>
      <c r="K7" s="103">
        <f>IF($L7="","",INDEX(Stu_Action,$L7))</f>
        <v/>
      </c>
      <c r="L7" s="40">
        <f>IFERROR(MATCH(LARGE(Stu_KeyFU,2),Stu_KeyFU,0),"")</f>
        <v/>
      </c>
      <c r="M7" s="40">
        <f>IF($L7="","",INDEX(Stu_Level,$L7))</f>
        <v/>
      </c>
    </row>
    <row r="8">
      <c r="A8" s="100">
        <f>IF($L8="","",3)</f>
        <v/>
      </c>
      <c r="B8" s="101">
        <f>IF($L8="","",INDEX(Stu_Name,$L8))</f>
        <v/>
      </c>
      <c r="C8" s="88">
        <f>IF($L8="","",INDEX(Stu_Class,$L8))</f>
        <v/>
      </c>
      <c r="D8" s="102">
        <f>IF($L8="","",INDEX(Stu_Abs,$L8))</f>
        <v/>
      </c>
      <c r="E8" s="91">
        <f>IF($L8="","",INDEX(Stu_Rate,$L8))</f>
        <v/>
      </c>
      <c r="F8" s="102">
        <f>IF($L8="","",INDEX(Stu_Status,$L8))</f>
        <v/>
      </c>
      <c r="G8" s="88">
        <f>IF($L8="","",INDEX(Stu_Phone,$L8))</f>
        <v/>
      </c>
      <c r="H8" s="103">
        <f>IF($L8="","",INDEX(Stu_Guardian,$L8))</f>
        <v/>
      </c>
      <c r="I8" s="102">
        <f>IF($L8="","",INDEX(Stu_Contacted,$L8))</f>
        <v/>
      </c>
      <c r="J8" s="93">
        <f>IF($L8="","",INDEX(Stu_LastContact,$L8))</f>
        <v/>
      </c>
      <c r="K8" s="103">
        <f>IF($L8="","",INDEX(Stu_Action,$L8))</f>
        <v/>
      </c>
      <c r="L8" s="40">
        <f>IFERROR(MATCH(LARGE(Stu_KeyFU,3),Stu_KeyFU,0),"")</f>
        <v/>
      </c>
      <c r="M8" s="40">
        <f>IF($L8="","",INDEX(Stu_Level,$L8))</f>
        <v/>
      </c>
    </row>
    <row r="9">
      <c r="A9" s="100">
        <f>IF($L9="","",4)</f>
        <v/>
      </c>
      <c r="B9" s="101">
        <f>IF($L9="","",INDEX(Stu_Name,$L9))</f>
        <v/>
      </c>
      <c r="C9" s="88">
        <f>IF($L9="","",INDEX(Stu_Class,$L9))</f>
        <v/>
      </c>
      <c r="D9" s="102">
        <f>IF($L9="","",INDEX(Stu_Abs,$L9))</f>
        <v/>
      </c>
      <c r="E9" s="91">
        <f>IF($L9="","",INDEX(Stu_Rate,$L9))</f>
        <v/>
      </c>
      <c r="F9" s="102">
        <f>IF($L9="","",INDEX(Stu_Status,$L9))</f>
        <v/>
      </c>
      <c r="G9" s="88">
        <f>IF($L9="","",INDEX(Stu_Phone,$L9))</f>
        <v/>
      </c>
      <c r="H9" s="103">
        <f>IF($L9="","",INDEX(Stu_Guardian,$L9))</f>
        <v/>
      </c>
      <c r="I9" s="102">
        <f>IF($L9="","",INDEX(Stu_Contacted,$L9))</f>
        <v/>
      </c>
      <c r="J9" s="93">
        <f>IF($L9="","",INDEX(Stu_LastContact,$L9))</f>
        <v/>
      </c>
      <c r="K9" s="103">
        <f>IF($L9="","",INDEX(Stu_Action,$L9))</f>
        <v/>
      </c>
      <c r="L9" s="40">
        <f>IFERROR(MATCH(LARGE(Stu_KeyFU,4),Stu_KeyFU,0),"")</f>
        <v/>
      </c>
      <c r="M9" s="40">
        <f>IF($L9="","",INDEX(Stu_Level,$L9))</f>
        <v/>
      </c>
    </row>
    <row r="10">
      <c r="A10" s="100">
        <f>IF($L10="","",5)</f>
        <v/>
      </c>
      <c r="B10" s="101">
        <f>IF($L10="","",INDEX(Stu_Name,$L10))</f>
        <v/>
      </c>
      <c r="C10" s="88">
        <f>IF($L10="","",INDEX(Stu_Class,$L10))</f>
        <v/>
      </c>
      <c r="D10" s="102">
        <f>IF($L10="","",INDEX(Stu_Abs,$L10))</f>
        <v/>
      </c>
      <c r="E10" s="91">
        <f>IF($L10="","",INDEX(Stu_Rate,$L10))</f>
        <v/>
      </c>
      <c r="F10" s="102">
        <f>IF($L10="","",INDEX(Stu_Status,$L10))</f>
        <v/>
      </c>
      <c r="G10" s="88">
        <f>IF($L10="","",INDEX(Stu_Phone,$L10))</f>
        <v/>
      </c>
      <c r="H10" s="103">
        <f>IF($L10="","",INDEX(Stu_Guardian,$L10))</f>
        <v/>
      </c>
      <c r="I10" s="102">
        <f>IF($L10="","",INDEX(Stu_Contacted,$L10))</f>
        <v/>
      </c>
      <c r="J10" s="93">
        <f>IF($L10="","",INDEX(Stu_LastContact,$L10))</f>
        <v/>
      </c>
      <c r="K10" s="103">
        <f>IF($L10="","",INDEX(Stu_Action,$L10))</f>
        <v/>
      </c>
      <c r="L10" s="40">
        <f>IFERROR(MATCH(LARGE(Stu_KeyFU,5),Stu_KeyFU,0),"")</f>
        <v/>
      </c>
      <c r="M10" s="40">
        <f>IF($L10="","",INDEX(Stu_Level,$L10))</f>
        <v/>
      </c>
    </row>
    <row r="11">
      <c r="A11" s="100">
        <f>IF($L11="","",6)</f>
        <v/>
      </c>
      <c r="B11" s="101">
        <f>IF($L11="","",INDEX(Stu_Name,$L11))</f>
        <v/>
      </c>
      <c r="C11" s="88">
        <f>IF($L11="","",INDEX(Stu_Class,$L11))</f>
        <v/>
      </c>
      <c r="D11" s="102">
        <f>IF($L11="","",INDEX(Stu_Abs,$L11))</f>
        <v/>
      </c>
      <c r="E11" s="91">
        <f>IF($L11="","",INDEX(Stu_Rate,$L11))</f>
        <v/>
      </c>
      <c r="F11" s="102">
        <f>IF($L11="","",INDEX(Stu_Status,$L11))</f>
        <v/>
      </c>
      <c r="G11" s="88">
        <f>IF($L11="","",INDEX(Stu_Phone,$L11))</f>
        <v/>
      </c>
      <c r="H11" s="103">
        <f>IF($L11="","",INDEX(Stu_Guardian,$L11))</f>
        <v/>
      </c>
      <c r="I11" s="102">
        <f>IF($L11="","",INDEX(Stu_Contacted,$L11))</f>
        <v/>
      </c>
      <c r="J11" s="93">
        <f>IF($L11="","",INDEX(Stu_LastContact,$L11))</f>
        <v/>
      </c>
      <c r="K11" s="103">
        <f>IF($L11="","",INDEX(Stu_Action,$L11))</f>
        <v/>
      </c>
      <c r="L11" s="40">
        <f>IFERROR(MATCH(LARGE(Stu_KeyFU,6),Stu_KeyFU,0),"")</f>
        <v/>
      </c>
      <c r="M11" s="40">
        <f>IF($L11="","",INDEX(Stu_Level,$L11))</f>
        <v/>
      </c>
    </row>
    <row r="12">
      <c r="A12" s="100">
        <f>IF($L12="","",7)</f>
        <v/>
      </c>
      <c r="B12" s="101">
        <f>IF($L12="","",INDEX(Stu_Name,$L12))</f>
        <v/>
      </c>
      <c r="C12" s="88">
        <f>IF($L12="","",INDEX(Stu_Class,$L12))</f>
        <v/>
      </c>
      <c r="D12" s="102">
        <f>IF($L12="","",INDEX(Stu_Abs,$L12))</f>
        <v/>
      </c>
      <c r="E12" s="91">
        <f>IF($L12="","",INDEX(Stu_Rate,$L12))</f>
        <v/>
      </c>
      <c r="F12" s="102">
        <f>IF($L12="","",INDEX(Stu_Status,$L12))</f>
        <v/>
      </c>
      <c r="G12" s="88">
        <f>IF($L12="","",INDEX(Stu_Phone,$L12))</f>
        <v/>
      </c>
      <c r="H12" s="103">
        <f>IF($L12="","",INDEX(Stu_Guardian,$L12))</f>
        <v/>
      </c>
      <c r="I12" s="102">
        <f>IF($L12="","",INDEX(Stu_Contacted,$L12))</f>
        <v/>
      </c>
      <c r="J12" s="93">
        <f>IF($L12="","",INDEX(Stu_LastContact,$L12))</f>
        <v/>
      </c>
      <c r="K12" s="103">
        <f>IF($L12="","",INDEX(Stu_Action,$L12))</f>
        <v/>
      </c>
      <c r="L12" s="40">
        <f>IFERROR(MATCH(LARGE(Stu_KeyFU,7),Stu_KeyFU,0),"")</f>
        <v/>
      </c>
      <c r="M12" s="40">
        <f>IF($L12="","",INDEX(Stu_Level,$L12))</f>
        <v/>
      </c>
    </row>
    <row r="13">
      <c r="A13" s="100">
        <f>IF($L13="","",8)</f>
        <v/>
      </c>
      <c r="B13" s="101">
        <f>IF($L13="","",INDEX(Stu_Name,$L13))</f>
        <v/>
      </c>
      <c r="C13" s="88">
        <f>IF($L13="","",INDEX(Stu_Class,$L13))</f>
        <v/>
      </c>
      <c r="D13" s="102">
        <f>IF($L13="","",INDEX(Stu_Abs,$L13))</f>
        <v/>
      </c>
      <c r="E13" s="91">
        <f>IF($L13="","",INDEX(Stu_Rate,$L13))</f>
        <v/>
      </c>
      <c r="F13" s="102">
        <f>IF($L13="","",INDEX(Stu_Status,$L13))</f>
        <v/>
      </c>
      <c r="G13" s="88">
        <f>IF($L13="","",INDEX(Stu_Phone,$L13))</f>
        <v/>
      </c>
      <c r="H13" s="103">
        <f>IF($L13="","",INDEX(Stu_Guardian,$L13))</f>
        <v/>
      </c>
      <c r="I13" s="102">
        <f>IF($L13="","",INDEX(Stu_Contacted,$L13))</f>
        <v/>
      </c>
      <c r="J13" s="93">
        <f>IF($L13="","",INDEX(Stu_LastContact,$L13))</f>
        <v/>
      </c>
      <c r="K13" s="103">
        <f>IF($L13="","",INDEX(Stu_Action,$L13))</f>
        <v/>
      </c>
      <c r="L13" s="40">
        <f>IFERROR(MATCH(LARGE(Stu_KeyFU,8),Stu_KeyFU,0),"")</f>
        <v/>
      </c>
      <c r="M13" s="40">
        <f>IF($L13="","",INDEX(Stu_Level,$L13))</f>
        <v/>
      </c>
    </row>
    <row r="14">
      <c r="A14" s="100">
        <f>IF($L14="","",9)</f>
        <v/>
      </c>
      <c r="B14" s="101">
        <f>IF($L14="","",INDEX(Stu_Name,$L14))</f>
        <v/>
      </c>
      <c r="C14" s="88">
        <f>IF($L14="","",INDEX(Stu_Class,$L14))</f>
        <v/>
      </c>
      <c r="D14" s="102">
        <f>IF($L14="","",INDEX(Stu_Abs,$L14))</f>
        <v/>
      </c>
      <c r="E14" s="91">
        <f>IF($L14="","",INDEX(Stu_Rate,$L14))</f>
        <v/>
      </c>
      <c r="F14" s="102">
        <f>IF($L14="","",INDEX(Stu_Status,$L14))</f>
        <v/>
      </c>
      <c r="G14" s="88">
        <f>IF($L14="","",INDEX(Stu_Phone,$L14))</f>
        <v/>
      </c>
      <c r="H14" s="103">
        <f>IF($L14="","",INDEX(Stu_Guardian,$L14))</f>
        <v/>
      </c>
      <c r="I14" s="102">
        <f>IF($L14="","",INDEX(Stu_Contacted,$L14))</f>
        <v/>
      </c>
      <c r="J14" s="93">
        <f>IF($L14="","",INDEX(Stu_LastContact,$L14))</f>
        <v/>
      </c>
      <c r="K14" s="103">
        <f>IF($L14="","",INDEX(Stu_Action,$L14))</f>
        <v/>
      </c>
      <c r="L14" s="40">
        <f>IFERROR(MATCH(LARGE(Stu_KeyFU,9),Stu_KeyFU,0),"")</f>
        <v/>
      </c>
      <c r="M14" s="40">
        <f>IF($L14="","",INDEX(Stu_Level,$L14))</f>
        <v/>
      </c>
    </row>
    <row r="15">
      <c r="A15" s="100">
        <f>IF($L15="","",10)</f>
        <v/>
      </c>
      <c r="B15" s="101">
        <f>IF($L15="","",INDEX(Stu_Name,$L15))</f>
        <v/>
      </c>
      <c r="C15" s="88">
        <f>IF($L15="","",INDEX(Stu_Class,$L15))</f>
        <v/>
      </c>
      <c r="D15" s="102">
        <f>IF($L15="","",INDEX(Stu_Abs,$L15))</f>
        <v/>
      </c>
      <c r="E15" s="91">
        <f>IF($L15="","",INDEX(Stu_Rate,$L15))</f>
        <v/>
      </c>
      <c r="F15" s="102">
        <f>IF($L15="","",INDEX(Stu_Status,$L15))</f>
        <v/>
      </c>
      <c r="G15" s="88">
        <f>IF($L15="","",INDEX(Stu_Phone,$L15))</f>
        <v/>
      </c>
      <c r="H15" s="103">
        <f>IF($L15="","",INDEX(Stu_Guardian,$L15))</f>
        <v/>
      </c>
      <c r="I15" s="102">
        <f>IF($L15="","",INDEX(Stu_Contacted,$L15))</f>
        <v/>
      </c>
      <c r="J15" s="93">
        <f>IF($L15="","",INDEX(Stu_LastContact,$L15))</f>
        <v/>
      </c>
      <c r="K15" s="103">
        <f>IF($L15="","",INDEX(Stu_Action,$L15))</f>
        <v/>
      </c>
      <c r="L15" s="40">
        <f>IFERROR(MATCH(LARGE(Stu_KeyFU,10),Stu_KeyFU,0),"")</f>
        <v/>
      </c>
      <c r="M15" s="40">
        <f>IF($L15="","",INDEX(Stu_Level,$L15))</f>
        <v/>
      </c>
    </row>
    <row r="16">
      <c r="A16" s="100">
        <f>IF($L16="","",11)</f>
        <v/>
      </c>
      <c r="B16" s="101">
        <f>IF($L16="","",INDEX(Stu_Name,$L16))</f>
        <v/>
      </c>
      <c r="C16" s="88">
        <f>IF($L16="","",INDEX(Stu_Class,$L16))</f>
        <v/>
      </c>
      <c r="D16" s="102">
        <f>IF($L16="","",INDEX(Stu_Abs,$L16))</f>
        <v/>
      </c>
      <c r="E16" s="91">
        <f>IF($L16="","",INDEX(Stu_Rate,$L16))</f>
        <v/>
      </c>
      <c r="F16" s="102">
        <f>IF($L16="","",INDEX(Stu_Status,$L16))</f>
        <v/>
      </c>
      <c r="G16" s="88">
        <f>IF($L16="","",INDEX(Stu_Phone,$L16))</f>
        <v/>
      </c>
      <c r="H16" s="103">
        <f>IF($L16="","",INDEX(Stu_Guardian,$L16))</f>
        <v/>
      </c>
      <c r="I16" s="102">
        <f>IF($L16="","",INDEX(Stu_Contacted,$L16))</f>
        <v/>
      </c>
      <c r="J16" s="93">
        <f>IF($L16="","",INDEX(Stu_LastContact,$L16))</f>
        <v/>
      </c>
      <c r="K16" s="103">
        <f>IF($L16="","",INDEX(Stu_Action,$L16))</f>
        <v/>
      </c>
      <c r="L16" s="40">
        <f>IFERROR(MATCH(LARGE(Stu_KeyFU,11),Stu_KeyFU,0),"")</f>
        <v/>
      </c>
      <c r="M16" s="40">
        <f>IF($L16="","",INDEX(Stu_Level,$L16))</f>
        <v/>
      </c>
    </row>
    <row r="17">
      <c r="A17" s="100">
        <f>IF($L17="","",12)</f>
        <v/>
      </c>
      <c r="B17" s="101">
        <f>IF($L17="","",INDEX(Stu_Name,$L17))</f>
        <v/>
      </c>
      <c r="C17" s="88">
        <f>IF($L17="","",INDEX(Stu_Class,$L17))</f>
        <v/>
      </c>
      <c r="D17" s="102">
        <f>IF($L17="","",INDEX(Stu_Abs,$L17))</f>
        <v/>
      </c>
      <c r="E17" s="91">
        <f>IF($L17="","",INDEX(Stu_Rate,$L17))</f>
        <v/>
      </c>
      <c r="F17" s="102">
        <f>IF($L17="","",INDEX(Stu_Status,$L17))</f>
        <v/>
      </c>
      <c r="G17" s="88">
        <f>IF($L17="","",INDEX(Stu_Phone,$L17))</f>
        <v/>
      </c>
      <c r="H17" s="103">
        <f>IF($L17="","",INDEX(Stu_Guardian,$L17))</f>
        <v/>
      </c>
      <c r="I17" s="102">
        <f>IF($L17="","",INDEX(Stu_Contacted,$L17))</f>
        <v/>
      </c>
      <c r="J17" s="93">
        <f>IF($L17="","",INDEX(Stu_LastContact,$L17))</f>
        <v/>
      </c>
      <c r="K17" s="103">
        <f>IF($L17="","",INDEX(Stu_Action,$L17))</f>
        <v/>
      </c>
      <c r="L17" s="40">
        <f>IFERROR(MATCH(LARGE(Stu_KeyFU,12),Stu_KeyFU,0),"")</f>
        <v/>
      </c>
      <c r="M17" s="40">
        <f>IF($L17="","",INDEX(Stu_Level,$L17))</f>
        <v/>
      </c>
    </row>
    <row r="18">
      <c r="A18" s="100">
        <f>IF($L18="","",13)</f>
        <v/>
      </c>
      <c r="B18" s="101">
        <f>IF($L18="","",INDEX(Stu_Name,$L18))</f>
        <v/>
      </c>
      <c r="C18" s="88">
        <f>IF($L18="","",INDEX(Stu_Class,$L18))</f>
        <v/>
      </c>
      <c r="D18" s="102">
        <f>IF($L18="","",INDEX(Stu_Abs,$L18))</f>
        <v/>
      </c>
      <c r="E18" s="91">
        <f>IF($L18="","",INDEX(Stu_Rate,$L18))</f>
        <v/>
      </c>
      <c r="F18" s="102">
        <f>IF($L18="","",INDEX(Stu_Status,$L18))</f>
        <v/>
      </c>
      <c r="G18" s="88">
        <f>IF($L18="","",INDEX(Stu_Phone,$L18))</f>
        <v/>
      </c>
      <c r="H18" s="103">
        <f>IF($L18="","",INDEX(Stu_Guardian,$L18))</f>
        <v/>
      </c>
      <c r="I18" s="102">
        <f>IF($L18="","",INDEX(Stu_Contacted,$L18))</f>
        <v/>
      </c>
      <c r="J18" s="93">
        <f>IF($L18="","",INDEX(Stu_LastContact,$L18))</f>
        <v/>
      </c>
      <c r="K18" s="103">
        <f>IF($L18="","",INDEX(Stu_Action,$L18))</f>
        <v/>
      </c>
      <c r="L18" s="40">
        <f>IFERROR(MATCH(LARGE(Stu_KeyFU,13),Stu_KeyFU,0),"")</f>
        <v/>
      </c>
      <c r="M18" s="40">
        <f>IF($L18="","",INDEX(Stu_Level,$L18))</f>
        <v/>
      </c>
    </row>
    <row r="19">
      <c r="A19" s="100">
        <f>IF($L19="","",14)</f>
        <v/>
      </c>
      <c r="B19" s="101">
        <f>IF($L19="","",INDEX(Stu_Name,$L19))</f>
        <v/>
      </c>
      <c r="C19" s="88">
        <f>IF($L19="","",INDEX(Stu_Class,$L19))</f>
        <v/>
      </c>
      <c r="D19" s="102">
        <f>IF($L19="","",INDEX(Stu_Abs,$L19))</f>
        <v/>
      </c>
      <c r="E19" s="91">
        <f>IF($L19="","",INDEX(Stu_Rate,$L19))</f>
        <v/>
      </c>
      <c r="F19" s="102">
        <f>IF($L19="","",INDEX(Stu_Status,$L19))</f>
        <v/>
      </c>
      <c r="G19" s="88">
        <f>IF($L19="","",INDEX(Stu_Phone,$L19))</f>
        <v/>
      </c>
      <c r="H19" s="103">
        <f>IF($L19="","",INDEX(Stu_Guardian,$L19))</f>
        <v/>
      </c>
      <c r="I19" s="102">
        <f>IF($L19="","",INDEX(Stu_Contacted,$L19))</f>
        <v/>
      </c>
      <c r="J19" s="93">
        <f>IF($L19="","",INDEX(Stu_LastContact,$L19))</f>
        <v/>
      </c>
      <c r="K19" s="103">
        <f>IF($L19="","",INDEX(Stu_Action,$L19))</f>
        <v/>
      </c>
      <c r="L19" s="40">
        <f>IFERROR(MATCH(LARGE(Stu_KeyFU,14),Stu_KeyFU,0),"")</f>
        <v/>
      </c>
      <c r="M19" s="40">
        <f>IF($L19="","",INDEX(Stu_Level,$L19))</f>
        <v/>
      </c>
    </row>
    <row r="20">
      <c r="A20" s="100">
        <f>IF($L20="","",15)</f>
        <v/>
      </c>
      <c r="B20" s="101">
        <f>IF($L20="","",INDEX(Stu_Name,$L20))</f>
        <v/>
      </c>
      <c r="C20" s="88">
        <f>IF($L20="","",INDEX(Stu_Class,$L20))</f>
        <v/>
      </c>
      <c r="D20" s="102">
        <f>IF($L20="","",INDEX(Stu_Abs,$L20))</f>
        <v/>
      </c>
      <c r="E20" s="91">
        <f>IF($L20="","",INDEX(Stu_Rate,$L20))</f>
        <v/>
      </c>
      <c r="F20" s="102">
        <f>IF($L20="","",INDEX(Stu_Status,$L20))</f>
        <v/>
      </c>
      <c r="G20" s="88">
        <f>IF($L20="","",INDEX(Stu_Phone,$L20))</f>
        <v/>
      </c>
      <c r="H20" s="103">
        <f>IF($L20="","",INDEX(Stu_Guardian,$L20))</f>
        <v/>
      </c>
      <c r="I20" s="102">
        <f>IF($L20="","",INDEX(Stu_Contacted,$L20))</f>
        <v/>
      </c>
      <c r="J20" s="93">
        <f>IF($L20="","",INDEX(Stu_LastContact,$L20))</f>
        <v/>
      </c>
      <c r="K20" s="103">
        <f>IF($L20="","",INDEX(Stu_Action,$L20))</f>
        <v/>
      </c>
      <c r="L20" s="40">
        <f>IFERROR(MATCH(LARGE(Stu_KeyFU,15),Stu_KeyFU,0),"")</f>
        <v/>
      </c>
      <c r="M20" s="40">
        <f>IF($L20="","",INDEX(Stu_Level,$L20))</f>
        <v/>
      </c>
    </row>
    <row r="21">
      <c r="A21" s="100">
        <f>IF($L21="","",16)</f>
        <v/>
      </c>
      <c r="B21" s="101">
        <f>IF($L21="","",INDEX(Stu_Name,$L21))</f>
        <v/>
      </c>
      <c r="C21" s="88">
        <f>IF($L21="","",INDEX(Stu_Class,$L21))</f>
        <v/>
      </c>
      <c r="D21" s="102">
        <f>IF($L21="","",INDEX(Stu_Abs,$L21))</f>
        <v/>
      </c>
      <c r="E21" s="91">
        <f>IF($L21="","",INDEX(Stu_Rate,$L21))</f>
        <v/>
      </c>
      <c r="F21" s="102">
        <f>IF($L21="","",INDEX(Stu_Status,$L21))</f>
        <v/>
      </c>
      <c r="G21" s="88">
        <f>IF($L21="","",INDEX(Stu_Phone,$L21))</f>
        <v/>
      </c>
      <c r="H21" s="103">
        <f>IF($L21="","",INDEX(Stu_Guardian,$L21))</f>
        <v/>
      </c>
      <c r="I21" s="102">
        <f>IF($L21="","",INDEX(Stu_Contacted,$L21))</f>
        <v/>
      </c>
      <c r="J21" s="93">
        <f>IF($L21="","",INDEX(Stu_LastContact,$L21))</f>
        <v/>
      </c>
      <c r="K21" s="103">
        <f>IF($L21="","",INDEX(Stu_Action,$L21))</f>
        <v/>
      </c>
      <c r="L21" s="40">
        <f>IFERROR(MATCH(LARGE(Stu_KeyFU,16),Stu_KeyFU,0),"")</f>
        <v/>
      </c>
      <c r="M21" s="40">
        <f>IF($L21="","",INDEX(Stu_Level,$L21))</f>
        <v/>
      </c>
    </row>
    <row r="22">
      <c r="A22" s="100">
        <f>IF($L22="","",17)</f>
        <v/>
      </c>
      <c r="B22" s="101">
        <f>IF($L22="","",INDEX(Stu_Name,$L22))</f>
        <v/>
      </c>
      <c r="C22" s="88">
        <f>IF($L22="","",INDEX(Stu_Class,$L22))</f>
        <v/>
      </c>
      <c r="D22" s="102">
        <f>IF($L22="","",INDEX(Stu_Abs,$L22))</f>
        <v/>
      </c>
      <c r="E22" s="91">
        <f>IF($L22="","",INDEX(Stu_Rate,$L22))</f>
        <v/>
      </c>
      <c r="F22" s="102">
        <f>IF($L22="","",INDEX(Stu_Status,$L22))</f>
        <v/>
      </c>
      <c r="G22" s="88">
        <f>IF($L22="","",INDEX(Stu_Phone,$L22))</f>
        <v/>
      </c>
      <c r="H22" s="103">
        <f>IF($L22="","",INDEX(Stu_Guardian,$L22))</f>
        <v/>
      </c>
      <c r="I22" s="102">
        <f>IF($L22="","",INDEX(Stu_Contacted,$L22))</f>
        <v/>
      </c>
      <c r="J22" s="93">
        <f>IF($L22="","",INDEX(Stu_LastContact,$L22))</f>
        <v/>
      </c>
      <c r="K22" s="103">
        <f>IF($L22="","",INDEX(Stu_Action,$L22))</f>
        <v/>
      </c>
      <c r="L22" s="40">
        <f>IFERROR(MATCH(LARGE(Stu_KeyFU,17),Stu_KeyFU,0),"")</f>
        <v/>
      </c>
      <c r="M22" s="40">
        <f>IF($L22="","",INDEX(Stu_Level,$L22))</f>
        <v/>
      </c>
    </row>
    <row r="23">
      <c r="A23" s="100">
        <f>IF($L23="","",18)</f>
        <v/>
      </c>
      <c r="B23" s="101">
        <f>IF($L23="","",INDEX(Stu_Name,$L23))</f>
        <v/>
      </c>
      <c r="C23" s="88">
        <f>IF($L23="","",INDEX(Stu_Class,$L23))</f>
        <v/>
      </c>
      <c r="D23" s="102">
        <f>IF($L23="","",INDEX(Stu_Abs,$L23))</f>
        <v/>
      </c>
      <c r="E23" s="91">
        <f>IF($L23="","",INDEX(Stu_Rate,$L23))</f>
        <v/>
      </c>
      <c r="F23" s="102">
        <f>IF($L23="","",INDEX(Stu_Status,$L23))</f>
        <v/>
      </c>
      <c r="G23" s="88">
        <f>IF($L23="","",INDEX(Stu_Phone,$L23))</f>
        <v/>
      </c>
      <c r="H23" s="103">
        <f>IF($L23="","",INDEX(Stu_Guardian,$L23))</f>
        <v/>
      </c>
      <c r="I23" s="102">
        <f>IF($L23="","",INDEX(Stu_Contacted,$L23))</f>
        <v/>
      </c>
      <c r="J23" s="93">
        <f>IF($L23="","",INDEX(Stu_LastContact,$L23))</f>
        <v/>
      </c>
      <c r="K23" s="103">
        <f>IF($L23="","",INDEX(Stu_Action,$L23))</f>
        <v/>
      </c>
      <c r="L23" s="40">
        <f>IFERROR(MATCH(LARGE(Stu_KeyFU,18),Stu_KeyFU,0),"")</f>
        <v/>
      </c>
      <c r="M23" s="40">
        <f>IF($L23="","",INDEX(Stu_Level,$L23))</f>
        <v/>
      </c>
    </row>
    <row r="24">
      <c r="A24" s="100">
        <f>IF($L24="","",19)</f>
        <v/>
      </c>
      <c r="B24" s="101">
        <f>IF($L24="","",INDEX(Stu_Name,$L24))</f>
        <v/>
      </c>
      <c r="C24" s="88">
        <f>IF($L24="","",INDEX(Stu_Class,$L24))</f>
        <v/>
      </c>
      <c r="D24" s="102">
        <f>IF($L24="","",INDEX(Stu_Abs,$L24))</f>
        <v/>
      </c>
      <c r="E24" s="91">
        <f>IF($L24="","",INDEX(Stu_Rate,$L24))</f>
        <v/>
      </c>
      <c r="F24" s="102">
        <f>IF($L24="","",INDEX(Stu_Status,$L24))</f>
        <v/>
      </c>
      <c r="G24" s="88">
        <f>IF($L24="","",INDEX(Stu_Phone,$L24))</f>
        <v/>
      </c>
      <c r="H24" s="103">
        <f>IF($L24="","",INDEX(Stu_Guardian,$L24))</f>
        <v/>
      </c>
      <c r="I24" s="102">
        <f>IF($L24="","",INDEX(Stu_Contacted,$L24))</f>
        <v/>
      </c>
      <c r="J24" s="93">
        <f>IF($L24="","",INDEX(Stu_LastContact,$L24))</f>
        <v/>
      </c>
      <c r="K24" s="103">
        <f>IF($L24="","",INDEX(Stu_Action,$L24))</f>
        <v/>
      </c>
      <c r="L24" s="40">
        <f>IFERROR(MATCH(LARGE(Stu_KeyFU,19),Stu_KeyFU,0),"")</f>
        <v/>
      </c>
      <c r="M24" s="40">
        <f>IF($L24="","",INDEX(Stu_Level,$L24))</f>
        <v/>
      </c>
    </row>
    <row r="25">
      <c r="A25" s="100">
        <f>IF($L25="","",20)</f>
        <v/>
      </c>
      <c r="B25" s="101">
        <f>IF($L25="","",INDEX(Stu_Name,$L25))</f>
        <v/>
      </c>
      <c r="C25" s="88">
        <f>IF($L25="","",INDEX(Stu_Class,$L25))</f>
        <v/>
      </c>
      <c r="D25" s="102">
        <f>IF($L25="","",INDEX(Stu_Abs,$L25))</f>
        <v/>
      </c>
      <c r="E25" s="91">
        <f>IF($L25="","",INDEX(Stu_Rate,$L25))</f>
        <v/>
      </c>
      <c r="F25" s="102">
        <f>IF($L25="","",INDEX(Stu_Status,$L25))</f>
        <v/>
      </c>
      <c r="G25" s="88">
        <f>IF($L25="","",INDEX(Stu_Phone,$L25))</f>
        <v/>
      </c>
      <c r="H25" s="103">
        <f>IF($L25="","",INDEX(Stu_Guardian,$L25))</f>
        <v/>
      </c>
      <c r="I25" s="102">
        <f>IF($L25="","",INDEX(Stu_Contacted,$L25))</f>
        <v/>
      </c>
      <c r="J25" s="93">
        <f>IF($L25="","",INDEX(Stu_LastContact,$L25))</f>
        <v/>
      </c>
      <c r="K25" s="103">
        <f>IF($L25="","",INDEX(Stu_Action,$L25))</f>
        <v/>
      </c>
      <c r="L25" s="40">
        <f>IFERROR(MATCH(LARGE(Stu_KeyFU,20),Stu_KeyFU,0),"")</f>
        <v/>
      </c>
      <c r="M25" s="40">
        <f>IF($L25="","",INDEX(Stu_Level,$L25))</f>
        <v/>
      </c>
    </row>
    <row r="26">
      <c r="A26" s="100">
        <f>IF($L26="","",21)</f>
        <v/>
      </c>
      <c r="B26" s="101">
        <f>IF($L26="","",INDEX(Stu_Name,$L26))</f>
        <v/>
      </c>
      <c r="C26" s="88">
        <f>IF($L26="","",INDEX(Stu_Class,$L26))</f>
        <v/>
      </c>
      <c r="D26" s="102">
        <f>IF($L26="","",INDEX(Stu_Abs,$L26))</f>
        <v/>
      </c>
      <c r="E26" s="91">
        <f>IF($L26="","",INDEX(Stu_Rate,$L26))</f>
        <v/>
      </c>
      <c r="F26" s="102">
        <f>IF($L26="","",INDEX(Stu_Status,$L26))</f>
        <v/>
      </c>
      <c r="G26" s="88">
        <f>IF($L26="","",INDEX(Stu_Phone,$L26))</f>
        <v/>
      </c>
      <c r="H26" s="103">
        <f>IF($L26="","",INDEX(Stu_Guardian,$L26))</f>
        <v/>
      </c>
      <c r="I26" s="102">
        <f>IF($L26="","",INDEX(Stu_Contacted,$L26))</f>
        <v/>
      </c>
      <c r="J26" s="93">
        <f>IF($L26="","",INDEX(Stu_LastContact,$L26))</f>
        <v/>
      </c>
      <c r="K26" s="103">
        <f>IF($L26="","",INDEX(Stu_Action,$L26))</f>
        <v/>
      </c>
      <c r="L26" s="40">
        <f>IFERROR(MATCH(LARGE(Stu_KeyFU,21),Stu_KeyFU,0),"")</f>
        <v/>
      </c>
      <c r="M26" s="40">
        <f>IF($L26="","",INDEX(Stu_Level,$L26))</f>
        <v/>
      </c>
    </row>
    <row r="27">
      <c r="A27" s="100">
        <f>IF($L27="","",22)</f>
        <v/>
      </c>
      <c r="B27" s="101">
        <f>IF($L27="","",INDEX(Stu_Name,$L27))</f>
        <v/>
      </c>
      <c r="C27" s="88">
        <f>IF($L27="","",INDEX(Stu_Class,$L27))</f>
        <v/>
      </c>
      <c r="D27" s="102">
        <f>IF($L27="","",INDEX(Stu_Abs,$L27))</f>
        <v/>
      </c>
      <c r="E27" s="91">
        <f>IF($L27="","",INDEX(Stu_Rate,$L27))</f>
        <v/>
      </c>
      <c r="F27" s="102">
        <f>IF($L27="","",INDEX(Stu_Status,$L27))</f>
        <v/>
      </c>
      <c r="G27" s="88">
        <f>IF($L27="","",INDEX(Stu_Phone,$L27))</f>
        <v/>
      </c>
      <c r="H27" s="103">
        <f>IF($L27="","",INDEX(Stu_Guardian,$L27))</f>
        <v/>
      </c>
      <c r="I27" s="102">
        <f>IF($L27="","",INDEX(Stu_Contacted,$L27))</f>
        <v/>
      </c>
      <c r="J27" s="93">
        <f>IF($L27="","",INDEX(Stu_LastContact,$L27))</f>
        <v/>
      </c>
      <c r="K27" s="103">
        <f>IF($L27="","",INDEX(Stu_Action,$L27))</f>
        <v/>
      </c>
      <c r="L27" s="40">
        <f>IFERROR(MATCH(LARGE(Stu_KeyFU,22),Stu_KeyFU,0),"")</f>
        <v/>
      </c>
      <c r="M27" s="40">
        <f>IF($L27="","",INDEX(Stu_Level,$L27))</f>
        <v/>
      </c>
    </row>
    <row r="28">
      <c r="A28" s="100">
        <f>IF($L28="","",23)</f>
        <v/>
      </c>
      <c r="B28" s="101">
        <f>IF($L28="","",INDEX(Stu_Name,$L28))</f>
        <v/>
      </c>
      <c r="C28" s="88">
        <f>IF($L28="","",INDEX(Stu_Class,$L28))</f>
        <v/>
      </c>
      <c r="D28" s="102">
        <f>IF($L28="","",INDEX(Stu_Abs,$L28))</f>
        <v/>
      </c>
      <c r="E28" s="91">
        <f>IF($L28="","",INDEX(Stu_Rate,$L28))</f>
        <v/>
      </c>
      <c r="F28" s="102">
        <f>IF($L28="","",INDEX(Stu_Status,$L28))</f>
        <v/>
      </c>
      <c r="G28" s="88">
        <f>IF($L28="","",INDEX(Stu_Phone,$L28))</f>
        <v/>
      </c>
      <c r="H28" s="103">
        <f>IF($L28="","",INDEX(Stu_Guardian,$L28))</f>
        <v/>
      </c>
      <c r="I28" s="102">
        <f>IF($L28="","",INDEX(Stu_Contacted,$L28))</f>
        <v/>
      </c>
      <c r="J28" s="93">
        <f>IF($L28="","",INDEX(Stu_LastContact,$L28))</f>
        <v/>
      </c>
      <c r="K28" s="103">
        <f>IF($L28="","",INDEX(Stu_Action,$L28))</f>
        <v/>
      </c>
      <c r="L28" s="40">
        <f>IFERROR(MATCH(LARGE(Stu_KeyFU,23),Stu_KeyFU,0),"")</f>
        <v/>
      </c>
      <c r="M28" s="40">
        <f>IF($L28="","",INDEX(Stu_Level,$L28))</f>
        <v/>
      </c>
    </row>
    <row r="29">
      <c r="A29" s="100">
        <f>IF($L29="","",24)</f>
        <v/>
      </c>
      <c r="B29" s="101">
        <f>IF($L29="","",INDEX(Stu_Name,$L29))</f>
        <v/>
      </c>
      <c r="C29" s="88">
        <f>IF($L29="","",INDEX(Stu_Class,$L29))</f>
        <v/>
      </c>
      <c r="D29" s="102">
        <f>IF($L29="","",INDEX(Stu_Abs,$L29))</f>
        <v/>
      </c>
      <c r="E29" s="91">
        <f>IF($L29="","",INDEX(Stu_Rate,$L29))</f>
        <v/>
      </c>
      <c r="F29" s="102">
        <f>IF($L29="","",INDEX(Stu_Status,$L29))</f>
        <v/>
      </c>
      <c r="G29" s="88">
        <f>IF($L29="","",INDEX(Stu_Phone,$L29))</f>
        <v/>
      </c>
      <c r="H29" s="103">
        <f>IF($L29="","",INDEX(Stu_Guardian,$L29))</f>
        <v/>
      </c>
      <c r="I29" s="102">
        <f>IF($L29="","",INDEX(Stu_Contacted,$L29))</f>
        <v/>
      </c>
      <c r="J29" s="93">
        <f>IF($L29="","",INDEX(Stu_LastContact,$L29))</f>
        <v/>
      </c>
      <c r="K29" s="103">
        <f>IF($L29="","",INDEX(Stu_Action,$L29))</f>
        <v/>
      </c>
      <c r="L29" s="40">
        <f>IFERROR(MATCH(LARGE(Stu_KeyFU,24),Stu_KeyFU,0),"")</f>
        <v/>
      </c>
      <c r="M29" s="40">
        <f>IF($L29="","",INDEX(Stu_Level,$L29))</f>
        <v/>
      </c>
    </row>
    <row r="30">
      <c r="A30" s="100">
        <f>IF($L30="","",25)</f>
        <v/>
      </c>
      <c r="B30" s="101">
        <f>IF($L30="","",INDEX(Stu_Name,$L30))</f>
        <v/>
      </c>
      <c r="C30" s="88">
        <f>IF($L30="","",INDEX(Stu_Class,$L30))</f>
        <v/>
      </c>
      <c r="D30" s="102">
        <f>IF($L30="","",INDEX(Stu_Abs,$L30))</f>
        <v/>
      </c>
      <c r="E30" s="91">
        <f>IF($L30="","",INDEX(Stu_Rate,$L30))</f>
        <v/>
      </c>
      <c r="F30" s="102">
        <f>IF($L30="","",INDEX(Stu_Status,$L30))</f>
        <v/>
      </c>
      <c r="G30" s="88">
        <f>IF($L30="","",INDEX(Stu_Phone,$L30))</f>
        <v/>
      </c>
      <c r="H30" s="103">
        <f>IF($L30="","",INDEX(Stu_Guardian,$L30))</f>
        <v/>
      </c>
      <c r="I30" s="102">
        <f>IF($L30="","",INDEX(Stu_Contacted,$L30))</f>
        <v/>
      </c>
      <c r="J30" s="93">
        <f>IF($L30="","",INDEX(Stu_LastContact,$L30))</f>
        <v/>
      </c>
      <c r="K30" s="103">
        <f>IF($L30="","",INDEX(Stu_Action,$L30))</f>
        <v/>
      </c>
      <c r="L30" s="40">
        <f>IFERROR(MATCH(LARGE(Stu_KeyFU,25),Stu_KeyFU,0),"")</f>
        <v/>
      </c>
      <c r="M30" s="40">
        <f>IF($L30="","",INDEX(Stu_Level,$L30))</f>
        <v/>
      </c>
    </row>
    <row r="31">
      <c r="A31" s="100">
        <f>IF($L31="","",26)</f>
        <v/>
      </c>
      <c r="B31" s="101">
        <f>IF($L31="","",INDEX(Stu_Name,$L31))</f>
        <v/>
      </c>
      <c r="C31" s="88">
        <f>IF($L31="","",INDEX(Stu_Class,$L31))</f>
        <v/>
      </c>
      <c r="D31" s="102">
        <f>IF($L31="","",INDEX(Stu_Abs,$L31))</f>
        <v/>
      </c>
      <c r="E31" s="91">
        <f>IF($L31="","",INDEX(Stu_Rate,$L31))</f>
        <v/>
      </c>
      <c r="F31" s="102">
        <f>IF($L31="","",INDEX(Stu_Status,$L31))</f>
        <v/>
      </c>
      <c r="G31" s="88">
        <f>IF($L31="","",INDEX(Stu_Phone,$L31))</f>
        <v/>
      </c>
      <c r="H31" s="103">
        <f>IF($L31="","",INDEX(Stu_Guardian,$L31))</f>
        <v/>
      </c>
      <c r="I31" s="102">
        <f>IF($L31="","",INDEX(Stu_Contacted,$L31))</f>
        <v/>
      </c>
      <c r="J31" s="93">
        <f>IF($L31="","",INDEX(Stu_LastContact,$L31))</f>
        <v/>
      </c>
      <c r="K31" s="103">
        <f>IF($L31="","",INDEX(Stu_Action,$L31))</f>
        <v/>
      </c>
      <c r="L31" s="40">
        <f>IFERROR(MATCH(LARGE(Stu_KeyFU,26),Stu_KeyFU,0),"")</f>
        <v/>
      </c>
      <c r="M31" s="40">
        <f>IF($L31="","",INDEX(Stu_Level,$L31))</f>
        <v/>
      </c>
    </row>
    <row r="32">
      <c r="A32" s="100">
        <f>IF($L32="","",27)</f>
        <v/>
      </c>
      <c r="B32" s="101">
        <f>IF($L32="","",INDEX(Stu_Name,$L32))</f>
        <v/>
      </c>
      <c r="C32" s="88">
        <f>IF($L32="","",INDEX(Stu_Class,$L32))</f>
        <v/>
      </c>
      <c r="D32" s="102">
        <f>IF($L32="","",INDEX(Stu_Abs,$L32))</f>
        <v/>
      </c>
      <c r="E32" s="91">
        <f>IF($L32="","",INDEX(Stu_Rate,$L32))</f>
        <v/>
      </c>
      <c r="F32" s="102">
        <f>IF($L32="","",INDEX(Stu_Status,$L32))</f>
        <v/>
      </c>
      <c r="G32" s="88">
        <f>IF($L32="","",INDEX(Stu_Phone,$L32))</f>
        <v/>
      </c>
      <c r="H32" s="103">
        <f>IF($L32="","",INDEX(Stu_Guardian,$L32))</f>
        <v/>
      </c>
      <c r="I32" s="102">
        <f>IF($L32="","",INDEX(Stu_Contacted,$L32))</f>
        <v/>
      </c>
      <c r="J32" s="93">
        <f>IF($L32="","",INDEX(Stu_LastContact,$L32))</f>
        <v/>
      </c>
      <c r="K32" s="103">
        <f>IF($L32="","",INDEX(Stu_Action,$L32))</f>
        <v/>
      </c>
      <c r="L32" s="40">
        <f>IFERROR(MATCH(LARGE(Stu_KeyFU,27),Stu_KeyFU,0),"")</f>
        <v/>
      </c>
      <c r="M32" s="40">
        <f>IF($L32="","",INDEX(Stu_Level,$L32))</f>
        <v/>
      </c>
    </row>
    <row r="33">
      <c r="A33" s="100">
        <f>IF($L33="","",28)</f>
        <v/>
      </c>
      <c r="B33" s="101">
        <f>IF($L33="","",INDEX(Stu_Name,$L33))</f>
        <v/>
      </c>
      <c r="C33" s="88">
        <f>IF($L33="","",INDEX(Stu_Class,$L33))</f>
        <v/>
      </c>
      <c r="D33" s="102">
        <f>IF($L33="","",INDEX(Stu_Abs,$L33))</f>
        <v/>
      </c>
      <c r="E33" s="91">
        <f>IF($L33="","",INDEX(Stu_Rate,$L33))</f>
        <v/>
      </c>
      <c r="F33" s="102">
        <f>IF($L33="","",INDEX(Stu_Status,$L33))</f>
        <v/>
      </c>
      <c r="G33" s="88">
        <f>IF($L33="","",INDEX(Stu_Phone,$L33))</f>
        <v/>
      </c>
      <c r="H33" s="103">
        <f>IF($L33="","",INDEX(Stu_Guardian,$L33))</f>
        <v/>
      </c>
      <c r="I33" s="102">
        <f>IF($L33="","",INDEX(Stu_Contacted,$L33))</f>
        <v/>
      </c>
      <c r="J33" s="93">
        <f>IF($L33="","",INDEX(Stu_LastContact,$L33))</f>
        <v/>
      </c>
      <c r="K33" s="103">
        <f>IF($L33="","",INDEX(Stu_Action,$L33))</f>
        <v/>
      </c>
      <c r="L33" s="40">
        <f>IFERROR(MATCH(LARGE(Stu_KeyFU,28),Stu_KeyFU,0),"")</f>
        <v/>
      </c>
      <c r="M33" s="40">
        <f>IF($L33="","",INDEX(Stu_Level,$L33))</f>
        <v/>
      </c>
    </row>
    <row r="34">
      <c r="A34" s="100">
        <f>IF($L34="","",29)</f>
        <v/>
      </c>
      <c r="B34" s="101">
        <f>IF($L34="","",INDEX(Stu_Name,$L34))</f>
        <v/>
      </c>
      <c r="C34" s="88">
        <f>IF($L34="","",INDEX(Stu_Class,$L34))</f>
        <v/>
      </c>
      <c r="D34" s="102">
        <f>IF($L34="","",INDEX(Stu_Abs,$L34))</f>
        <v/>
      </c>
      <c r="E34" s="91">
        <f>IF($L34="","",INDEX(Stu_Rate,$L34))</f>
        <v/>
      </c>
      <c r="F34" s="102">
        <f>IF($L34="","",INDEX(Stu_Status,$L34))</f>
        <v/>
      </c>
      <c r="G34" s="88">
        <f>IF($L34="","",INDEX(Stu_Phone,$L34))</f>
        <v/>
      </c>
      <c r="H34" s="103">
        <f>IF($L34="","",INDEX(Stu_Guardian,$L34))</f>
        <v/>
      </c>
      <c r="I34" s="102">
        <f>IF($L34="","",INDEX(Stu_Contacted,$L34))</f>
        <v/>
      </c>
      <c r="J34" s="93">
        <f>IF($L34="","",INDEX(Stu_LastContact,$L34))</f>
        <v/>
      </c>
      <c r="K34" s="103">
        <f>IF($L34="","",INDEX(Stu_Action,$L34))</f>
        <v/>
      </c>
      <c r="L34" s="40">
        <f>IFERROR(MATCH(LARGE(Stu_KeyFU,29),Stu_KeyFU,0),"")</f>
        <v/>
      </c>
      <c r="M34" s="40">
        <f>IF($L34="","",INDEX(Stu_Level,$L34))</f>
        <v/>
      </c>
    </row>
    <row r="35">
      <c r="A35" s="100">
        <f>IF($L35="","",30)</f>
        <v/>
      </c>
      <c r="B35" s="101">
        <f>IF($L35="","",INDEX(Stu_Name,$L35))</f>
        <v/>
      </c>
      <c r="C35" s="88">
        <f>IF($L35="","",INDEX(Stu_Class,$L35))</f>
        <v/>
      </c>
      <c r="D35" s="102">
        <f>IF($L35="","",INDEX(Stu_Abs,$L35))</f>
        <v/>
      </c>
      <c r="E35" s="91">
        <f>IF($L35="","",INDEX(Stu_Rate,$L35))</f>
        <v/>
      </c>
      <c r="F35" s="102">
        <f>IF($L35="","",INDEX(Stu_Status,$L35))</f>
        <v/>
      </c>
      <c r="G35" s="88">
        <f>IF($L35="","",INDEX(Stu_Phone,$L35))</f>
        <v/>
      </c>
      <c r="H35" s="103">
        <f>IF($L35="","",INDEX(Stu_Guardian,$L35))</f>
        <v/>
      </c>
      <c r="I35" s="102">
        <f>IF($L35="","",INDEX(Stu_Contacted,$L35))</f>
        <v/>
      </c>
      <c r="J35" s="93">
        <f>IF($L35="","",INDEX(Stu_LastContact,$L35))</f>
        <v/>
      </c>
      <c r="K35" s="103">
        <f>IF($L35="","",INDEX(Stu_Action,$L35))</f>
        <v/>
      </c>
      <c r="L35" s="40">
        <f>IFERROR(MATCH(LARGE(Stu_KeyFU,30),Stu_KeyFU,0),"")</f>
        <v/>
      </c>
      <c r="M35" s="40">
        <f>IF($L35="","",INDEX(Stu_Level,$L35))</f>
        <v/>
      </c>
    </row>
    <row r="36">
      <c r="A36" s="100">
        <f>IF($L36="","",31)</f>
        <v/>
      </c>
      <c r="B36" s="101">
        <f>IF($L36="","",INDEX(Stu_Name,$L36))</f>
        <v/>
      </c>
      <c r="C36" s="88">
        <f>IF($L36="","",INDEX(Stu_Class,$L36))</f>
        <v/>
      </c>
      <c r="D36" s="102">
        <f>IF($L36="","",INDEX(Stu_Abs,$L36))</f>
        <v/>
      </c>
      <c r="E36" s="91">
        <f>IF($L36="","",INDEX(Stu_Rate,$L36))</f>
        <v/>
      </c>
      <c r="F36" s="102">
        <f>IF($L36="","",INDEX(Stu_Status,$L36))</f>
        <v/>
      </c>
      <c r="G36" s="88">
        <f>IF($L36="","",INDEX(Stu_Phone,$L36))</f>
        <v/>
      </c>
      <c r="H36" s="103">
        <f>IF($L36="","",INDEX(Stu_Guardian,$L36))</f>
        <v/>
      </c>
      <c r="I36" s="102">
        <f>IF($L36="","",INDEX(Stu_Contacted,$L36))</f>
        <v/>
      </c>
      <c r="J36" s="93">
        <f>IF($L36="","",INDEX(Stu_LastContact,$L36))</f>
        <v/>
      </c>
      <c r="K36" s="103">
        <f>IF($L36="","",INDEX(Stu_Action,$L36))</f>
        <v/>
      </c>
      <c r="L36" s="40">
        <f>IFERROR(MATCH(LARGE(Stu_KeyFU,31),Stu_KeyFU,0),"")</f>
        <v/>
      </c>
      <c r="M36" s="40">
        <f>IF($L36="","",INDEX(Stu_Level,$L36))</f>
        <v/>
      </c>
    </row>
    <row r="37">
      <c r="A37" s="100">
        <f>IF($L37="","",32)</f>
        <v/>
      </c>
      <c r="B37" s="101">
        <f>IF($L37="","",INDEX(Stu_Name,$L37))</f>
        <v/>
      </c>
      <c r="C37" s="88">
        <f>IF($L37="","",INDEX(Stu_Class,$L37))</f>
        <v/>
      </c>
      <c r="D37" s="102">
        <f>IF($L37="","",INDEX(Stu_Abs,$L37))</f>
        <v/>
      </c>
      <c r="E37" s="91">
        <f>IF($L37="","",INDEX(Stu_Rate,$L37))</f>
        <v/>
      </c>
      <c r="F37" s="102">
        <f>IF($L37="","",INDEX(Stu_Status,$L37))</f>
        <v/>
      </c>
      <c r="G37" s="88">
        <f>IF($L37="","",INDEX(Stu_Phone,$L37))</f>
        <v/>
      </c>
      <c r="H37" s="103">
        <f>IF($L37="","",INDEX(Stu_Guardian,$L37))</f>
        <v/>
      </c>
      <c r="I37" s="102">
        <f>IF($L37="","",INDEX(Stu_Contacted,$L37))</f>
        <v/>
      </c>
      <c r="J37" s="93">
        <f>IF($L37="","",INDEX(Stu_LastContact,$L37))</f>
        <v/>
      </c>
      <c r="K37" s="103">
        <f>IF($L37="","",INDEX(Stu_Action,$L37))</f>
        <v/>
      </c>
      <c r="L37" s="40">
        <f>IFERROR(MATCH(LARGE(Stu_KeyFU,32),Stu_KeyFU,0),"")</f>
        <v/>
      </c>
      <c r="M37" s="40">
        <f>IF($L37="","",INDEX(Stu_Level,$L37))</f>
        <v/>
      </c>
    </row>
    <row r="38">
      <c r="A38" s="100">
        <f>IF($L38="","",33)</f>
        <v/>
      </c>
      <c r="B38" s="101">
        <f>IF($L38="","",INDEX(Stu_Name,$L38))</f>
        <v/>
      </c>
      <c r="C38" s="88">
        <f>IF($L38="","",INDEX(Stu_Class,$L38))</f>
        <v/>
      </c>
      <c r="D38" s="102">
        <f>IF($L38="","",INDEX(Stu_Abs,$L38))</f>
        <v/>
      </c>
      <c r="E38" s="91">
        <f>IF($L38="","",INDEX(Stu_Rate,$L38))</f>
        <v/>
      </c>
      <c r="F38" s="102">
        <f>IF($L38="","",INDEX(Stu_Status,$L38))</f>
        <v/>
      </c>
      <c r="G38" s="88">
        <f>IF($L38="","",INDEX(Stu_Phone,$L38))</f>
        <v/>
      </c>
      <c r="H38" s="103">
        <f>IF($L38="","",INDEX(Stu_Guardian,$L38))</f>
        <v/>
      </c>
      <c r="I38" s="102">
        <f>IF($L38="","",INDEX(Stu_Contacted,$L38))</f>
        <v/>
      </c>
      <c r="J38" s="93">
        <f>IF($L38="","",INDEX(Stu_LastContact,$L38))</f>
        <v/>
      </c>
      <c r="K38" s="103">
        <f>IF($L38="","",INDEX(Stu_Action,$L38))</f>
        <v/>
      </c>
      <c r="L38" s="40">
        <f>IFERROR(MATCH(LARGE(Stu_KeyFU,33),Stu_KeyFU,0),"")</f>
        <v/>
      </c>
      <c r="M38" s="40">
        <f>IF($L38="","",INDEX(Stu_Level,$L38))</f>
        <v/>
      </c>
    </row>
    <row r="39">
      <c r="A39" s="100">
        <f>IF($L39="","",34)</f>
        <v/>
      </c>
      <c r="B39" s="101">
        <f>IF($L39="","",INDEX(Stu_Name,$L39))</f>
        <v/>
      </c>
      <c r="C39" s="88">
        <f>IF($L39="","",INDEX(Stu_Class,$L39))</f>
        <v/>
      </c>
      <c r="D39" s="102">
        <f>IF($L39="","",INDEX(Stu_Abs,$L39))</f>
        <v/>
      </c>
      <c r="E39" s="91">
        <f>IF($L39="","",INDEX(Stu_Rate,$L39))</f>
        <v/>
      </c>
      <c r="F39" s="102">
        <f>IF($L39="","",INDEX(Stu_Status,$L39))</f>
        <v/>
      </c>
      <c r="G39" s="88">
        <f>IF($L39="","",INDEX(Stu_Phone,$L39))</f>
        <v/>
      </c>
      <c r="H39" s="103">
        <f>IF($L39="","",INDEX(Stu_Guardian,$L39))</f>
        <v/>
      </c>
      <c r="I39" s="102">
        <f>IF($L39="","",INDEX(Stu_Contacted,$L39))</f>
        <v/>
      </c>
      <c r="J39" s="93">
        <f>IF($L39="","",INDEX(Stu_LastContact,$L39))</f>
        <v/>
      </c>
      <c r="K39" s="103">
        <f>IF($L39="","",INDEX(Stu_Action,$L39))</f>
        <v/>
      </c>
      <c r="L39" s="40">
        <f>IFERROR(MATCH(LARGE(Stu_KeyFU,34),Stu_KeyFU,0),"")</f>
        <v/>
      </c>
      <c r="M39" s="40">
        <f>IF($L39="","",INDEX(Stu_Level,$L39))</f>
        <v/>
      </c>
    </row>
    <row r="40">
      <c r="A40" s="100">
        <f>IF($L40="","",35)</f>
        <v/>
      </c>
      <c r="B40" s="101">
        <f>IF($L40="","",INDEX(Stu_Name,$L40))</f>
        <v/>
      </c>
      <c r="C40" s="88">
        <f>IF($L40="","",INDEX(Stu_Class,$L40))</f>
        <v/>
      </c>
      <c r="D40" s="102">
        <f>IF($L40="","",INDEX(Stu_Abs,$L40))</f>
        <v/>
      </c>
      <c r="E40" s="91">
        <f>IF($L40="","",INDEX(Stu_Rate,$L40))</f>
        <v/>
      </c>
      <c r="F40" s="102">
        <f>IF($L40="","",INDEX(Stu_Status,$L40))</f>
        <v/>
      </c>
      <c r="G40" s="88">
        <f>IF($L40="","",INDEX(Stu_Phone,$L40))</f>
        <v/>
      </c>
      <c r="H40" s="103">
        <f>IF($L40="","",INDEX(Stu_Guardian,$L40))</f>
        <v/>
      </c>
      <c r="I40" s="102">
        <f>IF($L40="","",INDEX(Stu_Contacted,$L40))</f>
        <v/>
      </c>
      <c r="J40" s="93">
        <f>IF($L40="","",INDEX(Stu_LastContact,$L40))</f>
        <v/>
      </c>
      <c r="K40" s="103">
        <f>IF($L40="","",INDEX(Stu_Action,$L40))</f>
        <v/>
      </c>
      <c r="L40" s="40">
        <f>IFERROR(MATCH(LARGE(Stu_KeyFU,35),Stu_KeyFU,0),"")</f>
        <v/>
      </c>
      <c r="M40" s="40">
        <f>IF($L40="","",INDEX(Stu_Level,$L40))</f>
        <v/>
      </c>
    </row>
    <row r="41">
      <c r="A41" s="100">
        <f>IF($L41="","",36)</f>
        <v/>
      </c>
      <c r="B41" s="101">
        <f>IF($L41="","",INDEX(Stu_Name,$L41))</f>
        <v/>
      </c>
      <c r="C41" s="88">
        <f>IF($L41="","",INDEX(Stu_Class,$L41))</f>
        <v/>
      </c>
      <c r="D41" s="102">
        <f>IF($L41="","",INDEX(Stu_Abs,$L41))</f>
        <v/>
      </c>
      <c r="E41" s="91">
        <f>IF($L41="","",INDEX(Stu_Rate,$L41))</f>
        <v/>
      </c>
      <c r="F41" s="102">
        <f>IF($L41="","",INDEX(Stu_Status,$L41))</f>
        <v/>
      </c>
      <c r="G41" s="88">
        <f>IF($L41="","",INDEX(Stu_Phone,$L41))</f>
        <v/>
      </c>
      <c r="H41" s="103">
        <f>IF($L41="","",INDEX(Stu_Guardian,$L41))</f>
        <v/>
      </c>
      <c r="I41" s="102">
        <f>IF($L41="","",INDEX(Stu_Contacted,$L41))</f>
        <v/>
      </c>
      <c r="J41" s="93">
        <f>IF($L41="","",INDEX(Stu_LastContact,$L41))</f>
        <v/>
      </c>
      <c r="K41" s="103">
        <f>IF($L41="","",INDEX(Stu_Action,$L41))</f>
        <v/>
      </c>
      <c r="L41" s="40">
        <f>IFERROR(MATCH(LARGE(Stu_KeyFU,36),Stu_KeyFU,0),"")</f>
        <v/>
      </c>
      <c r="M41" s="40">
        <f>IF($L41="","",INDEX(Stu_Level,$L41))</f>
        <v/>
      </c>
    </row>
    <row r="42">
      <c r="A42" s="100">
        <f>IF($L42="","",37)</f>
        <v/>
      </c>
      <c r="B42" s="101">
        <f>IF($L42="","",INDEX(Stu_Name,$L42))</f>
        <v/>
      </c>
      <c r="C42" s="88">
        <f>IF($L42="","",INDEX(Stu_Class,$L42))</f>
        <v/>
      </c>
      <c r="D42" s="102">
        <f>IF($L42="","",INDEX(Stu_Abs,$L42))</f>
        <v/>
      </c>
      <c r="E42" s="91">
        <f>IF($L42="","",INDEX(Stu_Rate,$L42))</f>
        <v/>
      </c>
      <c r="F42" s="102">
        <f>IF($L42="","",INDEX(Stu_Status,$L42))</f>
        <v/>
      </c>
      <c r="G42" s="88">
        <f>IF($L42="","",INDEX(Stu_Phone,$L42))</f>
        <v/>
      </c>
      <c r="H42" s="103">
        <f>IF($L42="","",INDEX(Stu_Guardian,$L42))</f>
        <v/>
      </c>
      <c r="I42" s="102">
        <f>IF($L42="","",INDEX(Stu_Contacted,$L42))</f>
        <v/>
      </c>
      <c r="J42" s="93">
        <f>IF($L42="","",INDEX(Stu_LastContact,$L42))</f>
        <v/>
      </c>
      <c r="K42" s="103">
        <f>IF($L42="","",INDEX(Stu_Action,$L42))</f>
        <v/>
      </c>
      <c r="L42" s="40">
        <f>IFERROR(MATCH(LARGE(Stu_KeyFU,37),Stu_KeyFU,0),"")</f>
        <v/>
      </c>
      <c r="M42" s="40">
        <f>IF($L42="","",INDEX(Stu_Level,$L42))</f>
        <v/>
      </c>
    </row>
    <row r="43">
      <c r="A43" s="100">
        <f>IF($L43="","",38)</f>
        <v/>
      </c>
      <c r="B43" s="101">
        <f>IF($L43="","",INDEX(Stu_Name,$L43))</f>
        <v/>
      </c>
      <c r="C43" s="88">
        <f>IF($L43="","",INDEX(Stu_Class,$L43))</f>
        <v/>
      </c>
      <c r="D43" s="102">
        <f>IF($L43="","",INDEX(Stu_Abs,$L43))</f>
        <v/>
      </c>
      <c r="E43" s="91">
        <f>IF($L43="","",INDEX(Stu_Rate,$L43))</f>
        <v/>
      </c>
      <c r="F43" s="102">
        <f>IF($L43="","",INDEX(Stu_Status,$L43))</f>
        <v/>
      </c>
      <c r="G43" s="88">
        <f>IF($L43="","",INDEX(Stu_Phone,$L43))</f>
        <v/>
      </c>
      <c r="H43" s="103">
        <f>IF($L43="","",INDEX(Stu_Guardian,$L43))</f>
        <v/>
      </c>
      <c r="I43" s="102">
        <f>IF($L43="","",INDEX(Stu_Contacted,$L43))</f>
        <v/>
      </c>
      <c r="J43" s="93">
        <f>IF($L43="","",INDEX(Stu_LastContact,$L43))</f>
        <v/>
      </c>
      <c r="K43" s="103">
        <f>IF($L43="","",INDEX(Stu_Action,$L43))</f>
        <v/>
      </c>
      <c r="L43" s="40">
        <f>IFERROR(MATCH(LARGE(Stu_KeyFU,38),Stu_KeyFU,0),"")</f>
        <v/>
      </c>
      <c r="M43" s="40">
        <f>IF($L43="","",INDEX(Stu_Level,$L43))</f>
        <v/>
      </c>
    </row>
    <row r="44">
      <c r="A44" s="100">
        <f>IF($L44="","",39)</f>
        <v/>
      </c>
      <c r="B44" s="101">
        <f>IF($L44="","",INDEX(Stu_Name,$L44))</f>
        <v/>
      </c>
      <c r="C44" s="88">
        <f>IF($L44="","",INDEX(Stu_Class,$L44))</f>
        <v/>
      </c>
      <c r="D44" s="102">
        <f>IF($L44="","",INDEX(Stu_Abs,$L44))</f>
        <v/>
      </c>
      <c r="E44" s="91">
        <f>IF($L44="","",INDEX(Stu_Rate,$L44))</f>
        <v/>
      </c>
      <c r="F44" s="102">
        <f>IF($L44="","",INDEX(Stu_Status,$L44))</f>
        <v/>
      </c>
      <c r="G44" s="88">
        <f>IF($L44="","",INDEX(Stu_Phone,$L44))</f>
        <v/>
      </c>
      <c r="H44" s="103">
        <f>IF($L44="","",INDEX(Stu_Guardian,$L44))</f>
        <v/>
      </c>
      <c r="I44" s="102">
        <f>IF($L44="","",INDEX(Stu_Contacted,$L44))</f>
        <v/>
      </c>
      <c r="J44" s="93">
        <f>IF($L44="","",INDEX(Stu_LastContact,$L44))</f>
        <v/>
      </c>
      <c r="K44" s="103">
        <f>IF($L44="","",INDEX(Stu_Action,$L44))</f>
        <v/>
      </c>
      <c r="L44" s="40">
        <f>IFERROR(MATCH(LARGE(Stu_KeyFU,39),Stu_KeyFU,0),"")</f>
        <v/>
      </c>
      <c r="M44" s="40">
        <f>IF($L44="","",INDEX(Stu_Level,$L44))</f>
        <v/>
      </c>
    </row>
    <row r="45">
      <c r="A45" s="100">
        <f>IF($L45="","",40)</f>
        <v/>
      </c>
      <c r="B45" s="101">
        <f>IF($L45="","",INDEX(Stu_Name,$L45))</f>
        <v/>
      </c>
      <c r="C45" s="88">
        <f>IF($L45="","",INDEX(Stu_Class,$L45))</f>
        <v/>
      </c>
      <c r="D45" s="102">
        <f>IF($L45="","",INDEX(Stu_Abs,$L45))</f>
        <v/>
      </c>
      <c r="E45" s="91">
        <f>IF($L45="","",INDEX(Stu_Rate,$L45))</f>
        <v/>
      </c>
      <c r="F45" s="102">
        <f>IF($L45="","",INDEX(Stu_Status,$L45))</f>
        <v/>
      </c>
      <c r="G45" s="88">
        <f>IF($L45="","",INDEX(Stu_Phone,$L45))</f>
        <v/>
      </c>
      <c r="H45" s="103">
        <f>IF($L45="","",INDEX(Stu_Guardian,$L45))</f>
        <v/>
      </c>
      <c r="I45" s="102">
        <f>IF($L45="","",INDEX(Stu_Contacted,$L45))</f>
        <v/>
      </c>
      <c r="J45" s="93">
        <f>IF($L45="","",INDEX(Stu_LastContact,$L45))</f>
        <v/>
      </c>
      <c r="K45" s="103">
        <f>IF($L45="","",INDEX(Stu_Action,$L45))</f>
        <v/>
      </c>
      <c r="L45" s="40">
        <f>IFERROR(MATCH(LARGE(Stu_KeyFU,40),Stu_KeyFU,0),"")</f>
        <v/>
      </c>
      <c r="M45" s="40">
        <f>IF($L45="","",INDEX(Stu_Level,$L45))</f>
        <v/>
      </c>
    </row>
    <row r="46">
      <c r="A46" s="100">
        <f>IF($L46="","",41)</f>
        <v/>
      </c>
      <c r="B46" s="101">
        <f>IF($L46="","",INDEX(Stu_Name,$L46))</f>
        <v/>
      </c>
      <c r="C46" s="88">
        <f>IF($L46="","",INDEX(Stu_Class,$L46))</f>
        <v/>
      </c>
      <c r="D46" s="102">
        <f>IF($L46="","",INDEX(Stu_Abs,$L46))</f>
        <v/>
      </c>
      <c r="E46" s="91">
        <f>IF($L46="","",INDEX(Stu_Rate,$L46))</f>
        <v/>
      </c>
      <c r="F46" s="102">
        <f>IF($L46="","",INDEX(Stu_Status,$L46))</f>
        <v/>
      </c>
      <c r="G46" s="88">
        <f>IF($L46="","",INDEX(Stu_Phone,$L46))</f>
        <v/>
      </c>
      <c r="H46" s="103">
        <f>IF($L46="","",INDEX(Stu_Guardian,$L46))</f>
        <v/>
      </c>
      <c r="I46" s="102">
        <f>IF($L46="","",INDEX(Stu_Contacted,$L46))</f>
        <v/>
      </c>
      <c r="J46" s="93">
        <f>IF($L46="","",INDEX(Stu_LastContact,$L46))</f>
        <v/>
      </c>
      <c r="K46" s="103">
        <f>IF($L46="","",INDEX(Stu_Action,$L46))</f>
        <v/>
      </c>
      <c r="L46" s="40">
        <f>IFERROR(MATCH(LARGE(Stu_KeyFU,41),Stu_KeyFU,0),"")</f>
        <v/>
      </c>
      <c r="M46" s="40">
        <f>IF($L46="","",INDEX(Stu_Level,$L46))</f>
        <v/>
      </c>
    </row>
    <row r="47">
      <c r="A47" s="100">
        <f>IF($L47="","",42)</f>
        <v/>
      </c>
      <c r="B47" s="101">
        <f>IF($L47="","",INDEX(Stu_Name,$L47))</f>
        <v/>
      </c>
      <c r="C47" s="88">
        <f>IF($L47="","",INDEX(Stu_Class,$L47))</f>
        <v/>
      </c>
      <c r="D47" s="102">
        <f>IF($L47="","",INDEX(Stu_Abs,$L47))</f>
        <v/>
      </c>
      <c r="E47" s="91">
        <f>IF($L47="","",INDEX(Stu_Rate,$L47))</f>
        <v/>
      </c>
      <c r="F47" s="102">
        <f>IF($L47="","",INDEX(Stu_Status,$L47))</f>
        <v/>
      </c>
      <c r="G47" s="88">
        <f>IF($L47="","",INDEX(Stu_Phone,$L47))</f>
        <v/>
      </c>
      <c r="H47" s="103">
        <f>IF($L47="","",INDEX(Stu_Guardian,$L47))</f>
        <v/>
      </c>
      <c r="I47" s="102">
        <f>IF($L47="","",INDEX(Stu_Contacted,$L47))</f>
        <v/>
      </c>
      <c r="J47" s="93">
        <f>IF($L47="","",INDEX(Stu_LastContact,$L47))</f>
        <v/>
      </c>
      <c r="K47" s="103">
        <f>IF($L47="","",INDEX(Stu_Action,$L47))</f>
        <v/>
      </c>
      <c r="L47" s="40">
        <f>IFERROR(MATCH(LARGE(Stu_KeyFU,42),Stu_KeyFU,0),"")</f>
        <v/>
      </c>
      <c r="M47" s="40">
        <f>IF($L47="","",INDEX(Stu_Level,$L47))</f>
        <v/>
      </c>
    </row>
    <row r="48">
      <c r="A48" s="100">
        <f>IF($L48="","",43)</f>
        <v/>
      </c>
      <c r="B48" s="101">
        <f>IF($L48="","",INDEX(Stu_Name,$L48))</f>
        <v/>
      </c>
      <c r="C48" s="88">
        <f>IF($L48="","",INDEX(Stu_Class,$L48))</f>
        <v/>
      </c>
      <c r="D48" s="102">
        <f>IF($L48="","",INDEX(Stu_Abs,$L48))</f>
        <v/>
      </c>
      <c r="E48" s="91">
        <f>IF($L48="","",INDEX(Stu_Rate,$L48))</f>
        <v/>
      </c>
      <c r="F48" s="102">
        <f>IF($L48="","",INDEX(Stu_Status,$L48))</f>
        <v/>
      </c>
      <c r="G48" s="88">
        <f>IF($L48="","",INDEX(Stu_Phone,$L48))</f>
        <v/>
      </c>
      <c r="H48" s="103">
        <f>IF($L48="","",INDEX(Stu_Guardian,$L48))</f>
        <v/>
      </c>
      <c r="I48" s="102">
        <f>IF($L48="","",INDEX(Stu_Contacted,$L48))</f>
        <v/>
      </c>
      <c r="J48" s="93">
        <f>IF($L48="","",INDEX(Stu_LastContact,$L48))</f>
        <v/>
      </c>
      <c r="K48" s="103">
        <f>IF($L48="","",INDEX(Stu_Action,$L48))</f>
        <v/>
      </c>
      <c r="L48" s="40">
        <f>IFERROR(MATCH(LARGE(Stu_KeyFU,43),Stu_KeyFU,0),"")</f>
        <v/>
      </c>
      <c r="M48" s="40">
        <f>IF($L48="","",INDEX(Stu_Level,$L48))</f>
        <v/>
      </c>
    </row>
    <row r="49">
      <c r="A49" s="100">
        <f>IF($L49="","",44)</f>
        <v/>
      </c>
      <c r="B49" s="101">
        <f>IF($L49="","",INDEX(Stu_Name,$L49))</f>
        <v/>
      </c>
      <c r="C49" s="88">
        <f>IF($L49="","",INDEX(Stu_Class,$L49))</f>
        <v/>
      </c>
      <c r="D49" s="102">
        <f>IF($L49="","",INDEX(Stu_Abs,$L49))</f>
        <v/>
      </c>
      <c r="E49" s="91">
        <f>IF($L49="","",INDEX(Stu_Rate,$L49))</f>
        <v/>
      </c>
      <c r="F49" s="102">
        <f>IF($L49="","",INDEX(Stu_Status,$L49))</f>
        <v/>
      </c>
      <c r="G49" s="88">
        <f>IF($L49="","",INDEX(Stu_Phone,$L49))</f>
        <v/>
      </c>
      <c r="H49" s="103">
        <f>IF($L49="","",INDEX(Stu_Guardian,$L49))</f>
        <v/>
      </c>
      <c r="I49" s="102">
        <f>IF($L49="","",INDEX(Stu_Contacted,$L49))</f>
        <v/>
      </c>
      <c r="J49" s="93">
        <f>IF($L49="","",INDEX(Stu_LastContact,$L49))</f>
        <v/>
      </c>
      <c r="K49" s="103">
        <f>IF($L49="","",INDEX(Stu_Action,$L49))</f>
        <v/>
      </c>
      <c r="L49" s="40">
        <f>IFERROR(MATCH(LARGE(Stu_KeyFU,44),Stu_KeyFU,0),"")</f>
        <v/>
      </c>
      <c r="M49" s="40">
        <f>IF($L49="","",INDEX(Stu_Level,$L49))</f>
        <v/>
      </c>
    </row>
    <row r="50">
      <c r="A50" s="100">
        <f>IF($L50="","",45)</f>
        <v/>
      </c>
      <c r="B50" s="101">
        <f>IF($L50="","",INDEX(Stu_Name,$L50))</f>
        <v/>
      </c>
      <c r="C50" s="88">
        <f>IF($L50="","",INDEX(Stu_Class,$L50))</f>
        <v/>
      </c>
      <c r="D50" s="102">
        <f>IF($L50="","",INDEX(Stu_Abs,$L50))</f>
        <v/>
      </c>
      <c r="E50" s="91">
        <f>IF($L50="","",INDEX(Stu_Rate,$L50))</f>
        <v/>
      </c>
      <c r="F50" s="102">
        <f>IF($L50="","",INDEX(Stu_Status,$L50))</f>
        <v/>
      </c>
      <c r="G50" s="88">
        <f>IF($L50="","",INDEX(Stu_Phone,$L50))</f>
        <v/>
      </c>
      <c r="H50" s="103">
        <f>IF($L50="","",INDEX(Stu_Guardian,$L50))</f>
        <v/>
      </c>
      <c r="I50" s="102">
        <f>IF($L50="","",INDEX(Stu_Contacted,$L50))</f>
        <v/>
      </c>
      <c r="J50" s="93">
        <f>IF($L50="","",INDEX(Stu_LastContact,$L50))</f>
        <v/>
      </c>
      <c r="K50" s="103">
        <f>IF($L50="","",INDEX(Stu_Action,$L50))</f>
        <v/>
      </c>
      <c r="L50" s="40">
        <f>IFERROR(MATCH(LARGE(Stu_KeyFU,45),Stu_KeyFU,0),"")</f>
        <v/>
      </c>
      <c r="M50" s="40">
        <f>IF($L50="","",INDEX(Stu_Level,$L50))</f>
        <v/>
      </c>
    </row>
    <row r="51">
      <c r="A51" s="100">
        <f>IF($L51="","",46)</f>
        <v/>
      </c>
      <c r="B51" s="101">
        <f>IF($L51="","",INDEX(Stu_Name,$L51))</f>
        <v/>
      </c>
      <c r="C51" s="88">
        <f>IF($L51="","",INDEX(Stu_Class,$L51))</f>
        <v/>
      </c>
      <c r="D51" s="102">
        <f>IF($L51="","",INDEX(Stu_Abs,$L51))</f>
        <v/>
      </c>
      <c r="E51" s="91">
        <f>IF($L51="","",INDEX(Stu_Rate,$L51))</f>
        <v/>
      </c>
      <c r="F51" s="102">
        <f>IF($L51="","",INDEX(Stu_Status,$L51))</f>
        <v/>
      </c>
      <c r="G51" s="88">
        <f>IF($L51="","",INDEX(Stu_Phone,$L51))</f>
        <v/>
      </c>
      <c r="H51" s="103">
        <f>IF($L51="","",INDEX(Stu_Guardian,$L51))</f>
        <v/>
      </c>
      <c r="I51" s="102">
        <f>IF($L51="","",INDEX(Stu_Contacted,$L51))</f>
        <v/>
      </c>
      <c r="J51" s="93">
        <f>IF($L51="","",INDEX(Stu_LastContact,$L51))</f>
        <v/>
      </c>
      <c r="K51" s="103">
        <f>IF($L51="","",INDEX(Stu_Action,$L51))</f>
        <v/>
      </c>
      <c r="L51" s="40">
        <f>IFERROR(MATCH(LARGE(Stu_KeyFU,46),Stu_KeyFU,0),"")</f>
        <v/>
      </c>
      <c r="M51" s="40">
        <f>IF($L51="","",INDEX(Stu_Level,$L51))</f>
        <v/>
      </c>
    </row>
    <row r="52">
      <c r="A52" s="100">
        <f>IF($L52="","",47)</f>
        <v/>
      </c>
      <c r="B52" s="101">
        <f>IF($L52="","",INDEX(Stu_Name,$L52))</f>
        <v/>
      </c>
      <c r="C52" s="88">
        <f>IF($L52="","",INDEX(Stu_Class,$L52))</f>
        <v/>
      </c>
      <c r="D52" s="102">
        <f>IF($L52="","",INDEX(Stu_Abs,$L52))</f>
        <v/>
      </c>
      <c r="E52" s="91">
        <f>IF($L52="","",INDEX(Stu_Rate,$L52))</f>
        <v/>
      </c>
      <c r="F52" s="102">
        <f>IF($L52="","",INDEX(Stu_Status,$L52))</f>
        <v/>
      </c>
      <c r="G52" s="88">
        <f>IF($L52="","",INDEX(Stu_Phone,$L52))</f>
        <v/>
      </c>
      <c r="H52" s="103">
        <f>IF($L52="","",INDEX(Stu_Guardian,$L52))</f>
        <v/>
      </c>
      <c r="I52" s="102">
        <f>IF($L52="","",INDEX(Stu_Contacted,$L52))</f>
        <v/>
      </c>
      <c r="J52" s="93">
        <f>IF($L52="","",INDEX(Stu_LastContact,$L52))</f>
        <v/>
      </c>
      <c r="K52" s="103">
        <f>IF($L52="","",INDEX(Stu_Action,$L52))</f>
        <v/>
      </c>
      <c r="L52" s="40">
        <f>IFERROR(MATCH(LARGE(Stu_KeyFU,47),Stu_KeyFU,0),"")</f>
        <v/>
      </c>
      <c r="M52" s="40">
        <f>IF($L52="","",INDEX(Stu_Level,$L52))</f>
        <v/>
      </c>
    </row>
    <row r="53">
      <c r="A53" s="100">
        <f>IF($L53="","",48)</f>
        <v/>
      </c>
      <c r="B53" s="101">
        <f>IF($L53="","",INDEX(Stu_Name,$L53))</f>
        <v/>
      </c>
      <c r="C53" s="88">
        <f>IF($L53="","",INDEX(Stu_Class,$L53))</f>
        <v/>
      </c>
      <c r="D53" s="102">
        <f>IF($L53="","",INDEX(Stu_Abs,$L53))</f>
        <v/>
      </c>
      <c r="E53" s="91">
        <f>IF($L53="","",INDEX(Stu_Rate,$L53))</f>
        <v/>
      </c>
      <c r="F53" s="102">
        <f>IF($L53="","",INDEX(Stu_Status,$L53))</f>
        <v/>
      </c>
      <c r="G53" s="88">
        <f>IF($L53="","",INDEX(Stu_Phone,$L53))</f>
        <v/>
      </c>
      <c r="H53" s="103">
        <f>IF($L53="","",INDEX(Stu_Guardian,$L53))</f>
        <v/>
      </c>
      <c r="I53" s="102">
        <f>IF($L53="","",INDEX(Stu_Contacted,$L53))</f>
        <v/>
      </c>
      <c r="J53" s="93">
        <f>IF($L53="","",INDEX(Stu_LastContact,$L53))</f>
        <v/>
      </c>
      <c r="K53" s="103">
        <f>IF($L53="","",INDEX(Stu_Action,$L53))</f>
        <v/>
      </c>
      <c r="L53" s="40">
        <f>IFERROR(MATCH(LARGE(Stu_KeyFU,48),Stu_KeyFU,0),"")</f>
        <v/>
      </c>
      <c r="M53" s="40">
        <f>IF($L53="","",INDEX(Stu_Level,$L53))</f>
        <v/>
      </c>
    </row>
    <row r="54">
      <c r="A54" s="100">
        <f>IF($L54="","",49)</f>
        <v/>
      </c>
      <c r="B54" s="101">
        <f>IF($L54="","",INDEX(Stu_Name,$L54))</f>
        <v/>
      </c>
      <c r="C54" s="88">
        <f>IF($L54="","",INDEX(Stu_Class,$L54))</f>
        <v/>
      </c>
      <c r="D54" s="102">
        <f>IF($L54="","",INDEX(Stu_Abs,$L54))</f>
        <v/>
      </c>
      <c r="E54" s="91">
        <f>IF($L54="","",INDEX(Stu_Rate,$L54))</f>
        <v/>
      </c>
      <c r="F54" s="102">
        <f>IF($L54="","",INDEX(Stu_Status,$L54))</f>
        <v/>
      </c>
      <c r="G54" s="88">
        <f>IF($L54="","",INDEX(Stu_Phone,$L54))</f>
        <v/>
      </c>
      <c r="H54" s="103">
        <f>IF($L54="","",INDEX(Stu_Guardian,$L54))</f>
        <v/>
      </c>
      <c r="I54" s="102">
        <f>IF($L54="","",INDEX(Stu_Contacted,$L54))</f>
        <v/>
      </c>
      <c r="J54" s="93">
        <f>IF($L54="","",INDEX(Stu_LastContact,$L54))</f>
        <v/>
      </c>
      <c r="K54" s="103">
        <f>IF($L54="","",INDEX(Stu_Action,$L54))</f>
        <v/>
      </c>
      <c r="L54" s="40">
        <f>IFERROR(MATCH(LARGE(Stu_KeyFU,49),Stu_KeyFU,0),"")</f>
        <v/>
      </c>
      <c r="M54" s="40">
        <f>IF($L54="","",INDEX(Stu_Level,$L54))</f>
        <v/>
      </c>
    </row>
    <row r="55">
      <c r="A55" s="100">
        <f>IF($L55="","",50)</f>
        <v/>
      </c>
      <c r="B55" s="101">
        <f>IF($L55="","",INDEX(Stu_Name,$L55))</f>
        <v/>
      </c>
      <c r="C55" s="88">
        <f>IF($L55="","",INDEX(Stu_Class,$L55))</f>
        <v/>
      </c>
      <c r="D55" s="102">
        <f>IF($L55="","",INDEX(Stu_Abs,$L55))</f>
        <v/>
      </c>
      <c r="E55" s="91">
        <f>IF($L55="","",INDEX(Stu_Rate,$L55))</f>
        <v/>
      </c>
      <c r="F55" s="102">
        <f>IF($L55="","",INDEX(Stu_Status,$L55))</f>
        <v/>
      </c>
      <c r="G55" s="88">
        <f>IF($L55="","",INDEX(Stu_Phone,$L55))</f>
        <v/>
      </c>
      <c r="H55" s="103">
        <f>IF($L55="","",INDEX(Stu_Guardian,$L55))</f>
        <v/>
      </c>
      <c r="I55" s="102">
        <f>IF($L55="","",INDEX(Stu_Contacted,$L55))</f>
        <v/>
      </c>
      <c r="J55" s="93">
        <f>IF($L55="","",INDEX(Stu_LastContact,$L55))</f>
        <v/>
      </c>
      <c r="K55" s="103">
        <f>IF($L55="","",INDEX(Stu_Action,$L55))</f>
        <v/>
      </c>
      <c r="L55" s="40">
        <f>IFERROR(MATCH(LARGE(Stu_KeyFU,50),Stu_KeyFU,0),"")</f>
        <v/>
      </c>
      <c r="M55" s="40">
        <f>IF($L55="","",INDEX(Stu_Level,$L55))</f>
        <v/>
      </c>
    </row>
    <row r="56">
      <c r="A56" s="100">
        <f>IF($L56="","",51)</f>
        <v/>
      </c>
      <c r="B56" s="101">
        <f>IF($L56="","",INDEX(Stu_Name,$L56))</f>
        <v/>
      </c>
      <c r="C56" s="88">
        <f>IF($L56="","",INDEX(Stu_Class,$L56))</f>
        <v/>
      </c>
      <c r="D56" s="102">
        <f>IF($L56="","",INDEX(Stu_Abs,$L56))</f>
        <v/>
      </c>
      <c r="E56" s="91">
        <f>IF($L56="","",INDEX(Stu_Rate,$L56))</f>
        <v/>
      </c>
      <c r="F56" s="102">
        <f>IF($L56="","",INDEX(Stu_Status,$L56))</f>
        <v/>
      </c>
      <c r="G56" s="88">
        <f>IF($L56="","",INDEX(Stu_Phone,$L56))</f>
        <v/>
      </c>
      <c r="H56" s="103">
        <f>IF($L56="","",INDEX(Stu_Guardian,$L56))</f>
        <v/>
      </c>
      <c r="I56" s="102">
        <f>IF($L56="","",INDEX(Stu_Contacted,$L56))</f>
        <v/>
      </c>
      <c r="J56" s="93">
        <f>IF($L56="","",INDEX(Stu_LastContact,$L56))</f>
        <v/>
      </c>
      <c r="K56" s="103">
        <f>IF($L56="","",INDEX(Stu_Action,$L56))</f>
        <v/>
      </c>
      <c r="L56" s="40">
        <f>IFERROR(MATCH(LARGE(Stu_KeyFU,51),Stu_KeyFU,0),"")</f>
        <v/>
      </c>
      <c r="M56" s="40">
        <f>IF($L56="","",INDEX(Stu_Level,$L56))</f>
        <v/>
      </c>
    </row>
    <row r="57">
      <c r="A57" s="100">
        <f>IF($L57="","",52)</f>
        <v/>
      </c>
      <c r="B57" s="101">
        <f>IF($L57="","",INDEX(Stu_Name,$L57))</f>
        <v/>
      </c>
      <c r="C57" s="88">
        <f>IF($L57="","",INDEX(Stu_Class,$L57))</f>
        <v/>
      </c>
      <c r="D57" s="102">
        <f>IF($L57="","",INDEX(Stu_Abs,$L57))</f>
        <v/>
      </c>
      <c r="E57" s="91">
        <f>IF($L57="","",INDEX(Stu_Rate,$L57))</f>
        <v/>
      </c>
      <c r="F57" s="102">
        <f>IF($L57="","",INDEX(Stu_Status,$L57))</f>
        <v/>
      </c>
      <c r="G57" s="88">
        <f>IF($L57="","",INDEX(Stu_Phone,$L57))</f>
        <v/>
      </c>
      <c r="H57" s="103">
        <f>IF($L57="","",INDEX(Stu_Guardian,$L57))</f>
        <v/>
      </c>
      <c r="I57" s="102">
        <f>IF($L57="","",INDEX(Stu_Contacted,$L57))</f>
        <v/>
      </c>
      <c r="J57" s="93">
        <f>IF($L57="","",INDEX(Stu_LastContact,$L57))</f>
        <v/>
      </c>
      <c r="K57" s="103">
        <f>IF($L57="","",INDEX(Stu_Action,$L57))</f>
        <v/>
      </c>
      <c r="L57" s="40">
        <f>IFERROR(MATCH(LARGE(Stu_KeyFU,52),Stu_KeyFU,0),"")</f>
        <v/>
      </c>
      <c r="M57" s="40">
        <f>IF($L57="","",INDEX(Stu_Level,$L57))</f>
        <v/>
      </c>
    </row>
    <row r="58">
      <c r="A58" s="100">
        <f>IF($L58="","",53)</f>
        <v/>
      </c>
      <c r="B58" s="101">
        <f>IF($L58="","",INDEX(Stu_Name,$L58))</f>
        <v/>
      </c>
      <c r="C58" s="88">
        <f>IF($L58="","",INDEX(Stu_Class,$L58))</f>
        <v/>
      </c>
      <c r="D58" s="102">
        <f>IF($L58="","",INDEX(Stu_Abs,$L58))</f>
        <v/>
      </c>
      <c r="E58" s="91">
        <f>IF($L58="","",INDEX(Stu_Rate,$L58))</f>
        <v/>
      </c>
      <c r="F58" s="102">
        <f>IF($L58="","",INDEX(Stu_Status,$L58))</f>
        <v/>
      </c>
      <c r="G58" s="88">
        <f>IF($L58="","",INDEX(Stu_Phone,$L58))</f>
        <v/>
      </c>
      <c r="H58" s="103">
        <f>IF($L58="","",INDEX(Stu_Guardian,$L58))</f>
        <v/>
      </c>
      <c r="I58" s="102">
        <f>IF($L58="","",INDEX(Stu_Contacted,$L58))</f>
        <v/>
      </c>
      <c r="J58" s="93">
        <f>IF($L58="","",INDEX(Stu_LastContact,$L58))</f>
        <v/>
      </c>
      <c r="K58" s="103">
        <f>IF($L58="","",INDEX(Stu_Action,$L58))</f>
        <v/>
      </c>
      <c r="L58" s="40">
        <f>IFERROR(MATCH(LARGE(Stu_KeyFU,53),Stu_KeyFU,0),"")</f>
        <v/>
      </c>
      <c r="M58" s="40">
        <f>IF($L58="","",INDEX(Stu_Level,$L58))</f>
        <v/>
      </c>
    </row>
    <row r="59">
      <c r="A59" s="100">
        <f>IF($L59="","",54)</f>
        <v/>
      </c>
      <c r="B59" s="101">
        <f>IF($L59="","",INDEX(Stu_Name,$L59))</f>
        <v/>
      </c>
      <c r="C59" s="88">
        <f>IF($L59="","",INDEX(Stu_Class,$L59))</f>
        <v/>
      </c>
      <c r="D59" s="102">
        <f>IF($L59="","",INDEX(Stu_Abs,$L59))</f>
        <v/>
      </c>
      <c r="E59" s="91">
        <f>IF($L59="","",INDEX(Stu_Rate,$L59))</f>
        <v/>
      </c>
      <c r="F59" s="102">
        <f>IF($L59="","",INDEX(Stu_Status,$L59))</f>
        <v/>
      </c>
      <c r="G59" s="88">
        <f>IF($L59="","",INDEX(Stu_Phone,$L59))</f>
        <v/>
      </c>
      <c r="H59" s="103">
        <f>IF($L59="","",INDEX(Stu_Guardian,$L59))</f>
        <v/>
      </c>
      <c r="I59" s="102">
        <f>IF($L59="","",INDEX(Stu_Contacted,$L59))</f>
        <v/>
      </c>
      <c r="J59" s="93">
        <f>IF($L59="","",INDEX(Stu_LastContact,$L59))</f>
        <v/>
      </c>
      <c r="K59" s="103">
        <f>IF($L59="","",INDEX(Stu_Action,$L59))</f>
        <v/>
      </c>
      <c r="L59" s="40">
        <f>IFERROR(MATCH(LARGE(Stu_KeyFU,54),Stu_KeyFU,0),"")</f>
        <v/>
      </c>
      <c r="M59" s="40">
        <f>IF($L59="","",INDEX(Stu_Level,$L59))</f>
        <v/>
      </c>
    </row>
    <row r="60">
      <c r="A60" s="100">
        <f>IF($L60="","",55)</f>
        <v/>
      </c>
      <c r="B60" s="101">
        <f>IF($L60="","",INDEX(Stu_Name,$L60))</f>
        <v/>
      </c>
      <c r="C60" s="88">
        <f>IF($L60="","",INDEX(Stu_Class,$L60))</f>
        <v/>
      </c>
      <c r="D60" s="102">
        <f>IF($L60="","",INDEX(Stu_Abs,$L60))</f>
        <v/>
      </c>
      <c r="E60" s="91">
        <f>IF($L60="","",INDEX(Stu_Rate,$L60))</f>
        <v/>
      </c>
      <c r="F60" s="102">
        <f>IF($L60="","",INDEX(Stu_Status,$L60))</f>
        <v/>
      </c>
      <c r="G60" s="88">
        <f>IF($L60="","",INDEX(Stu_Phone,$L60))</f>
        <v/>
      </c>
      <c r="H60" s="103">
        <f>IF($L60="","",INDEX(Stu_Guardian,$L60))</f>
        <v/>
      </c>
      <c r="I60" s="102">
        <f>IF($L60="","",INDEX(Stu_Contacted,$L60))</f>
        <v/>
      </c>
      <c r="J60" s="93">
        <f>IF($L60="","",INDEX(Stu_LastContact,$L60))</f>
        <v/>
      </c>
      <c r="K60" s="103">
        <f>IF($L60="","",INDEX(Stu_Action,$L60))</f>
        <v/>
      </c>
      <c r="L60" s="40">
        <f>IFERROR(MATCH(LARGE(Stu_KeyFU,55),Stu_KeyFU,0),"")</f>
        <v/>
      </c>
      <c r="M60" s="40">
        <f>IF($L60="","",INDEX(Stu_Level,$L60))</f>
        <v/>
      </c>
    </row>
    <row r="61">
      <c r="A61" s="100">
        <f>IF($L61="","",56)</f>
        <v/>
      </c>
      <c r="B61" s="101">
        <f>IF($L61="","",INDEX(Stu_Name,$L61))</f>
        <v/>
      </c>
      <c r="C61" s="88">
        <f>IF($L61="","",INDEX(Stu_Class,$L61))</f>
        <v/>
      </c>
      <c r="D61" s="102">
        <f>IF($L61="","",INDEX(Stu_Abs,$L61))</f>
        <v/>
      </c>
      <c r="E61" s="91">
        <f>IF($L61="","",INDEX(Stu_Rate,$L61))</f>
        <v/>
      </c>
      <c r="F61" s="102">
        <f>IF($L61="","",INDEX(Stu_Status,$L61))</f>
        <v/>
      </c>
      <c r="G61" s="88">
        <f>IF($L61="","",INDEX(Stu_Phone,$L61))</f>
        <v/>
      </c>
      <c r="H61" s="103">
        <f>IF($L61="","",INDEX(Stu_Guardian,$L61))</f>
        <v/>
      </c>
      <c r="I61" s="102">
        <f>IF($L61="","",INDEX(Stu_Contacted,$L61))</f>
        <v/>
      </c>
      <c r="J61" s="93">
        <f>IF($L61="","",INDEX(Stu_LastContact,$L61))</f>
        <v/>
      </c>
      <c r="K61" s="103">
        <f>IF($L61="","",INDEX(Stu_Action,$L61))</f>
        <v/>
      </c>
      <c r="L61" s="40">
        <f>IFERROR(MATCH(LARGE(Stu_KeyFU,56),Stu_KeyFU,0),"")</f>
        <v/>
      </c>
      <c r="M61" s="40">
        <f>IF($L61="","",INDEX(Stu_Level,$L61))</f>
        <v/>
      </c>
    </row>
    <row r="62">
      <c r="A62" s="100">
        <f>IF($L62="","",57)</f>
        <v/>
      </c>
      <c r="B62" s="101">
        <f>IF($L62="","",INDEX(Stu_Name,$L62))</f>
        <v/>
      </c>
      <c r="C62" s="88">
        <f>IF($L62="","",INDEX(Stu_Class,$L62))</f>
        <v/>
      </c>
      <c r="D62" s="102">
        <f>IF($L62="","",INDEX(Stu_Abs,$L62))</f>
        <v/>
      </c>
      <c r="E62" s="91">
        <f>IF($L62="","",INDEX(Stu_Rate,$L62))</f>
        <v/>
      </c>
      <c r="F62" s="102">
        <f>IF($L62="","",INDEX(Stu_Status,$L62))</f>
        <v/>
      </c>
      <c r="G62" s="88">
        <f>IF($L62="","",INDEX(Stu_Phone,$L62))</f>
        <v/>
      </c>
      <c r="H62" s="103">
        <f>IF($L62="","",INDEX(Stu_Guardian,$L62))</f>
        <v/>
      </c>
      <c r="I62" s="102">
        <f>IF($L62="","",INDEX(Stu_Contacted,$L62))</f>
        <v/>
      </c>
      <c r="J62" s="93">
        <f>IF($L62="","",INDEX(Stu_LastContact,$L62))</f>
        <v/>
      </c>
      <c r="K62" s="103">
        <f>IF($L62="","",INDEX(Stu_Action,$L62))</f>
        <v/>
      </c>
      <c r="L62" s="40">
        <f>IFERROR(MATCH(LARGE(Stu_KeyFU,57),Stu_KeyFU,0),"")</f>
        <v/>
      </c>
      <c r="M62" s="40">
        <f>IF($L62="","",INDEX(Stu_Level,$L62))</f>
        <v/>
      </c>
    </row>
    <row r="63">
      <c r="A63" s="100">
        <f>IF($L63="","",58)</f>
        <v/>
      </c>
      <c r="B63" s="101">
        <f>IF($L63="","",INDEX(Stu_Name,$L63))</f>
        <v/>
      </c>
      <c r="C63" s="88">
        <f>IF($L63="","",INDEX(Stu_Class,$L63))</f>
        <v/>
      </c>
      <c r="D63" s="102">
        <f>IF($L63="","",INDEX(Stu_Abs,$L63))</f>
        <v/>
      </c>
      <c r="E63" s="91">
        <f>IF($L63="","",INDEX(Stu_Rate,$L63))</f>
        <v/>
      </c>
      <c r="F63" s="102">
        <f>IF($L63="","",INDEX(Stu_Status,$L63))</f>
        <v/>
      </c>
      <c r="G63" s="88">
        <f>IF($L63="","",INDEX(Stu_Phone,$L63))</f>
        <v/>
      </c>
      <c r="H63" s="103">
        <f>IF($L63="","",INDEX(Stu_Guardian,$L63))</f>
        <v/>
      </c>
      <c r="I63" s="102">
        <f>IF($L63="","",INDEX(Stu_Contacted,$L63))</f>
        <v/>
      </c>
      <c r="J63" s="93">
        <f>IF($L63="","",INDEX(Stu_LastContact,$L63))</f>
        <v/>
      </c>
      <c r="K63" s="103">
        <f>IF($L63="","",INDEX(Stu_Action,$L63))</f>
        <v/>
      </c>
      <c r="L63" s="40">
        <f>IFERROR(MATCH(LARGE(Stu_KeyFU,58),Stu_KeyFU,0),"")</f>
        <v/>
      </c>
      <c r="M63" s="40">
        <f>IF($L63="","",INDEX(Stu_Level,$L63))</f>
        <v/>
      </c>
    </row>
    <row r="64">
      <c r="A64" s="100">
        <f>IF($L64="","",59)</f>
        <v/>
      </c>
      <c r="B64" s="101">
        <f>IF($L64="","",INDEX(Stu_Name,$L64))</f>
        <v/>
      </c>
      <c r="C64" s="88">
        <f>IF($L64="","",INDEX(Stu_Class,$L64))</f>
        <v/>
      </c>
      <c r="D64" s="102">
        <f>IF($L64="","",INDEX(Stu_Abs,$L64))</f>
        <v/>
      </c>
      <c r="E64" s="91">
        <f>IF($L64="","",INDEX(Stu_Rate,$L64))</f>
        <v/>
      </c>
      <c r="F64" s="102">
        <f>IF($L64="","",INDEX(Stu_Status,$L64))</f>
        <v/>
      </c>
      <c r="G64" s="88">
        <f>IF($L64="","",INDEX(Stu_Phone,$L64))</f>
        <v/>
      </c>
      <c r="H64" s="103">
        <f>IF($L64="","",INDEX(Stu_Guardian,$L64))</f>
        <v/>
      </c>
      <c r="I64" s="102">
        <f>IF($L64="","",INDEX(Stu_Contacted,$L64))</f>
        <v/>
      </c>
      <c r="J64" s="93">
        <f>IF($L64="","",INDEX(Stu_LastContact,$L64))</f>
        <v/>
      </c>
      <c r="K64" s="103">
        <f>IF($L64="","",INDEX(Stu_Action,$L64))</f>
        <v/>
      </c>
      <c r="L64" s="40">
        <f>IFERROR(MATCH(LARGE(Stu_KeyFU,59),Stu_KeyFU,0),"")</f>
        <v/>
      </c>
      <c r="M64" s="40">
        <f>IF($L64="","",INDEX(Stu_Level,$L64))</f>
        <v/>
      </c>
    </row>
    <row r="65">
      <c r="A65" s="100">
        <f>IF($L65="","",60)</f>
        <v/>
      </c>
      <c r="B65" s="101">
        <f>IF($L65="","",INDEX(Stu_Name,$L65))</f>
        <v/>
      </c>
      <c r="C65" s="88">
        <f>IF($L65="","",INDEX(Stu_Class,$L65))</f>
        <v/>
      </c>
      <c r="D65" s="102">
        <f>IF($L65="","",INDEX(Stu_Abs,$L65))</f>
        <v/>
      </c>
      <c r="E65" s="91">
        <f>IF($L65="","",INDEX(Stu_Rate,$L65))</f>
        <v/>
      </c>
      <c r="F65" s="102">
        <f>IF($L65="","",INDEX(Stu_Status,$L65))</f>
        <v/>
      </c>
      <c r="G65" s="88">
        <f>IF($L65="","",INDEX(Stu_Phone,$L65))</f>
        <v/>
      </c>
      <c r="H65" s="103">
        <f>IF($L65="","",INDEX(Stu_Guardian,$L65))</f>
        <v/>
      </c>
      <c r="I65" s="102">
        <f>IF($L65="","",INDEX(Stu_Contacted,$L65))</f>
        <v/>
      </c>
      <c r="J65" s="93">
        <f>IF($L65="","",INDEX(Stu_LastContact,$L65))</f>
        <v/>
      </c>
      <c r="K65" s="103">
        <f>IF($L65="","",INDEX(Stu_Action,$L65))</f>
        <v/>
      </c>
      <c r="L65" s="40">
        <f>IFERROR(MATCH(LARGE(Stu_KeyFU,60),Stu_KeyFU,0),"")</f>
        <v/>
      </c>
      <c r="M65" s="40">
        <f>IF($L65="","",INDEX(Stu_Level,$L65))</f>
        <v/>
      </c>
    </row>
  </sheetData>
  <sheetProtection selectLockedCells="0" selectUnlockedCells="0" sheet="1" objects="0" insertRows="1" insertHyperlinks="1" autoFilter="0" scenarios="0" formatColumns="0" deleteColumns="1" insertColumns="1" pivotTables="1" deleteRows="1" formatCells="1" formatRows="0" sort="0"/>
  <conditionalFormatting sqref="A6:K65">
    <cfRule type="expression" priority="1" dxfId="8" stopIfTrue="1">
      <formula>AND($M6&lt;&gt;"",$M6&gt;=Thr_Critical)</formula>
    </cfRule>
  </conditionalFormatting>
  <conditionalFormatting sqref="F6:F65">
    <cfRule type="expression" priority="2" dxfId="5">
      <formula>AND($M6&lt;&gt;"",$M6=Thr_High)</formula>
    </cfRule>
    <cfRule type="expression" priority="3" dxfId="2">
      <formula>AND($M6&lt;&gt;"",$M6=Thr_Repeated)</formula>
    </cfRule>
    <cfRule type="expression" priority="4" dxfId="6">
      <formula>AND($M6&lt;&gt;"",$M6=Thr_FollowUp)</formula>
    </cfRule>
  </conditionalFormatting>
  <conditionalFormatting sqref="I6:I65">
    <cfRule type="expression" priority="5" dxfId="2">
      <formula>$I6="لا"</formula>
    </cfRule>
    <cfRule type="expression" priority="6" dxfId="3">
      <formula>$I6="نعم"</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9CA3AF"/>
    <outlinePr summaryBelow="1" summaryRight="1"/>
    <pageSetUpPr/>
  </sheetPr>
  <dimension ref="A1:J15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22" customWidth="1" min="2" max="2"/>
    <col width="12" customWidth="1" min="3" max="3"/>
    <col width="9" customWidth="1" min="4" max="4"/>
    <col width="10" customWidth="1" min="5" max="5"/>
    <col width="12" customWidth="1" min="6" max="6"/>
    <col width="16" customWidth="1" min="7" max="7"/>
    <col width="18" customWidth="1" min="8" max="8"/>
    <col width="24" customWidth="1" min="9" max="9"/>
    <col width="3" customWidth="1" min="10" max="10"/>
  </cols>
  <sheetData>
    <row r="1" ht="30" customHeight="1">
      <c r="A1" s="68" t="inlineStr">
        <is>
          <t>سجل الغياب</t>
        </is>
      </c>
    </row>
    <row r="2">
      <c r="A2" s="69" t="inlineStr">
        <is>
          <t>يُجمَّع تلقائيًا من أوراق الصفوف: كل حالة غياب (بدون عذر أو بعذر) في سطر مستقل مرتبة حسب الصف ثم الطفل ثم التاريخ (حتى 20 حالة لكل طفل) — استخدمي أسهم الفلترة في رأس الجدول</t>
        </is>
      </c>
    </row>
    <row r="3">
      <c r="A3" s="62" t="inlineStr">
        <is>
          <t>إجمالي حالات الغياب المسجَّلة:</t>
        </is>
      </c>
      <c r="B3" s="79">
        <f>INDEX(EV_Seq,4200)</f>
        <v/>
      </c>
      <c r="C3" s="104">
        <f>IF(B3&gt;1500,"⚠ تجاوز عدد الحالات سعة هذا السجل ("&amp;1500&amp;") – تُعرض أول "&amp;1500&amp;" حالة","")</f>
        <v/>
      </c>
    </row>
    <row r="5" ht="36" customHeight="1">
      <c r="A5" s="85" t="inlineStr">
        <is>
          <t>التاريخ</t>
        </is>
      </c>
      <c r="B5" s="85" t="inlineStr">
        <is>
          <t>اسم الطفل</t>
        </is>
      </c>
      <c r="C5" s="85" t="inlineStr">
        <is>
          <t>الرقم الطلابي</t>
        </is>
      </c>
      <c r="D5" s="85" t="inlineStr">
        <is>
          <t>الصف</t>
        </is>
      </c>
      <c r="E5" s="85" t="inlineStr">
        <is>
          <t>نوع الغياب</t>
        </is>
      </c>
      <c r="F5" s="85" t="inlineStr">
        <is>
          <t>إجمالي الغياب حتى هذا التاريخ</t>
        </is>
      </c>
      <c r="G5" s="85" t="inlineStr">
        <is>
          <t>مستوى التنبيه</t>
        </is>
      </c>
      <c r="H5" s="85" t="inlineStr">
        <is>
          <t>حالة التواصل (الحالية)</t>
        </is>
      </c>
      <c r="I5" s="85" t="inlineStr">
        <is>
          <t>الملاحظات</t>
        </is>
      </c>
      <c r="J5" s="85" t="inlineStr">
        <is>
          <t>مرجع</t>
        </is>
      </c>
    </row>
    <row r="6">
      <c r="A6" s="105">
        <f>IF($J6="","",INDEX(EV_Date,$J6))</f>
        <v/>
      </c>
      <c r="B6" s="78">
        <f>IF($J6="","",INDEX(EV_Name,$J6))</f>
        <v/>
      </c>
      <c r="C6" s="106">
        <f>IF($J6="","",INDEX(EV_ID,$J6))</f>
        <v/>
      </c>
      <c r="D6" s="106">
        <f>IF($J6="","",INDEX(EV_Class,$J6))</f>
        <v/>
      </c>
      <c r="E6" s="106">
        <f>IF($J6="","",INDEX(EV_Type,$J6))</f>
        <v/>
      </c>
      <c r="F6" s="106">
        <f>IF($J6="","",INDEX(EV_Cum,$J6))</f>
        <v/>
      </c>
      <c r="G6" s="106">
        <f>IF($J6="","",INDEX(LevelLabels,MATCH(F6,LevelValues,1)))</f>
        <v/>
      </c>
      <c r="H6" s="106">
        <f>IF($J6="","",IFERROR(INDEX(Stu_ContactReq,MATCH(C6,Stu_ID,0)),""))</f>
        <v/>
      </c>
      <c r="I6" s="107">
        <f>IF($J6="","",IFERROR(INDEX(Stu_Notes,MATCH(C6,Stu_ID,0)),""))</f>
        <v/>
      </c>
      <c r="J6" s="40">
        <f>IF(1&gt;$B$3,"",IFERROR(MATCH(1-1,EV_Seq,1)+1,1))</f>
        <v/>
      </c>
    </row>
    <row r="7">
      <c r="A7" s="105">
        <f>IF($J7="","",INDEX(EV_Date,$J7))</f>
        <v/>
      </c>
      <c r="B7" s="78">
        <f>IF($J7="","",INDEX(EV_Name,$J7))</f>
        <v/>
      </c>
      <c r="C7" s="106">
        <f>IF($J7="","",INDEX(EV_ID,$J7))</f>
        <v/>
      </c>
      <c r="D7" s="106">
        <f>IF($J7="","",INDEX(EV_Class,$J7))</f>
        <v/>
      </c>
      <c r="E7" s="106">
        <f>IF($J7="","",INDEX(EV_Type,$J7))</f>
        <v/>
      </c>
      <c r="F7" s="106">
        <f>IF($J7="","",INDEX(EV_Cum,$J7))</f>
        <v/>
      </c>
      <c r="G7" s="106">
        <f>IF($J7="","",INDEX(LevelLabels,MATCH(F7,LevelValues,1)))</f>
        <v/>
      </c>
      <c r="H7" s="106">
        <f>IF($J7="","",IFERROR(INDEX(Stu_ContactReq,MATCH(C7,Stu_ID,0)),""))</f>
        <v/>
      </c>
      <c r="I7" s="107">
        <f>IF($J7="","",IFERROR(INDEX(Stu_Notes,MATCH(C7,Stu_ID,0)),""))</f>
        <v/>
      </c>
      <c r="J7" s="40">
        <f>IF(2&gt;$B$3,"",IFERROR(MATCH(2-1,EV_Seq,1)+1,1))</f>
        <v/>
      </c>
    </row>
    <row r="8">
      <c r="A8" s="105">
        <f>IF($J8="","",INDEX(EV_Date,$J8))</f>
        <v/>
      </c>
      <c r="B8" s="78">
        <f>IF($J8="","",INDEX(EV_Name,$J8))</f>
        <v/>
      </c>
      <c r="C8" s="106">
        <f>IF($J8="","",INDEX(EV_ID,$J8))</f>
        <v/>
      </c>
      <c r="D8" s="106">
        <f>IF($J8="","",INDEX(EV_Class,$J8))</f>
        <v/>
      </c>
      <c r="E8" s="106">
        <f>IF($J8="","",INDEX(EV_Type,$J8))</f>
        <v/>
      </c>
      <c r="F8" s="106">
        <f>IF($J8="","",INDEX(EV_Cum,$J8))</f>
        <v/>
      </c>
      <c r="G8" s="106">
        <f>IF($J8="","",INDEX(LevelLabels,MATCH(F8,LevelValues,1)))</f>
        <v/>
      </c>
      <c r="H8" s="106">
        <f>IF($J8="","",IFERROR(INDEX(Stu_ContactReq,MATCH(C8,Stu_ID,0)),""))</f>
        <v/>
      </c>
      <c r="I8" s="107">
        <f>IF($J8="","",IFERROR(INDEX(Stu_Notes,MATCH(C8,Stu_ID,0)),""))</f>
        <v/>
      </c>
      <c r="J8" s="40">
        <f>IF(3&gt;$B$3,"",IFERROR(MATCH(3-1,EV_Seq,1)+1,1))</f>
        <v/>
      </c>
    </row>
    <row r="9">
      <c r="A9" s="105">
        <f>IF($J9="","",INDEX(EV_Date,$J9))</f>
        <v/>
      </c>
      <c r="B9" s="78">
        <f>IF($J9="","",INDEX(EV_Name,$J9))</f>
        <v/>
      </c>
      <c r="C9" s="106">
        <f>IF($J9="","",INDEX(EV_ID,$J9))</f>
        <v/>
      </c>
      <c r="D9" s="106">
        <f>IF($J9="","",INDEX(EV_Class,$J9))</f>
        <v/>
      </c>
      <c r="E9" s="106">
        <f>IF($J9="","",INDEX(EV_Type,$J9))</f>
        <v/>
      </c>
      <c r="F9" s="106">
        <f>IF($J9="","",INDEX(EV_Cum,$J9))</f>
        <v/>
      </c>
      <c r="G9" s="106">
        <f>IF($J9="","",INDEX(LevelLabels,MATCH(F9,LevelValues,1)))</f>
        <v/>
      </c>
      <c r="H9" s="106">
        <f>IF($J9="","",IFERROR(INDEX(Stu_ContactReq,MATCH(C9,Stu_ID,0)),""))</f>
        <v/>
      </c>
      <c r="I9" s="107">
        <f>IF($J9="","",IFERROR(INDEX(Stu_Notes,MATCH(C9,Stu_ID,0)),""))</f>
        <v/>
      </c>
      <c r="J9" s="40">
        <f>IF(4&gt;$B$3,"",IFERROR(MATCH(4-1,EV_Seq,1)+1,1))</f>
        <v/>
      </c>
    </row>
    <row r="10">
      <c r="A10" s="105">
        <f>IF($J10="","",INDEX(EV_Date,$J10))</f>
        <v/>
      </c>
      <c r="B10" s="78">
        <f>IF($J10="","",INDEX(EV_Name,$J10))</f>
        <v/>
      </c>
      <c r="C10" s="106">
        <f>IF($J10="","",INDEX(EV_ID,$J10))</f>
        <v/>
      </c>
      <c r="D10" s="106">
        <f>IF($J10="","",INDEX(EV_Class,$J10))</f>
        <v/>
      </c>
      <c r="E10" s="106">
        <f>IF($J10="","",INDEX(EV_Type,$J10))</f>
        <v/>
      </c>
      <c r="F10" s="106">
        <f>IF($J10="","",INDEX(EV_Cum,$J10))</f>
        <v/>
      </c>
      <c r="G10" s="106">
        <f>IF($J10="","",INDEX(LevelLabels,MATCH(F10,LevelValues,1)))</f>
        <v/>
      </c>
      <c r="H10" s="106">
        <f>IF($J10="","",IFERROR(INDEX(Stu_ContactReq,MATCH(C10,Stu_ID,0)),""))</f>
        <v/>
      </c>
      <c r="I10" s="107">
        <f>IF($J10="","",IFERROR(INDEX(Stu_Notes,MATCH(C10,Stu_ID,0)),""))</f>
        <v/>
      </c>
      <c r="J10" s="40">
        <f>IF(5&gt;$B$3,"",IFERROR(MATCH(5-1,EV_Seq,1)+1,1))</f>
        <v/>
      </c>
    </row>
    <row r="11">
      <c r="A11" s="105">
        <f>IF($J11="","",INDEX(EV_Date,$J11))</f>
        <v/>
      </c>
      <c r="B11" s="78">
        <f>IF($J11="","",INDEX(EV_Name,$J11))</f>
        <v/>
      </c>
      <c r="C11" s="106">
        <f>IF($J11="","",INDEX(EV_ID,$J11))</f>
        <v/>
      </c>
      <c r="D11" s="106">
        <f>IF($J11="","",INDEX(EV_Class,$J11))</f>
        <v/>
      </c>
      <c r="E11" s="106">
        <f>IF($J11="","",INDEX(EV_Type,$J11))</f>
        <v/>
      </c>
      <c r="F11" s="106">
        <f>IF($J11="","",INDEX(EV_Cum,$J11))</f>
        <v/>
      </c>
      <c r="G11" s="106">
        <f>IF($J11="","",INDEX(LevelLabels,MATCH(F11,LevelValues,1)))</f>
        <v/>
      </c>
      <c r="H11" s="106">
        <f>IF($J11="","",IFERROR(INDEX(Stu_ContactReq,MATCH(C11,Stu_ID,0)),""))</f>
        <v/>
      </c>
      <c r="I11" s="107">
        <f>IF($J11="","",IFERROR(INDEX(Stu_Notes,MATCH(C11,Stu_ID,0)),""))</f>
        <v/>
      </c>
      <c r="J11" s="40">
        <f>IF(6&gt;$B$3,"",IFERROR(MATCH(6-1,EV_Seq,1)+1,1))</f>
        <v/>
      </c>
    </row>
    <row r="12">
      <c r="A12" s="105">
        <f>IF($J12="","",INDEX(EV_Date,$J12))</f>
        <v/>
      </c>
      <c r="B12" s="78">
        <f>IF($J12="","",INDEX(EV_Name,$J12))</f>
        <v/>
      </c>
      <c r="C12" s="106">
        <f>IF($J12="","",INDEX(EV_ID,$J12))</f>
        <v/>
      </c>
      <c r="D12" s="106">
        <f>IF($J12="","",INDEX(EV_Class,$J12))</f>
        <v/>
      </c>
      <c r="E12" s="106">
        <f>IF($J12="","",INDEX(EV_Type,$J12))</f>
        <v/>
      </c>
      <c r="F12" s="106">
        <f>IF($J12="","",INDEX(EV_Cum,$J12))</f>
        <v/>
      </c>
      <c r="G12" s="106">
        <f>IF($J12="","",INDEX(LevelLabels,MATCH(F12,LevelValues,1)))</f>
        <v/>
      </c>
      <c r="H12" s="106">
        <f>IF($J12="","",IFERROR(INDEX(Stu_ContactReq,MATCH(C12,Stu_ID,0)),""))</f>
        <v/>
      </c>
      <c r="I12" s="107">
        <f>IF($J12="","",IFERROR(INDEX(Stu_Notes,MATCH(C12,Stu_ID,0)),""))</f>
        <v/>
      </c>
      <c r="J12" s="40">
        <f>IF(7&gt;$B$3,"",IFERROR(MATCH(7-1,EV_Seq,1)+1,1))</f>
        <v/>
      </c>
    </row>
    <row r="13">
      <c r="A13" s="105">
        <f>IF($J13="","",INDEX(EV_Date,$J13))</f>
        <v/>
      </c>
      <c r="B13" s="78">
        <f>IF($J13="","",INDEX(EV_Name,$J13))</f>
        <v/>
      </c>
      <c r="C13" s="106">
        <f>IF($J13="","",INDEX(EV_ID,$J13))</f>
        <v/>
      </c>
      <c r="D13" s="106">
        <f>IF($J13="","",INDEX(EV_Class,$J13))</f>
        <v/>
      </c>
      <c r="E13" s="106">
        <f>IF($J13="","",INDEX(EV_Type,$J13))</f>
        <v/>
      </c>
      <c r="F13" s="106">
        <f>IF($J13="","",INDEX(EV_Cum,$J13))</f>
        <v/>
      </c>
      <c r="G13" s="106">
        <f>IF($J13="","",INDEX(LevelLabels,MATCH(F13,LevelValues,1)))</f>
        <v/>
      </c>
      <c r="H13" s="106">
        <f>IF($J13="","",IFERROR(INDEX(Stu_ContactReq,MATCH(C13,Stu_ID,0)),""))</f>
        <v/>
      </c>
      <c r="I13" s="107">
        <f>IF($J13="","",IFERROR(INDEX(Stu_Notes,MATCH(C13,Stu_ID,0)),""))</f>
        <v/>
      </c>
      <c r="J13" s="40">
        <f>IF(8&gt;$B$3,"",IFERROR(MATCH(8-1,EV_Seq,1)+1,1))</f>
        <v/>
      </c>
    </row>
    <row r="14">
      <c r="A14" s="105">
        <f>IF($J14="","",INDEX(EV_Date,$J14))</f>
        <v/>
      </c>
      <c r="B14" s="78">
        <f>IF($J14="","",INDEX(EV_Name,$J14))</f>
        <v/>
      </c>
      <c r="C14" s="106">
        <f>IF($J14="","",INDEX(EV_ID,$J14))</f>
        <v/>
      </c>
      <c r="D14" s="106">
        <f>IF($J14="","",INDEX(EV_Class,$J14))</f>
        <v/>
      </c>
      <c r="E14" s="106">
        <f>IF($J14="","",INDEX(EV_Type,$J14))</f>
        <v/>
      </c>
      <c r="F14" s="106">
        <f>IF($J14="","",INDEX(EV_Cum,$J14))</f>
        <v/>
      </c>
      <c r="G14" s="106">
        <f>IF($J14="","",INDEX(LevelLabels,MATCH(F14,LevelValues,1)))</f>
        <v/>
      </c>
      <c r="H14" s="106">
        <f>IF($J14="","",IFERROR(INDEX(Stu_ContactReq,MATCH(C14,Stu_ID,0)),""))</f>
        <v/>
      </c>
      <c r="I14" s="107">
        <f>IF($J14="","",IFERROR(INDEX(Stu_Notes,MATCH(C14,Stu_ID,0)),""))</f>
        <v/>
      </c>
      <c r="J14" s="40">
        <f>IF(9&gt;$B$3,"",IFERROR(MATCH(9-1,EV_Seq,1)+1,1))</f>
        <v/>
      </c>
    </row>
    <row r="15">
      <c r="A15" s="105">
        <f>IF($J15="","",INDEX(EV_Date,$J15))</f>
        <v/>
      </c>
      <c r="B15" s="78">
        <f>IF($J15="","",INDEX(EV_Name,$J15))</f>
        <v/>
      </c>
      <c r="C15" s="106">
        <f>IF($J15="","",INDEX(EV_ID,$J15))</f>
        <v/>
      </c>
      <c r="D15" s="106">
        <f>IF($J15="","",INDEX(EV_Class,$J15))</f>
        <v/>
      </c>
      <c r="E15" s="106">
        <f>IF($J15="","",INDEX(EV_Type,$J15))</f>
        <v/>
      </c>
      <c r="F15" s="106">
        <f>IF($J15="","",INDEX(EV_Cum,$J15))</f>
        <v/>
      </c>
      <c r="G15" s="106">
        <f>IF($J15="","",INDEX(LevelLabels,MATCH(F15,LevelValues,1)))</f>
        <v/>
      </c>
      <c r="H15" s="106">
        <f>IF($J15="","",IFERROR(INDEX(Stu_ContactReq,MATCH(C15,Stu_ID,0)),""))</f>
        <v/>
      </c>
      <c r="I15" s="107">
        <f>IF($J15="","",IFERROR(INDEX(Stu_Notes,MATCH(C15,Stu_ID,0)),""))</f>
        <v/>
      </c>
      <c r="J15" s="40">
        <f>IF(10&gt;$B$3,"",IFERROR(MATCH(10-1,EV_Seq,1)+1,1))</f>
        <v/>
      </c>
    </row>
    <row r="16">
      <c r="A16" s="105">
        <f>IF($J16="","",INDEX(EV_Date,$J16))</f>
        <v/>
      </c>
      <c r="B16" s="78">
        <f>IF($J16="","",INDEX(EV_Name,$J16))</f>
        <v/>
      </c>
      <c r="C16" s="106">
        <f>IF($J16="","",INDEX(EV_ID,$J16))</f>
        <v/>
      </c>
      <c r="D16" s="106">
        <f>IF($J16="","",INDEX(EV_Class,$J16))</f>
        <v/>
      </c>
      <c r="E16" s="106">
        <f>IF($J16="","",INDEX(EV_Type,$J16))</f>
        <v/>
      </c>
      <c r="F16" s="106">
        <f>IF($J16="","",INDEX(EV_Cum,$J16))</f>
        <v/>
      </c>
      <c r="G16" s="106">
        <f>IF($J16="","",INDEX(LevelLabels,MATCH(F16,LevelValues,1)))</f>
        <v/>
      </c>
      <c r="H16" s="106">
        <f>IF($J16="","",IFERROR(INDEX(Stu_ContactReq,MATCH(C16,Stu_ID,0)),""))</f>
        <v/>
      </c>
      <c r="I16" s="107">
        <f>IF($J16="","",IFERROR(INDEX(Stu_Notes,MATCH(C16,Stu_ID,0)),""))</f>
        <v/>
      </c>
      <c r="J16" s="40">
        <f>IF(11&gt;$B$3,"",IFERROR(MATCH(11-1,EV_Seq,1)+1,1))</f>
        <v/>
      </c>
    </row>
    <row r="17">
      <c r="A17" s="105">
        <f>IF($J17="","",INDEX(EV_Date,$J17))</f>
        <v/>
      </c>
      <c r="B17" s="78">
        <f>IF($J17="","",INDEX(EV_Name,$J17))</f>
        <v/>
      </c>
      <c r="C17" s="106">
        <f>IF($J17="","",INDEX(EV_ID,$J17))</f>
        <v/>
      </c>
      <c r="D17" s="106">
        <f>IF($J17="","",INDEX(EV_Class,$J17))</f>
        <v/>
      </c>
      <c r="E17" s="106">
        <f>IF($J17="","",INDEX(EV_Type,$J17))</f>
        <v/>
      </c>
      <c r="F17" s="106">
        <f>IF($J17="","",INDEX(EV_Cum,$J17))</f>
        <v/>
      </c>
      <c r="G17" s="106">
        <f>IF($J17="","",INDEX(LevelLabels,MATCH(F17,LevelValues,1)))</f>
        <v/>
      </c>
      <c r="H17" s="106">
        <f>IF($J17="","",IFERROR(INDEX(Stu_ContactReq,MATCH(C17,Stu_ID,0)),""))</f>
        <v/>
      </c>
      <c r="I17" s="107">
        <f>IF($J17="","",IFERROR(INDEX(Stu_Notes,MATCH(C17,Stu_ID,0)),""))</f>
        <v/>
      </c>
      <c r="J17" s="40">
        <f>IF(12&gt;$B$3,"",IFERROR(MATCH(12-1,EV_Seq,1)+1,1))</f>
        <v/>
      </c>
    </row>
    <row r="18">
      <c r="A18" s="105">
        <f>IF($J18="","",INDEX(EV_Date,$J18))</f>
        <v/>
      </c>
      <c r="B18" s="78">
        <f>IF($J18="","",INDEX(EV_Name,$J18))</f>
        <v/>
      </c>
      <c r="C18" s="106">
        <f>IF($J18="","",INDEX(EV_ID,$J18))</f>
        <v/>
      </c>
      <c r="D18" s="106">
        <f>IF($J18="","",INDEX(EV_Class,$J18))</f>
        <v/>
      </c>
      <c r="E18" s="106">
        <f>IF($J18="","",INDEX(EV_Type,$J18))</f>
        <v/>
      </c>
      <c r="F18" s="106">
        <f>IF($J18="","",INDEX(EV_Cum,$J18))</f>
        <v/>
      </c>
      <c r="G18" s="106">
        <f>IF($J18="","",INDEX(LevelLabels,MATCH(F18,LevelValues,1)))</f>
        <v/>
      </c>
      <c r="H18" s="106">
        <f>IF($J18="","",IFERROR(INDEX(Stu_ContactReq,MATCH(C18,Stu_ID,0)),""))</f>
        <v/>
      </c>
      <c r="I18" s="107">
        <f>IF($J18="","",IFERROR(INDEX(Stu_Notes,MATCH(C18,Stu_ID,0)),""))</f>
        <v/>
      </c>
      <c r="J18" s="40">
        <f>IF(13&gt;$B$3,"",IFERROR(MATCH(13-1,EV_Seq,1)+1,1))</f>
        <v/>
      </c>
    </row>
    <row r="19">
      <c r="A19" s="105">
        <f>IF($J19="","",INDEX(EV_Date,$J19))</f>
        <v/>
      </c>
      <c r="B19" s="78">
        <f>IF($J19="","",INDEX(EV_Name,$J19))</f>
        <v/>
      </c>
      <c r="C19" s="106">
        <f>IF($J19="","",INDEX(EV_ID,$J19))</f>
        <v/>
      </c>
      <c r="D19" s="106">
        <f>IF($J19="","",INDEX(EV_Class,$J19))</f>
        <v/>
      </c>
      <c r="E19" s="106">
        <f>IF($J19="","",INDEX(EV_Type,$J19))</f>
        <v/>
      </c>
      <c r="F19" s="106">
        <f>IF($J19="","",INDEX(EV_Cum,$J19))</f>
        <v/>
      </c>
      <c r="G19" s="106">
        <f>IF($J19="","",INDEX(LevelLabels,MATCH(F19,LevelValues,1)))</f>
        <v/>
      </c>
      <c r="H19" s="106">
        <f>IF($J19="","",IFERROR(INDEX(Stu_ContactReq,MATCH(C19,Stu_ID,0)),""))</f>
        <v/>
      </c>
      <c r="I19" s="107">
        <f>IF($J19="","",IFERROR(INDEX(Stu_Notes,MATCH(C19,Stu_ID,0)),""))</f>
        <v/>
      </c>
      <c r="J19" s="40">
        <f>IF(14&gt;$B$3,"",IFERROR(MATCH(14-1,EV_Seq,1)+1,1))</f>
        <v/>
      </c>
    </row>
    <row r="20">
      <c r="A20" s="105">
        <f>IF($J20="","",INDEX(EV_Date,$J20))</f>
        <v/>
      </c>
      <c r="B20" s="78">
        <f>IF($J20="","",INDEX(EV_Name,$J20))</f>
        <v/>
      </c>
      <c r="C20" s="106">
        <f>IF($J20="","",INDEX(EV_ID,$J20))</f>
        <v/>
      </c>
      <c r="D20" s="106">
        <f>IF($J20="","",INDEX(EV_Class,$J20))</f>
        <v/>
      </c>
      <c r="E20" s="106">
        <f>IF($J20="","",INDEX(EV_Type,$J20))</f>
        <v/>
      </c>
      <c r="F20" s="106">
        <f>IF($J20="","",INDEX(EV_Cum,$J20))</f>
        <v/>
      </c>
      <c r="G20" s="106">
        <f>IF($J20="","",INDEX(LevelLabels,MATCH(F20,LevelValues,1)))</f>
        <v/>
      </c>
      <c r="H20" s="106">
        <f>IF($J20="","",IFERROR(INDEX(Stu_ContactReq,MATCH(C20,Stu_ID,0)),""))</f>
        <v/>
      </c>
      <c r="I20" s="107">
        <f>IF($J20="","",IFERROR(INDEX(Stu_Notes,MATCH(C20,Stu_ID,0)),""))</f>
        <v/>
      </c>
      <c r="J20" s="40">
        <f>IF(15&gt;$B$3,"",IFERROR(MATCH(15-1,EV_Seq,1)+1,1))</f>
        <v/>
      </c>
    </row>
    <row r="21">
      <c r="A21" s="105">
        <f>IF($J21="","",INDEX(EV_Date,$J21))</f>
        <v/>
      </c>
      <c r="B21" s="78">
        <f>IF($J21="","",INDEX(EV_Name,$J21))</f>
        <v/>
      </c>
      <c r="C21" s="106">
        <f>IF($J21="","",INDEX(EV_ID,$J21))</f>
        <v/>
      </c>
      <c r="D21" s="106">
        <f>IF($J21="","",INDEX(EV_Class,$J21))</f>
        <v/>
      </c>
      <c r="E21" s="106">
        <f>IF($J21="","",INDEX(EV_Type,$J21))</f>
        <v/>
      </c>
      <c r="F21" s="106">
        <f>IF($J21="","",INDEX(EV_Cum,$J21))</f>
        <v/>
      </c>
      <c r="G21" s="106">
        <f>IF($J21="","",INDEX(LevelLabels,MATCH(F21,LevelValues,1)))</f>
        <v/>
      </c>
      <c r="H21" s="106">
        <f>IF($J21="","",IFERROR(INDEX(Stu_ContactReq,MATCH(C21,Stu_ID,0)),""))</f>
        <v/>
      </c>
      <c r="I21" s="107">
        <f>IF($J21="","",IFERROR(INDEX(Stu_Notes,MATCH(C21,Stu_ID,0)),""))</f>
        <v/>
      </c>
      <c r="J21" s="40">
        <f>IF(16&gt;$B$3,"",IFERROR(MATCH(16-1,EV_Seq,1)+1,1))</f>
        <v/>
      </c>
    </row>
    <row r="22">
      <c r="A22" s="105">
        <f>IF($J22="","",INDEX(EV_Date,$J22))</f>
        <v/>
      </c>
      <c r="B22" s="78">
        <f>IF($J22="","",INDEX(EV_Name,$J22))</f>
        <v/>
      </c>
      <c r="C22" s="106">
        <f>IF($J22="","",INDEX(EV_ID,$J22))</f>
        <v/>
      </c>
      <c r="D22" s="106">
        <f>IF($J22="","",INDEX(EV_Class,$J22))</f>
        <v/>
      </c>
      <c r="E22" s="106">
        <f>IF($J22="","",INDEX(EV_Type,$J22))</f>
        <v/>
      </c>
      <c r="F22" s="106">
        <f>IF($J22="","",INDEX(EV_Cum,$J22))</f>
        <v/>
      </c>
      <c r="G22" s="106">
        <f>IF($J22="","",INDEX(LevelLabels,MATCH(F22,LevelValues,1)))</f>
        <v/>
      </c>
      <c r="H22" s="106">
        <f>IF($J22="","",IFERROR(INDEX(Stu_ContactReq,MATCH(C22,Stu_ID,0)),""))</f>
        <v/>
      </c>
      <c r="I22" s="107">
        <f>IF($J22="","",IFERROR(INDEX(Stu_Notes,MATCH(C22,Stu_ID,0)),""))</f>
        <v/>
      </c>
      <c r="J22" s="40">
        <f>IF(17&gt;$B$3,"",IFERROR(MATCH(17-1,EV_Seq,1)+1,1))</f>
        <v/>
      </c>
    </row>
    <row r="23">
      <c r="A23" s="105">
        <f>IF($J23="","",INDEX(EV_Date,$J23))</f>
        <v/>
      </c>
      <c r="B23" s="78">
        <f>IF($J23="","",INDEX(EV_Name,$J23))</f>
        <v/>
      </c>
      <c r="C23" s="106">
        <f>IF($J23="","",INDEX(EV_ID,$J23))</f>
        <v/>
      </c>
      <c r="D23" s="106">
        <f>IF($J23="","",INDEX(EV_Class,$J23))</f>
        <v/>
      </c>
      <c r="E23" s="106">
        <f>IF($J23="","",INDEX(EV_Type,$J23))</f>
        <v/>
      </c>
      <c r="F23" s="106">
        <f>IF($J23="","",INDEX(EV_Cum,$J23))</f>
        <v/>
      </c>
      <c r="G23" s="106">
        <f>IF($J23="","",INDEX(LevelLabels,MATCH(F23,LevelValues,1)))</f>
        <v/>
      </c>
      <c r="H23" s="106">
        <f>IF($J23="","",IFERROR(INDEX(Stu_ContactReq,MATCH(C23,Stu_ID,0)),""))</f>
        <v/>
      </c>
      <c r="I23" s="107">
        <f>IF($J23="","",IFERROR(INDEX(Stu_Notes,MATCH(C23,Stu_ID,0)),""))</f>
        <v/>
      </c>
      <c r="J23" s="40">
        <f>IF(18&gt;$B$3,"",IFERROR(MATCH(18-1,EV_Seq,1)+1,1))</f>
        <v/>
      </c>
    </row>
    <row r="24">
      <c r="A24" s="105">
        <f>IF($J24="","",INDEX(EV_Date,$J24))</f>
        <v/>
      </c>
      <c r="B24" s="78">
        <f>IF($J24="","",INDEX(EV_Name,$J24))</f>
        <v/>
      </c>
      <c r="C24" s="106">
        <f>IF($J24="","",INDEX(EV_ID,$J24))</f>
        <v/>
      </c>
      <c r="D24" s="106">
        <f>IF($J24="","",INDEX(EV_Class,$J24))</f>
        <v/>
      </c>
      <c r="E24" s="106">
        <f>IF($J24="","",INDEX(EV_Type,$J24))</f>
        <v/>
      </c>
      <c r="F24" s="106">
        <f>IF($J24="","",INDEX(EV_Cum,$J24))</f>
        <v/>
      </c>
      <c r="G24" s="106">
        <f>IF($J24="","",INDEX(LevelLabels,MATCH(F24,LevelValues,1)))</f>
        <v/>
      </c>
      <c r="H24" s="106">
        <f>IF($J24="","",IFERROR(INDEX(Stu_ContactReq,MATCH(C24,Stu_ID,0)),""))</f>
        <v/>
      </c>
      <c r="I24" s="107">
        <f>IF($J24="","",IFERROR(INDEX(Stu_Notes,MATCH(C24,Stu_ID,0)),""))</f>
        <v/>
      </c>
      <c r="J24" s="40">
        <f>IF(19&gt;$B$3,"",IFERROR(MATCH(19-1,EV_Seq,1)+1,1))</f>
        <v/>
      </c>
    </row>
    <row r="25">
      <c r="A25" s="105">
        <f>IF($J25="","",INDEX(EV_Date,$J25))</f>
        <v/>
      </c>
      <c r="B25" s="78">
        <f>IF($J25="","",INDEX(EV_Name,$J25))</f>
        <v/>
      </c>
      <c r="C25" s="106">
        <f>IF($J25="","",INDEX(EV_ID,$J25))</f>
        <v/>
      </c>
      <c r="D25" s="106">
        <f>IF($J25="","",INDEX(EV_Class,$J25))</f>
        <v/>
      </c>
      <c r="E25" s="106">
        <f>IF($J25="","",INDEX(EV_Type,$J25))</f>
        <v/>
      </c>
      <c r="F25" s="106">
        <f>IF($J25="","",INDEX(EV_Cum,$J25))</f>
        <v/>
      </c>
      <c r="G25" s="106">
        <f>IF($J25="","",INDEX(LevelLabels,MATCH(F25,LevelValues,1)))</f>
        <v/>
      </c>
      <c r="H25" s="106">
        <f>IF($J25="","",IFERROR(INDEX(Stu_ContactReq,MATCH(C25,Stu_ID,0)),""))</f>
        <v/>
      </c>
      <c r="I25" s="107">
        <f>IF($J25="","",IFERROR(INDEX(Stu_Notes,MATCH(C25,Stu_ID,0)),""))</f>
        <v/>
      </c>
      <c r="J25" s="40">
        <f>IF(20&gt;$B$3,"",IFERROR(MATCH(20-1,EV_Seq,1)+1,1))</f>
        <v/>
      </c>
    </row>
    <row r="26">
      <c r="A26" s="105">
        <f>IF($J26="","",INDEX(EV_Date,$J26))</f>
        <v/>
      </c>
      <c r="B26" s="78">
        <f>IF($J26="","",INDEX(EV_Name,$J26))</f>
        <v/>
      </c>
      <c r="C26" s="106">
        <f>IF($J26="","",INDEX(EV_ID,$J26))</f>
        <v/>
      </c>
      <c r="D26" s="106">
        <f>IF($J26="","",INDEX(EV_Class,$J26))</f>
        <v/>
      </c>
      <c r="E26" s="106">
        <f>IF($J26="","",INDEX(EV_Type,$J26))</f>
        <v/>
      </c>
      <c r="F26" s="106">
        <f>IF($J26="","",INDEX(EV_Cum,$J26))</f>
        <v/>
      </c>
      <c r="G26" s="106">
        <f>IF($J26="","",INDEX(LevelLabels,MATCH(F26,LevelValues,1)))</f>
        <v/>
      </c>
      <c r="H26" s="106">
        <f>IF($J26="","",IFERROR(INDEX(Stu_ContactReq,MATCH(C26,Stu_ID,0)),""))</f>
        <v/>
      </c>
      <c r="I26" s="107">
        <f>IF($J26="","",IFERROR(INDEX(Stu_Notes,MATCH(C26,Stu_ID,0)),""))</f>
        <v/>
      </c>
      <c r="J26" s="40">
        <f>IF(21&gt;$B$3,"",IFERROR(MATCH(21-1,EV_Seq,1)+1,1))</f>
        <v/>
      </c>
    </row>
    <row r="27">
      <c r="A27" s="105">
        <f>IF($J27="","",INDEX(EV_Date,$J27))</f>
        <v/>
      </c>
      <c r="B27" s="78">
        <f>IF($J27="","",INDEX(EV_Name,$J27))</f>
        <v/>
      </c>
      <c r="C27" s="106">
        <f>IF($J27="","",INDEX(EV_ID,$J27))</f>
        <v/>
      </c>
      <c r="D27" s="106">
        <f>IF($J27="","",INDEX(EV_Class,$J27))</f>
        <v/>
      </c>
      <c r="E27" s="106">
        <f>IF($J27="","",INDEX(EV_Type,$J27))</f>
        <v/>
      </c>
      <c r="F27" s="106">
        <f>IF($J27="","",INDEX(EV_Cum,$J27))</f>
        <v/>
      </c>
      <c r="G27" s="106">
        <f>IF($J27="","",INDEX(LevelLabels,MATCH(F27,LevelValues,1)))</f>
        <v/>
      </c>
      <c r="H27" s="106">
        <f>IF($J27="","",IFERROR(INDEX(Stu_ContactReq,MATCH(C27,Stu_ID,0)),""))</f>
        <v/>
      </c>
      <c r="I27" s="107">
        <f>IF($J27="","",IFERROR(INDEX(Stu_Notes,MATCH(C27,Stu_ID,0)),""))</f>
        <v/>
      </c>
      <c r="J27" s="40">
        <f>IF(22&gt;$B$3,"",IFERROR(MATCH(22-1,EV_Seq,1)+1,1))</f>
        <v/>
      </c>
    </row>
    <row r="28">
      <c r="A28" s="105">
        <f>IF($J28="","",INDEX(EV_Date,$J28))</f>
        <v/>
      </c>
      <c r="B28" s="78">
        <f>IF($J28="","",INDEX(EV_Name,$J28))</f>
        <v/>
      </c>
      <c r="C28" s="106">
        <f>IF($J28="","",INDEX(EV_ID,$J28))</f>
        <v/>
      </c>
      <c r="D28" s="106">
        <f>IF($J28="","",INDEX(EV_Class,$J28))</f>
        <v/>
      </c>
      <c r="E28" s="106">
        <f>IF($J28="","",INDEX(EV_Type,$J28))</f>
        <v/>
      </c>
      <c r="F28" s="106">
        <f>IF($J28="","",INDEX(EV_Cum,$J28))</f>
        <v/>
      </c>
      <c r="G28" s="106">
        <f>IF($J28="","",INDEX(LevelLabels,MATCH(F28,LevelValues,1)))</f>
        <v/>
      </c>
      <c r="H28" s="106">
        <f>IF($J28="","",IFERROR(INDEX(Stu_ContactReq,MATCH(C28,Stu_ID,0)),""))</f>
        <v/>
      </c>
      <c r="I28" s="107">
        <f>IF($J28="","",IFERROR(INDEX(Stu_Notes,MATCH(C28,Stu_ID,0)),""))</f>
        <v/>
      </c>
      <c r="J28" s="40">
        <f>IF(23&gt;$B$3,"",IFERROR(MATCH(23-1,EV_Seq,1)+1,1))</f>
        <v/>
      </c>
    </row>
    <row r="29">
      <c r="A29" s="105">
        <f>IF($J29="","",INDEX(EV_Date,$J29))</f>
        <v/>
      </c>
      <c r="B29" s="78">
        <f>IF($J29="","",INDEX(EV_Name,$J29))</f>
        <v/>
      </c>
      <c r="C29" s="106">
        <f>IF($J29="","",INDEX(EV_ID,$J29))</f>
        <v/>
      </c>
      <c r="D29" s="106">
        <f>IF($J29="","",INDEX(EV_Class,$J29))</f>
        <v/>
      </c>
      <c r="E29" s="106">
        <f>IF($J29="","",INDEX(EV_Type,$J29))</f>
        <v/>
      </c>
      <c r="F29" s="106">
        <f>IF($J29="","",INDEX(EV_Cum,$J29))</f>
        <v/>
      </c>
      <c r="G29" s="106">
        <f>IF($J29="","",INDEX(LevelLabels,MATCH(F29,LevelValues,1)))</f>
        <v/>
      </c>
      <c r="H29" s="106">
        <f>IF($J29="","",IFERROR(INDEX(Stu_ContactReq,MATCH(C29,Stu_ID,0)),""))</f>
        <v/>
      </c>
      <c r="I29" s="107">
        <f>IF($J29="","",IFERROR(INDEX(Stu_Notes,MATCH(C29,Stu_ID,0)),""))</f>
        <v/>
      </c>
      <c r="J29" s="40">
        <f>IF(24&gt;$B$3,"",IFERROR(MATCH(24-1,EV_Seq,1)+1,1))</f>
        <v/>
      </c>
    </row>
    <row r="30">
      <c r="A30" s="105">
        <f>IF($J30="","",INDEX(EV_Date,$J30))</f>
        <v/>
      </c>
      <c r="B30" s="78">
        <f>IF($J30="","",INDEX(EV_Name,$J30))</f>
        <v/>
      </c>
      <c r="C30" s="106">
        <f>IF($J30="","",INDEX(EV_ID,$J30))</f>
        <v/>
      </c>
      <c r="D30" s="106">
        <f>IF($J30="","",INDEX(EV_Class,$J30))</f>
        <v/>
      </c>
      <c r="E30" s="106">
        <f>IF($J30="","",INDEX(EV_Type,$J30))</f>
        <v/>
      </c>
      <c r="F30" s="106">
        <f>IF($J30="","",INDEX(EV_Cum,$J30))</f>
        <v/>
      </c>
      <c r="G30" s="106">
        <f>IF($J30="","",INDEX(LevelLabels,MATCH(F30,LevelValues,1)))</f>
        <v/>
      </c>
      <c r="H30" s="106">
        <f>IF($J30="","",IFERROR(INDEX(Stu_ContactReq,MATCH(C30,Stu_ID,0)),""))</f>
        <v/>
      </c>
      <c r="I30" s="107">
        <f>IF($J30="","",IFERROR(INDEX(Stu_Notes,MATCH(C30,Stu_ID,0)),""))</f>
        <v/>
      </c>
      <c r="J30" s="40">
        <f>IF(25&gt;$B$3,"",IFERROR(MATCH(25-1,EV_Seq,1)+1,1))</f>
        <v/>
      </c>
    </row>
    <row r="31">
      <c r="A31" s="105">
        <f>IF($J31="","",INDEX(EV_Date,$J31))</f>
        <v/>
      </c>
      <c r="B31" s="78">
        <f>IF($J31="","",INDEX(EV_Name,$J31))</f>
        <v/>
      </c>
      <c r="C31" s="106">
        <f>IF($J31="","",INDEX(EV_ID,$J31))</f>
        <v/>
      </c>
      <c r="D31" s="106">
        <f>IF($J31="","",INDEX(EV_Class,$J31))</f>
        <v/>
      </c>
      <c r="E31" s="106">
        <f>IF($J31="","",INDEX(EV_Type,$J31))</f>
        <v/>
      </c>
      <c r="F31" s="106">
        <f>IF($J31="","",INDEX(EV_Cum,$J31))</f>
        <v/>
      </c>
      <c r="G31" s="106">
        <f>IF($J31="","",INDEX(LevelLabels,MATCH(F31,LevelValues,1)))</f>
        <v/>
      </c>
      <c r="H31" s="106">
        <f>IF($J31="","",IFERROR(INDEX(Stu_ContactReq,MATCH(C31,Stu_ID,0)),""))</f>
        <v/>
      </c>
      <c r="I31" s="107">
        <f>IF($J31="","",IFERROR(INDEX(Stu_Notes,MATCH(C31,Stu_ID,0)),""))</f>
        <v/>
      </c>
      <c r="J31" s="40">
        <f>IF(26&gt;$B$3,"",IFERROR(MATCH(26-1,EV_Seq,1)+1,1))</f>
        <v/>
      </c>
    </row>
    <row r="32">
      <c r="A32" s="105">
        <f>IF($J32="","",INDEX(EV_Date,$J32))</f>
        <v/>
      </c>
      <c r="B32" s="78">
        <f>IF($J32="","",INDEX(EV_Name,$J32))</f>
        <v/>
      </c>
      <c r="C32" s="106">
        <f>IF($J32="","",INDEX(EV_ID,$J32))</f>
        <v/>
      </c>
      <c r="D32" s="106">
        <f>IF($J32="","",INDEX(EV_Class,$J32))</f>
        <v/>
      </c>
      <c r="E32" s="106">
        <f>IF($J32="","",INDEX(EV_Type,$J32))</f>
        <v/>
      </c>
      <c r="F32" s="106">
        <f>IF($J32="","",INDEX(EV_Cum,$J32))</f>
        <v/>
      </c>
      <c r="G32" s="106">
        <f>IF($J32="","",INDEX(LevelLabels,MATCH(F32,LevelValues,1)))</f>
        <v/>
      </c>
      <c r="H32" s="106">
        <f>IF($J32="","",IFERROR(INDEX(Stu_ContactReq,MATCH(C32,Stu_ID,0)),""))</f>
        <v/>
      </c>
      <c r="I32" s="107">
        <f>IF($J32="","",IFERROR(INDEX(Stu_Notes,MATCH(C32,Stu_ID,0)),""))</f>
        <v/>
      </c>
      <c r="J32" s="40">
        <f>IF(27&gt;$B$3,"",IFERROR(MATCH(27-1,EV_Seq,1)+1,1))</f>
        <v/>
      </c>
    </row>
    <row r="33">
      <c r="A33" s="105">
        <f>IF($J33="","",INDEX(EV_Date,$J33))</f>
        <v/>
      </c>
      <c r="B33" s="78">
        <f>IF($J33="","",INDEX(EV_Name,$J33))</f>
        <v/>
      </c>
      <c r="C33" s="106">
        <f>IF($J33="","",INDEX(EV_ID,$J33))</f>
        <v/>
      </c>
      <c r="D33" s="106">
        <f>IF($J33="","",INDEX(EV_Class,$J33))</f>
        <v/>
      </c>
      <c r="E33" s="106">
        <f>IF($J33="","",INDEX(EV_Type,$J33))</f>
        <v/>
      </c>
      <c r="F33" s="106">
        <f>IF($J33="","",INDEX(EV_Cum,$J33))</f>
        <v/>
      </c>
      <c r="G33" s="106">
        <f>IF($J33="","",INDEX(LevelLabels,MATCH(F33,LevelValues,1)))</f>
        <v/>
      </c>
      <c r="H33" s="106">
        <f>IF($J33="","",IFERROR(INDEX(Stu_ContactReq,MATCH(C33,Stu_ID,0)),""))</f>
        <v/>
      </c>
      <c r="I33" s="107">
        <f>IF($J33="","",IFERROR(INDEX(Stu_Notes,MATCH(C33,Stu_ID,0)),""))</f>
        <v/>
      </c>
      <c r="J33" s="40">
        <f>IF(28&gt;$B$3,"",IFERROR(MATCH(28-1,EV_Seq,1)+1,1))</f>
        <v/>
      </c>
    </row>
    <row r="34">
      <c r="A34" s="105">
        <f>IF($J34="","",INDEX(EV_Date,$J34))</f>
        <v/>
      </c>
      <c r="B34" s="78">
        <f>IF($J34="","",INDEX(EV_Name,$J34))</f>
        <v/>
      </c>
      <c r="C34" s="106">
        <f>IF($J34="","",INDEX(EV_ID,$J34))</f>
        <v/>
      </c>
      <c r="D34" s="106">
        <f>IF($J34="","",INDEX(EV_Class,$J34))</f>
        <v/>
      </c>
      <c r="E34" s="106">
        <f>IF($J34="","",INDEX(EV_Type,$J34))</f>
        <v/>
      </c>
      <c r="F34" s="106">
        <f>IF($J34="","",INDEX(EV_Cum,$J34))</f>
        <v/>
      </c>
      <c r="G34" s="106">
        <f>IF($J34="","",INDEX(LevelLabels,MATCH(F34,LevelValues,1)))</f>
        <v/>
      </c>
      <c r="H34" s="106">
        <f>IF($J34="","",IFERROR(INDEX(Stu_ContactReq,MATCH(C34,Stu_ID,0)),""))</f>
        <v/>
      </c>
      <c r="I34" s="107">
        <f>IF($J34="","",IFERROR(INDEX(Stu_Notes,MATCH(C34,Stu_ID,0)),""))</f>
        <v/>
      </c>
      <c r="J34" s="40">
        <f>IF(29&gt;$B$3,"",IFERROR(MATCH(29-1,EV_Seq,1)+1,1))</f>
        <v/>
      </c>
    </row>
    <row r="35">
      <c r="A35" s="105">
        <f>IF($J35="","",INDEX(EV_Date,$J35))</f>
        <v/>
      </c>
      <c r="B35" s="78">
        <f>IF($J35="","",INDEX(EV_Name,$J35))</f>
        <v/>
      </c>
      <c r="C35" s="106">
        <f>IF($J35="","",INDEX(EV_ID,$J35))</f>
        <v/>
      </c>
      <c r="D35" s="106">
        <f>IF($J35="","",INDEX(EV_Class,$J35))</f>
        <v/>
      </c>
      <c r="E35" s="106">
        <f>IF($J35="","",INDEX(EV_Type,$J35))</f>
        <v/>
      </c>
      <c r="F35" s="106">
        <f>IF($J35="","",INDEX(EV_Cum,$J35))</f>
        <v/>
      </c>
      <c r="G35" s="106">
        <f>IF($J35="","",INDEX(LevelLabels,MATCH(F35,LevelValues,1)))</f>
        <v/>
      </c>
      <c r="H35" s="106">
        <f>IF($J35="","",IFERROR(INDEX(Stu_ContactReq,MATCH(C35,Stu_ID,0)),""))</f>
        <v/>
      </c>
      <c r="I35" s="107">
        <f>IF($J35="","",IFERROR(INDEX(Stu_Notes,MATCH(C35,Stu_ID,0)),""))</f>
        <v/>
      </c>
      <c r="J35" s="40">
        <f>IF(30&gt;$B$3,"",IFERROR(MATCH(30-1,EV_Seq,1)+1,1))</f>
        <v/>
      </c>
    </row>
    <row r="36">
      <c r="A36" s="105">
        <f>IF($J36="","",INDEX(EV_Date,$J36))</f>
        <v/>
      </c>
      <c r="B36" s="78">
        <f>IF($J36="","",INDEX(EV_Name,$J36))</f>
        <v/>
      </c>
      <c r="C36" s="106">
        <f>IF($J36="","",INDEX(EV_ID,$J36))</f>
        <v/>
      </c>
      <c r="D36" s="106">
        <f>IF($J36="","",INDEX(EV_Class,$J36))</f>
        <v/>
      </c>
      <c r="E36" s="106">
        <f>IF($J36="","",INDEX(EV_Type,$J36))</f>
        <v/>
      </c>
      <c r="F36" s="106">
        <f>IF($J36="","",INDEX(EV_Cum,$J36))</f>
        <v/>
      </c>
      <c r="G36" s="106">
        <f>IF($J36="","",INDEX(LevelLabels,MATCH(F36,LevelValues,1)))</f>
        <v/>
      </c>
      <c r="H36" s="106">
        <f>IF($J36="","",IFERROR(INDEX(Stu_ContactReq,MATCH(C36,Stu_ID,0)),""))</f>
        <v/>
      </c>
      <c r="I36" s="107">
        <f>IF($J36="","",IFERROR(INDEX(Stu_Notes,MATCH(C36,Stu_ID,0)),""))</f>
        <v/>
      </c>
      <c r="J36" s="40">
        <f>IF(31&gt;$B$3,"",IFERROR(MATCH(31-1,EV_Seq,1)+1,1))</f>
        <v/>
      </c>
    </row>
    <row r="37">
      <c r="A37" s="105">
        <f>IF($J37="","",INDEX(EV_Date,$J37))</f>
        <v/>
      </c>
      <c r="B37" s="78">
        <f>IF($J37="","",INDEX(EV_Name,$J37))</f>
        <v/>
      </c>
      <c r="C37" s="106">
        <f>IF($J37="","",INDEX(EV_ID,$J37))</f>
        <v/>
      </c>
      <c r="D37" s="106">
        <f>IF($J37="","",INDEX(EV_Class,$J37))</f>
        <v/>
      </c>
      <c r="E37" s="106">
        <f>IF($J37="","",INDEX(EV_Type,$J37))</f>
        <v/>
      </c>
      <c r="F37" s="106">
        <f>IF($J37="","",INDEX(EV_Cum,$J37))</f>
        <v/>
      </c>
      <c r="G37" s="106">
        <f>IF($J37="","",INDEX(LevelLabels,MATCH(F37,LevelValues,1)))</f>
        <v/>
      </c>
      <c r="H37" s="106">
        <f>IF($J37="","",IFERROR(INDEX(Stu_ContactReq,MATCH(C37,Stu_ID,0)),""))</f>
        <v/>
      </c>
      <c r="I37" s="107">
        <f>IF($J37="","",IFERROR(INDEX(Stu_Notes,MATCH(C37,Stu_ID,0)),""))</f>
        <v/>
      </c>
      <c r="J37" s="40">
        <f>IF(32&gt;$B$3,"",IFERROR(MATCH(32-1,EV_Seq,1)+1,1))</f>
        <v/>
      </c>
    </row>
    <row r="38">
      <c r="A38" s="105">
        <f>IF($J38="","",INDEX(EV_Date,$J38))</f>
        <v/>
      </c>
      <c r="B38" s="78">
        <f>IF($J38="","",INDEX(EV_Name,$J38))</f>
        <v/>
      </c>
      <c r="C38" s="106">
        <f>IF($J38="","",INDEX(EV_ID,$J38))</f>
        <v/>
      </c>
      <c r="D38" s="106">
        <f>IF($J38="","",INDEX(EV_Class,$J38))</f>
        <v/>
      </c>
      <c r="E38" s="106">
        <f>IF($J38="","",INDEX(EV_Type,$J38))</f>
        <v/>
      </c>
      <c r="F38" s="106">
        <f>IF($J38="","",INDEX(EV_Cum,$J38))</f>
        <v/>
      </c>
      <c r="G38" s="106">
        <f>IF($J38="","",INDEX(LevelLabels,MATCH(F38,LevelValues,1)))</f>
        <v/>
      </c>
      <c r="H38" s="106">
        <f>IF($J38="","",IFERROR(INDEX(Stu_ContactReq,MATCH(C38,Stu_ID,0)),""))</f>
        <v/>
      </c>
      <c r="I38" s="107">
        <f>IF($J38="","",IFERROR(INDEX(Stu_Notes,MATCH(C38,Stu_ID,0)),""))</f>
        <v/>
      </c>
      <c r="J38" s="40">
        <f>IF(33&gt;$B$3,"",IFERROR(MATCH(33-1,EV_Seq,1)+1,1))</f>
        <v/>
      </c>
    </row>
    <row r="39">
      <c r="A39" s="105">
        <f>IF($J39="","",INDEX(EV_Date,$J39))</f>
        <v/>
      </c>
      <c r="B39" s="78">
        <f>IF($J39="","",INDEX(EV_Name,$J39))</f>
        <v/>
      </c>
      <c r="C39" s="106">
        <f>IF($J39="","",INDEX(EV_ID,$J39))</f>
        <v/>
      </c>
      <c r="D39" s="106">
        <f>IF($J39="","",INDEX(EV_Class,$J39))</f>
        <v/>
      </c>
      <c r="E39" s="106">
        <f>IF($J39="","",INDEX(EV_Type,$J39))</f>
        <v/>
      </c>
      <c r="F39" s="106">
        <f>IF($J39="","",INDEX(EV_Cum,$J39))</f>
        <v/>
      </c>
      <c r="G39" s="106">
        <f>IF($J39="","",INDEX(LevelLabels,MATCH(F39,LevelValues,1)))</f>
        <v/>
      </c>
      <c r="H39" s="106">
        <f>IF($J39="","",IFERROR(INDEX(Stu_ContactReq,MATCH(C39,Stu_ID,0)),""))</f>
        <v/>
      </c>
      <c r="I39" s="107">
        <f>IF($J39="","",IFERROR(INDEX(Stu_Notes,MATCH(C39,Stu_ID,0)),""))</f>
        <v/>
      </c>
      <c r="J39" s="40">
        <f>IF(34&gt;$B$3,"",IFERROR(MATCH(34-1,EV_Seq,1)+1,1))</f>
        <v/>
      </c>
    </row>
    <row r="40">
      <c r="A40" s="105">
        <f>IF($J40="","",INDEX(EV_Date,$J40))</f>
        <v/>
      </c>
      <c r="B40" s="78">
        <f>IF($J40="","",INDEX(EV_Name,$J40))</f>
        <v/>
      </c>
      <c r="C40" s="106">
        <f>IF($J40="","",INDEX(EV_ID,$J40))</f>
        <v/>
      </c>
      <c r="D40" s="106">
        <f>IF($J40="","",INDEX(EV_Class,$J40))</f>
        <v/>
      </c>
      <c r="E40" s="106">
        <f>IF($J40="","",INDEX(EV_Type,$J40))</f>
        <v/>
      </c>
      <c r="F40" s="106">
        <f>IF($J40="","",INDEX(EV_Cum,$J40))</f>
        <v/>
      </c>
      <c r="G40" s="106">
        <f>IF($J40="","",INDEX(LevelLabels,MATCH(F40,LevelValues,1)))</f>
        <v/>
      </c>
      <c r="H40" s="106">
        <f>IF($J40="","",IFERROR(INDEX(Stu_ContactReq,MATCH(C40,Stu_ID,0)),""))</f>
        <v/>
      </c>
      <c r="I40" s="107">
        <f>IF($J40="","",IFERROR(INDEX(Stu_Notes,MATCH(C40,Stu_ID,0)),""))</f>
        <v/>
      </c>
      <c r="J40" s="40">
        <f>IF(35&gt;$B$3,"",IFERROR(MATCH(35-1,EV_Seq,1)+1,1))</f>
        <v/>
      </c>
    </row>
    <row r="41">
      <c r="A41" s="105">
        <f>IF($J41="","",INDEX(EV_Date,$J41))</f>
        <v/>
      </c>
      <c r="B41" s="78">
        <f>IF($J41="","",INDEX(EV_Name,$J41))</f>
        <v/>
      </c>
      <c r="C41" s="106">
        <f>IF($J41="","",INDEX(EV_ID,$J41))</f>
        <v/>
      </c>
      <c r="D41" s="106">
        <f>IF($J41="","",INDEX(EV_Class,$J41))</f>
        <v/>
      </c>
      <c r="E41" s="106">
        <f>IF($J41="","",INDEX(EV_Type,$J41))</f>
        <v/>
      </c>
      <c r="F41" s="106">
        <f>IF($J41="","",INDEX(EV_Cum,$J41))</f>
        <v/>
      </c>
      <c r="G41" s="106">
        <f>IF($J41="","",INDEX(LevelLabels,MATCH(F41,LevelValues,1)))</f>
        <v/>
      </c>
      <c r="H41" s="106">
        <f>IF($J41="","",IFERROR(INDEX(Stu_ContactReq,MATCH(C41,Stu_ID,0)),""))</f>
        <v/>
      </c>
      <c r="I41" s="107">
        <f>IF($J41="","",IFERROR(INDEX(Stu_Notes,MATCH(C41,Stu_ID,0)),""))</f>
        <v/>
      </c>
      <c r="J41" s="40">
        <f>IF(36&gt;$B$3,"",IFERROR(MATCH(36-1,EV_Seq,1)+1,1))</f>
        <v/>
      </c>
    </row>
    <row r="42">
      <c r="A42" s="105">
        <f>IF($J42="","",INDEX(EV_Date,$J42))</f>
        <v/>
      </c>
      <c r="B42" s="78">
        <f>IF($J42="","",INDEX(EV_Name,$J42))</f>
        <v/>
      </c>
      <c r="C42" s="106">
        <f>IF($J42="","",INDEX(EV_ID,$J42))</f>
        <v/>
      </c>
      <c r="D42" s="106">
        <f>IF($J42="","",INDEX(EV_Class,$J42))</f>
        <v/>
      </c>
      <c r="E42" s="106">
        <f>IF($J42="","",INDEX(EV_Type,$J42))</f>
        <v/>
      </c>
      <c r="F42" s="106">
        <f>IF($J42="","",INDEX(EV_Cum,$J42))</f>
        <v/>
      </c>
      <c r="G42" s="106">
        <f>IF($J42="","",INDEX(LevelLabels,MATCH(F42,LevelValues,1)))</f>
        <v/>
      </c>
      <c r="H42" s="106">
        <f>IF($J42="","",IFERROR(INDEX(Stu_ContactReq,MATCH(C42,Stu_ID,0)),""))</f>
        <v/>
      </c>
      <c r="I42" s="107">
        <f>IF($J42="","",IFERROR(INDEX(Stu_Notes,MATCH(C42,Stu_ID,0)),""))</f>
        <v/>
      </c>
      <c r="J42" s="40">
        <f>IF(37&gt;$B$3,"",IFERROR(MATCH(37-1,EV_Seq,1)+1,1))</f>
        <v/>
      </c>
    </row>
    <row r="43">
      <c r="A43" s="105">
        <f>IF($J43="","",INDEX(EV_Date,$J43))</f>
        <v/>
      </c>
      <c r="B43" s="78">
        <f>IF($J43="","",INDEX(EV_Name,$J43))</f>
        <v/>
      </c>
      <c r="C43" s="106">
        <f>IF($J43="","",INDEX(EV_ID,$J43))</f>
        <v/>
      </c>
      <c r="D43" s="106">
        <f>IF($J43="","",INDEX(EV_Class,$J43))</f>
        <v/>
      </c>
      <c r="E43" s="106">
        <f>IF($J43="","",INDEX(EV_Type,$J43))</f>
        <v/>
      </c>
      <c r="F43" s="106">
        <f>IF($J43="","",INDEX(EV_Cum,$J43))</f>
        <v/>
      </c>
      <c r="G43" s="106">
        <f>IF($J43="","",INDEX(LevelLabels,MATCH(F43,LevelValues,1)))</f>
        <v/>
      </c>
      <c r="H43" s="106">
        <f>IF($J43="","",IFERROR(INDEX(Stu_ContactReq,MATCH(C43,Stu_ID,0)),""))</f>
        <v/>
      </c>
      <c r="I43" s="107">
        <f>IF($J43="","",IFERROR(INDEX(Stu_Notes,MATCH(C43,Stu_ID,0)),""))</f>
        <v/>
      </c>
      <c r="J43" s="40">
        <f>IF(38&gt;$B$3,"",IFERROR(MATCH(38-1,EV_Seq,1)+1,1))</f>
        <v/>
      </c>
    </row>
    <row r="44">
      <c r="A44" s="105">
        <f>IF($J44="","",INDEX(EV_Date,$J44))</f>
        <v/>
      </c>
      <c r="B44" s="78">
        <f>IF($J44="","",INDEX(EV_Name,$J44))</f>
        <v/>
      </c>
      <c r="C44" s="106">
        <f>IF($J44="","",INDEX(EV_ID,$J44))</f>
        <v/>
      </c>
      <c r="D44" s="106">
        <f>IF($J44="","",INDEX(EV_Class,$J44))</f>
        <v/>
      </c>
      <c r="E44" s="106">
        <f>IF($J44="","",INDEX(EV_Type,$J44))</f>
        <v/>
      </c>
      <c r="F44" s="106">
        <f>IF($J44="","",INDEX(EV_Cum,$J44))</f>
        <v/>
      </c>
      <c r="G44" s="106">
        <f>IF($J44="","",INDEX(LevelLabels,MATCH(F44,LevelValues,1)))</f>
        <v/>
      </c>
      <c r="H44" s="106">
        <f>IF($J44="","",IFERROR(INDEX(Stu_ContactReq,MATCH(C44,Stu_ID,0)),""))</f>
        <v/>
      </c>
      <c r="I44" s="107">
        <f>IF($J44="","",IFERROR(INDEX(Stu_Notes,MATCH(C44,Stu_ID,0)),""))</f>
        <v/>
      </c>
      <c r="J44" s="40">
        <f>IF(39&gt;$B$3,"",IFERROR(MATCH(39-1,EV_Seq,1)+1,1))</f>
        <v/>
      </c>
    </row>
    <row r="45">
      <c r="A45" s="105">
        <f>IF($J45="","",INDEX(EV_Date,$J45))</f>
        <v/>
      </c>
      <c r="B45" s="78">
        <f>IF($J45="","",INDEX(EV_Name,$J45))</f>
        <v/>
      </c>
      <c r="C45" s="106">
        <f>IF($J45="","",INDEX(EV_ID,$J45))</f>
        <v/>
      </c>
      <c r="D45" s="106">
        <f>IF($J45="","",INDEX(EV_Class,$J45))</f>
        <v/>
      </c>
      <c r="E45" s="106">
        <f>IF($J45="","",INDEX(EV_Type,$J45))</f>
        <v/>
      </c>
      <c r="F45" s="106">
        <f>IF($J45="","",INDEX(EV_Cum,$J45))</f>
        <v/>
      </c>
      <c r="G45" s="106">
        <f>IF($J45="","",INDEX(LevelLabels,MATCH(F45,LevelValues,1)))</f>
        <v/>
      </c>
      <c r="H45" s="106">
        <f>IF($J45="","",IFERROR(INDEX(Stu_ContactReq,MATCH(C45,Stu_ID,0)),""))</f>
        <v/>
      </c>
      <c r="I45" s="107">
        <f>IF($J45="","",IFERROR(INDEX(Stu_Notes,MATCH(C45,Stu_ID,0)),""))</f>
        <v/>
      </c>
      <c r="J45" s="40">
        <f>IF(40&gt;$B$3,"",IFERROR(MATCH(40-1,EV_Seq,1)+1,1))</f>
        <v/>
      </c>
    </row>
    <row r="46">
      <c r="A46" s="105">
        <f>IF($J46="","",INDEX(EV_Date,$J46))</f>
        <v/>
      </c>
      <c r="B46" s="78">
        <f>IF($J46="","",INDEX(EV_Name,$J46))</f>
        <v/>
      </c>
      <c r="C46" s="106">
        <f>IF($J46="","",INDEX(EV_ID,$J46))</f>
        <v/>
      </c>
      <c r="D46" s="106">
        <f>IF($J46="","",INDEX(EV_Class,$J46))</f>
        <v/>
      </c>
      <c r="E46" s="106">
        <f>IF($J46="","",INDEX(EV_Type,$J46))</f>
        <v/>
      </c>
      <c r="F46" s="106">
        <f>IF($J46="","",INDEX(EV_Cum,$J46))</f>
        <v/>
      </c>
      <c r="G46" s="106">
        <f>IF($J46="","",INDEX(LevelLabels,MATCH(F46,LevelValues,1)))</f>
        <v/>
      </c>
      <c r="H46" s="106">
        <f>IF($J46="","",IFERROR(INDEX(Stu_ContactReq,MATCH(C46,Stu_ID,0)),""))</f>
        <v/>
      </c>
      <c r="I46" s="107">
        <f>IF($J46="","",IFERROR(INDEX(Stu_Notes,MATCH(C46,Stu_ID,0)),""))</f>
        <v/>
      </c>
      <c r="J46" s="40">
        <f>IF(41&gt;$B$3,"",IFERROR(MATCH(41-1,EV_Seq,1)+1,1))</f>
        <v/>
      </c>
    </row>
    <row r="47">
      <c r="A47" s="105">
        <f>IF($J47="","",INDEX(EV_Date,$J47))</f>
        <v/>
      </c>
      <c r="B47" s="78">
        <f>IF($J47="","",INDEX(EV_Name,$J47))</f>
        <v/>
      </c>
      <c r="C47" s="106">
        <f>IF($J47="","",INDEX(EV_ID,$J47))</f>
        <v/>
      </c>
      <c r="D47" s="106">
        <f>IF($J47="","",INDEX(EV_Class,$J47))</f>
        <v/>
      </c>
      <c r="E47" s="106">
        <f>IF($J47="","",INDEX(EV_Type,$J47))</f>
        <v/>
      </c>
      <c r="F47" s="106">
        <f>IF($J47="","",INDEX(EV_Cum,$J47))</f>
        <v/>
      </c>
      <c r="G47" s="106">
        <f>IF($J47="","",INDEX(LevelLabels,MATCH(F47,LevelValues,1)))</f>
        <v/>
      </c>
      <c r="H47" s="106">
        <f>IF($J47="","",IFERROR(INDEX(Stu_ContactReq,MATCH(C47,Stu_ID,0)),""))</f>
        <v/>
      </c>
      <c r="I47" s="107">
        <f>IF($J47="","",IFERROR(INDEX(Stu_Notes,MATCH(C47,Stu_ID,0)),""))</f>
        <v/>
      </c>
      <c r="J47" s="40">
        <f>IF(42&gt;$B$3,"",IFERROR(MATCH(42-1,EV_Seq,1)+1,1))</f>
        <v/>
      </c>
    </row>
    <row r="48">
      <c r="A48" s="105">
        <f>IF($J48="","",INDEX(EV_Date,$J48))</f>
        <v/>
      </c>
      <c r="B48" s="78">
        <f>IF($J48="","",INDEX(EV_Name,$J48))</f>
        <v/>
      </c>
      <c r="C48" s="106">
        <f>IF($J48="","",INDEX(EV_ID,$J48))</f>
        <v/>
      </c>
      <c r="D48" s="106">
        <f>IF($J48="","",INDEX(EV_Class,$J48))</f>
        <v/>
      </c>
      <c r="E48" s="106">
        <f>IF($J48="","",INDEX(EV_Type,$J48))</f>
        <v/>
      </c>
      <c r="F48" s="106">
        <f>IF($J48="","",INDEX(EV_Cum,$J48))</f>
        <v/>
      </c>
      <c r="G48" s="106">
        <f>IF($J48="","",INDEX(LevelLabels,MATCH(F48,LevelValues,1)))</f>
        <v/>
      </c>
      <c r="H48" s="106">
        <f>IF($J48="","",IFERROR(INDEX(Stu_ContactReq,MATCH(C48,Stu_ID,0)),""))</f>
        <v/>
      </c>
      <c r="I48" s="107">
        <f>IF($J48="","",IFERROR(INDEX(Stu_Notes,MATCH(C48,Stu_ID,0)),""))</f>
        <v/>
      </c>
      <c r="J48" s="40">
        <f>IF(43&gt;$B$3,"",IFERROR(MATCH(43-1,EV_Seq,1)+1,1))</f>
        <v/>
      </c>
    </row>
    <row r="49">
      <c r="A49" s="105">
        <f>IF($J49="","",INDEX(EV_Date,$J49))</f>
        <v/>
      </c>
      <c r="B49" s="78">
        <f>IF($J49="","",INDEX(EV_Name,$J49))</f>
        <v/>
      </c>
      <c r="C49" s="106">
        <f>IF($J49="","",INDEX(EV_ID,$J49))</f>
        <v/>
      </c>
      <c r="D49" s="106">
        <f>IF($J49="","",INDEX(EV_Class,$J49))</f>
        <v/>
      </c>
      <c r="E49" s="106">
        <f>IF($J49="","",INDEX(EV_Type,$J49))</f>
        <v/>
      </c>
      <c r="F49" s="106">
        <f>IF($J49="","",INDEX(EV_Cum,$J49))</f>
        <v/>
      </c>
      <c r="G49" s="106">
        <f>IF($J49="","",INDEX(LevelLabels,MATCH(F49,LevelValues,1)))</f>
        <v/>
      </c>
      <c r="H49" s="106">
        <f>IF($J49="","",IFERROR(INDEX(Stu_ContactReq,MATCH(C49,Stu_ID,0)),""))</f>
        <v/>
      </c>
      <c r="I49" s="107">
        <f>IF($J49="","",IFERROR(INDEX(Stu_Notes,MATCH(C49,Stu_ID,0)),""))</f>
        <v/>
      </c>
      <c r="J49" s="40">
        <f>IF(44&gt;$B$3,"",IFERROR(MATCH(44-1,EV_Seq,1)+1,1))</f>
        <v/>
      </c>
    </row>
    <row r="50">
      <c r="A50" s="105">
        <f>IF($J50="","",INDEX(EV_Date,$J50))</f>
        <v/>
      </c>
      <c r="B50" s="78">
        <f>IF($J50="","",INDEX(EV_Name,$J50))</f>
        <v/>
      </c>
      <c r="C50" s="106">
        <f>IF($J50="","",INDEX(EV_ID,$J50))</f>
        <v/>
      </c>
      <c r="D50" s="106">
        <f>IF($J50="","",INDEX(EV_Class,$J50))</f>
        <v/>
      </c>
      <c r="E50" s="106">
        <f>IF($J50="","",INDEX(EV_Type,$J50))</f>
        <v/>
      </c>
      <c r="F50" s="106">
        <f>IF($J50="","",INDEX(EV_Cum,$J50))</f>
        <v/>
      </c>
      <c r="G50" s="106">
        <f>IF($J50="","",INDEX(LevelLabels,MATCH(F50,LevelValues,1)))</f>
        <v/>
      </c>
      <c r="H50" s="106">
        <f>IF($J50="","",IFERROR(INDEX(Stu_ContactReq,MATCH(C50,Stu_ID,0)),""))</f>
        <v/>
      </c>
      <c r="I50" s="107">
        <f>IF($J50="","",IFERROR(INDEX(Stu_Notes,MATCH(C50,Stu_ID,0)),""))</f>
        <v/>
      </c>
      <c r="J50" s="40">
        <f>IF(45&gt;$B$3,"",IFERROR(MATCH(45-1,EV_Seq,1)+1,1))</f>
        <v/>
      </c>
    </row>
    <row r="51">
      <c r="A51" s="105">
        <f>IF($J51="","",INDEX(EV_Date,$J51))</f>
        <v/>
      </c>
      <c r="B51" s="78">
        <f>IF($J51="","",INDEX(EV_Name,$J51))</f>
        <v/>
      </c>
      <c r="C51" s="106">
        <f>IF($J51="","",INDEX(EV_ID,$J51))</f>
        <v/>
      </c>
      <c r="D51" s="106">
        <f>IF($J51="","",INDEX(EV_Class,$J51))</f>
        <v/>
      </c>
      <c r="E51" s="106">
        <f>IF($J51="","",INDEX(EV_Type,$J51))</f>
        <v/>
      </c>
      <c r="F51" s="106">
        <f>IF($J51="","",INDEX(EV_Cum,$J51))</f>
        <v/>
      </c>
      <c r="G51" s="106">
        <f>IF($J51="","",INDEX(LevelLabels,MATCH(F51,LevelValues,1)))</f>
        <v/>
      </c>
      <c r="H51" s="106">
        <f>IF($J51="","",IFERROR(INDEX(Stu_ContactReq,MATCH(C51,Stu_ID,0)),""))</f>
        <v/>
      </c>
      <c r="I51" s="107">
        <f>IF($J51="","",IFERROR(INDEX(Stu_Notes,MATCH(C51,Stu_ID,0)),""))</f>
        <v/>
      </c>
      <c r="J51" s="40">
        <f>IF(46&gt;$B$3,"",IFERROR(MATCH(46-1,EV_Seq,1)+1,1))</f>
        <v/>
      </c>
    </row>
    <row r="52">
      <c r="A52" s="105">
        <f>IF($J52="","",INDEX(EV_Date,$J52))</f>
        <v/>
      </c>
      <c r="B52" s="78">
        <f>IF($J52="","",INDEX(EV_Name,$J52))</f>
        <v/>
      </c>
      <c r="C52" s="106">
        <f>IF($J52="","",INDEX(EV_ID,$J52))</f>
        <v/>
      </c>
      <c r="D52" s="106">
        <f>IF($J52="","",INDEX(EV_Class,$J52))</f>
        <v/>
      </c>
      <c r="E52" s="106">
        <f>IF($J52="","",INDEX(EV_Type,$J52))</f>
        <v/>
      </c>
      <c r="F52" s="106">
        <f>IF($J52="","",INDEX(EV_Cum,$J52))</f>
        <v/>
      </c>
      <c r="G52" s="106">
        <f>IF($J52="","",INDEX(LevelLabels,MATCH(F52,LevelValues,1)))</f>
        <v/>
      </c>
      <c r="H52" s="106">
        <f>IF($J52="","",IFERROR(INDEX(Stu_ContactReq,MATCH(C52,Stu_ID,0)),""))</f>
        <v/>
      </c>
      <c r="I52" s="107">
        <f>IF($J52="","",IFERROR(INDEX(Stu_Notes,MATCH(C52,Stu_ID,0)),""))</f>
        <v/>
      </c>
      <c r="J52" s="40">
        <f>IF(47&gt;$B$3,"",IFERROR(MATCH(47-1,EV_Seq,1)+1,1))</f>
        <v/>
      </c>
    </row>
    <row r="53">
      <c r="A53" s="105">
        <f>IF($J53="","",INDEX(EV_Date,$J53))</f>
        <v/>
      </c>
      <c r="B53" s="78">
        <f>IF($J53="","",INDEX(EV_Name,$J53))</f>
        <v/>
      </c>
      <c r="C53" s="106">
        <f>IF($J53="","",INDEX(EV_ID,$J53))</f>
        <v/>
      </c>
      <c r="D53" s="106">
        <f>IF($J53="","",INDEX(EV_Class,$J53))</f>
        <v/>
      </c>
      <c r="E53" s="106">
        <f>IF($J53="","",INDEX(EV_Type,$J53))</f>
        <v/>
      </c>
      <c r="F53" s="106">
        <f>IF($J53="","",INDEX(EV_Cum,$J53))</f>
        <v/>
      </c>
      <c r="G53" s="106">
        <f>IF($J53="","",INDEX(LevelLabels,MATCH(F53,LevelValues,1)))</f>
        <v/>
      </c>
      <c r="H53" s="106">
        <f>IF($J53="","",IFERROR(INDEX(Stu_ContactReq,MATCH(C53,Stu_ID,0)),""))</f>
        <v/>
      </c>
      <c r="I53" s="107">
        <f>IF($J53="","",IFERROR(INDEX(Stu_Notes,MATCH(C53,Stu_ID,0)),""))</f>
        <v/>
      </c>
      <c r="J53" s="40">
        <f>IF(48&gt;$B$3,"",IFERROR(MATCH(48-1,EV_Seq,1)+1,1))</f>
        <v/>
      </c>
    </row>
    <row r="54">
      <c r="A54" s="105">
        <f>IF($J54="","",INDEX(EV_Date,$J54))</f>
        <v/>
      </c>
      <c r="B54" s="78">
        <f>IF($J54="","",INDEX(EV_Name,$J54))</f>
        <v/>
      </c>
      <c r="C54" s="106">
        <f>IF($J54="","",INDEX(EV_ID,$J54))</f>
        <v/>
      </c>
      <c r="D54" s="106">
        <f>IF($J54="","",INDEX(EV_Class,$J54))</f>
        <v/>
      </c>
      <c r="E54" s="106">
        <f>IF($J54="","",INDEX(EV_Type,$J54))</f>
        <v/>
      </c>
      <c r="F54" s="106">
        <f>IF($J54="","",INDEX(EV_Cum,$J54))</f>
        <v/>
      </c>
      <c r="G54" s="106">
        <f>IF($J54="","",INDEX(LevelLabels,MATCH(F54,LevelValues,1)))</f>
        <v/>
      </c>
      <c r="H54" s="106">
        <f>IF($J54="","",IFERROR(INDEX(Stu_ContactReq,MATCH(C54,Stu_ID,0)),""))</f>
        <v/>
      </c>
      <c r="I54" s="107">
        <f>IF($J54="","",IFERROR(INDEX(Stu_Notes,MATCH(C54,Stu_ID,0)),""))</f>
        <v/>
      </c>
      <c r="J54" s="40">
        <f>IF(49&gt;$B$3,"",IFERROR(MATCH(49-1,EV_Seq,1)+1,1))</f>
        <v/>
      </c>
    </row>
    <row r="55">
      <c r="A55" s="105">
        <f>IF($J55="","",INDEX(EV_Date,$J55))</f>
        <v/>
      </c>
      <c r="B55" s="78">
        <f>IF($J55="","",INDEX(EV_Name,$J55))</f>
        <v/>
      </c>
      <c r="C55" s="106">
        <f>IF($J55="","",INDEX(EV_ID,$J55))</f>
        <v/>
      </c>
      <c r="D55" s="106">
        <f>IF($J55="","",INDEX(EV_Class,$J55))</f>
        <v/>
      </c>
      <c r="E55" s="106">
        <f>IF($J55="","",INDEX(EV_Type,$J55))</f>
        <v/>
      </c>
      <c r="F55" s="106">
        <f>IF($J55="","",INDEX(EV_Cum,$J55))</f>
        <v/>
      </c>
      <c r="G55" s="106">
        <f>IF($J55="","",INDEX(LevelLabels,MATCH(F55,LevelValues,1)))</f>
        <v/>
      </c>
      <c r="H55" s="106">
        <f>IF($J55="","",IFERROR(INDEX(Stu_ContactReq,MATCH(C55,Stu_ID,0)),""))</f>
        <v/>
      </c>
      <c r="I55" s="107">
        <f>IF($J55="","",IFERROR(INDEX(Stu_Notes,MATCH(C55,Stu_ID,0)),""))</f>
        <v/>
      </c>
      <c r="J55" s="40">
        <f>IF(50&gt;$B$3,"",IFERROR(MATCH(50-1,EV_Seq,1)+1,1))</f>
        <v/>
      </c>
    </row>
    <row r="56">
      <c r="A56" s="105">
        <f>IF($J56="","",INDEX(EV_Date,$J56))</f>
        <v/>
      </c>
      <c r="B56" s="78">
        <f>IF($J56="","",INDEX(EV_Name,$J56))</f>
        <v/>
      </c>
      <c r="C56" s="106">
        <f>IF($J56="","",INDEX(EV_ID,$J56))</f>
        <v/>
      </c>
      <c r="D56" s="106">
        <f>IF($J56="","",INDEX(EV_Class,$J56))</f>
        <v/>
      </c>
      <c r="E56" s="106">
        <f>IF($J56="","",INDEX(EV_Type,$J56))</f>
        <v/>
      </c>
      <c r="F56" s="106">
        <f>IF($J56="","",INDEX(EV_Cum,$J56))</f>
        <v/>
      </c>
      <c r="G56" s="106">
        <f>IF($J56="","",INDEX(LevelLabels,MATCH(F56,LevelValues,1)))</f>
        <v/>
      </c>
      <c r="H56" s="106">
        <f>IF($J56="","",IFERROR(INDEX(Stu_ContactReq,MATCH(C56,Stu_ID,0)),""))</f>
        <v/>
      </c>
      <c r="I56" s="107">
        <f>IF($J56="","",IFERROR(INDEX(Stu_Notes,MATCH(C56,Stu_ID,0)),""))</f>
        <v/>
      </c>
      <c r="J56" s="40">
        <f>IF(51&gt;$B$3,"",IFERROR(MATCH(51-1,EV_Seq,1)+1,1))</f>
        <v/>
      </c>
    </row>
    <row r="57">
      <c r="A57" s="105">
        <f>IF($J57="","",INDEX(EV_Date,$J57))</f>
        <v/>
      </c>
      <c r="B57" s="78">
        <f>IF($J57="","",INDEX(EV_Name,$J57))</f>
        <v/>
      </c>
      <c r="C57" s="106">
        <f>IF($J57="","",INDEX(EV_ID,$J57))</f>
        <v/>
      </c>
      <c r="D57" s="106">
        <f>IF($J57="","",INDEX(EV_Class,$J57))</f>
        <v/>
      </c>
      <c r="E57" s="106">
        <f>IF($J57="","",INDEX(EV_Type,$J57))</f>
        <v/>
      </c>
      <c r="F57" s="106">
        <f>IF($J57="","",INDEX(EV_Cum,$J57))</f>
        <v/>
      </c>
      <c r="G57" s="106">
        <f>IF($J57="","",INDEX(LevelLabels,MATCH(F57,LevelValues,1)))</f>
        <v/>
      </c>
      <c r="H57" s="106">
        <f>IF($J57="","",IFERROR(INDEX(Stu_ContactReq,MATCH(C57,Stu_ID,0)),""))</f>
        <v/>
      </c>
      <c r="I57" s="107">
        <f>IF($J57="","",IFERROR(INDEX(Stu_Notes,MATCH(C57,Stu_ID,0)),""))</f>
        <v/>
      </c>
      <c r="J57" s="40">
        <f>IF(52&gt;$B$3,"",IFERROR(MATCH(52-1,EV_Seq,1)+1,1))</f>
        <v/>
      </c>
    </row>
    <row r="58">
      <c r="A58" s="105">
        <f>IF($J58="","",INDEX(EV_Date,$J58))</f>
        <v/>
      </c>
      <c r="B58" s="78">
        <f>IF($J58="","",INDEX(EV_Name,$J58))</f>
        <v/>
      </c>
      <c r="C58" s="106">
        <f>IF($J58="","",INDEX(EV_ID,$J58))</f>
        <v/>
      </c>
      <c r="D58" s="106">
        <f>IF($J58="","",INDEX(EV_Class,$J58))</f>
        <v/>
      </c>
      <c r="E58" s="106">
        <f>IF($J58="","",INDEX(EV_Type,$J58))</f>
        <v/>
      </c>
      <c r="F58" s="106">
        <f>IF($J58="","",INDEX(EV_Cum,$J58))</f>
        <v/>
      </c>
      <c r="G58" s="106">
        <f>IF($J58="","",INDEX(LevelLabels,MATCH(F58,LevelValues,1)))</f>
        <v/>
      </c>
      <c r="H58" s="106">
        <f>IF($J58="","",IFERROR(INDEX(Stu_ContactReq,MATCH(C58,Stu_ID,0)),""))</f>
        <v/>
      </c>
      <c r="I58" s="107">
        <f>IF($J58="","",IFERROR(INDEX(Stu_Notes,MATCH(C58,Stu_ID,0)),""))</f>
        <v/>
      </c>
      <c r="J58" s="40">
        <f>IF(53&gt;$B$3,"",IFERROR(MATCH(53-1,EV_Seq,1)+1,1))</f>
        <v/>
      </c>
    </row>
    <row r="59">
      <c r="A59" s="105">
        <f>IF($J59="","",INDEX(EV_Date,$J59))</f>
        <v/>
      </c>
      <c r="B59" s="78">
        <f>IF($J59="","",INDEX(EV_Name,$J59))</f>
        <v/>
      </c>
      <c r="C59" s="106">
        <f>IF($J59="","",INDEX(EV_ID,$J59))</f>
        <v/>
      </c>
      <c r="D59" s="106">
        <f>IF($J59="","",INDEX(EV_Class,$J59))</f>
        <v/>
      </c>
      <c r="E59" s="106">
        <f>IF($J59="","",INDEX(EV_Type,$J59))</f>
        <v/>
      </c>
      <c r="F59" s="106">
        <f>IF($J59="","",INDEX(EV_Cum,$J59))</f>
        <v/>
      </c>
      <c r="G59" s="106">
        <f>IF($J59="","",INDEX(LevelLabels,MATCH(F59,LevelValues,1)))</f>
        <v/>
      </c>
      <c r="H59" s="106">
        <f>IF($J59="","",IFERROR(INDEX(Stu_ContactReq,MATCH(C59,Stu_ID,0)),""))</f>
        <v/>
      </c>
      <c r="I59" s="107">
        <f>IF($J59="","",IFERROR(INDEX(Stu_Notes,MATCH(C59,Stu_ID,0)),""))</f>
        <v/>
      </c>
      <c r="J59" s="40">
        <f>IF(54&gt;$B$3,"",IFERROR(MATCH(54-1,EV_Seq,1)+1,1))</f>
        <v/>
      </c>
    </row>
    <row r="60">
      <c r="A60" s="105">
        <f>IF($J60="","",INDEX(EV_Date,$J60))</f>
        <v/>
      </c>
      <c r="B60" s="78">
        <f>IF($J60="","",INDEX(EV_Name,$J60))</f>
        <v/>
      </c>
      <c r="C60" s="106">
        <f>IF($J60="","",INDEX(EV_ID,$J60))</f>
        <v/>
      </c>
      <c r="D60" s="106">
        <f>IF($J60="","",INDEX(EV_Class,$J60))</f>
        <v/>
      </c>
      <c r="E60" s="106">
        <f>IF($J60="","",INDEX(EV_Type,$J60))</f>
        <v/>
      </c>
      <c r="F60" s="106">
        <f>IF($J60="","",INDEX(EV_Cum,$J60))</f>
        <v/>
      </c>
      <c r="G60" s="106">
        <f>IF($J60="","",INDEX(LevelLabels,MATCH(F60,LevelValues,1)))</f>
        <v/>
      </c>
      <c r="H60" s="106">
        <f>IF($J60="","",IFERROR(INDEX(Stu_ContactReq,MATCH(C60,Stu_ID,0)),""))</f>
        <v/>
      </c>
      <c r="I60" s="107">
        <f>IF($J60="","",IFERROR(INDEX(Stu_Notes,MATCH(C60,Stu_ID,0)),""))</f>
        <v/>
      </c>
      <c r="J60" s="40">
        <f>IF(55&gt;$B$3,"",IFERROR(MATCH(55-1,EV_Seq,1)+1,1))</f>
        <v/>
      </c>
    </row>
    <row r="61">
      <c r="A61" s="105">
        <f>IF($J61="","",INDEX(EV_Date,$J61))</f>
        <v/>
      </c>
      <c r="B61" s="78">
        <f>IF($J61="","",INDEX(EV_Name,$J61))</f>
        <v/>
      </c>
      <c r="C61" s="106">
        <f>IF($J61="","",INDEX(EV_ID,$J61))</f>
        <v/>
      </c>
      <c r="D61" s="106">
        <f>IF($J61="","",INDEX(EV_Class,$J61))</f>
        <v/>
      </c>
      <c r="E61" s="106">
        <f>IF($J61="","",INDEX(EV_Type,$J61))</f>
        <v/>
      </c>
      <c r="F61" s="106">
        <f>IF($J61="","",INDEX(EV_Cum,$J61))</f>
        <v/>
      </c>
      <c r="G61" s="106">
        <f>IF($J61="","",INDEX(LevelLabels,MATCH(F61,LevelValues,1)))</f>
        <v/>
      </c>
      <c r="H61" s="106">
        <f>IF($J61="","",IFERROR(INDEX(Stu_ContactReq,MATCH(C61,Stu_ID,0)),""))</f>
        <v/>
      </c>
      <c r="I61" s="107">
        <f>IF($J61="","",IFERROR(INDEX(Stu_Notes,MATCH(C61,Stu_ID,0)),""))</f>
        <v/>
      </c>
      <c r="J61" s="40">
        <f>IF(56&gt;$B$3,"",IFERROR(MATCH(56-1,EV_Seq,1)+1,1))</f>
        <v/>
      </c>
    </row>
    <row r="62">
      <c r="A62" s="105">
        <f>IF($J62="","",INDEX(EV_Date,$J62))</f>
        <v/>
      </c>
      <c r="B62" s="78">
        <f>IF($J62="","",INDEX(EV_Name,$J62))</f>
        <v/>
      </c>
      <c r="C62" s="106">
        <f>IF($J62="","",INDEX(EV_ID,$J62))</f>
        <v/>
      </c>
      <c r="D62" s="106">
        <f>IF($J62="","",INDEX(EV_Class,$J62))</f>
        <v/>
      </c>
      <c r="E62" s="106">
        <f>IF($J62="","",INDEX(EV_Type,$J62))</f>
        <v/>
      </c>
      <c r="F62" s="106">
        <f>IF($J62="","",INDEX(EV_Cum,$J62))</f>
        <v/>
      </c>
      <c r="G62" s="106">
        <f>IF($J62="","",INDEX(LevelLabels,MATCH(F62,LevelValues,1)))</f>
        <v/>
      </c>
      <c r="H62" s="106">
        <f>IF($J62="","",IFERROR(INDEX(Stu_ContactReq,MATCH(C62,Stu_ID,0)),""))</f>
        <v/>
      </c>
      <c r="I62" s="107">
        <f>IF($J62="","",IFERROR(INDEX(Stu_Notes,MATCH(C62,Stu_ID,0)),""))</f>
        <v/>
      </c>
      <c r="J62" s="40">
        <f>IF(57&gt;$B$3,"",IFERROR(MATCH(57-1,EV_Seq,1)+1,1))</f>
        <v/>
      </c>
    </row>
    <row r="63">
      <c r="A63" s="105">
        <f>IF($J63="","",INDEX(EV_Date,$J63))</f>
        <v/>
      </c>
      <c r="B63" s="78">
        <f>IF($J63="","",INDEX(EV_Name,$J63))</f>
        <v/>
      </c>
      <c r="C63" s="106">
        <f>IF($J63="","",INDEX(EV_ID,$J63))</f>
        <v/>
      </c>
      <c r="D63" s="106">
        <f>IF($J63="","",INDEX(EV_Class,$J63))</f>
        <v/>
      </c>
      <c r="E63" s="106">
        <f>IF($J63="","",INDEX(EV_Type,$J63))</f>
        <v/>
      </c>
      <c r="F63" s="106">
        <f>IF($J63="","",INDEX(EV_Cum,$J63))</f>
        <v/>
      </c>
      <c r="G63" s="106">
        <f>IF($J63="","",INDEX(LevelLabels,MATCH(F63,LevelValues,1)))</f>
        <v/>
      </c>
      <c r="H63" s="106">
        <f>IF($J63="","",IFERROR(INDEX(Stu_ContactReq,MATCH(C63,Stu_ID,0)),""))</f>
        <v/>
      </c>
      <c r="I63" s="107">
        <f>IF($J63="","",IFERROR(INDEX(Stu_Notes,MATCH(C63,Stu_ID,0)),""))</f>
        <v/>
      </c>
      <c r="J63" s="40">
        <f>IF(58&gt;$B$3,"",IFERROR(MATCH(58-1,EV_Seq,1)+1,1))</f>
        <v/>
      </c>
    </row>
    <row r="64">
      <c r="A64" s="105">
        <f>IF($J64="","",INDEX(EV_Date,$J64))</f>
        <v/>
      </c>
      <c r="B64" s="78">
        <f>IF($J64="","",INDEX(EV_Name,$J64))</f>
        <v/>
      </c>
      <c r="C64" s="106">
        <f>IF($J64="","",INDEX(EV_ID,$J64))</f>
        <v/>
      </c>
      <c r="D64" s="106">
        <f>IF($J64="","",INDEX(EV_Class,$J64))</f>
        <v/>
      </c>
      <c r="E64" s="106">
        <f>IF($J64="","",INDEX(EV_Type,$J64))</f>
        <v/>
      </c>
      <c r="F64" s="106">
        <f>IF($J64="","",INDEX(EV_Cum,$J64))</f>
        <v/>
      </c>
      <c r="G64" s="106">
        <f>IF($J64="","",INDEX(LevelLabels,MATCH(F64,LevelValues,1)))</f>
        <v/>
      </c>
      <c r="H64" s="106">
        <f>IF($J64="","",IFERROR(INDEX(Stu_ContactReq,MATCH(C64,Stu_ID,0)),""))</f>
        <v/>
      </c>
      <c r="I64" s="107">
        <f>IF($J64="","",IFERROR(INDEX(Stu_Notes,MATCH(C64,Stu_ID,0)),""))</f>
        <v/>
      </c>
      <c r="J64" s="40">
        <f>IF(59&gt;$B$3,"",IFERROR(MATCH(59-1,EV_Seq,1)+1,1))</f>
        <v/>
      </c>
    </row>
    <row r="65">
      <c r="A65" s="105">
        <f>IF($J65="","",INDEX(EV_Date,$J65))</f>
        <v/>
      </c>
      <c r="B65" s="78">
        <f>IF($J65="","",INDEX(EV_Name,$J65))</f>
        <v/>
      </c>
      <c r="C65" s="106">
        <f>IF($J65="","",INDEX(EV_ID,$J65))</f>
        <v/>
      </c>
      <c r="D65" s="106">
        <f>IF($J65="","",INDEX(EV_Class,$J65))</f>
        <v/>
      </c>
      <c r="E65" s="106">
        <f>IF($J65="","",INDEX(EV_Type,$J65))</f>
        <v/>
      </c>
      <c r="F65" s="106">
        <f>IF($J65="","",INDEX(EV_Cum,$J65))</f>
        <v/>
      </c>
      <c r="G65" s="106">
        <f>IF($J65="","",INDEX(LevelLabels,MATCH(F65,LevelValues,1)))</f>
        <v/>
      </c>
      <c r="H65" s="106">
        <f>IF($J65="","",IFERROR(INDEX(Stu_ContactReq,MATCH(C65,Stu_ID,0)),""))</f>
        <v/>
      </c>
      <c r="I65" s="107">
        <f>IF($J65="","",IFERROR(INDEX(Stu_Notes,MATCH(C65,Stu_ID,0)),""))</f>
        <v/>
      </c>
      <c r="J65" s="40">
        <f>IF(60&gt;$B$3,"",IFERROR(MATCH(60-1,EV_Seq,1)+1,1))</f>
        <v/>
      </c>
    </row>
    <row r="66">
      <c r="A66" s="105">
        <f>IF($J66="","",INDEX(EV_Date,$J66))</f>
        <v/>
      </c>
      <c r="B66" s="78">
        <f>IF($J66="","",INDEX(EV_Name,$J66))</f>
        <v/>
      </c>
      <c r="C66" s="106">
        <f>IF($J66="","",INDEX(EV_ID,$J66))</f>
        <v/>
      </c>
      <c r="D66" s="106">
        <f>IF($J66="","",INDEX(EV_Class,$J66))</f>
        <v/>
      </c>
      <c r="E66" s="106">
        <f>IF($J66="","",INDEX(EV_Type,$J66))</f>
        <v/>
      </c>
      <c r="F66" s="106">
        <f>IF($J66="","",INDEX(EV_Cum,$J66))</f>
        <v/>
      </c>
      <c r="G66" s="106">
        <f>IF($J66="","",INDEX(LevelLabels,MATCH(F66,LevelValues,1)))</f>
        <v/>
      </c>
      <c r="H66" s="106">
        <f>IF($J66="","",IFERROR(INDEX(Stu_ContactReq,MATCH(C66,Stu_ID,0)),""))</f>
        <v/>
      </c>
      <c r="I66" s="107">
        <f>IF($J66="","",IFERROR(INDEX(Stu_Notes,MATCH(C66,Stu_ID,0)),""))</f>
        <v/>
      </c>
      <c r="J66" s="40">
        <f>IF(61&gt;$B$3,"",IFERROR(MATCH(61-1,EV_Seq,1)+1,1))</f>
        <v/>
      </c>
    </row>
    <row r="67">
      <c r="A67" s="105">
        <f>IF($J67="","",INDEX(EV_Date,$J67))</f>
        <v/>
      </c>
      <c r="B67" s="78">
        <f>IF($J67="","",INDEX(EV_Name,$J67))</f>
        <v/>
      </c>
      <c r="C67" s="106">
        <f>IF($J67="","",INDEX(EV_ID,$J67))</f>
        <v/>
      </c>
      <c r="D67" s="106">
        <f>IF($J67="","",INDEX(EV_Class,$J67))</f>
        <v/>
      </c>
      <c r="E67" s="106">
        <f>IF($J67="","",INDEX(EV_Type,$J67))</f>
        <v/>
      </c>
      <c r="F67" s="106">
        <f>IF($J67="","",INDEX(EV_Cum,$J67))</f>
        <v/>
      </c>
      <c r="G67" s="106">
        <f>IF($J67="","",INDEX(LevelLabels,MATCH(F67,LevelValues,1)))</f>
        <v/>
      </c>
      <c r="H67" s="106">
        <f>IF($J67="","",IFERROR(INDEX(Stu_ContactReq,MATCH(C67,Stu_ID,0)),""))</f>
        <v/>
      </c>
      <c r="I67" s="107">
        <f>IF($J67="","",IFERROR(INDEX(Stu_Notes,MATCH(C67,Stu_ID,0)),""))</f>
        <v/>
      </c>
      <c r="J67" s="40">
        <f>IF(62&gt;$B$3,"",IFERROR(MATCH(62-1,EV_Seq,1)+1,1))</f>
        <v/>
      </c>
    </row>
    <row r="68">
      <c r="A68" s="105">
        <f>IF($J68="","",INDEX(EV_Date,$J68))</f>
        <v/>
      </c>
      <c r="B68" s="78">
        <f>IF($J68="","",INDEX(EV_Name,$J68))</f>
        <v/>
      </c>
      <c r="C68" s="106">
        <f>IF($J68="","",INDEX(EV_ID,$J68))</f>
        <v/>
      </c>
      <c r="D68" s="106">
        <f>IF($J68="","",INDEX(EV_Class,$J68))</f>
        <v/>
      </c>
      <c r="E68" s="106">
        <f>IF($J68="","",INDEX(EV_Type,$J68))</f>
        <v/>
      </c>
      <c r="F68" s="106">
        <f>IF($J68="","",INDEX(EV_Cum,$J68))</f>
        <v/>
      </c>
      <c r="G68" s="106">
        <f>IF($J68="","",INDEX(LevelLabels,MATCH(F68,LevelValues,1)))</f>
        <v/>
      </c>
      <c r="H68" s="106">
        <f>IF($J68="","",IFERROR(INDEX(Stu_ContactReq,MATCH(C68,Stu_ID,0)),""))</f>
        <v/>
      </c>
      <c r="I68" s="107">
        <f>IF($J68="","",IFERROR(INDEX(Stu_Notes,MATCH(C68,Stu_ID,0)),""))</f>
        <v/>
      </c>
      <c r="J68" s="40">
        <f>IF(63&gt;$B$3,"",IFERROR(MATCH(63-1,EV_Seq,1)+1,1))</f>
        <v/>
      </c>
    </row>
    <row r="69">
      <c r="A69" s="105">
        <f>IF($J69="","",INDEX(EV_Date,$J69))</f>
        <v/>
      </c>
      <c r="B69" s="78">
        <f>IF($J69="","",INDEX(EV_Name,$J69))</f>
        <v/>
      </c>
      <c r="C69" s="106">
        <f>IF($J69="","",INDEX(EV_ID,$J69))</f>
        <v/>
      </c>
      <c r="D69" s="106">
        <f>IF($J69="","",INDEX(EV_Class,$J69))</f>
        <v/>
      </c>
      <c r="E69" s="106">
        <f>IF($J69="","",INDEX(EV_Type,$J69))</f>
        <v/>
      </c>
      <c r="F69" s="106">
        <f>IF($J69="","",INDEX(EV_Cum,$J69))</f>
        <v/>
      </c>
      <c r="G69" s="106">
        <f>IF($J69="","",INDEX(LevelLabels,MATCH(F69,LevelValues,1)))</f>
        <v/>
      </c>
      <c r="H69" s="106">
        <f>IF($J69="","",IFERROR(INDEX(Stu_ContactReq,MATCH(C69,Stu_ID,0)),""))</f>
        <v/>
      </c>
      <c r="I69" s="107">
        <f>IF($J69="","",IFERROR(INDEX(Stu_Notes,MATCH(C69,Stu_ID,0)),""))</f>
        <v/>
      </c>
      <c r="J69" s="40">
        <f>IF(64&gt;$B$3,"",IFERROR(MATCH(64-1,EV_Seq,1)+1,1))</f>
        <v/>
      </c>
    </row>
    <row r="70">
      <c r="A70" s="105">
        <f>IF($J70="","",INDEX(EV_Date,$J70))</f>
        <v/>
      </c>
      <c r="B70" s="78">
        <f>IF($J70="","",INDEX(EV_Name,$J70))</f>
        <v/>
      </c>
      <c r="C70" s="106">
        <f>IF($J70="","",INDEX(EV_ID,$J70))</f>
        <v/>
      </c>
      <c r="D70" s="106">
        <f>IF($J70="","",INDEX(EV_Class,$J70))</f>
        <v/>
      </c>
      <c r="E70" s="106">
        <f>IF($J70="","",INDEX(EV_Type,$J70))</f>
        <v/>
      </c>
      <c r="F70" s="106">
        <f>IF($J70="","",INDEX(EV_Cum,$J70))</f>
        <v/>
      </c>
      <c r="G70" s="106">
        <f>IF($J70="","",INDEX(LevelLabels,MATCH(F70,LevelValues,1)))</f>
        <v/>
      </c>
      <c r="H70" s="106">
        <f>IF($J70="","",IFERROR(INDEX(Stu_ContactReq,MATCH(C70,Stu_ID,0)),""))</f>
        <v/>
      </c>
      <c r="I70" s="107">
        <f>IF($J70="","",IFERROR(INDEX(Stu_Notes,MATCH(C70,Stu_ID,0)),""))</f>
        <v/>
      </c>
      <c r="J70" s="40">
        <f>IF(65&gt;$B$3,"",IFERROR(MATCH(65-1,EV_Seq,1)+1,1))</f>
        <v/>
      </c>
    </row>
    <row r="71">
      <c r="A71" s="105">
        <f>IF($J71="","",INDEX(EV_Date,$J71))</f>
        <v/>
      </c>
      <c r="B71" s="78">
        <f>IF($J71="","",INDEX(EV_Name,$J71))</f>
        <v/>
      </c>
      <c r="C71" s="106">
        <f>IF($J71="","",INDEX(EV_ID,$J71))</f>
        <v/>
      </c>
      <c r="D71" s="106">
        <f>IF($J71="","",INDEX(EV_Class,$J71))</f>
        <v/>
      </c>
      <c r="E71" s="106">
        <f>IF($J71="","",INDEX(EV_Type,$J71))</f>
        <v/>
      </c>
      <c r="F71" s="106">
        <f>IF($J71="","",INDEX(EV_Cum,$J71))</f>
        <v/>
      </c>
      <c r="G71" s="106">
        <f>IF($J71="","",INDEX(LevelLabels,MATCH(F71,LevelValues,1)))</f>
        <v/>
      </c>
      <c r="H71" s="106">
        <f>IF($J71="","",IFERROR(INDEX(Stu_ContactReq,MATCH(C71,Stu_ID,0)),""))</f>
        <v/>
      </c>
      <c r="I71" s="107">
        <f>IF($J71="","",IFERROR(INDEX(Stu_Notes,MATCH(C71,Stu_ID,0)),""))</f>
        <v/>
      </c>
      <c r="J71" s="40">
        <f>IF(66&gt;$B$3,"",IFERROR(MATCH(66-1,EV_Seq,1)+1,1))</f>
        <v/>
      </c>
    </row>
    <row r="72">
      <c r="A72" s="105">
        <f>IF($J72="","",INDEX(EV_Date,$J72))</f>
        <v/>
      </c>
      <c r="B72" s="78">
        <f>IF($J72="","",INDEX(EV_Name,$J72))</f>
        <v/>
      </c>
      <c r="C72" s="106">
        <f>IF($J72="","",INDEX(EV_ID,$J72))</f>
        <v/>
      </c>
      <c r="D72" s="106">
        <f>IF($J72="","",INDEX(EV_Class,$J72))</f>
        <v/>
      </c>
      <c r="E72" s="106">
        <f>IF($J72="","",INDEX(EV_Type,$J72))</f>
        <v/>
      </c>
      <c r="F72" s="106">
        <f>IF($J72="","",INDEX(EV_Cum,$J72))</f>
        <v/>
      </c>
      <c r="G72" s="106">
        <f>IF($J72="","",INDEX(LevelLabels,MATCH(F72,LevelValues,1)))</f>
        <v/>
      </c>
      <c r="H72" s="106">
        <f>IF($J72="","",IFERROR(INDEX(Stu_ContactReq,MATCH(C72,Stu_ID,0)),""))</f>
        <v/>
      </c>
      <c r="I72" s="107">
        <f>IF($J72="","",IFERROR(INDEX(Stu_Notes,MATCH(C72,Stu_ID,0)),""))</f>
        <v/>
      </c>
      <c r="J72" s="40">
        <f>IF(67&gt;$B$3,"",IFERROR(MATCH(67-1,EV_Seq,1)+1,1))</f>
        <v/>
      </c>
    </row>
    <row r="73">
      <c r="A73" s="105">
        <f>IF($J73="","",INDEX(EV_Date,$J73))</f>
        <v/>
      </c>
      <c r="B73" s="78">
        <f>IF($J73="","",INDEX(EV_Name,$J73))</f>
        <v/>
      </c>
      <c r="C73" s="106">
        <f>IF($J73="","",INDEX(EV_ID,$J73))</f>
        <v/>
      </c>
      <c r="D73" s="106">
        <f>IF($J73="","",INDEX(EV_Class,$J73))</f>
        <v/>
      </c>
      <c r="E73" s="106">
        <f>IF($J73="","",INDEX(EV_Type,$J73))</f>
        <v/>
      </c>
      <c r="F73" s="106">
        <f>IF($J73="","",INDEX(EV_Cum,$J73))</f>
        <v/>
      </c>
      <c r="G73" s="106">
        <f>IF($J73="","",INDEX(LevelLabels,MATCH(F73,LevelValues,1)))</f>
        <v/>
      </c>
      <c r="H73" s="106">
        <f>IF($J73="","",IFERROR(INDEX(Stu_ContactReq,MATCH(C73,Stu_ID,0)),""))</f>
        <v/>
      </c>
      <c r="I73" s="107">
        <f>IF($J73="","",IFERROR(INDEX(Stu_Notes,MATCH(C73,Stu_ID,0)),""))</f>
        <v/>
      </c>
      <c r="J73" s="40">
        <f>IF(68&gt;$B$3,"",IFERROR(MATCH(68-1,EV_Seq,1)+1,1))</f>
        <v/>
      </c>
    </row>
    <row r="74">
      <c r="A74" s="105">
        <f>IF($J74="","",INDEX(EV_Date,$J74))</f>
        <v/>
      </c>
      <c r="B74" s="78">
        <f>IF($J74="","",INDEX(EV_Name,$J74))</f>
        <v/>
      </c>
      <c r="C74" s="106">
        <f>IF($J74="","",INDEX(EV_ID,$J74))</f>
        <v/>
      </c>
      <c r="D74" s="106">
        <f>IF($J74="","",INDEX(EV_Class,$J74))</f>
        <v/>
      </c>
      <c r="E74" s="106">
        <f>IF($J74="","",INDEX(EV_Type,$J74))</f>
        <v/>
      </c>
      <c r="F74" s="106">
        <f>IF($J74="","",INDEX(EV_Cum,$J74))</f>
        <v/>
      </c>
      <c r="G74" s="106">
        <f>IF($J74="","",INDEX(LevelLabels,MATCH(F74,LevelValues,1)))</f>
        <v/>
      </c>
      <c r="H74" s="106">
        <f>IF($J74="","",IFERROR(INDEX(Stu_ContactReq,MATCH(C74,Stu_ID,0)),""))</f>
        <v/>
      </c>
      <c r="I74" s="107">
        <f>IF($J74="","",IFERROR(INDEX(Stu_Notes,MATCH(C74,Stu_ID,0)),""))</f>
        <v/>
      </c>
      <c r="J74" s="40">
        <f>IF(69&gt;$B$3,"",IFERROR(MATCH(69-1,EV_Seq,1)+1,1))</f>
        <v/>
      </c>
    </row>
    <row r="75">
      <c r="A75" s="105">
        <f>IF($J75="","",INDEX(EV_Date,$J75))</f>
        <v/>
      </c>
      <c r="B75" s="78">
        <f>IF($J75="","",INDEX(EV_Name,$J75))</f>
        <v/>
      </c>
      <c r="C75" s="106">
        <f>IF($J75="","",INDEX(EV_ID,$J75))</f>
        <v/>
      </c>
      <c r="D75" s="106">
        <f>IF($J75="","",INDEX(EV_Class,$J75))</f>
        <v/>
      </c>
      <c r="E75" s="106">
        <f>IF($J75="","",INDEX(EV_Type,$J75))</f>
        <v/>
      </c>
      <c r="F75" s="106">
        <f>IF($J75="","",INDEX(EV_Cum,$J75))</f>
        <v/>
      </c>
      <c r="G75" s="106">
        <f>IF($J75="","",INDEX(LevelLabels,MATCH(F75,LevelValues,1)))</f>
        <v/>
      </c>
      <c r="H75" s="106">
        <f>IF($J75="","",IFERROR(INDEX(Stu_ContactReq,MATCH(C75,Stu_ID,0)),""))</f>
        <v/>
      </c>
      <c r="I75" s="107">
        <f>IF($J75="","",IFERROR(INDEX(Stu_Notes,MATCH(C75,Stu_ID,0)),""))</f>
        <v/>
      </c>
      <c r="J75" s="40">
        <f>IF(70&gt;$B$3,"",IFERROR(MATCH(70-1,EV_Seq,1)+1,1))</f>
        <v/>
      </c>
    </row>
    <row r="76">
      <c r="A76" s="105">
        <f>IF($J76="","",INDEX(EV_Date,$J76))</f>
        <v/>
      </c>
      <c r="B76" s="78">
        <f>IF($J76="","",INDEX(EV_Name,$J76))</f>
        <v/>
      </c>
      <c r="C76" s="106">
        <f>IF($J76="","",INDEX(EV_ID,$J76))</f>
        <v/>
      </c>
      <c r="D76" s="106">
        <f>IF($J76="","",INDEX(EV_Class,$J76))</f>
        <v/>
      </c>
      <c r="E76" s="106">
        <f>IF($J76="","",INDEX(EV_Type,$J76))</f>
        <v/>
      </c>
      <c r="F76" s="106">
        <f>IF($J76="","",INDEX(EV_Cum,$J76))</f>
        <v/>
      </c>
      <c r="G76" s="106">
        <f>IF($J76="","",INDEX(LevelLabels,MATCH(F76,LevelValues,1)))</f>
        <v/>
      </c>
      <c r="H76" s="106">
        <f>IF($J76="","",IFERROR(INDEX(Stu_ContactReq,MATCH(C76,Stu_ID,0)),""))</f>
        <v/>
      </c>
      <c r="I76" s="107">
        <f>IF($J76="","",IFERROR(INDEX(Stu_Notes,MATCH(C76,Stu_ID,0)),""))</f>
        <v/>
      </c>
      <c r="J76" s="40">
        <f>IF(71&gt;$B$3,"",IFERROR(MATCH(71-1,EV_Seq,1)+1,1))</f>
        <v/>
      </c>
    </row>
    <row r="77">
      <c r="A77" s="105">
        <f>IF($J77="","",INDEX(EV_Date,$J77))</f>
        <v/>
      </c>
      <c r="B77" s="78">
        <f>IF($J77="","",INDEX(EV_Name,$J77))</f>
        <v/>
      </c>
      <c r="C77" s="106">
        <f>IF($J77="","",INDEX(EV_ID,$J77))</f>
        <v/>
      </c>
      <c r="D77" s="106">
        <f>IF($J77="","",INDEX(EV_Class,$J77))</f>
        <v/>
      </c>
      <c r="E77" s="106">
        <f>IF($J77="","",INDEX(EV_Type,$J77))</f>
        <v/>
      </c>
      <c r="F77" s="106">
        <f>IF($J77="","",INDEX(EV_Cum,$J77))</f>
        <v/>
      </c>
      <c r="G77" s="106">
        <f>IF($J77="","",INDEX(LevelLabels,MATCH(F77,LevelValues,1)))</f>
        <v/>
      </c>
      <c r="H77" s="106">
        <f>IF($J77="","",IFERROR(INDEX(Stu_ContactReq,MATCH(C77,Stu_ID,0)),""))</f>
        <v/>
      </c>
      <c r="I77" s="107">
        <f>IF($J77="","",IFERROR(INDEX(Stu_Notes,MATCH(C77,Stu_ID,0)),""))</f>
        <v/>
      </c>
      <c r="J77" s="40">
        <f>IF(72&gt;$B$3,"",IFERROR(MATCH(72-1,EV_Seq,1)+1,1))</f>
        <v/>
      </c>
    </row>
    <row r="78">
      <c r="A78" s="105">
        <f>IF($J78="","",INDEX(EV_Date,$J78))</f>
        <v/>
      </c>
      <c r="B78" s="78">
        <f>IF($J78="","",INDEX(EV_Name,$J78))</f>
        <v/>
      </c>
      <c r="C78" s="106">
        <f>IF($J78="","",INDEX(EV_ID,$J78))</f>
        <v/>
      </c>
      <c r="D78" s="106">
        <f>IF($J78="","",INDEX(EV_Class,$J78))</f>
        <v/>
      </c>
      <c r="E78" s="106">
        <f>IF($J78="","",INDEX(EV_Type,$J78))</f>
        <v/>
      </c>
      <c r="F78" s="106">
        <f>IF($J78="","",INDEX(EV_Cum,$J78))</f>
        <v/>
      </c>
      <c r="G78" s="106">
        <f>IF($J78="","",INDEX(LevelLabels,MATCH(F78,LevelValues,1)))</f>
        <v/>
      </c>
      <c r="H78" s="106">
        <f>IF($J78="","",IFERROR(INDEX(Stu_ContactReq,MATCH(C78,Stu_ID,0)),""))</f>
        <v/>
      </c>
      <c r="I78" s="107">
        <f>IF($J78="","",IFERROR(INDEX(Stu_Notes,MATCH(C78,Stu_ID,0)),""))</f>
        <v/>
      </c>
      <c r="J78" s="40">
        <f>IF(73&gt;$B$3,"",IFERROR(MATCH(73-1,EV_Seq,1)+1,1))</f>
        <v/>
      </c>
    </row>
    <row r="79">
      <c r="A79" s="105">
        <f>IF($J79="","",INDEX(EV_Date,$J79))</f>
        <v/>
      </c>
      <c r="B79" s="78">
        <f>IF($J79="","",INDEX(EV_Name,$J79))</f>
        <v/>
      </c>
      <c r="C79" s="106">
        <f>IF($J79="","",INDEX(EV_ID,$J79))</f>
        <v/>
      </c>
      <c r="D79" s="106">
        <f>IF($J79="","",INDEX(EV_Class,$J79))</f>
        <v/>
      </c>
      <c r="E79" s="106">
        <f>IF($J79="","",INDEX(EV_Type,$J79))</f>
        <v/>
      </c>
      <c r="F79" s="106">
        <f>IF($J79="","",INDEX(EV_Cum,$J79))</f>
        <v/>
      </c>
      <c r="G79" s="106">
        <f>IF($J79="","",INDEX(LevelLabels,MATCH(F79,LevelValues,1)))</f>
        <v/>
      </c>
      <c r="H79" s="106">
        <f>IF($J79="","",IFERROR(INDEX(Stu_ContactReq,MATCH(C79,Stu_ID,0)),""))</f>
        <v/>
      </c>
      <c r="I79" s="107">
        <f>IF($J79="","",IFERROR(INDEX(Stu_Notes,MATCH(C79,Stu_ID,0)),""))</f>
        <v/>
      </c>
      <c r="J79" s="40">
        <f>IF(74&gt;$B$3,"",IFERROR(MATCH(74-1,EV_Seq,1)+1,1))</f>
        <v/>
      </c>
    </row>
    <row r="80">
      <c r="A80" s="105">
        <f>IF($J80="","",INDEX(EV_Date,$J80))</f>
        <v/>
      </c>
      <c r="B80" s="78">
        <f>IF($J80="","",INDEX(EV_Name,$J80))</f>
        <v/>
      </c>
      <c r="C80" s="106">
        <f>IF($J80="","",INDEX(EV_ID,$J80))</f>
        <v/>
      </c>
      <c r="D80" s="106">
        <f>IF($J80="","",INDEX(EV_Class,$J80))</f>
        <v/>
      </c>
      <c r="E80" s="106">
        <f>IF($J80="","",INDEX(EV_Type,$J80))</f>
        <v/>
      </c>
      <c r="F80" s="106">
        <f>IF($J80="","",INDEX(EV_Cum,$J80))</f>
        <v/>
      </c>
      <c r="G80" s="106">
        <f>IF($J80="","",INDEX(LevelLabels,MATCH(F80,LevelValues,1)))</f>
        <v/>
      </c>
      <c r="H80" s="106">
        <f>IF($J80="","",IFERROR(INDEX(Stu_ContactReq,MATCH(C80,Stu_ID,0)),""))</f>
        <v/>
      </c>
      <c r="I80" s="107">
        <f>IF($J80="","",IFERROR(INDEX(Stu_Notes,MATCH(C80,Stu_ID,0)),""))</f>
        <v/>
      </c>
      <c r="J80" s="40">
        <f>IF(75&gt;$B$3,"",IFERROR(MATCH(75-1,EV_Seq,1)+1,1))</f>
        <v/>
      </c>
    </row>
    <row r="81">
      <c r="A81" s="105">
        <f>IF($J81="","",INDEX(EV_Date,$J81))</f>
        <v/>
      </c>
      <c r="B81" s="78">
        <f>IF($J81="","",INDEX(EV_Name,$J81))</f>
        <v/>
      </c>
      <c r="C81" s="106">
        <f>IF($J81="","",INDEX(EV_ID,$J81))</f>
        <v/>
      </c>
      <c r="D81" s="106">
        <f>IF($J81="","",INDEX(EV_Class,$J81))</f>
        <v/>
      </c>
      <c r="E81" s="106">
        <f>IF($J81="","",INDEX(EV_Type,$J81))</f>
        <v/>
      </c>
      <c r="F81" s="106">
        <f>IF($J81="","",INDEX(EV_Cum,$J81))</f>
        <v/>
      </c>
      <c r="G81" s="106">
        <f>IF($J81="","",INDEX(LevelLabels,MATCH(F81,LevelValues,1)))</f>
        <v/>
      </c>
      <c r="H81" s="106">
        <f>IF($J81="","",IFERROR(INDEX(Stu_ContactReq,MATCH(C81,Stu_ID,0)),""))</f>
        <v/>
      </c>
      <c r="I81" s="107">
        <f>IF($J81="","",IFERROR(INDEX(Stu_Notes,MATCH(C81,Stu_ID,0)),""))</f>
        <v/>
      </c>
      <c r="J81" s="40">
        <f>IF(76&gt;$B$3,"",IFERROR(MATCH(76-1,EV_Seq,1)+1,1))</f>
        <v/>
      </c>
    </row>
    <row r="82">
      <c r="A82" s="105">
        <f>IF($J82="","",INDEX(EV_Date,$J82))</f>
        <v/>
      </c>
      <c r="B82" s="78">
        <f>IF($J82="","",INDEX(EV_Name,$J82))</f>
        <v/>
      </c>
      <c r="C82" s="106">
        <f>IF($J82="","",INDEX(EV_ID,$J82))</f>
        <v/>
      </c>
      <c r="D82" s="106">
        <f>IF($J82="","",INDEX(EV_Class,$J82))</f>
        <v/>
      </c>
      <c r="E82" s="106">
        <f>IF($J82="","",INDEX(EV_Type,$J82))</f>
        <v/>
      </c>
      <c r="F82" s="106">
        <f>IF($J82="","",INDEX(EV_Cum,$J82))</f>
        <v/>
      </c>
      <c r="G82" s="106">
        <f>IF($J82="","",INDEX(LevelLabels,MATCH(F82,LevelValues,1)))</f>
        <v/>
      </c>
      <c r="H82" s="106">
        <f>IF($J82="","",IFERROR(INDEX(Stu_ContactReq,MATCH(C82,Stu_ID,0)),""))</f>
        <v/>
      </c>
      <c r="I82" s="107">
        <f>IF($J82="","",IFERROR(INDEX(Stu_Notes,MATCH(C82,Stu_ID,0)),""))</f>
        <v/>
      </c>
      <c r="J82" s="40">
        <f>IF(77&gt;$B$3,"",IFERROR(MATCH(77-1,EV_Seq,1)+1,1))</f>
        <v/>
      </c>
    </row>
    <row r="83">
      <c r="A83" s="105">
        <f>IF($J83="","",INDEX(EV_Date,$J83))</f>
        <v/>
      </c>
      <c r="B83" s="78">
        <f>IF($J83="","",INDEX(EV_Name,$J83))</f>
        <v/>
      </c>
      <c r="C83" s="106">
        <f>IF($J83="","",INDEX(EV_ID,$J83))</f>
        <v/>
      </c>
      <c r="D83" s="106">
        <f>IF($J83="","",INDEX(EV_Class,$J83))</f>
        <v/>
      </c>
      <c r="E83" s="106">
        <f>IF($J83="","",INDEX(EV_Type,$J83))</f>
        <v/>
      </c>
      <c r="F83" s="106">
        <f>IF($J83="","",INDEX(EV_Cum,$J83))</f>
        <v/>
      </c>
      <c r="G83" s="106">
        <f>IF($J83="","",INDEX(LevelLabels,MATCH(F83,LevelValues,1)))</f>
        <v/>
      </c>
      <c r="H83" s="106">
        <f>IF($J83="","",IFERROR(INDEX(Stu_ContactReq,MATCH(C83,Stu_ID,0)),""))</f>
        <v/>
      </c>
      <c r="I83" s="107">
        <f>IF($J83="","",IFERROR(INDEX(Stu_Notes,MATCH(C83,Stu_ID,0)),""))</f>
        <v/>
      </c>
      <c r="J83" s="40">
        <f>IF(78&gt;$B$3,"",IFERROR(MATCH(78-1,EV_Seq,1)+1,1))</f>
        <v/>
      </c>
    </row>
    <row r="84">
      <c r="A84" s="105">
        <f>IF($J84="","",INDEX(EV_Date,$J84))</f>
        <v/>
      </c>
      <c r="B84" s="78">
        <f>IF($J84="","",INDEX(EV_Name,$J84))</f>
        <v/>
      </c>
      <c r="C84" s="106">
        <f>IF($J84="","",INDEX(EV_ID,$J84))</f>
        <v/>
      </c>
      <c r="D84" s="106">
        <f>IF($J84="","",INDEX(EV_Class,$J84))</f>
        <v/>
      </c>
      <c r="E84" s="106">
        <f>IF($J84="","",INDEX(EV_Type,$J84))</f>
        <v/>
      </c>
      <c r="F84" s="106">
        <f>IF($J84="","",INDEX(EV_Cum,$J84))</f>
        <v/>
      </c>
      <c r="G84" s="106">
        <f>IF($J84="","",INDEX(LevelLabels,MATCH(F84,LevelValues,1)))</f>
        <v/>
      </c>
      <c r="H84" s="106">
        <f>IF($J84="","",IFERROR(INDEX(Stu_ContactReq,MATCH(C84,Stu_ID,0)),""))</f>
        <v/>
      </c>
      <c r="I84" s="107">
        <f>IF($J84="","",IFERROR(INDEX(Stu_Notes,MATCH(C84,Stu_ID,0)),""))</f>
        <v/>
      </c>
      <c r="J84" s="40">
        <f>IF(79&gt;$B$3,"",IFERROR(MATCH(79-1,EV_Seq,1)+1,1))</f>
        <v/>
      </c>
    </row>
    <row r="85">
      <c r="A85" s="105">
        <f>IF($J85="","",INDEX(EV_Date,$J85))</f>
        <v/>
      </c>
      <c r="B85" s="78">
        <f>IF($J85="","",INDEX(EV_Name,$J85))</f>
        <v/>
      </c>
      <c r="C85" s="106">
        <f>IF($J85="","",INDEX(EV_ID,$J85))</f>
        <v/>
      </c>
      <c r="D85" s="106">
        <f>IF($J85="","",INDEX(EV_Class,$J85))</f>
        <v/>
      </c>
      <c r="E85" s="106">
        <f>IF($J85="","",INDEX(EV_Type,$J85))</f>
        <v/>
      </c>
      <c r="F85" s="106">
        <f>IF($J85="","",INDEX(EV_Cum,$J85))</f>
        <v/>
      </c>
      <c r="G85" s="106">
        <f>IF($J85="","",INDEX(LevelLabels,MATCH(F85,LevelValues,1)))</f>
        <v/>
      </c>
      <c r="H85" s="106">
        <f>IF($J85="","",IFERROR(INDEX(Stu_ContactReq,MATCH(C85,Stu_ID,0)),""))</f>
        <v/>
      </c>
      <c r="I85" s="107">
        <f>IF($J85="","",IFERROR(INDEX(Stu_Notes,MATCH(C85,Stu_ID,0)),""))</f>
        <v/>
      </c>
      <c r="J85" s="40">
        <f>IF(80&gt;$B$3,"",IFERROR(MATCH(80-1,EV_Seq,1)+1,1))</f>
        <v/>
      </c>
    </row>
    <row r="86">
      <c r="A86" s="105">
        <f>IF($J86="","",INDEX(EV_Date,$J86))</f>
        <v/>
      </c>
      <c r="B86" s="78">
        <f>IF($J86="","",INDEX(EV_Name,$J86))</f>
        <v/>
      </c>
      <c r="C86" s="106">
        <f>IF($J86="","",INDEX(EV_ID,$J86))</f>
        <v/>
      </c>
      <c r="D86" s="106">
        <f>IF($J86="","",INDEX(EV_Class,$J86))</f>
        <v/>
      </c>
      <c r="E86" s="106">
        <f>IF($J86="","",INDEX(EV_Type,$J86))</f>
        <v/>
      </c>
      <c r="F86" s="106">
        <f>IF($J86="","",INDEX(EV_Cum,$J86))</f>
        <v/>
      </c>
      <c r="G86" s="106">
        <f>IF($J86="","",INDEX(LevelLabels,MATCH(F86,LevelValues,1)))</f>
        <v/>
      </c>
      <c r="H86" s="106">
        <f>IF($J86="","",IFERROR(INDEX(Stu_ContactReq,MATCH(C86,Stu_ID,0)),""))</f>
        <v/>
      </c>
      <c r="I86" s="107">
        <f>IF($J86="","",IFERROR(INDEX(Stu_Notes,MATCH(C86,Stu_ID,0)),""))</f>
        <v/>
      </c>
      <c r="J86" s="40">
        <f>IF(81&gt;$B$3,"",IFERROR(MATCH(81-1,EV_Seq,1)+1,1))</f>
        <v/>
      </c>
    </row>
    <row r="87">
      <c r="A87" s="105">
        <f>IF($J87="","",INDEX(EV_Date,$J87))</f>
        <v/>
      </c>
      <c r="B87" s="78">
        <f>IF($J87="","",INDEX(EV_Name,$J87))</f>
        <v/>
      </c>
      <c r="C87" s="106">
        <f>IF($J87="","",INDEX(EV_ID,$J87))</f>
        <v/>
      </c>
      <c r="D87" s="106">
        <f>IF($J87="","",INDEX(EV_Class,$J87))</f>
        <v/>
      </c>
      <c r="E87" s="106">
        <f>IF($J87="","",INDEX(EV_Type,$J87))</f>
        <v/>
      </c>
      <c r="F87" s="106">
        <f>IF($J87="","",INDEX(EV_Cum,$J87))</f>
        <v/>
      </c>
      <c r="G87" s="106">
        <f>IF($J87="","",INDEX(LevelLabels,MATCH(F87,LevelValues,1)))</f>
        <v/>
      </c>
      <c r="H87" s="106">
        <f>IF($J87="","",IFERROR(INDEX(Stu_ContactReq,MATCH(C87,Stu_ID,0)),""))</f>
        <v/>
      </c>
      <c r="I87" s="107">
        <f>IF($J87="","",IFERROR(INDEX(Stu_Notes,MATCH(C87,Stu_ID,0)),""))</f>
        <v/>
      </c>
      <c r="J87" s="40">
        <f>IF(82&gt;$B$3,"",IFERROR(MATCH(82-1,EV_Seq,1)+1,1))</f>
        <v/>
      </c>
    </row>
    <row r="88">
      <c r="A88" s="105">
        <f>IF($J88="","",INDEX(EV_Date,$J88))</f>
        <v/>
      </c>
      <c r="B88" s="78">
        <f>IF($J88="","",INDEX(EV_Name,$J88))</f>
        <v/>
      </c>
      <c r="C88" s="106">
        <f>IF($J88="","",INDEX(EV_ID,$J88))</f>
        <v/>
      </c>
      <c r="D88" s="106">
        <f>IF($J88="","",INDEX(EV_Class,$J88))</f>
        <v/>
      </c>
      <c r="E88" s="106">
        <f>IF($J88="","",INDEX(EV_Type,$J88))</f>
        <v/>
      </c>
      <c r="F88" s="106">
        <f>IF($J88="","",INDEX(EV_Cum,$J88))</f>
        <v/>
      </c>
      <c r="G88" s="106">
        <f>IF($J88="","",INDEX(LevelLabels,MATCH(F88,LevelValues,1)))</f>
        <v/>
      </c>
      <c r="H88" s="106">
        <f>IF($J88="","",IFERROR(INDEX(Stu_ContactReq,MATCH(C88,Stu_ID,0)),""))</f>
        <v/>
      </c>
      <c r="I88" s="107">
        <f>IF($J88="","",IFERROR(INDEX(Stu_Notes,MATCH(C88,Stu_ID,0)),""))</f>
        <v/>
      </c>
      <c r="J88" s="40">
        <f>IF(83&gt;$B$3,"",IFERROR(MATCH(83-1,EV_Seq,1)+1,1))</f>
        <v/>
      </c>
    </row>
    <row r="89">
      <c r="A89" s="105">
        <f>IF($J89="","",INDEX(EV_Date,$J89))</f>
        <v/>
      </c>
      <c r="B89" s="78">
        <f>IF($J89="","",INDEX(EV_Name,$J89))</f>
        <v/>
      </c>
      <c r="C89" s="106">
        <f>IF($J89="","",INDEX(EV_ID,$J89))</f>
        <v/>
      </c>
      <c r="D89" s="106">
        <f>IF($J89="","",INDEX(EV_Class,$J89))</f>
        <v/>
      </c>
      <c r="E89" s="106">
        <f>IF($J89="","",INDEX(EV_Type,$J89))</f>
        <v/>
      </c>
      <c r="F89" s="106">
        <f>IF($J89="","",INDEX(EV_Cum,$J89))</f>
        <v/>
      </c>
      <c r="G89" s="106">
        <f>IF($J89="","",INDEX(LevelLabels,MATCH(F89,LevelValues,1)))</f>
        <v/>
      </c>
      <c r="H89" s="106">
        <f>IF($J89="","",IFERROR(INDEX(Stu_ContactReq,MATCH(C89,Stu_ID,0)),""))</f>
        <v/>
      </c>
      <c r="I89" s="107">
        <f>IF($J89="","",IFERROR(INDEX(Stu_Notes,MATCH(C89,Stu_ID,0)),""))</f>
        <v/>
      </c>
      <c r="J89" s="40">
        <f>IF(84&gt;$B$3,"",IFERROR(MATCH(84-1,EV_Seq,1)+1,1))</f>
        <v/>
      </c>
    </row>
    <row r="90">
      <c r="A90" s="105">
        <f>IF($J90="","",INDEX(EV_Date,$J90))</f>
        <v/>
      </c>
      <c r="B90" s="78">
        <f>IF($J90="","",INDEX(EV_Name,$J90))</f>
        <v/>
      </c>
      <c r="C90" s="106">
        <f>IF($J90="","",INDEX(EV_ID,$J90))</f>
        <v/>
      </c>
      <c r="D90" s="106">
        <f>IF($J90="","",INDEX(EV_Class,$J90))</f>
        <v/>
      </c>
      <c r="E90" s="106">
        <f>IF($J90="","",INDEX(EV_Type,$J90))</f>
        <v/>
      </c>
      <c r="F90" s="106">
        <f>IF($J90="","",INDEX(EV_Cum,$J90))</f>
        <v/>
      </c>
      <c r="G90" s="106">
        <f>IF($J90="","",INDEX(LevelLabels,MATCH(F90,LevelValues,1)))</f>
        <v/>
      </c>
      <c r="H90" s="106">
        <f>IF($J90="","",IFERROR(INDEX(Stu_ContactReq,MATCH(C90,Stu_ID,0)),""))</f>
        <v/>
      </c>
      <c r="I90" s="107">
        <f>IF($J90="","",IFERROR(INDEX(Stu_Notes,MATCH(C90,Stu_ID,0)),""))</f>
        <v/>
      </c>
      <c r="J90" s="40">
        <f>IF(85&gt;$B$3,"",IFERROR(MATCH(85-1,EV_Seq,1)+1,1))</f>
        <v/>
      </c>
    </row>
    <row r="91">
      <c r="A91" s="105">
        <f>IF($J91="","",INDEX(EV_Date,$J91))</f>
        <v/>
      </c>
      <c r="B91" s="78">
        <f>IF($J91="","",INDEX(EV_Name,$J91))</f>
        <v/>
      </c>
      <c r="C91" s="106">
        <f>IF($J91="","",INDEX(EV_ID,$J91))</f>
        <v/>
      </c>
      <c r="D91" s="106">
        <f>IF($J91="","",INDEX(EV_Class,$J91))</f>
        <v/>
      </c>
      <c r="E91" s="106">
        <f>IF($J91="","",INDEX(EV_Type,$J91))</f>
        <v/>
      </c>
      <c r="F91" s="106">
        <f>IF($J91="","",INDEX(EV_Cum,$J91))</f>
        <v/>
      </c>
      <c r="G91" s="106">
        <f>IF($J91="","",INDEX(LevelLabels,MATCH(F91,LevelValues,1)))</f>
        <v/>
      </c>
      <c r="H91" s="106">
        <f>IF($J91="","",IFERROR(INDEX(Stu_ContactReq,MATCH(C91,Stu_ID,0)),""))</f>
        <v/>
      </c>
      <c r="I91" s="107">
        <f>IF($J91="","",IFERROR(INDEX(Stu_Notes,MATCH(C91,Stu_ID,0)),""))</f>
        <v/>
      </c>
      <c r="J91" s="40">
        <f>IF(86&gt;$B$3,"",IFERROR(MATCH(86-1,EV_Seq,1)+1,1))</f>
        <v/>
      </c>
    </row>
    <row r="92">
      <c r="A92" s="105">
        <f>IF($J92="","",INDEX(EV_Date,$J92))</f>
        <v/>
      </c>
      <c r="B92" s="78">
        <f>IF($J92="","",INDEX(EV_Name,$J92))</f>
        <v/>
      </c>
      <c r="C92" s="106">
        <f>IF($J92="","",INDEX(EV_ID,$J92))</f>
        <v/>
      </c>
      <c r="D92" s="106">
        <f>IF($J92="","",INDEX(EV_Class,$J92))</f>
        <v/>
      </c>
      <c r="E92" s="106">
        <f>IF($J92="","",INDEX(EV_Type,$J92))</f>
        <v/>
      </c>
      <c r="F92" s="106">
        <f>IF($J92="","",INDEX(EV_Cum,$J92))</f>
        <v/>
      </c>
      <c r="G92" s="106">
        <f>IF($J92="","",INDEX(LevelLabels,MATCH(F92,LevelValues,1)))</f>
        <v/>
      </c>
      <c r="H92" s="106">
        <f>IF($J92="","",IFERROR(INDEX(Stu_ContactReq,MATCH(C92,Stu_ID,0)),""))</f>
        <v/>
      </c>
      <c r="I92" s="107">
        <f>IF($J92="","",IFERROR(INDEX(Stu_Notes,MATCH(C92,Stu_ID,0)),""))</f>
        <v/>
      </c>
      <c r="J92" s="40">
        <f>IF(87&gt;$B$3,"",IFERROR(MATCH(87-1,EV_Seq,1)+1,1))</f>
        <v/>
      </c>
    </row>
    <row r="93">
      <c r="A93" s="105">
        <f>IF($J93="","",INDEX(EV_Date,$J93))</f>
        <v/>
      </c>
      <c r="B93" s="78">
        <f>IF($J93="","",INDEX(EV_Name,$J93))</f>
        <v/>
      </c>
      <c r="C93" s="106">
        <f>IF($J93="","",INDEX(EV_ID,$J93))</f>
        <v/>
      </c>
      <c r="D93" s="106">
        <f>IF($J93="","",INDEX(EV_Class,$J93))</f>
        <v/>
      </c>
      <c r="E93" s="106">
        <f>IF($J93="","",INDEX(EV_Type,$J93))</f>
        <v/>
      </c>
      <c r="F93" s="106">
        <f>IF($J93="","",INDEX(EV_Cum,$J93))</f>
        <v/>
      </c>
      <c r="G93" s="106">
        <f>IF($J93="","",INDEX(LevelLabels,MATCH(F93,LevelValues,1)))</f>
        <v/>
      </c>
      <c r="H93" s="106">
        <f>IF($J93="","",IFERROR(INDEX(Stu_ContactReq,MATCH(C93,Stu_ID,0)),""))</f>
        <v/>
      </c>
      <c r="I93" s="107">
        <f>IF($J93="","",IFERROR(INDEX(Stu_Notes,MATCH(C93,Stu_ID,0)),""))</f>
        <v/>
      </c>
      <c r="J93" s="40">
        <f>IF(88&gt;$B$3,"",IFERROR(MATCH(88-1,EV_Seq,1)+1,1))</f>
        <v/>
      </c>
    </row>
    <row r="94">
      <c r="A94" s="105">
        <f>IF($J94="","",INDEX(EV_Date,$J94))</f>
        <v/>
      </c>
      <c r="B94" s="78">
        <f>IF($J94="","",INDEX(EV_Name,$J94))</f>
        <v/>
      </c>
      <c r="C94" s="106">
        <f>IF($J94="","",INDEX(EV_ID,$J94))</f>
        <v/>
      </c>
      <c r="D94" s="106">
        <f>IF($J94="","",INDEX(EV_Class,$J94))</f>
        <v/>
      </c>
      <c r="E94" s="106">
        <f>IF($J94="","",INDEX(EV_Type,$J94))</f>
        <v/>
      </c>
      <c r="F94" s="106">
        <f>IF($J94="","",INDEX(EV_Cum,$J94))</f>
        <v/>
      </c>
      <c r="G94" s="106">
        <f>IF($J94="","",INDEX(LevelLabels,MATCH(F94,LevelValues,1)))</f>
        <v/>
      </c>
      <c r="H94" s="106">
        <f>IF($J94="","",IFERROR(INDEX(Stu_ContactReq,MATCH(C94,Stu_ID,0)),""))</f>
        <v/>
      </c>
      <c r="I94" s="107">
        <f>IF($J94="","",IFERROR(INDEX(Stu_Notes,MATCH(C94,Stu_ID,0)),""))</f>
        <v/>
      </c>
      <c r="J94" s="40">
        <f>IF(89&gt;$B$3,"",IFERROR(MATCH(89-1,EV_Seq,1)+1,1))</f>
        <v/>
      </c>
    </row>
    <row r="95">
      <c r="A95" s="105">
        <f>IF($J95="","",INDEX(EV_Date,$J95))</f>
        <v/>
      </c>
      <c r="B95" s="78">
        <f>IF($J95="","",INDEX(EV_Name,$J95))</f>
        <v/>
      </c>
      <c r="C95" s="106">
        <f>IF($J95="","",INDEX(EV_ID,$J95))</f>
        <v/>
      </c>
      <c r="D95" s="106">
        <f>IF($J95="","",INDEX(EV_Class,$J95))</f>
        <v/>
      </c>
      <c r="E95" s="106">
        <f>IF($J95="","",INDEX(EV_Type,$J95))</f>
        <v/>
      </c>
      <c r="F95" s="106">
        <f>IF($J95="","",INDEX(EV_Cum,$J95))</f>
        <v/>
      </c>
      <c r="G95" s="106">
        <f>IF($J95="","",INDEX(LevelLabels,MATCH(F95,LevelValues,1)))</f>
        <v/>
      </c>
      <c r="H95" s="106">
        <f>IF($J95="","",IFERROR(INDEX(Stu_ContactReq,MATCH(C95,Stu_ID,0)),""))</f>
        <v/>
      </c>
      <c r="I95" s="107">
        <f>IF($J95="","",IFERROR(INDEX(Stu_Notes,MATCH(C95,Stu_ID,0)),""))</f>
        <v/>
      </c>
      <c r="J95" s="40">
        <f>IF(90&gt;$B$3,"",IFERROR(MATCH(90-1,EV_Seq,1)+1,1))</f>
        <v/>
      </c>
    </row>
    <row r="96">
      <c r="A96" s="105">
        <f>IF($J96="","",INDEX(EV_Date,$J96))</f>
        <v/>
      </c>
      <c r="B96" s="78">
        <f>IF($J96="","",INDEX(EV_Name,$J96))</f>
        <v/>
      </c>
      <c r="C96" s="106">
        <f>IF($J96="","",INDEX(EV_ID,$J96))</f>
        <v/>
      </c>
      <c r="D96" s="106">
        <f>IF($J96="","",INDEX(EV_Class,$J96))</f>
        <v/>
      </c>
      <c r="E96" s="106">
        <f>IF($J96="","",INDEX(EV_Type,$J96))</f>
        <v/>
      </c>
      <c r="F96" s="106">
        <f>IF($J96="","",INDEX(EV_Cum,$J96))</f>
        <v/>
      </c>
      <c r="G96" s="106">
        <f>IF($J96="","",INDEX(LevelLabels,MATCH(F96,LevelValues,1)))</f>
        <v/>
      </c>
      <c r="H96" s="106">
        <f>IF($J96="","",IFERROR(INDEX(Stu_ContactReq,MATCH(C96,Stu_ID,0)),""))</f>
        <v/>
      </c>
      <c r="I96" s="107">
        <f>IF($J96="","",IFERROR(INDEX(Stu_Notes,MATCH(C96,Stu_ID,0)),""))</f>
        <v/>
      </c>
      <c r="J96" s="40">
        <f>IF(91&gt;$B$3,"",IFERROR(MATCH(91-1,EV_Seq,1)+1,1))</f>
        <v/>
      </c>
    </row>
    <row r="97">
      <c r="A97" s="105">
        <f>IF($J97="","",INDEX(EV_Date,$J97))</f>
        <v/>
      </c>
      <c r="B97" s="78">
        <f>IF($J97="","",INDEX(EV_Name,$J97))</f>
        <v/>
      </c>
      <c r="C97" s="106">
        <f>IF($J97="","",INDEX(EV_ID,$J97))</f>
        <v/>
      </c>
      <c r="D97" s="106">
        <f>IF($J97="","",INDEX(EV_Class,$J97))</f>
        <v/>
      </c>
      <c r="E97" s="106">
        <f>IF($J97="","",INDEX(EV_Type,$J97))</f>
        <v/>
      </c>
      <c r="F97" s="106">
        <f>IF($J97="","",INDEX(EV_Cum,$J97))</f>
        <v/>
      </c>
      <c r="G97" s="106">
        <f>IF($J97="","",INDEX(LevelLabels,MATCH(F97,LevelValues,1)))</f>
        <v/>
      </c>
      <c r="H97" s="106">
        <f>IF($J97="","",IFERROR(INDEX(Stu_ContactReq,MATCH(C97,Stu_ID,0)),""))</f>
        <v/>
      </c>
      <c r="I97" s="107">
        <f>IF($J97="","",IFERROR(INDEX(Stu_Notes,MATCH(C97,Stu_ID,0)),""))</f>
        <v/>
      </c>
      <c r="J97" s="40">
        <f>IF(92&gt;$B$3,"",IFERROR(MATCH(92-1,EV_Seq,1)+1,1))</f>
        <v/>
      </c>
    </row>
    <row r="98">
      <c r="A98" s="105">
        <f>IF($J98="","",INDEX(EV_Date,$J98))</f>
        <v/>
      </c>
      <c r="B98" s="78">
        <f>IF($J98="","",INDEX(EV_Name,$J98))</f>
        <v/>
      </c>
      <c r="C98" s="106">
        <f>IF($J98="","",INDEX(EV_ID,$J98))</f>
        <v/>
      </c>
      <c r="D98" s="106">
        <f>IF($J98="","",INDEX(EV_Class,$J98))</f>
        <v/>
      </c>
      <c r="E98" s="106">
        <f>IF($J98="","",INDEX(EV_Type,$J98))</f>
        <v/>
      </c>
      <c r="F98" s="106">
        <f>IF($J98="","",INDEX(EV_Cum,$J98))</f>
        <v/>
      </c>
      <c r="G98" s="106">
        <f>IF($J98="","",INDEX(LevelLabels,MATCH(F98,LevelValues,1)))</f>
        <v/>
      </c>
      <c r="H98" s="106">
        <f>IF($J98="","",IFERROR(INDEX(Stu_ContactReq,MATCH(C98,Stu_ID,0)),""))</f>
        <v/>
      </c>
      <c r="I98" s="107">
        <f>IF($J98="","",IFERROR(INDEX(Stu_Notes,MATCH(C98,Stu_ID,0)),""))</f>
        <v/>
      </c>
      <c r="J98" s="40">
        <f>IF(93&gt;$B$3,"",IFERROR(MATCH(93-1,EV_Seq,1)+1,1))</f>
        <v/>
      </c>
    </row>
    <row r="99">
      <c r="A99" s="105">
        <f>IF($J99="","",INDEX(EV_Date,$J99))</f>
        <v/>
      </c>
      <c r="B99" s="78">
        <f>IF($J99="","",INDEX(EV_Name,$J99))</f>
        <v/>
      </c>
      <c r="C99" s="106">
        <f>IF($J99="","",INDEX(EV_ID,$J99))</f>
        <v/>
      </c>
      <c r="D99" s="106">
        <f>IF($J99="","",INDEX(EV_Class,$J99))</f>
        <v/>
      </c>
      <c r="E99" s="106">
        <f>IF($J99="","",INDEX(EV_Type,$J99))</f>
        <v/>
      </c>
      <c r="F99" s="106">
        <f>IF($J99="","",INDEX(EV_Cum,$J99))</f>
        <v/>
      </c>
      <c r="G99" s="106">
        <f>IF($J99="","",INDEX(LevelLabels,MATCH(F99,LevelValues,1)))</f>
        <v/>
      </c>
      <c r="H99" s="106">
        <f>IF($J99="","",IFERROR(INDEX(Stu_ContactReq,MATCH(C99,Stu_ID,0)),""))</f>
        <v/>
      </c>
      <c r="I99" s="107">
        <f>IF($J99="","",IFERROR(INDEX(Stu_Notes,MATCH(C99,Stu_ID,0)),""))</f>
        <v/>
      </c>
      <c r="J99" s="40">
        <f>IF(94&gt;$B$3,"",IFERROR(MATCH(94-1,EV_Seq,1)+1,1))</f>
        <v/>
      </c>
    </row>
    <row r="100">
      <c r="A100" s="105">
        <f>IF($J100="","",INDEX(EV_Date,$J100))</f>
        <v/>
      </c>
      <c r="B100" s="78">
        <f>IF($J100="","",INDEX(EV_Name,$J100))</f>
        <v/>
      </c>
      <c r="C100" s="106">
        <f>IF($J100="","",INDEX(EV_ID,$J100))</f>
        <v/>
      </c>
      <c r="D100" s="106">
        <f>IF($J100="","",INDEX(EV_Class,$J100))</f>
        <v/>
      </c>
      <c r="E100" s="106">
        <f>IF($J100="","",INDEX(EV_Type,$J100))</f>
        <v/>
      </c>
      <c r="F100" s="106">
        <f>IF($J100="","",INDEX(EV_Cum,$J100))</f>
        <v/>
      </c>
      <c r="G100" s="106">
        <f>IF($J100="","",INDEX(LevelLabels,MATCH(F100,LevelValues,1)))</f>
        <v/>
      </c>
      <c r="H100" s="106">
        <f>IF($J100="","",IFERROR(INDEX(Stu_ContactReq,MATCH(C100,Stu_ID,0)),""))</f>
        <v/>
      </c>
      <c r="I100" s="107">
        <f>IF($J100="","",IFERROR(INDEX(Stu_Notes,MATCH(C100,Stu_ID,0)),""))</f>
        <v/>
      </c>
      <c r="J100" s="40">
        <f>IF(95&gt;$B$3,"",IFERROR(MATCH(95-1,EV_Seq,1)+1,1))</f>
        <v/>
      </c>
    </row>
    <row r="101">
      <c r="A101" s="105">
        <f>IF($J101="","",INDEX(EV_Date,$J101))</f>
        <v/>
      </c>
      <c r="B101" s="78">
        <f>IF($J101="","",INDEX(EV_Name,$J101))</f>
        <v/>
      </c>
      <c r="C101" s="106">
        <f>IF($J101="","",INDEX(EV_ID,$J101))</f>
        <v/>
      </c>
      <c r="D101" s="106">
        <f>IF($J101="","",INDEX(EV_Class,$J101))</f>
        <v/>
      </c>
      <c r="E101" s="106">
        <f>IF($J101="","",INDEX(EV_Type,$J101))</f>
        <v/>
      </c>
      <c r="F101" s="106">
        <f>IF($J101="","",INDEX(EV_Cum,$J101))</f>
        <v/>
      </c>
      <c r="G101" s="106">
        <f>IF($J101="","",INDEX(LevelLabels,MATCH(F101,LevelValues,1)))</f>
        <v/>
      </c>
      <c r="H101" s="106">
        <f>IF($J101="","",IFERROR(INDEX(Stu_ContactReq,MATCH(C101,Stu_ID,0)),""))</f>
        <v/>
      </c>
      <c r="I101" s="107">
        <f>IF($J101="","",IFERROR(INDEX(Stu_Notes,MATCH(C101,Stu_ID,0)),""))</f>
        <v/>
      </c>
      <c r="J101" s="40">
        <f>IF(96&gt;$B$3,"",IFERROR(MATCH(96-1,EV_Seq,1)+1,1))</f>
        <v/>
      </c>
    </row>
    <row r="102">
      <c r="A102" s="105">
        <f>IF($J102="","",INDEX(EV_Date,$J102))</f>
        <v/>
      </c>
      <c r="B102" s="78">
        <f>IF($J102="","",INDEX(EV_Name,$J102))</f>
        <v/>
      </c>
      <c r="C102" s="106">
        <f>IF($J102="","",INDEX(EV_ID,$J102))</f>
        <v/>
      </c>
      <c r="D102" s="106">
        <f>IF($J102="","",INDEX(EV_Class,$J102))</f>
        <v/>
      </c>
      <c r="E102" s="106">
        <f>IF($J102="","",INDEX(EV_Type,$J102))</f>
        <v/>
      </c>
      <c r="F102" s="106">
        <f>IF($J102="","",INDEX(EV_Cum,$J102))</f>
        <v/>
      </c>
      <c r="G102" s="106">
        <f>IF($J102="","",INDEX(LevelLabels,MATCH(F102,LevelValues,1)))</f>
        <v/>
      </c>
      <c r="H102" s="106">
        <f>IF($J102="","",IFERROR(INDEX(Stu_ContactReq,MATCH(C102,Stu_ID,0)),""))</f>
        <v/>
      </c>
      <c r="I102" s="107">
        <f>IF($J102="","",IFERROR(INDEX(Stu_Notes,MATCH(C102,Stu_ID,0)),""))</f>
        <v/>
      </c>
      <c r="J102" s="40">
        <f>IF(97&gt;$B$3,"",IFERROR(MATCH(97-1,EV_Seq,1)+1,1))</f>
        <v/>
      </c>
    </row>
    <row r="103">
      <c r="A103" s="105">
        <f>IF($J103="","",INDEX(EV_Date,$J103))</f>
        <v/>
      </c>
      <c r="B103" s="78">
        <f>IF($J103="","",INDEX(EV_Name,$J103))</f>
        <v/>
      </c>
      <c r="C103" s="106">
        <f>IF($J103="","",INDEX(EV_ID,$J103))</f>
        <v/>
      </c>
      <c r="D103" s="106">
        <f>IF($J103="","",INDEX(EV_Class,$J103))</f>
        <v/>
      </c>
      <c r="E103" s="106">
        <f>IF($J103="","",INDEX(EV_Type,$J103))</f>
        <v/>
      </c>
      <c r="F103" s="106">
        <f>IF($J103="","",INDEX(EV_Cum,$J103))</f>
        <v/>
      </c>
      <c r="G103" s="106">
        <f>IF($J103="","",INDEX(LevelLabels,MATCH(F103,LevelValues,1)))</f>
        <v/>
      </c>
      <c r="H103" s="106">
        <f>IF($J103="","",IFERROR(INDEX(Stu_ContactReq,MATCH(C103,Stu_ID,0)),""))</f>
        <v/>
      </c>
      <c r="I103" s="107">
        <f>IF($J103="","",IFERROR(INDEX(Stu_Notes,MATCH(C103,Stu_ID,0)),""))</f>
        <v/>
      </c>
      <c r="J103" s="40">
        <f>IF(98&gt;$B$3,"",IFERROR(MATCH(98-1,EV_Seq,1)+1,1))</f>
        <v/>
      </c>
    </row>
    <row r="104">
      <c r="A104" s="105">
        <f>IF($J104="","",INDEX(EV_Date,$J104))</f>
        <v/>
      </c>
      <c r="B104" s="78">
        <f>IF($J104="","",INDEX(EV_Name,$J104))</f>
        <v/>
      </c>
      <c r="C104" s="106">
        <f>IF($J104="","",INDEX(EV_ID,$J104))</f>
        <v/>
      </c>
      <c r="D104" s="106">
        <f>IF($J104="","",INDEX(EV_Class,$J104))</f>
        <v/>
      </c>
      <c r="E104" s="106">
        <f>IF($J104="","",INDEX(EV_Type,$J104))</f>
        <v/>
      </c>
      <c r="F104" s="106">
        <f>IF($J104="","",INDEX(EV_Cum,$J104))</f>
        <v/>
      </c>
      <c r="G104" s="106">
        <f>IF($J104="","",INDEX(LevelLabels,MATCH(F104,LevelValues,1)))</f>
        <v/>
      </c>
      <c r="H104" s="106">
        <f>IF($J104="","",IFERROR(INDEX(Stu_ContactReq,MATCH(C104,Stu_ID,0)),""))</f>
        <v/>
      </c>
      <c r="I104" s="107">
        <f>IF($J104="","",IFERROR(INDEX(Stu_Notes,MATCH(C104,Stu_ID,0)),""))</f>
        <v/>
      </c>
      <c r="J104" s="40">
        <f>IF(99&gt;$B$3,"",IFERROR(MATCH(99-1,EV_Seq,1)+1,1))</f>
        <v/>
      </c>
    </row>
    <row r="105">
      <c r="A105" s="105">
        <f>IF($J105="","",INDEX(EV_Date,$J105))</f>
        <v/>
      </c>
      <c r="B105" s="78">
        <f>IF($J105="","",INDEX(EV_Name,$J105))</f>
        <v/>
      </c>
      <c r="C105" s="106">
        <f>IF($J105="","",INDEX(EV_ID,$J105))</f>
        <v/>
      </c>
      <c r="D105" s="106">
        <f>IF($J105="","",INDEX(EV_Class,$J105))</f>
        <v/>
      </c>
      <c r="E105" s="106">
        <f>IF($J105="","",INDEX(EV_Type,$J105))</f>
        <v/>
      </c>
      <c r="F105" s="106">
        <f>IF($J105="","",INDEX(EV_Cum,$J105))</f>
        <v/>
      </c>
      <c r="G105" s="106">
        <f>IF($J105="","",INDEX(LevelLabels,MATCH(F105,LevelValues,1)))</f>
        <v/>
      </c>
      <c r="H105" s="106">
        <f>IF($J105="","",IFERROR(INDEX(Stu_ContactReq,MATCH(C105,Stu_ID,0)),""))</f>
        <v/>
      </c>
      <c r="I105" s="107">
        <f>IF($J105="","",IFERROR(INDEX(Stu_Notes,MATCH(C105,Stu_ID,0)),""))</f>
        <v/>
      </c>
      <c r="J105" s="40">
        <f>IF(100&gt;$B$3,"",IFERROR(MATCH(100-1,EV_Seq,1)+1,1))</f>
        <v/>
      </c>
    </row>
    <row r="106">
      <c r="A106" s="105">
        <f>IF($J106="","",INDEX(EV_Date,$J106))</f>
        <v/>
      </c>
      <c r="B106" s="78">
        <f>IF($J106="","",INDEX(EV_Name,$J106))</f>
        <v/>
      </c>
      <c r="C106" s="106">
        <f>IF($J106="","",INDEX(EV_ID,$J106))</f>
        <v/>
      </c>
      <c r="D106" s="106">
        <f>IF($J106="","",INDEX(EV_Class,$J106))</f>
        <v/>
      </c>
      <c r="E106" s="106">
        <f>IF($J106="","",INDEX(EV_Type,$J106))</f>
        <v/>
      </c>
      <c r="F106" s="106">
        <f>IF($J106="","",INDEX(EV_Cum,$J106))</f>
        <v/>
      </c>
      <c r="G106" s="106">
        <f>IF($J106="","",INDEX(LevelLabels,MATCH(F106,LevelValues,1)))</f>
        <v/>
      </c>
      <c r="H106" s="106">
        <f>IF($J106="","",IFERROR(INDEX(Stu_ContactReq,MATCH(C106,Stu_ID,0)),""))</f>
        <v/>
      </c>
      <c r="I106" s="107">
        <f>IF($J106="","",IFERROR(INDEX(Stu_Notes,MATCH(C106,Stu_ID,0)),""))</f>
        <v/>
      </c>
      <c r="J106" s="40">
        <f>IF(101&gt;$B$3,"",IFERROR(MATCH(101-1,EV_Seq,1)+1,1))</f>
        <v/>
      </c>
    </row>
    <row r="107">
      <c r="A107" s="105">
        <f>IF($J107="","",INDEX(EV_Date,$J107))</f>
        <v/>
      </c>
      <c r="B107" s="78">
        <f>IF($J107="","",INDEX(EV_Name,$J107))</f>
        <v/>
      </c>
      <c r="C107" s="106">
        <f>IF($J107="","",INDEX(EV_ID,$J107))</f>
        <v/>
      </c>
      <c r="D107" s="106">
        <f>IF($J107="","",INDEX(EV_Class,$J107))</f>
        <v/>
      </c>
      <c r="E107" s="106">
        <f>IF($J107="","",INDEX(EV_Type,$J107))</f>
        <v/>
      </c>
      <c r="F107" s="106">
        <f>IF($J107="","",INDEX(EV_Cum,$J107))</f>
        <v/>
      </c>
      <c r="G107" s="106">
        <f>IF($J107="","",INDEX(LevelLabels,MATCH(F107,LevelValues,1)))</f>
        <v/>
      </c>
      <c r="H107" s="106">
        <f>IF($J107="","",IFERROR(INDEX(Stu_ContactReq,MATCH(C107,Stu_ID,0)),""))</f>
        <v/>
      </c>
      <c r="I107" s="107">
        <f>IF($J107="","",IFERROR(INDEX(Stu_Notes,MATCH(C107,Stu_ID,0)),""))</f>
        <v/>
      </c>
      <c r="J107" s="40">
        <f>IF(102&gt;$B$3,"",IFERROR(MATCH(102-1,EV_Seq,1)+1,1))</f>
        <v/>
      </c>
    </row>
    <row r="108">
      <c r="A108" s="105">
        <f>IF($J108="","",INDEX(EV_Date,$J108))</f>
        <v/>
      </c>
      <c r="B108" s="78">
        <f>IF($J108="","",INDEX(EV_Name,$J108))</f>
        <v/>
      </c>
      <c r="C108" s="106">
        <f>IF($J108="","",INDEX(EV_ID,$J108))</f>
        <v/>
      </c>
      <c r="D108" s="106">
        <f>IF($J108="","",INDEX(EV_Class,$J108))</f>
        <v/>
      </c>
      <c r="E108" s="106">
        <f>IF($J108="","",INDEX(EV_Type,$J108))</f>
        <v/>
      </c>
      <c r="F108" s="106">
        <f>IF($J108="","",INDEX(EV_Cum,$J108))</f>
        <v/>
      </c>
      <c r="G108" s="106">
        <f>IF($J108="","",INDEX(LevelLabels,MATCH(F108,LevelValues,1)))</f>
        <v/>
      </c>
      <c r="H108" s="106">
        <f>IF($J108="","",IFERROR(INDEX(Stu_ContactReq,MATCH(C108,Stu_ID,0)),""))</f>
        <v/>
      </c>
      <c r="I108" s="107">
        <f>IF($J108="","",IFERROR(INDEX(Stu_Notes,MATCH(C108,Stu_ID,0)),""))</f>
        <v/>
      </c>
      <c r="J108" s="40">
        <f>IF(103&gt;$B$3,"",IFERROR(MATCH(103-1,EV_Seq,1)+1,1))</f>
        <v/>
      </c>
    </row>
    <row r="109">
      <c r="A109" s="105">
        <f>IF($J109="","",INDEX(EV_Date,$J109))</f>
        <v/>
      </c>
      <c r="B109" s="78">
        <f>IF($J109="","",INDEX(EV_Name,$J109))</f>
        <v/>
      </c>
      <c r="C109" s="106">
        <f>IF($J109="","",INDEX(EV_ID,$J109))</f>
        <v/>
      </c>
      <c r="D109" s="106">
        <f>IF($J109="","",INDEX(EV_Class,$J109))</f>
        <v/>
      </c>
      <c r="E109" s="106">
        <f>IF($J109="","",INDEX(EV_Type,$J109))</f>
        <v/>
      </c>
      <c r="F109" s="106">
        <f>IF($J109="","",INDEX(EV_Cum,$J109))</f>
        <v/>
      </c>
      <c r="G109" s="106">
        <f>IF($J109="","",INDEX(LevelLabels,MATCH(F109,LevelValues,1)))</f>
        <v/>
      </c>
      <c r="H109" s="106">
        <f>IF($J109="","",IFERROR(INDEX(Stu_ContactReq,MATCH(C109,Stu_ID,0)),""))</f>
        <v/>
      </c>
      <c r="I109" s="107">
        <f>IF($J109="","",IFERROR(INDEX(Stu_Notes,MATCH(C109,Stu_ID,0)),""))</f>
        <v/>
      </c>
      <c r="J109" s="40">
        <f>IF(104&gt;$B$3,"",IFERROR(MATCH(104-1,EV_Seq,1)+1,1))</f>
        <v/>
      </c>
    </row>
    <row r="110">
      <c r="A110" s="105">
        <f>IF($J110="","",INDEX(EV_Date,$J110))</f>
        <v/>
      </c>
      <c r="B110" s="78">
        <f>IF($J110="","",INDEX(EV_Name,$J110))</f>
        <v/>
      </c>
      <c r="C110" s="106">
        <f>IF($J110="","",INDEX(EV_ID,$J110))</f>
        <v/>
      </c>
      <c r="D110" s="106">
        <f>IF($J110="","",INDEX(EV_Class,$J110))</f>
        <v/>
      </c>
      <c r="E110" s="106">
        <f>IF($J110="","",INDEX(EV_Type,$J110))</f>
        <v/>
      </c>
      <c r="F110" s="106">
        <f>IF($J110="","",INDEX(EV_Cum,$J110))</f>
        <v/>
      </c>
      <c r="G110" s="106">
        <f>IF($J110="","",INDEX(LevelLabels,MATCH(F110,LevelValues,1)))</f>
        <v/>
      </c>
      <c r="H110" s="106">
        <f>IF($J110="","",IFERROR(INDEX(Stu_ContactReq,MATCH(C110,Stu_ID,0)),""))</f>
        <v/>
      </c>
      <c r="I110" s="107">
        <f>IF($J110="","",IFERROR(INDEX(Stu_Notes,MATCH(C110,Stu_ID,0)),""))</f>
        <v/>
      </c>
      <c r="J110" s="40">
        <f>IF(105&gt;$B$3,"",IFERROR(MATCH(105-1,EV_Seq,1)+1,1))</f>
        <v/>
      </c>
    </row>
    <row r="111">
      <c r="A111" s="105">
        <f>IF($J111="","",INDEX(EV_Date,$J111))</f>
        <v/>
      </c>
      <c r="B111" s="78">
        <f>IF($J111="","",INDEX(EV_Name,$J111))</f>
        <v/>
      </c>
      <c r="C111" s="106">
        <f>IF($J111="","",INDEX(EV_ID,$J111))</f>
        <v/>
      </c>
      <c r="D111" s="106">
        <f>IF($J111="","",INDEX(EV_Class,$J111))</f>
        <v/>
      </c>
      <c r="E111" s="106">
        <f>IF($J111="","",INDEX(EV_Type,$J111))</f>
        <v/>
      </c>
      <c r="F111" s="106">
        <f>IF($J111="","",INDEX(EV_Cum,$J111))</f>
        <v/>
      </c>
      <c r="G111" s="106">
        <f>IF($J111="","",INDEX(LevelLabels,MATCH(F111,LevelValues,1)))</f>
        <v/>
      </c>
      <c r="H111" s="106">
        <f>IF($J111="","",IFERROR(INDEX(Stu_ContactReq,MATCH(C111,Stu_ID,0)),""))</f>
        <v/>
      </c>
      <c r="I111" s="107">
        <f>IF($J111="","",IFERROR(INDEX(Stu_Notes,MATCH(C111,Stu_ID,0)),""))</f>
        <v/>
      </c>
      <c r="J111" s="40">
        <f>IF(106&gt;$B$3,"",IFERROR(MATCH(106-1,EV_Seq,1)+1,1))</f>
        <v/>
      </c>
    </row>
    <row r="112">
      <c r="A112" s="105">
        <f>IF($J112="","",INDEX(EV_Date,$J112))</f>
        <v/>
      </c>
      <c r="B112" s="78">
        <f>IF($J112="","",INDEX(EV_Name,$J112))</f>
        <v/>
      </c>
      <c r="C112" s="106">
        <f>IF($J112="","",INDEX(EV_ID,$J112))</f>
        <v/>
      </c>
      <c r="D112" s="106">
        <f>IF($J112="","",INDEX(EV_Class,$J112))</f>
        <v/>
      </c>
      <c r="E112" s="106">
        <f>IF($J112="","",INDEX(EV_Type,$J112))</f>
        <v/>
      </c>
      <c r="F112" s="106">
        <f>IF($J112="","",INDEX(EV_Cum,$J112))</f>
        <v/>
      </c>
      <c r="G112" s="106">
        <f>IF($J112="","",INDEX(LevelLabels,MATCH(F112,LevelValues,1)))</f>
        <v/>
      </c>
      <c r="H112" s="106">
        <f>IF($J112="","",IFERROR(INDEX(Stu_ContactReq,MATCH(C112,Stu_ID,0)),""))</f>
        <v/>
      </c>
      <c r="I112" s="107">
        <f>IF($J112="","",IFERROR(INDEX(Stu_Notes,MATCH(C112,Stu_ID,0)),""))</f>
        <v/>
      </c>
      <c r="J112" s="40">
        <f>IF(107&gt;$B$3,"",IFERROR(MATCH(107-1,EV_Seq,1)+1,1))</f>
        <v/>
      </c>
    </row>
    <row r="113">
      <c r="A113" s="105">
        <f>IF($J113="","",INDEX(EV_Date,$J113))</f>
        <v/>
      </c>
      <c r="B113" s="78">
        <f>IF($J113="","",INDEX(EV_Name,$J113))</f>
        <v/>
      </c>
      <c r="C113" s="106">
        <f>IF($J113="","",INDEX(EV_ID,$J113))</f>
        <v/>
      </c>
      <c r="D113" s="106">
        <f>IF($J113="","",INDEX(EV_Class,$J113))</f>
        <v/>
      </c>
      <c r="E113" s="106">
        <f>IF($J113="","",INDEX(EV_Type,$J113))</f>
        <v/>
      </c>
      <c r="F113" s="106">
        <f>IF($J113="","",INDEX(EV_Cum,$J113))</f>
        <v/>
      </c>
      <c r="G113" s="106">
        <f>IF($J113="","",INDEX(LevelLabels,MATCH(F113,LevelValues,1)))</f>
        <v/>
      </c>
      <c r="H113" s="106">
        <f>IF($J113="","",IFERROR(INDEX(Stu_ContactReq,MATCH(C113,Stu_ID,0)),""))</f>
        <v/>
      </c>
      <c r="I113" s="107">
        <f>IF($J113="","",IFERROR(INDEX(Stu_Notes,MATCH(C113,Stu_ID,0)),""))</f>
        <v/>
      </c>
      <c r="J113" s="40">
        <f>IF(108&gt;$B$3,"",IFERROR(MATCH(108-1,EV_Seq,1)+1,1))</f>
        <v/>
      </c>
    </row>
    <row r="114">
      <c r="A114" s="105">
        <f>IF($J114="","",INDEX(EV_Date,$J114))</f>
        <v/>
      </c>
      <c r="B114" s="78">
        <f>IF($J114="","",INDEX(EV_Name,$J114))</f>
        <v/>
      </c>
      <c r="C114" s="106">
        <f>IF($J114="","",INDEX(EV_ID,$J114))</f>
        <v/>
      </c>
      <c r="D114" s="106">
        <f>IF($J114="","",INDEX(EV_Class,$J114))</f>
        <v/>
      </c>
      <c r="E114" s="106">
        <f>IF($J114="","",INDEX(EV_Type,$J114))</f>
        <v/>
      </c>
      <c r="F114" s="106">
        <f>IF($J114="","",INDEX(EV_Cum,$J114))</f>
        <v/>
      </c>
      <c r="G114" s="106">
        <f>IF($J114="","",INDEX(LevelLabels,MATCH(F114,LevelValues,1)))</f>
        <v/>
      </c>
      <c r="H114" s="106">
        <f>IF($J114="","",IFERROR(INDEX(Stu_ContactReq,MATCH(C114,Stu_ID,0)),""))</f>
        <v/>
      </c>
      <c r="I114" s="107">
        <f>IF($J114="","",IFERROR(INDEX(Stu_Notes,MATCH(C114,Stu_ID,0)),""))</f>
        <v/>
      </c>
      <c r="J114" s="40">
        <f>IF(109&gt;$B$3,"",IFERROR(MATCH(109-1,EV_Seq,1)+1,1))</f>
        <v/>
      </c>
    </row>
    <row r="115">
      <c r="A115" s="105">
        <f>IF($J115="","",INDEX(EV_Date,$J115))</f>
        <v/>
      </c>
      <c r="B115" s="78">
        <f>IF($J115="","",INDEX(EV_Name,$J115))</f>
        <v/>
      </c>
      <c r="C115" s="106">
        <f>IF($J115="","",INDEX(EV_ID,$J115))</f>
        <v/>
      </c>
      <c r="D115" s="106">
        <f>IF($J115="","",INDEX(EV_Class,$J115))</f>
        <v/>
      </c>
      <c r="E115" s="106">
        <f>IF($J115="","",INDEX(EV_Type,$J115))</f>
        <v/>
      </c>
      <c r="F115" s="106">
        <f>IF($J115="","",INDEX(EV_Cum,$J115))</f>
        <v/>
      </c>
      <c r="G115" s="106">
        <f>IF($J115="","",INDEX(LevelLabels,MATCH(F115,LevelValues,1)))</f>
        <v/>
      </c>
      <c r="H115" s="106">
        <f>IF($J115="","",IFERROR(INDEX(Stu_ContactReq,MATCH(C115,Stu_ID,0)),""))</f>
        <v/>
      </c>
      <c r="I115" s="107">
        <f>IF($J115="","",IFERROR(INDEX(Stu_Notes,MATCH(C115,Stu_ID,0)),""))</f>
        <v/>
      </c>
      <c r="J115" s="40">
        <f>IF(110&gt;$B$3,"",IFERROR(MATCH(110-1,EV_Seq,1)+1,1))</f>
        <v/>
      </c>
    </row>
    <row r="116">
      <c r="A116" s="105">
        <f>IF($J116="","",INDEX(EV_Date,$J116))</f>
        <v/>
      </c>
      <c r="B116" s="78">
        <f>IF($J116="","",INDEX(EV_Name,$J116))</f>
        <v/>
      </c>
      <c r="C116" s="106">
        <f>IF($J116="","",INDEX(EV_ID,$J116))</f>
        <v/>
      </c>
      <c r="D116" s="106">
        <f>IF($J116="","",INDEX(EV_Class,$J116))</f>
        <v/>
      </c>
      <c r="E116" s="106">
        <f>IF($J116="","",INDEX(EV_Type,$J116))</f>
        <v/>
      </c>
      <c r="F116" s="106">
        <f>IF($J116="","",INDEX(EV_Cum,$J116))</f>
        <v/>
      </c>
      <c r="G116" s="106">
        <f>IF($J116="","",INDEX(LevelLabels,MATCH(F116,LevelValues,1)))</f>
        <v/>
      </c>
      <c r="H116" s="106">
        <f>IF($J116="","",IFERROR(INDEX(Stu_ContactReq,MATCH(C116,Stu_ID,0)),""))</f>
        <v/>
      </c>
      <c r="I116" s="107">
        <f>IF($J116="","",IFERROR(INDEX(Stu_Notes,MATCH(C116,Stu_ID,0)),""))</f>
        <v/>
      </c>
      <c r="J116" s="40">
        <f>IF(111&gt;$B$3,"",IFERROR(MATCH(111-1,EV_Seq,1)+1,1))</f>
        <v/>
      </c>
    </row>
    <row r="117">
      <c r="A117" s="105">
        <f>IF($J117="","",INDEX(EV_Date,$J117))</f>
        <v/>
      </c>
      <c r="B117" s="78">
        <f>IF($J117="","",INDEX(EV_Name,$J117))</f>
        <v/>
      </c>
      <c r="C117" s="106">
        <f>IF($J117="","",INDEX(EV_ID,$J117))</f>
        <v/>
      </c>
      <c r="D117" s="106">
        <f>IF($J117="","",INDEX(EV_Class,$J117))</f>
        <v/>
      </c>
      <c r="E117" s="106">
        <f>IF($J117="","",INDEX(EV_Type,$J117))</f>
        <v/>
      </c>
      <c r="F117" s="106">
        <f>IF($J117="","",INDEX(EV_Cum,$J117))</f>
        <v/>
      </c>
      <c r="G117" s="106">
        <f>IF($J117="","",INDEX(LevelLabels,MATCH(F117,LevelValues,1)))</f>
        <v/>
      </c>
      <c r="H117" s="106">
        <f>IF($J117="","",IFERROR(INDEX(Stu_ContactReq,MATCH(C117,Stu_ID,0)),""))</f>
        <v/>
      </c>
      <c r="I117" s="107">
        <f>IF($J117="","",IFERROR(INDEX(Stu_Notes,MATCH(C117,Stu_ID,0)),""))</f>
        <v/>
      </c>
      <c r="J117" s="40">
        <f>IF(112&gt;$B$3,"",IFERROR(MATCH(112-1,EV_Seq,1)+1,1))</f>
        <v/>
      </c>
    </row>
    <row r="118">
      <c r="A118" s="105">
        <f>IF($J118="","",INDEX(EV_Date,$J118))</f>
        <v/>
      </c>
      <c r="B118" s="78">
        <f>IF($J118="","",INDEX(EV_Name,$J118))</f>
        <v/>
      </c>
      <c r="C118" s="106">
        <f>IF($J118="","",INDEX(EV_ID,$J118))</f>
        <v/>
      </c>
      <c r="D118" s="106">
        <f>IF($J118="","",INDEX(EV_Class,$J118))</f>
        <v/>
      </c>
      <c r="E118" s="106">
        <f>IF($J118="","",INDEX(EV_Type,$J118))</f>
        <v/>
      </c>
      <c r="F118" s="106">
        <f>IF($J118="","",INDEX(EV_Cum,$J118))</f>
        <v/>
      </c>
      <c r="G118" s="106">
        <f>IF($J118="","",INDEX(LevelLabels,MATCH(F118,LevelValues,1)))</f>
        <v/>
      </c>
      <c r="H118" s="106">
        <f>IF($J118="","",IFERROR(INDEX(Stu_ContactReq,MATCH(C118,Stu_ID,0)),""))</f>
        <v/>
      </c>
      <c r="I118" s="107">
        <f>IF($J118="","",IFERROR(INDEX(Stu_Notes,MATCH(C118,Stu_ID,0)),""))</f>
        <v/>
      </c>
      <c r="J118" s="40">
        <f>IF(113&gt;$B$3,"",IFERROR(MATCH(113-1,EV_Seq,1)+1,1))</f>
        <v/>
      </c>
    </row>
    <row r="119">
      <c r="A119" s="105">
        <f>IF($J119="","",INDEX(EV_Date,$J119))</f>
        <v/>
      </c>
      <c r="B119" s="78">
        <f>IF($J119="","",INDEX(EV_Name,$J119))</f>
        <v/>
      </c>
      <c r="C119" s="106">
        <f>IF($J119="","",INDEX(EV_ID,$J119))</f>
        <v/>
      </c>
      <c r="D119" s="106">
        <f>IF($J119="","",INDEX(EV_Class,$J119))</f>
        <v/>
      </c>
      <c r="E119" s="106">
        <f>IF($J119="","",INDEX(EV_Type,$J119))</f>
        <v/>
      </c>
      <c r="F119" s="106">
        <f>IF($J119="","",INDEX(EV_Cum,$J119))</f>
        <v/>
      </c>
      <c r="G119" s="106">
        <f>IF($J119="","",INDEX(LevelLabels,MATCH(F119,LevelValues,1)))</f>
        <v/>
      </c>
      <c r="H119" s="106">
        <f>IF($J119="","",IFERROR(INDEX(Stu_ContactReq,MATCH(C119,Stu_ID,0)),""))</f>
        <v/>
      </c>
      <c r="I119" s="107">
        <f>IF($J119="","",IFERROR(INDEX(Stu_Notes,MATCH(C119,Stu_ID,0)),""))</f>
        <v/>
      </c>
      <c r="J119" s="40">
        <f>IF(114&gt;$B$3,"",IFERROR(MATCH(114-1,EV_Seq,1)+1,1))</f>
        <v/>
      </c>
    </row>
    <row r="120">
      <c r="A120" s="105">
        <f>IF($J120="","",INDEX(EV_Date,$J120))</f>
        <v/>
      </c>
      <c r="B120" s="78">
        <f>IF($J120="","",INDEX(EV_Name,$J120))</f>
        <v/>
      </c>
      <c r="C120" s="106">
        <f>IF($J120="","",INDEX(EV_ID,$J120))</f>
        <v/>
      </c>
      <c r="D120" s="106">
        <f>IF($J120="","",INDEX(EV_Class,$J120))</f>
        <v/>
      </c>
      <c r="E120" s="106">
        <f>IF($J120="","",INDEX(EV_Type,$J120))</f>
        <v/>
      </c>
      <c r="F120" s="106">
        <f>IF($J120="","",INDEX(EV_Cum,$J120))</f>
        <v/>
      </c>
      <c r="G120" s="106">
        <f>IF($J120="","",INDEX(LevelLabels,MATCH(F120,LevelValues,1)))</f>
        <v/>
      </c>
      <c r="H120" s="106">
        <f>IF($J120="","",IFERROR(INDEX(Stu_ContactReq,MATCH(C120,Stu_ID,0)),""))</f>
        <v/>
      </c>
      <c r="I120" s="107">
        <f>IF($J120="","",IFERROR(INDEX(Stu_Notes,MATCH(C120,Stu_ID,0)),""))</f>
        <v/>
      </c>
      <c r="J120" s="40">
        <f>IF(115&gt;$B$3,"",IFERROR(MATCH(115-1,EV_Seq,1)+1,1))</f>
        <v/>
      </c>
    </row>
    <row r="121">
      <c r="A121" s="105">
        <f>IF($J121="","",INDEX(EV_Date,$J121))</f>
        <v/>
      </c>
      <c r="B121" s="78">
        <f>IF($J121="","",INDEX(EV_Name,$J121))</f>
        <v/>
      </c>
      <c r="C121" s="106">
        <f>IF($J121="","",INDEX(EV_ID,$J121))</f>
        <v/>
      </c>
      <c r="D121" s="106">
        <f>IF($J121="","",INDEX(EV_Class,$J121))</f>
        <v/>
      </c>
      <c r="E121" s="106">
        <f>IF($J121="","",INDEX(EV_Type,$J121))</f>
        <v/>
      </c>
      <c r="F121" s="106">
        <f>IF($J121="","",INDEX(EV_Cum,$J121))</f>
        <v/>
      </c>
      <c r="G121" s="106">
        <f>IF($J121="","",INDEX(LevelLabels,MATCH(F121,LevelValues,1)))</f>
        <v/>
      </c>
      <c r="H121" s="106">
        <f>IF($J121="","",IFERROR(INDEX(Stu_ContactReq,MATCH(C121,Stu_ID,0)),""))</f>
        <v/>
      </c>
      <c r="I121" s="107">
        <f>IF($J121="","",IFERROR(INDEX(Stu_Notes,MATCH(C121,Stu_ID,0)),""))</f>
        <v/>
      </c>
      <c r="J121" s="40">
        <f>IF(116&gt;$B$3,"",IFERROR(MATCH(116-1,EV_Seq,1)+1,1))</f>
        <v/>
      </c>
    </row>
    <row r="122">
      <c r="A122" s="105">
        <f>IF($J122="","",INDEX(EV_Date,$J122))</f>
        <v/>
      </c>
      <c r="B122" s="78">
        <f>IF($J122="","",INDEX(EV_Name,$J122))</f>
        <v/>
      </c>
      <c r="C122" s="106">
        <f>IF($J122="","",INDEX(EV_ID,$J122))</f>
        <v/>
      </c>
      <c r="D122" s="106">
        <f>IF($J122="","",INDEX(EV_Class,$J122))</f>
        <v/>
      </c>
      <c r="E122" s="106">
        <f>IF($J122="","",INDEX(EV_Type,$J122))</f>
        <v/>
      </c>
      <c r="F122" s="106">
        <f>IF($J122="","",INDEX(EV_Cum,$J122))</f>
        <v/>
      </c>
      <c r="G122" s="106">
        <f>IF($J122="","",INDEX(LevelLabels,MATCH(F122,LevelValues,1)))</f>
        <v/>
      </c>
      <c r="H122" s="106">
        <f>IF($J122="","",IFERROR(INDEX(Stu_ContactReq,MATCH(C122,Stu_ID,0)),""))</f>
        <v/>
      </c>
      <c r="I122" s="107">
        <f>IF($J122="","",IFERROR(INDEX(Stu_Notes,MATCH(C122,Stu_ID,0)),""))</f>
        <v/>
      </c>
      <c r="J122" s="40">
        <f>IF(117&gt;$B$3,"",IFERROR(MATCH(117-1,EV_Seq,1)+1,1))</f>
        <v/>
      </c>
    </row>
    <row r="123">
      <c r="A123" s="105">
        <f>IF($J123="","",INDEX(EV_Date,$J123))</f>
        <v/>
      </c>
      <c r="B123" s="78">
        <f>IF($J123="","",INDEX(EV_Name,$J123))</f>
        <v/>
      </c>
      <c r="C123" s="106">
        <f>IF($J123="","",INDEX(EV_ID,$J123))</f>
        <v/>
      </c>
      <c r="D123" s="106">
        <f>IF($J123="","",INDEX(EV_Class,$J123))</f>
        <v/>
      </c>
      <c r="E123" s="106">
        <f>IF($J123="","",INDEX(EV_Type,$J123))</f>
        <v/>
      </c>
      <c r="F123" s="106">
        <f>IF($J123="","",INDEX(EV_Cum,$J123))</f>
        <v/>
      </c>
      <c r="G123" s="106">
        <f>IF($J123="","",INDEX(LevelLabels,MATCH(F123,LevelValues,1)))</f>
        <v/>
      </c>
      <c r="H123" s="106">
        <f>IF($J123="","",IFERROR(INDEX(Stu_ContactReq,MATCH(C123,Stu_ID,0)),""))</f>
        <v/>
      </c>
      <c r="I123" s="107">
        <f>IF($J123="","",IFERROR(INDEX(Stu_Notes,MATCH(C123,Stu_ID,0)),""))</f>
        <v/>
      </c>
      <c r="J123" s="40">
        <f>IF(118&gt;$B$3,"",IFERROR(MATCH(118-1,EV_Seq,1)+1,1))</f>
        <v/>
      </c>
    </row>
    <row r="124">
      <c r="A124" s="105">
        <f>IF($J124="","",INDEX(EV_Date,$J124))</f>
        <v/>
      </c>
      <c r="B124" s="78">
        <f>IF($J124="","",INDEX(EV_Name,$J124))</f>
        <v/>
      </c>
      <c r="C124" s="106">
        <f>IF($J124="","",INDEX(EV_ID,$J124))</f>
        <v/>
      </c>
      <c r="D124" s="106">
        <f>IF($J124="","",INDEX(EV_Class,$J124))</f>
        <v/>
      </c>
      <c r="E124" s="106">
        <f>IF($J124="","",INDEX(EV_Type,$J124))</f>
        <v/>
      </c>
      <c r="F124" s="106">
        <f>IF($J124="","",INDEX(EV_Cum,$J124))</f>
        <v/>
      </c>
      <c r="G124" s="106">
        <f>IF($J124="","",INDEX(LevelLabels,MATCH(F124,LevelValues,1)))</f>
        <v/>
      </c>
      <c r="H124" s="106">
        <f>IF($J124="","",IFERROR(INDEX(Stu_ContactReq,MATCH(C124,Stu_ID,0)),""))</f>
        <v/>
      </c>
      <c r="I124" s="107">
        <f>IF($J124="","",IFERROR(INDEX(Stu_Notes,MATCH(C124,Stu_ID,0)),""))</f>
        <v/>
      </c>
      <c r="J124" s="40">
        <f>IF(119&gt;$B$3,"",IFERROR(MATCH(119-1,EV_Seq,1)+1,1))</f>
        <v/>
      </c>
    </row>
    <row r="125">
      <c r="A125" s="105">
        <f>IF($J125="","",INDEX(EV_Date,$J125))</f>
        <v/>
      </c>
      <c r="B125" s="78">
        <f>IF($J125="","",INDEX(EV_Name,$J125))</f>
        <v/>
      </c>
      <c r="C125" s="106">
        <f>IF($J125="","",INDEX(EV_ID,$J125))</f>
        <v/>
      </c>
      <c r="D125" s="106">
        <f>IF($J125="","",INDEX(EV_Class,$J125))</f>
        <v/>
      </c>
      <c r="E125" s="106">
        <f>IF($J125="","",INDEX(EV_Type,$J125))</f>
        <v/>
      </c>
      <c r="F125" s="106">
        <f>IF($J125="","",INDEX(EV_Cum,$J125))</f>
        <v/>
      </c>
      <c r="G125" s="106">
        <f>IF($J125="","",INDEX(LevelLabels,MATCH(F125,LevelValues,1)))</f>
        <v/>
      </c>
      <c r="H125" s="106">
        <f>IF($J125="","",IFERROR(INDEX(Stu_ContactReq,MATCH(C125,Stu_ID,0)),""))</f>
        <v/>
      </c>
      <c r="I125" s="107">
        <f>IF($J125="","",IFERROR(INDEX(Stu_Notes,MATCH(C125,Stu_ID,0)),""))</f>
        <v/>
      </c>
      <c r="J125" s="40">
        <f>IF(120&gt;$B$3,"",IFERROR(MATCH(120-1,EV_Seq,1)+1,1))</f>
        <v/>
      </c>
    </row>
    <row r="126">
      <c r="A126" s="105">
        <f>IF($J126="","",INDEX(EV_Date,$J126))</f>
        <v/>
      </c>
      <c r="B126" s="78">
        <f>IF($J126="","",INDEX(EV_Name,$J126))</f>
        <v/>
      </c>
      <c r="C126" s="106">
        <f>IF($J126="","",INDEX(EV_ID,$J126))</f>
        <v/>
      </c>
      <c r="D126" s="106">
        <f>IF($J126="","",INDEX(EV_Class,$J126))</f>
        <v/>
      </c>
      <c r="E126" s="106">
        <f>IF($J126="","",INDEX(EV_Type,$J126))</f>
        <v/>
      </c>
      <c r="F126" s="106">
        <f>IF($J126="","",INDEX(EV_Cum,$J126))</f>
        <v/>
      </c>
      <c r="G126" s="106">
        <f>IF($J126="","",INDEX(LevelLabels,MATCH(F126,LevelValues,1)))</f>
        <v/>
      </c>
      <c r="H126" s="106">
        <f>IF($J126="","",IFERROR(INDEX(Stu_ContactReq,MATCH(C126,Stu_ID,0)),""))</f>
        <v/>
      </c>
      <c r="I126" s="107">
        <f>IF($J126="","",IFERROR(INDEX(Stu_Notes,MATCH(C126,Stu_ID,0)),""))</f>
        <v/>
      </c>
      <c r="J126" s="40">
        <f>IF(121&gt;$B$3,"",IFERROR(MATCH(121-1,EV_Seq,1)+1,1))</f>
        <v/>
      </c>
    </row>
    <row r="127">
      <c r="A127" s="105">
        <f>IF($J127="","",INDEX(EV_Date,$J127))</f>
        <v/>
      </c>
      <c r="B127" s="78">
        <f>IF($J127="","",INDEX(EV_Name,$J127))</f>
        <v/>
      </c>
      <c r="C127" s="106">
        <f>IF($J127="","",INDEX(EV_ID,$J127))</f>
        <v/>
      </c>
      <c r="D127" s="106">
        <f>IF($J127="","",INDEX(EV_Class,$J127))</f>
        <v/>
      </c>
      <c r="E127" s="106">
        <f>IF($J127="","",INDEX(EV_Type,$J127))</f>
        <v/>
      </c>
      <c r="F127" s="106">
        <f>IF($J127="","",INDEX(EV_Cum,$J127))</f>
        <v/>
      </c>
      <c r="G127" s="106">
        <f>IF($J127="","",INDEX(LevelLabels,MATCH(F127,LevelValues,1)))</f>
        <v/>
      </c>
      <c r="H127" s="106">
        <f>IF($J127="","",IFERROR(INDEX(Stu_ContactReq,MATCH(C127,Stu_ID,0)),""))</f>
        <v/>
      </c>
      <c r="I127" s="107">
        <f>IF($J127="","",IFERROR(INDEX(Stu_Notes,MATCH(C127,Stu_ID,0)),""))</f>
        <v/>
      </c>
      <c r="J127" s="40">
        <f>IF(122&gt;$B$3,"",IFERROR(MATCH(122-1,EV_Seq,1)+1,1))</f>
        <v/>
      </c>
    </row>
    <row r="128">
      <c r="A128" s="105">
        <f>IF($J128="","",INDEX(EV_Date,$J128))</f>
        <v/>
      </c>
      <c r="B128" s="78">
        <f>IF($J128="","",INDEX(EV_Name,$J128))</f>
        <v/>
      </c>
      <c r="C128" s="106">
        <f>IF($J128="","",INDEX(EV_ID,$J128))</f>
        <v/>
      </c>
      <c r="D128" s="106">
        <f>IF($J128="","",INDEX(EV_Class,$J128))</f>
        <v/>
      </c>
      <c r="E128" s="106">
        <f>IF($J128="","",INDEX(EV_Type,$J128))</f>
        <v/>
      </c>
      <c r="F128" s="106">
        <f>IF($J128="","",INDEX(EV_Cum,$J128))</f>
        <v/>
      </c>
      <c r="G128" s="106">
        <f>IF($J128="","",INDEX(LevelLabels,MATCH(F128,LevelValues,1)))</f>
        <v/>
      </c>
      <c r="H128" s="106">
        <f>IF($J128="","",IFERROR(INDEX(Stu_ContactReq,MATCH(C128,Stu_ID,0)),""))</f>
        <v/>
      </c>
      <c r="I128" s="107">
        <f>IF($J128="","",IFERROR(INDEX(Stu_Notes,MATCH(C128,Stu_ID,0)),""))</f>
        <v/>
      </c>
      <c r="J128" s="40">
        <f>IF(123&gt;$B$3,"",IFERROR(MATCH(123-1,EV_Seq,1)+1,1))</f>
        <v/>
      </c>
    </row>
    <row r="129">
      <c r="A129" s="105">
        <f>IF($J129="","",INDEX(EV_Date,$J129))</f>
        <v/>
      </c>
      <c r="B129" s="78">
        <f>IF($J129="","",INDEX(EV_Name,$J129))</f>
        <v/>
      </c>
      <c r="C129" s="106">
        <f>IF($J129="","",INDEX(EV_ID,$J129))</f>
        <v/>
      </c>
      <c r="D129" s="106">
        <f>IF($J129="","",INDEX(EV_Class,$J129))</f>
        <v/>
      </c>
      <c r="E129" s="106">
        <f>IF($J129="","",INDEX(EV_Type,$J129))</f>
        <v/>
      </c>
      <c r="F129" s="106">
        <f>IF($J129="","",INDEX(EV_Cum,$J129))</f>
        <v/>
      </c>
      <c r="G129" s="106">
        <f>IF($J129="","",INDEX(LevelLabels,MATCH(F129,LevelValues,1)))</f>
        <v/>
      </c>
      <c r="H129" s="106">
        <f>IF($J129="","",IFERROR(INDEX(Stu_ContactReq,MATCH(C129,Stu_ID,0)),""))</f>
        <v/>
      </c>
      <c r="I129" s="107">
        <f>IF($J129="","",IFERROR(INDEX(Stu_Notes,MATCH(C129,Stu_ID,0)),""))</f>
        <v/>
      </c>
      <c r="J129" s="40">
        <f>IF(124&gt;$B$3,"",IFERROR(MATCH(124-1,EV_Seq,1)+1,1))</f>
        <v/>
      </c>
    </row>
    <row r="130">
      <c r="A130" s="105">
        <f>IF($J130="","",INDEX(EV_Date,$J130))</f>
        <v/>
      </c>
      <c r="B130" s="78">
        <f>IF($J130="","",INDEX(EV_Name,$J130))</f>
        <v/>
      </c>
      <c r="C130" s="106">
        <f>IF($J130="","",INDEX(EV_ID,$J130))</f>
        <v/>
      </c>
      <c r="D130" s="106">
        <f>IF($J130="","",INDEX(EV_Class,$J130))</f>
        <v/>
      </c>
      <c r="E130" s="106">
        <f>IF($J130="","",INDEX(EV_Type,$J130))</f>
        <v/>
      </c>
      <c r="F130" s="106">
        <f>IF($J130="","",INDEX(EV_Cum,$J130))</f>
        <v/>
      </c>
      <c r="G130" s="106">
        <f>IF($J130="","",INDEX(LevelLabels,MATCH(F130,LevelValues,1)))</f>
        <v/>
      </c>
      <c r="H130" s="106">
        <f>IF($J130="","",IFERROR(INDEX(Stu_ContactReq,MATCH(C130,Stu_ID,0)),""))</f>
        <v/>
      </c>
      <c r="I130" s="107">
        <f>IF($J130="","",IFERROR(INDEX(Stu_Notes,MATCH(C130,Stu_ID,0)),""))</f>
        <v/>
      </c>
      <c r="J130" s="40">
        <f>IF(125&gt;$B$3,"",IFERROR(MATCH(125-1,EV_Seq,1)+1,1))</f>
        <v/>
      </c>
    </row>
    <row r="131">
      <c r="A131" s="105">
        <f>IF($J131="","",INDEX(EV_Date,$J131))</f>
        <v/>
      </c>
      <c r="B131" s="78">
        <f>IF($J131="","",INDEX(EV_Name,$J131))</f>
        <v/>
      </c>
      <c r="C131" s="106">
        <f>IF($J131="","",INDEX(EV_ID,$J131))</f>
        <v/>
      </c>
      <c r="D131" s="106">
        <f>IF($J131="","",INDEX(EV_Class,$J131))</f>
        <v/>
      </c>
      <c r="E131" s="106">
        <f>IF($J131="","",INDEX(EV_Type,$J131))</f>
        <v/>
      </c>
      <c r="F131" s="106">
        <f>IF($J131="","",INDEX(EV_Cum,$J131))</f>
        <v/>
      </c>
      <c r="G131" s="106">
        <f>IF($J131="","",INDEX(LevelLabels,MATCH(F131,LevelValues,1)))</f>
        <v/>
      </c>
      <c r="H131" s="106">
        <f>IF($J131="","",IFERROR(INDEX(Stu_ContactReq,MATCH(C131,Stu_ID,0)),""))</f>
        <v/>
      </c>
      <c r="I131" s="107">
        <f>IF($J131="","",IFERROR(INDEX(Stu_Notes,MATCH(C131,Stu_ID,0)),""))</f>
        <v/>
      </c>
      <c r="J131" s="40">
        <f>IF(126&gt;$B$3,"",IFERROR(MATCH(126-1,EV_Seq,1)+1,1))</f>
        <v/>
      </c>
    </row>
    <row r="132">
      <c r="A132" s="105">
        <f>IF($J132="","",INDEX(EV_Date,$J132))</f>
        <v/>
      </c>
      <c r="B132" s="78">
        <f>IF($J132="","",INDEX(EV_Name,$J132))</f>
        <v/>
      </c>
      <c r="C132" s="106">
        <f>IF($J132="","",INDEX(EV_ID,$J132))</f>
        <v/>
      </c>
      <c r="D132" s="106">
        <f>IF($J132="","",INDEX(EV_Class,$J132))</f>
        <v/>
      </c>
      <c r="E132" s="106">
        <f>IF($J132="","",INDEX(EV_Type,$J132))</f>
        <v/>
      </c>
      <c r="F132" s="106">
        <f>IF($J132="","",INDEX(EV_Cum,$J132))</f>
        <v/>
      </c>
      <c r="G132" s="106">
        <f>IF($J132="","",INDEX(LevelLabels,MATCH(F132,LevelValues,1)))</f>
        <v/>
      </c>
      <c r="H132" s="106">
        <f>IF($J132="","",IFERROR(INDEX(Stu_ContactReq,MATCH(C132,Stu_ID,0)),""))</f>
        <v/>
      </c>
      <c r="I132" s="107">
        <f>IF($J132="","",IFERROR(INDEX(Stu_Notes,MATCH(C132,Stu_ID,0)),""))</f>
        <v/>
      </c>
      <c r="J132" s="40">
        <f>IF(127&gt;$B$3,"",IFERROR(MATCH(127-1,EV_Seq,1)+1,1))</f>
        <v/>
      </c>
    </row>
    <row r="133">
      <c r="A133" s="105">
        <f>IF($J133="","",INDEX(EV_Date,$J133))</f>
        <v/>
      </c>
      <c r="B133" s="78">
        <f>IF($J133="","",INDEX(EV_Name,$J133))</f>
        <v/>
      </c>
      <c r="C133" s="106">
        <f>IF($J133="","",INDEX(EV_ID,$J133))</f>
        <v/>
      </c>
      <c r="D133" s="106">
        <f>IF($J133="","",INDEX(EV_Class,$J133))</f>
        <v/>
      </c>
      <c r="E133" s="106">
        <f>IF($J133="","",INDEX(EV_Type,$J133))</f>
        <v/>
      </c>
      <c r="F133" s="106">
        <f>IF($J133="","",INDEX(EV_Cum,$J133))</f>
        <v/>
      </c>
      <c r="G133" s="106">
        <f>IF($J133="","",INDEX(LevelLabels,MATCH(F133,LevelValues,1)))</f>
        <v/>
      </c>
      <c r="H133" s="106">
        <f>IF($J133="","",IFERROR(INDEX(Stu_ContactReq,MATCH(C133,Stu_ID,0)),""))</f>
        <v/>
      </c>
      <c r="I133" s="107">
        <f>IF($J133="","",IFERROR(INDEX(Stu_Notes,MATCH(C133,Stu_ID,0)),""))</f>
        <v/>
      </c>
      <c r="J133" s="40">
        <f>IF(128&gt;$B$3,"",IFERROR(MATCH(128-1,EV_Seq,1)+1,1))</f>
        <v/>
      </c>
    </row>
    <row r="134">
      <c r="A134" s="105">
        <f>IF($J134="","",INDEX(EV_Date,$J134))</f>
        <v/>
      </c>
      <c r="B134" s="78">
        <f>IF($J134="","",INDEX(EV_Name,$J134))</f>
        <v/>
      </c>
      <c r="C134" s="106">
        <f>IF($J134="","",INDEX(EV_ID,$J134))</f>
        <v/>
      </c>
      <c r="D134" s="106">
        <f>IF($J134="","",INDEX(EV_Class,$J134))</f>
        <v/>
      </c>
      <c r="E134" s="106">
        <f>IF($J134="","",INDEX(EV_Type,$J134))</f>
        <v/>
      </c>
      <c r="F134" s="106">
        <f>IF($J134="","",INDEX(EV_Cum,$J134))</f>
        <v/>
      </c>
      <c r="G134" s="106">
        <f>IF($J134="","",INDEX(LevelLabels,MATCH(F134,LevelValues,1)))</f>
        <v/>
      </c>
      <c r="H134" s="106">
        <f>IF($J134="","",IFERROR(INDEX(Stu_ContactReq,MATCH(C134,Stu_ID,0)),""))</f>
        <v/>
      </c>
      <c r="I134" s="107">
        <f>IF($J134="","",IFERROR(INDEX(Stu_Notes,MATCH(C134,Stu_ID,0)),""))</f>
        <v/>
      </c>
      <c r="J134" s="40">
        <f>IF(129&gt;$B$3,"",IFERROR(MATCH(129-1,EV_Seq,1)+1,1))</f>
        <v/>
      </c>
    </row>
    <row r="135">
      <c r="A135" s="105">
        <f>IF($J135="","",INDEX(EV_Date,$J135))</f>
        <v/>
      </c>
      <c r="B135" s="78">
        <f>IF($J135="","",INDEX(EV_Name,$J135))</f>
        <v/>
      </c>
      <c r="C135" s="106">
        <f>IF($J135="","",INDEX(EV_ID,$J135))</f>
        <v/>
      </c>
      <c r="D135" s="106">
        <f>IF($J135="","",INDEX(EV_Class,$J135))</f>
        <v/>
      </c>
      <c r="E135" s="106">
        <f>IF($J135="","",INDEX(EV_Type,$J135))</f>
        <v/>
      </c>
      <c r="F135" s="106">
        <f>IF($J135="","",INDEX(EV_Cum,$J135))</f>
        <v/>
      </c>
      <c r="G135" s="106">
        <f>IF($J135="","",INDEX(LevelLabels,MATCH(F135,LevelValues,1)))</f>
        <v/>
      </c>
      <c r="H135" s="106">
        <f>IF($J135="","",IFERROR(INDEX(Stu_ContactReq,MATCH(C135,Stu_ID,0)),""))</f>
        <v/>
      </c>
      <c r="I135" s="107">
        <f>IF($J135="","",IFERROR(INDEX(Stu_Notes,MATCH(C135,Stu_ID,0)),""))</f>
        <v/>
      </c>
      <c r="J135" s="40">
        <f>IF(130&gt;$B$3,"",IFERROR(MATCH(130-1,EV_Seq,1)+1,1))</f>
        <v/>
      </c>
    </row>
    <row r="136">
      <c r="A136" s="105">
        <f>IF($J136="","",INDEX(EV_Date,$J136))</f>
        <v/>
      </c>
      <c r="B136" s="78">
        <f>IF($J136="","",INDEX(EV_Name,$J136))</f>
        <v/>
      </c>
      <c r="C136" s="106">
        <f>IF($J136="","",INDEX(EV_ID,$J136))</f>
        <v/>
      </c>
      <c r="D136" s="106">
        <f>IF($J136="","",INDEX(EV_Class,$J136))</f>
        <v/>
      </c>
      <c r="E136" s="106">
        <f>IF($J136="","",INDEX(EV_Type,$J136))</f>
        <v/>
      </c>
      <c r="F136" s="106">
        <f>IF($J136="","",INDEX(EV_Cum,$J136))</f>
        <v/>
      </c>
      <c r="G136" s="106">
        <f>IF($J136="","",INDEX(LevelLabels,MATCH(F136,LevelValues,1)))</f>
        <v/>
      </c>
      <c r="H136" s="106">
        <f>IF($J136="","",IFERROR(INDEX(Stu_ContactReq,MATCH(C136,Stu_ID,0)),""))</f>
        <v/>
      </c>
      <c r="I136" s="107">
        <f>IF($J136="","",IFERROR(INDEX(Stu_Notes,MATCH(C136,Stu_ID,0)),""))</f>
        <v/>
      </c>
      <c r="J136" s="40">
        <f>IF(131&gt;$B$3,"",IFERROR(MATCH(131-1,EV_Seq,1)+1,1))</f>
        <v/>
      </c>
    </row>
    <row r="137">
      <c r="A137" s="105">
        <f>IF($J137="","",INDEX(EV_Date,$J137))</f>
        <v/>
      </c>
      <c r="B137" s="78">
        <f>IF($J137="","",INDEX(EV_Name,$J137))</f>
        <v/>
      </c>
      <c r="C137" s="106">
        <f>IF($J137="","",INDEX(EV_ID,$J137))</f>
        <v/>
      </c>
      <c r="D137" s="106">
        <f>IF($J137="","",INDEX(EV_Class,$J137))</f>
        <v/>
      </c>
      <c r="E137" s="106">
        <f>IF($J137="","",INDEX(EV_Type,$J137))</f>
        <v/>
      </c>
      <c r="F137" s="106">
        <f>IF($J137="","",INDEX(EV_Cum,$J137))</f>
        <v/>
      </c>
      <c r="G137" s="106">
        <f>IF($J137="","",INDEX(LevelLabels,MATCH(F137,LevelValues,1)))</f>
        <v/>
      </c>
      <c r="H137" s="106">
        <f>IF($J137="","",IFERROR(INDEX(Stu_ContactReq,MATCH(C137,Stu_ID,0)),""))</f>
        <v/>
      </c>
      <c r="I137" s="107">
        <f>IF($J137="","",IFERROR(INDEX(Stu_Notes,MATCH(C137,Stu_ID,0)),""))</f>
        <v/>
      </c>
      <c r="J137" s="40">
        <f>IF(132&gt;$B$3,"",IFERROR(MATCH(132-1,EV_Seq,1)+1,1))</f>
        <v/>
      </c>
    </row>
    <row r="138">
      <c r="A138" s="105">
        <f>IF($J138="","",INDEX(EV_Date,$J138))</f>
        <v/>
      </c>
      <c r="B138" s="78">
        <f>IF($J138="","",INDEX(EV_Name,$J138))</f>
        <v/>
      </c>
      <c r="C138" s="106">
        <f>IF($J138="","",INDEX(EV_ID,$J138))</f>
        <v/>
      </c>
      <c r="D138" s="106">
        <f>IF($J138="","",INDEX(EV_Class,$J138))</f>
        <v/>
      </c>
      <c r="E138" s="106">
        <f>IF($J138="","",INDEX(EV_Type,$J138))</f>
        <v/>
      </c>
      <c r="F138" s="106">
        <f>IF($J138="","",INDEX(EV_Cum,$J138))</f>
        <v/>
      </c>
      <c r="G138" s="106">
        <f>IF($J138="","",INDEX(LevelLabels,MATCH(F138,LevelValues,1)))</f>
        <v/>
      </c>
      <c r="H138" s="106">
        <f>IF($J138="","",IFERROR(INDEX(Stu_ContactReq,MATCH(C138,Stu_ID,0)),""))</f>
        <v/>
      </c>
      <c r="I138" s="107">
        <f>IF($J138="","",IFERROR(INDEX(Stu_Notes,MATCH(C138,Stu_ID,0)),""))</f>
        <v/>
      </c>
      <c r="J138" s="40">
        <f>IF(133&gt;$B$3,"",IFERROR(MATCH(133-1,EV_Seq,1)+1,1))</f>
        <v/>
      </c>
    </row>
    <row r="139">
      <c r="A139" s="105">
        <f>IF($J139="","",INDEX(EV_Date,$J139))</f>
        <v/>
      </c>
      <c r="B139" s="78">
        <f>IF($J139="","",INDEX(EV_Name,$J139))</f>
        <v/>
      </c>
      <c r="C139" s="106">
        <f>IF($J139="","",INDEX(EV_ID,$J139))</f>
        <v/>
      </c>
      <c r="D139" s="106">
        <f>IF($J139="","",INDEX(EV_Class,$J139))</f>
        <v/>
      </c>
      <c r="E139" s="106">
        <f>IF($J139="","",INDEX(EV_Type,$J139))</f>
        <v/>
      </c>
      <c r="F139" s="106">
        <f>IF($J139="","",INDEX(EV_Cum,$J139))</f>
        <v/>
      </c>
      <c r="G139" s="106">
        <f>IF($J139="","",INDEX(LevelLabels,MATCH(F139,LevelValues,1)))</f>
        <v/>
      </c>
      <c r="H139" s="106">
        <f>IF($J139="","",IFERROR(INDEX(Stu_ContactReq,MATCH(C139,Stu_ID,0)),""))</f>
        <v/>
      </c>
      <c r="I139" s="107">
        <f>IF($J139="","",IFERROR(INDEX(Stu_Notes,MATCH(C139,Stu_ID,0)),""))</f>
        <v/>
      </c>
      <c r="J139" s="40">
        <f>IF(134&gt;$B$3,"",IFERROR(MATCH(134-1,EV_Seq,1)+1,1))</f>
        <v/>
      </c>
    </row>
    <row r="140">
      <c r="A140" s="105">
        <f>IF($J140="","",INDEX(EV_Date,$J140))</f>
        <v/>
      </c>
      <c r="B140" s="78">
        <f>IF($J140="","",INDEX(EV_Name,$J140))</f>
        <v/>
      </c>
      <c r="C140" s="106">
        <f>IF($J140="","",INDEX(EV_ID,$J140))</f>
        <v/>
      </c>
      <c r="D140" s="106">
        <f>IF($J140="","",INDEX(EV_Class,$J140))</f>
        <v/>
      </c>
      <c r="E140" s="106">
        <f>IF($J140="","",INDEX(EV_Type,$J140))</f>
        <v/>
      </c>
      <c r="F140" s="106">
        <f>IF($J140="","",INDEX(EV_Cum,$J140))</f>
        <v/>
      </c>
      <c r="G140" s="106">
        <f>IF($J140="","",INDEX(LevelLabels,MATCH(F140,LevelValues,1)))</f>
        <v/>
      </c>
      <c r="H140" s="106">
        <f>IF($J140="","",IFERROR(INDEX(Stu_ContactReq,MATCH(C140,Stu_ID,0)),""))</f>
        <v/>
      </c>
      <c r="I140" s="107">
        <f>IF($J140="","",IFERROR(INDEX(Stu_Notes,MATCH(C140,Stu_ID,0)),""))</f>
        <v/>
      </c>
      <c r="J140" s="40">
        <f>IF(135&gt;$B$3,"",IFERROR(MATCH(135-1,EV_Seq,1)+1,1))</f>
        <v/>
      </c>
    </row>
    <row r="141">
      <c r="A141" s="105">
        <f>IF($J141="","",INDEX(EV_Date,$J141))</f>
        <v/>
      </c>
      <c r="B141" s="78">
        <f>IF($J141="","",INDEX(EV_Name,$J141))</f>
        <v/>
      </c>
      <c r="C141" s="106">
        <f>IF($J141="","",INDEX(EV_ID,$J141))</f>
        <v/>
      </c>
      <c r="D141" s="106">
        <f>IF($J141="","",INDEX(EV_Class,$J141))</f>
        <v/>
      </c>
      <c r="E141" s="106">
        <f>IF($J141="","",INDEX(EV_Type,$J141))</f>
        <v/>
      </c>
      <c r="F141" s="106">
        <f>IF($J141="","",INDEX(EV_Cum,$J141))</f>
        <v/>
      </c>
      <c r="G141" s="106">
        <f>IF($J141="","",INDEX(LevelLabels,MATCH(F141,LevelValues,1)))</f>
        <v/>
      </c>
      <c r="H141" s="106">
        <f>IF($J141="","",IFERROR(INDEX(Stu_ContactReq,MATCH(C141,Stu_ID,0)),""))</f>
        <v/>
      </c>
      <c r="I141" s="107">
        <f>IF($J141="","",IFERROR(INDEX(Stu_Notes,MATCH(C141,Stu_ID,0)),""))</f>
        <v/>
      </c>
      <c r="J141" s="40">
        <f>IF(136&gt;$B$3,"",IFERROR(MATCH(136-1,EV_Seq,1)+1,1))</f>
        <v/>
      </c>
    </row>
    <row r="142">
      <c r="A142" s="105">
        <f>IF($J142="","",INDEX(EV_Date,$J142))</f>
        <v/>
      </c>
      <c r="B142" s="78">
        <f>IF($J142="","",INDEX(EV_Name,$J142))</f>
        <v/>
      </c>
      <c r="C142" s="106">
        <f>IF($J142="","",INDEX(EV_ID,$J142))</f>
        <v/>
      </c>
      <c r="D142" s="106">
        <f>IF($J142="","",INDEX(EV_Class,$J142))</f>
        <v/>
      </c>
      <c r="E142" s="106">
        <f>IF($J142="","",INDEX(EV_Type,$J142))</f>
        <v/>
      </c>
      <c r="F142" s="106">
        <f>IF($J142="","",INDEX(EV_Cum,$J142))</f>
        <v/>
      </c>
      <c r="G142" s="106">
        <f>IF($J142="","",INDEX(LevelLabels,MATCH(F142,LevelValues,1)))</f>
        <v/>
      </c>
      <c r="H142" s="106">
        <f>IF($J142="","",IFERROR(INDEX(Stu_ContactReq,MATCH(C142,Stu_ID,0)),""))</f>
        <v/>
      </c>
      <c r="I142" s="107">
        <f>IF($J142="","",IFERROR(INDEX(Stu_Notes,MATCH(C142,Stu_ID,0)),""))</f>
        <v/>
      </c>
      <c r="J142" s="40">
        <f>IF(137&gt;$B$3,"",IFERROR(MATCH(137-1,EV_Seq,1)+1,1))</f>
        <v/>
      </c>
    </row>
    <row r="143">
      <c r="A143" s="105">
        <f>IF($J143="","",INDEX(EV_Date,$J143))</f>
        <v/>
      </c>
      <c r="B143" s="78">
        <f>IF($J143="","",INDEX(EV_Name,$J143))</f>
        <v/>
      </c>
      <c r="C143" s="106">
        <f>IF($J143="","",INDEX(EV_ID,$J143))</f>
        <v/>
      </c>
      <c r="D143" s="106">
        <f>IF($J143="","",INDEX(EV_Class,$J143))</f>
        <v/>
      </c>
      <c r="E143" s="106">
        <f>IF($J143="","",INDEX(EV_Type,$J143))</f>
        <v/>
      </c>
      <c r="F143" s="106">
        <f>IF($J143="","",INDEX(EV_Cum,$J143))</f>
        <v/>
      </c>
      <c r="G143" s="106">
        <f>IF($J143="","",INDEX(LevelLabels,MATCH(F143,LevelValues,1)))</f>
        <v/>
      </c>
      <c r="H143" s="106">
        <f>IF($J143="","",IFERROR(INDEX(Stu_ContactReq,MATCH(C143,Stu_ID,0)),""))</f>
        <v/>
      </c>
      <c r="I143" s="107">
        <f>IF($J143="","",IFERROR(INDEX(Stu_Notes,MATCH(C143,Stu_ID,0)),""))</f>
        <v/>
      </c>
      <c r="J143" s="40">
        <f>IF(138&gt;$B$3,"",IFERROR(MATCH(138-1,EV_Seq,1)+1,1))</f>
        <v/>
      </c>
    </row>
    <row r="144">
      <c r="A144" s="105">
        <f>IF($J144="","",INDEX(EV_Date,$J144))</f>
        <v/>
      </c>
      <c r="B144" s="78">
        <f>IF($J144="","",INDEX(EV_Name,$J144))</f>
        <v/>
      </c>
      <c r="C144" s="106">
        <f>IF($J144="","",INDEX(EV_ID,$J144))</f>
        <v/>
      </c>
      <c r="D144" s="106">
        <f>IF($J144="","",INDEX(EV_Class,$J144))</f>
        <v/>
      </c>
      <c r="E144" s="106">
        <f>IF($J144="","",INDEX(EV_Type,$J144))</f>
        <v/>
      </c>
      <c r="F144" s="106">
        <f>IF($J144="","",INDEX(EV_Cum,$J144))</f>
        <v/>
      </c>
      <c r="G144" s="106">
        <f>IF($J144="","",INDEX(LevelLabels,MATCH(F144,LevelValues,1)))</f>
        <v/>
      </c>
      <c r="H144" s="106">
        <f>IF($J144="","",IFERROR(INDEX(Stu_ContactReq,MATCH(C144,Stu_ID,0)),""))</f>
        <v/>
      </c>
      <c r="I144" s="107">
        <f>IF($J144="","",IFERROR(INDEX(Stu_Notes,MATCH(C144,Stu_ID,0)),""))</f>
        <v/>
      </c>
      <c r="J144" s="40">
        <f>IF(139&gt;$B$3,"",IFERROR(MATCH(139-1,EV_Seq,1)+1,1))</f>
        <v/>
      </c>
    </row>
    <row r="145">
      <c r="A145" s="105">
        <f>IF($J145="","",INDEX(EV_Date,$J145))</f>
        <v/>
      </c>
      <c r="B145" s="78">
        <f>IF($J145="","",INDEX(EV_Name,$J145))</f>
        <v/>
      </c>
      <c r="C145" s="106">
        <f>IF($J145="","",INDEX(EV_ID,$J145))</f>
        <v/>
      </c>
      <c r="D145" s="106">
        <f>IF($J145="","",INDEX(EV_Class,$J145))</f>
        <v/>
      </c>
      <c r="E145" s="106">
        <f>IF($J145="","",INDEX(EV_Type,$J145))</f>
        <v/>
      </c>
      <c r="F145" s="106">
        <f>IF($J145="","",INDEX(EV_Cum,$J145))</f>
        <v/>
      </c>
      <c r="G145" s="106">
        <f>IF($J145="","",INDEX(LevelLabels,MATCH(F145,LevelValues,1)))</f>
        <v/>
      </c>
      <c r="H145" s="106">
        <f>IF($J145="","",IFERROR(INDEX(Stu_ContactReq,MATCH(C145,Stu_ID,0)),""))</f>
        <v/>
      </c>
      <c r="I145" s="107">
        <f>IF($J145="","",IFERROR(INDEX(Stu_Notes,MATCH(C145,Stu_ID,0)),""))</f>
        <v/>
      </c>
      <c r="J145" s="40">
        <f>IF(140&gt;$B$3,"",IFERROR(MATCH(140-1,EV_Seq,1)+1,1))</f>
        <v/>
      </c>
    </row>
    <row r="146">
      <c r="A146" s="105">
        <f>IF($J146="","",INDEX(EV_Date,$J146))</f>
        <v/>
      </c>
      <c r="B146" s="78">
        <f>IF($J146="","",INDEX(EV_Name,$J146))</f>
        <v/>
      </c>
      <c r="C146" s="106">
        <f>IF($J146="","",INDEX(EV_ID,$J146))</f>
        <v/>
      </c>
      <c r="D146" s="106">
        <f>IF($J146="","",INDEX(EV_Class,$J146))</f>
        <v/>
      </c>
      <c r="E146" s="106">
        <f>IF($J146="","",INDEX(EV_Type,$J146))</f>
        <v/>
      </c>
      <c r="F146" s="106">
        <f>IF($J146="","",INDEX(EV_Cum,$J146))</f>
        <v/>
      </c>
      <c r="G146" s="106">
        <f>IF($J146="","",INDEX(LevelLabels,MATCH(F146,LevelValues,1)))</f>
        <v/>
      </c>
      <c r="H146" s="106">
        <f>IF($J146="","",IFERROR(INDEX(Stu_ContactReq,MATCH(C146,Stu_ID,0)),""))</f>
        <v/>
      </c>
      <c r="I146" s="107">
        <f>IF($J146="","",IFERROR(INDEX(Stu_Notes,MATCH(C146,Stu_ID,0)),""))</f>
        <v/>
      </c>
      <c r="J146" s="40">
        <f>IF(141&gt;$B$3,"",IFERROR(MATCH(141-1,EV_Seq,1)+1,1))</f>
        <v/>
      </c>
    </row>
    <row r="147">
      <c r="A147" s="105">
        <f>IF($J147="","",INDEX(EV_Date,$J147))</f>
        <v/>
      </c>
      <c r="B147" s="78">
        <f>IF($J147="","",INDEX(EV_Name,$J147))</f>
        <v/>
      </c>
      <c r="C147" s="106">
        <f>IF($J147="","",INDEX(EV_ID,$J147))</f>
        <v/>
      </c>
      <c r="D147" s="106">
        <f>IF($J147="","",INDEX(EV_Class,$J147))</f>
        <v/>
      </c>
      <c r="E147" s="106">
        <f>IF($J147="","",INDEX(EV_Type,$J147))</f>
        <v/>
      </c>
      <c r="F147" s="106">
        <f>IF($J147="","",INDEX(EV_Cum,$J147))</f>
        <v/>
      </c>
      <c r="G147" s="106">
        <f>IF($J147="","",INDEX(LevelLabels,MATCH(F147,LevelValues,1)))</f>
        <v/>
      </c>
      <c r="H147" s="106">
        <f>IF($J147="","",IFERROR(INDEX(Stu_ContactReq,MATCH(C147,Stu_ID,0)),""))</f>
        <v/>
      </c>
      <c r="I147" s="107">
        <f>IF($J147="","",IFERROR(INDEX(Stu_Notes,MATCH(C147,Stu_ID,0)),""))</f>
        <v/>
      </c>
      <c r="J147" s="40">
        <f>IF(142&gt;$B$3,"",IFERROR(MATCH(142-1,EV_Seq,1)+1,1))</f>
        <v/>
      </c>
    </row>
    <row r="148">
      <c r="A148" s="105">
        <f>IF($J148="","",INDEX(EV_Date,$J148))</f>
        <v/>
      </c>
      <c r="B148" s="78">
        <f>IF($J148="","",INDEX(EV_Name,$J148))</f>
        <v/>
      </c>
      <c r="C148" s="106">
        <f>IF($J148="","",INDEX(EV_ID,$J148))</f>
        <v/>
      </c>
      <c r="D148" s="106">
        <f>IF($J148="","",INDEX(EV_Class,$J148))</f>
        <v/>
      </c>
      <c r="E148" s="106">
        <f>IF($J148="","",INDEX(EV_Type,$J148))</f>
        <v/>
      </c>
      <c r="F148" s="106">
        <f>IF($J148="","",INDEX(EV_Cum,$J148))</f>
        <v/>
      </c>
      <c r="G148" s="106">
        <f>IF($J148="","",INDEX(LevelLabels,MATCH(F148,LevelValues,1)))</f>
        <v/>
      </c>
      <c r="H148" s="106">
        <f>IF($J148="","",IFERROR(INDEX(Stu_ContactReq,MATCH(C148,Stu_ID,0)),""))</f>
        <v/>
      </c>
      <c r="I148" s="107">
        <f>IF($J148="","",IFERROR(INDEX(Stu_Notes,MATCH(C148,Stu_ID,0)),""))</f>
        <v/>
      </c>
      <c r="J148" s="40">
        <f>IF(143&gt;$B$3,"",IFERROR(MATCH(143-1,EV_Seq,1)+1,1))</f>
        <v/>
      </c>
    </row>
    <row r="149">
      <c r="A149" s="105">
        <f>IF($J149="","",INDEX(EV_Date,$J149))</f>
        <v/>
      </c>
      <c r="B149" s="78">
        <f>IF($J149="","",INDEX(EV_Name,$J149))</f>
        <v/>
      </c>
      <c r="C149" s="106">
        <f>IF($J149="","",INDEX(EV_ID,$J149))</f>
        <v/>
      </c>
      <c r="D149" s="106">
        <f>IF($J149="","",INDEX(EV_Class,$J149))</f>
        <v/>
      </c>
      <c r="E149" s="106">
        <f>IF($J149="","",INDEX(EV_Type,$J149))</f>
        <v/>
      </c>
      <c r="F149" s="106">
        <f>IF($J149="","",INDEX(EV_Cum,$J149))</f>
        <v/>
      </c>
      <c r="G149" s="106">
        <f>IF($J149="","",INDEX(LevelLabels,MATCH(F149,LevelValues,1)))</f>
        <v/>
      </c>
      <c r="H149" s="106">
        <f>IF($J149="","",IFERROR(INDEX(Stu_ContactReq,MATCH(C149,Stu_ID,0)),""))</f>
        <v/>
      </c>
      <c r="I149" s="107">
        <f>IF($J149="","",IFERROR(INDEX(Stu_Notes,MATCH(C149,Stu_ID,0)),""))</f>
        <v/>
      </c>
      <c r="J149" s="40">
        <f>IF(144&gt;$B$3,"",IFERROR(MATCH(144-1,EV_Seq,1)+1,1))</f>
        <v/>
      </c>
    </row>
    <row r="150">
      <c r="A150" s="105">
        <f>IF($J150="","",INDEX(EV_Date,$J150))</f>
        <v/>
      </c>
      <c r="B150" s="78">
        <f>IF($J150="","",INDEX(EV_Name,$J150))</f>
        <v/>
      </c>
      <c r="C150" s="106">
        <f>IF($J150="","",INDEX(EV_ID,$J150))</f>
        <v/>
      </c>
      <c r="D150" s="106">
        <f>IF($J150="","",INDEX(EV_Class,$J150))</f>
        <v/>
      </c>
      <c r="E150" s="106">
        <f>IF($J150="","",INDEX(EV_Type,$J150))</f>
        <v/>
      </c>
      <c r="F150" s="106">
        <f>IF($J150="","",INDEX(EV_Cum,$J150))</f>
        <v/>
      </c>
      <c r="G150" s="106">
        <f>IF($J150="","",INDEX(LevelLabels,MATCH(F150,LevelValues,1)))</f>
        <v/>
      </c>
      <c r="H150" s="106">
        <f>IF($J150="","",IFERROR(INDEX(Stu_ContactReq,MATCH(C150,Stu_ID,0)),""))</f>
        <v/>
      </c>
      <c r="I150" s="107">
        <f>IF($J150="","",IFERROR(INDEX(Stu_Notes,MATCH(C150,Stu_ID,0)),""))</f>
        <v/>
      </c>
      <c r="J150" s="40">
        <f>IF(145&gt;$B$3,"",IFERROR(MATCH(145-1,EV_Seq,1)+1,1))</f>
        <v/>
      </c>
    </row>
    <row r="151">
      <c r="A151" s="105">
        <f>IF($J151="","",INDEX(EV_Date,$J151))</f>
        <v/>
      </c>
      <c r="B151" s="78">
        <f>IF($J151="","",INDEX(EV_Name,$J151))</f>
        <v/>
      </c>
      <c r="C151" s="106">
        <f>IF($J151="","",INDEX(EV_ID,$J151))</f>
        <v/>
      </c>
      <c r="D151" s="106">
        <f>IF($J151="","",INDEX(EV_Class,$J151))</f>
        <v/>
      </c>
      <c r="E151" s="106">
        <f>IF($J151="","",INDEX(EV_Type,$J151))</f>
        <v/>
      </c>
      <c r="F151" s="106">
        <f>IF($J151="","",INDEX(EV_Cum,$J151))</f>
        <v/>
      </c>
      <c r="G151" s="106">
        <f>IF($J151="","",INDEX(LevelLabels,MATCH(F151,LevelValues,1)))</f>
        <v/>
      </c>
      <c r="H151" s="106">
        <f>IF($J151="","",IFERROR(INDEX(Stu_ContactReq,MATCH(C151,Stu_ID,0)),""))</f>
        <v/>
      </c>
      <c r="I151" s="107">
        <f>IF($J151="","",IFERROR(INDEX(Stu_Notes,MATCH(C151,Stu_ID,0)),""))</f>
        <v/>
      </c>
      <c r="J151" s="40">
        <f>IF(146&gt;$B$3,"",IFERROR(MATCH(146-1,EV_Seq,1)+1,1))</f>
        <v/>
      </c>
    </row>
    <row r="152">
      <c r="A152" s="105">
        <f>IF($J152="","",INDEX(EV_Date,$J152))</f>
        <v/>
      </c>
      <c r="B152" s="78">
        <f>IF($J152="","",INDEX(EV_Name,$J152))</f>
        <v/>
      </c>
      <c r="C152" s="106">
        <f>IF($J152="","",INDEX(EV_ID,$J152))</f>
        <v/>
      </c>
      <c r="D152" s="106">
        <f>IF($J152="","",INDEX(EV_Class,$J152))</f>
        <v/>
      </c>
      <c r="E152" s="106">
        <f>IF($J152="","",INDEX(EV_Type,$J152))</f>
        <v/>
      </c>
      <c r="F152" s="106">
        <f>IF($J152="","",INDEX(EV_Cum,$J152))</f>
        <v/>
      </c>
      <c r="G152" s="106">
        <f>IF($J152="","",INDEX(LevelLabels,MATCH(F152,LevelValues,1)))</f>
        <v/>
      </c>
      <c r="H152" s="106">
        <f>IF($J152="","",IFERROR(INDEX(Stu_ContactReq,MATCH(C152,Stu_ID,0)),""))</f>
        <v/>
      </c>
      <c r="I152" s="107">
        <f>IF($J152="","",IFERROR(INDEX(Stu_Notes,MATCH(C152,Stu_ID,0)),""))</f>
        <v/>
      </c>
      <c r="J152" s="40">
        <f>IF(147&gt;$B$3,"",IFERROR(MATCH(147-1,EV_Seq,1)+1,1))</f>
        <v/>
      </c>
    </row>
    <row r="153">
      <c r="A153" s="105">
        <f>IF($J153="","",INDEX(EV_Date,$J153))</f>
        <v/>
      </c>
      <c r="B153" s="78">
        <f>IF($J153="","",INDEX(EV_Name,$J153))</f>
        <v/>
      </c>
      <c r="C153" s="106">
        <f>IF($J153="","",INDEX(EV_ID,$J153))</f>
        <v/>
      </c>
      <c r="D153" s="106">
        <f>IF($J153="","",INDEX(EV_Class,$J153))</f>
        <v/>
      </c>
      <c r="E153" s="106">
        <f>IF($J153="","",INDEX(EV_Type,$J153))</f>
        <v/>
      </c>
      <c r="F153" s="106">
        <f>IF($J153="","",INDEX(EV_Cum,$J153))</f>
        <v/>
      </c>
      <c r="G153" s="106">
        <f>IF($J153="","",INDEX(LevelLabels,MATCH(F153,LevelValues,1)))</f>
        <v/>
      </c>
      <c r="H153" s="106">
        <f>IF($J153="","",IFERROR(INDEX(Stu_ContactReq,MATCH(C153,Stu_ID,0)),""))</f>
        <v/>
      </c>
      <c r="I153" s="107">
        <f>IF($J153="","",IFERROR(INDEX(Stu_Notes,MATCH(C153,Stu_ID,0)),""))</f>
        <v/>
      </c>
      <c r="J153" s="40">
        <f>IF(148&gt;$B$3,"",IFERROR(MATCH(148-1,EV_Seq,1)+1,1))</f>
        <v/>
      </c>
    </row>
    <row r="154">
      <c r="A154" s="105">
        <f>IF($J154="","",INDEX(EV_Date,$J154))</f>
        <v/>
      </c>
      <c r="B154" s="78">
        <f>IF($J154="","",INDEX(EV_Name,$J154))</f>
        <v/>
      </c>
      <c r="C154" s="106">
        <f>IF($J154="","",INDEX(EV_ID,$J154))</f>
        <v/>
      </c>
      <c r="D154" s="106">
        <f>IF($J154="","",INDEX(EV_Class,$J154))</f>
        <v/>
      </c>
      <c r="E154" s="106">
        <f>IF($J154="","",INDEX(EV_Type,$J154))</f>
        <v/>
      </c>
      <c r="F154" s="106">
        <f>IF($J154="","",INDEX(EV_Cum,$J154))</f>
        <v/>
      </c>
      <c r="G154" s="106">
        <f>IF($J154="","",INDEX(LevelLabels,MATCH(F154,LevelValues,1)))</f>
        <v/>
      </c>
      <c r="H154" s="106">
        <f>IF($J154="","",IFERROR(INDEX(Stu_ContactReq,MATCH(C154,Stu_ID,0)),""))</f>
        <v/>
      </c>
      <c r="I154" s="107">
        <f>IF($J154="","",IFERROR(INDEX(Stu_Notes,MATCH(C154,Stu_ID,0)),""))</f>
        <v/>
      </c>
      <c r="J154" s="40">
        <f>IF(149&gt;$B$3,"",IFERROR(MATCH(149-1,EV_Seq,1)+1,1))</f>
        <v/>
      </c>
    </row>
    <row r="155">
      <c r="A155" s="105">
        <f>IF($J155="","",INDEX(EV_Date,$J155))</f>
        <v/>
      </c>
      <c r="B155" s="78">
        <f>IF($J155="","",INDEX(EV_Name,$J155))</f>
        <v/>
      </c>
      <c r="C155" s="106">
        <f>IF($J155="","",INDEX(EV_ID,$J155))</f>
        <v/>
      </c>
      <c r="D155" s="106">
        <f>IF($J155="","",INDEX(EV_Class,$J155))</f>
        <v/>
      </c>
      <c r="E155" s="106">
        <f>IF($J155="","",INDEX(EV_Type,$J155))</f>
        <v/>
      </c>
      <c r="F155" s="106">
        <f>IF($J155="","",INDEX(EV_Cum,$J155))</f>
        <v/>
      </c>
      <c r="G155" s="106">
        <f>IF($J155="","",INDEX(LevelLabels,MATCH(F155,LevelValues,1)))</f>
        <v/>
      </c>
      <c r="H155" s="106">
        <f>IF($J155="","",IFERROR(INDEX(Stu_ContactReq,MATCH(C155,Stu_ID,0)),""))</f>
        <v/>
      </c>
      <c r="I155" s="107">
        <f>IF($J155="","",IFERROR(INDEX(Stu_Notes,MATCH(C155,Stu_ID,0)),""))</f>
        <v/>
      </c>
      <c r="J155" s="40">
        <f>IF(150&gt;$B$3,"",IFERROR(MATCH(150-1,EV_Seq,1)+1,1))</f>
        <v/>
      </c>
    </row>
    <row r="156">
      <c r="A156" s="105">
        <f>IF($J156="","",INDEX(EV_Date,$J156))</f>
        <v/>
      </c>
      <c r="B156" s="78">
        <f>IF($J156="","",INDEX(EV_Name,$J156))</f>
        <v/>
      </c>
      <c r="C156" s="106">
        <f>IF($J156="","",INDEX(EV_ID,$J156))</f>
        <v/>
      </c>
      <c r="D156" s="106">
        <f>IF($J156="","",INDEX(EV_Class,$J156))</f>
        <v/>
      </c>
      <c r="E156" s="106">
        <f>IF($J156="","",INDEX(EV_Type,$J156))</f>
        <v/>
      </c>
      <c r="F156" s="106">
        <f>IF($J156="","",INDEX(EV_Cum,$J156))</f>
        <v/>
      </c>
      <c r="G156" s="106">
        <f>IF($J156="","",INDEX(LevelLabels,MATCH(F156,LevelValues,1)))</f>
        <v/>
      </c>
      <c r="H156" s="106">
        <f>IF($J156="","",IFERROR(INDEX(Stu_ContactReq,MATCH(C156,Stu_ID,0)),""))</f>
        <v/>
      </c>
      <c r="I156" s="107">
        <f>IF($J156="","",IFERROR(INDEX(Stu_Notes,MATCH(C156,Stu_ID,0)),""))</f>
        <v/>
      </c>
      <c r="J156" s="40">
        <f>IF(151&gt;$B$3,"",IFERROR(MATCH(151-1,EV_Seq,1)+1,1))</f>
        <v/>
      </c>
    </row>
    <row r="157">
      <c r="A157" s="105">
        <f>IF($J157="","",INDEX(EV_Date,$J157))</f>
        <v/>
      </c>
      <c r="B157" s="78">
        <f>IF($J157="","",INDEX(EV_Name,$J157))</f>
        <v/>
      </c>
      <c r="C157" s="106">
        <f>IF($J157="","",INDEX(EV_ID,$J157))</f>
        <v/>
      </c>
      <c r="D157" s="106">
        <f>IF($J157="","",INDEX(EV_Class,$J157))</f>
        <v/>
      </c>
      <c r="E157" s="106">
        <f>IF($J157="","",INDEX(EV_Type,$J157))</f>
        <v/>
      </c>
      <c r="F157" s="106">
        <f>IF($J157="","",INDEX(EV_Cum,$J157))</f>
        <v/>
      </c>
      <c r="G157" s="106">
        <f>IF($J157="","",INDEX(LevelLabels,MATCH(F157,LevelValues,1)))</f>
        <v/>
      </c>
      <c r="H157" s="106">
        <f>IF($J157="","",IFERROR(INDEX(Stu_ContactReq,MATCH(C157,Stu_ID,0)),""))</f>
        <v/>
      </c>
      <c r="I157" s="107">
        <f>IF($J157="","",IFERROR(INDEX(Stu_Notes,MATCH(C157,Stu_ID,0)),""))</f>
        <v/>
      </c>
      <c r="J157" s="40">
        <f>IF(152&gt;$B$3,"",IFERROR(MATCH(152-1,EV_Seq,1)+1,1))</f>
        <v/>
      </c>
    </row>
    <row r="158">
      <c r="A158" s="105">
        <f>IF($J158="","",INDEX(EV_Date,$J158))</f>
        <v/>
      </c>
      <c r="B158" s="78">
        <f>IF($J158="","",INDEX(EV_Name,$J158))</f>
        <v/>
      </c>
      <c r="C158" s="106">
        <f>IF($J158="","",INDEX(EV_ID,$J158))</f>
        <v/>
      </c>
      <c r="D158" s="106">
        <f>IF($J158="","",INDEX(EV_Class,$J158))</f>
        <v/>
      </c>
      <c r="E158" s="106">
        <f>IF($J158="","",INDEX(EV_Type,$J158))</f>
        <v/>
      </c>
      <c r="F158" s="106">
        <f>IF($J158="","",INDEX(EV_Cum,$J158))</f>
        <v/>
      </c>
      <c r="G158" s="106">
        <f>IF($J158="","",INDEX(LevelLabels,MATCH(F158,LevelValues,1)))</f>
        <v/>
      </c>
      <c r="H158" s="106">
        <f>IF($J158="","",IFERROR(INDEX(Stu_ContactReq,MATCH(C158,Stu_ID,0)),""))</f>
        <v/>
      </c>
      <c r="I158" s="107">
        <f>IF($J158="","",IFERROR(INDEX(Stu_Notes,MATCH(C158,Stu_ID,0)),""))</f>
        <v/>
      </c>
      <c r="J158" s="40">
        <f>IF(153&gt;$B$3,"",IFERROR(MATCH(153-1,EV_Seq,1)+1,1))</f>
        <v/>
      </c>
    </row>
    <row r="159">
      <c r="A159" s="105">
        <f>IF($J159="","",INDEX(EV_Date,$J159))</f>
        <v/>
      </c>
      <c r="B159" s="78">
        <f>IF($J159="","",INDEX(EV_Name,$J159))</f>
        <v/>
      </c>
      <c r="C159" s="106">
        <f>IF($J159="","",INDEX(EV_ID,$J159))</f>
        <v/>
      </c>
      <c r="D159" s="106">
        <f>IF($J159="","",INDEX(EV_Class,$J159))</f>
        <v/>
      </c>
      <c r="E159" s="106">
        <f>IF($J159="","",INDEX(EV_Type,$J159))</f>
        <v/>
      </c>
      <c r="F159" s="106">
        <f>IF($J159="","",INDEX(EV_Cum,$J159))</f>
        <v/>
      </c>
      <c r="G159" s="106">
        <f>IF($J159="","",INDEX(LevelLabels,MATCH(F159,LevelValues,1)))</f>
        <v/>
      </c>
      <c r="H159" s="106">
        <f>IF($J159="","",IFERROR(INDEX(Stu_ContactReq,MATCH(C159,Stu_ID,0)),""))</f>
        <v/>
      </c>
      <c r="I159" s="107">
        <f>IF($J159="","",IFERROR(INDEX(Stu_Notes,MATCH(C159,Stu_ID,0)),""))</f>
        <v/>
      </c>
      <c r="J159" s="40">
        <f>IF(154&gt;$B$3,"",IFERROR(MATCH(154-1,EV_Seq,1)+1,1))</f>
        <v/>
      </c>
    </row>
    <row r="160">
      <c r="A160" s="105">
        <f>IF($J160="","",INDEX(EV_Date,$J160))</f>
        <v/>
      </c>
      <c r="B160" s="78">
        <f>IF($J160="","",INDEX(EV_Name,$J160))</f>
        <v/>
      </c>
      <c r="C160" s="106">
        <f>IF($J160="","",INDEX(EV_ID,$J160))</f>
        <v/>
      </c>
      <c r="D160" s="106">
        <f>IF($J160="","",INDEX(EV_Class,$J160))</f>
        <v/>
      </c>
      <c r="E160" s="106">
        <f>IF($J160="","",INDEX(EV_Type,$J160))</f>
        <v/>
      </c>
      <c r="F160" s="106">
        <f>IF($J160="","",INDEX(EV_Cum,$J160))</f>
        <v/>
      </c>
      <c r="G160" s="106">
        <f>IF($J160="","",INDEX(LevelLabels,MATCH(F160,LevelValues,1)))</f>
        <v/>
      </c>
      <c r="H160" s="106">
        <f>IF($J160="","",IFERROR(INDEX(Stu_ContactReq,MATCH(C160,Stu_ID,0)),""))</f>
        <v/>
      </c>
      <c r="I160" s="107">
        <f>IF($J160="","",IFERROR(INDEX(Stu_Notes,MATCH(C160,Stu_ID,0)),""))</f>
        <v/>
      </c>
      <c r="J160" s="40">
        <f>IF(155&gt;$B$3,"",IFERROR(MATCH(155-1,EV_Seq,1)+1,1))</f>
        <v/>
      </c>
    </row>
    <row r="161">
      <c r="A161" s="105">
        <f>IF($J161="","",INDEX(EV_Date,$J161))</f>
        <v/>
      </c>
      <c r="B161" s="78">
        <f>IF($J161="","",INDEX(EV_Name,$J161))</f>
        <v/>
      </c>
      <c r="C161" s="106">
        <f>IF($J161="","",INDEX(EV_ID,$J161))</f>
        <v/>
      </c>
      <c r="D161" s="106">
        <f>IF($J161="","",INDEX(EV_Class,$J161))</f>
        <v/>
      </c>
      <c r="E161" s="106">
        <f>IF($J161="","",INDEX(EV_Type,$J161))</f>
        <v/>
      </c>
      <c r="F161" s="106">
        <f>IF($J161="","",INDEX(EV_Cum,$J161))</f>
        <v/>
      </c>
      <c r="G161" s="106">
        <f>IF($J161="","",INDEX(LevelLabels,MATCH(F161,LevelValues,1)))</f>
        <v/>
      </c>
      <c r="H161" s="106">
        <f>IF($J161="","",IFERROR(INDEX(Stu_ContactReq,MATCH(C161,Stu_ID,0)),""))</f>
        <v/>
      </c>
      <c r="I161" s="107">
        <f>IF($J161="","",IFERROR(INDEX(Stu_Notes,MATCH(C161,Stu_ID,0)),""))</f>
        <v/>
      </c>
      <c r="J161" s="40">
        <f>IF(156&gt;$B$3,"",IFERROR(MATCH(156-1,EV_Seq,1)+1,1))</f>
        <v/>
      </c>
    </row>
    <row r="162">
      <c r="A162" s="105">
        <f>IF($J162="","",INDEX(EV_Date,$J162))</f>
        <v/>
      </c>
      <c r="B162" s="78">
        <f>IF($J162="","",INDEX(EV_Name,$J162))</f>
        <v/>
      </c>
      <c r="C162" s="106">
        <f>IF($J162="","",INDEX(EV_ID,$J162))</f>
        <v/>
      </c>
      <c r="D162" s="106">
        <f>IF($J162="","",INDEX(EV_Class,$J162))</f>
        <v/>
      </c>
      <c r="E162" s="106">
        <f>IF($J162="","",INDEX(EV_Type,$J162))</f>
        <v/>
      </c>
      <c r="F162" s="106">
        <f>IF($J162="","",INDEX(EV_Cum,$J162))</f>
        <v/>
      </c>
      <c r="G162" s="106">
        <f>IF($J162="","",INDEX(LevelLabels,MATCH(F162,LevelValues,1)))</f>
        <v/>
      </c>
      <c r="H162" s="106">
        <f>IF($J162="","",IFERROR(INDEX(Stu_ContactReq,MATCH(C162,Stu_ID,0)),""))</f>
        <v/>
      </c>
      <c r="I162" s="107">
        <f>IF($J162="","",IFERROR(INDEX(Stu_Notes,MATCH(C162,Stu_ID,0)),""))</f>
        <v/>
      </c>
      <c r="J162" s="40">
        <f>IF(157&gt;$B$3,"",IFERROR(MATCH(157-1,EV_Seq,1)+1,1))</f>
        <v/>
      </c>
    </row>
    <row r="163">
      <c r="A163" s="105">
        <f>IF($J163="","",INDEX(EV_Date,$J163))</f>
        <v/>
      </c>
      <c r="B163" s="78">
        <f>IF($J163="","",INDEX(EV_Name,$J163))</f>
        <v/>
      </c>
      <c r="C163" s="106">
        <f>IF($J163="","",INDEX(EV_ID,$J163))</f>
        <v/>
      </c>
      <c r="D163" s="106">
        <f>IF($J163="","",INDEX(EV_Class,$J163))</f>
        <v/>
      </c>
      <c r="E163" s="106">
        <f>IF($J163="","",INDEX(EV_Type,$J163))</f>
        <v/>
      </c>
      <c r="F163" s="106">
        <f>IF($J163="","",INDEX(EV_Cum,$J163))</f>
        <v/>
      </c>
      <c r="G163" s="106">
        <f>IF($J163="","",INDEX(LevelLabels,MATCH(F163,LevelValues,1)))</f>
        <v/>
      </c>
      <c r="H163" s="106">
        <f>IF($J163="","",IFERROR(INDEX(Stu_ContactReq,MATCH(C163,Stu_ID,0)),""))</f>
        <v/>
      </c>
      <c r="I163" s="107">
        <f>IF($J163="","",IFERROR(INDEX(Stu_Notes,MATCH(C163,Stu_ID,0)),""))</f>
        <v/>
      </c>
      <c r="J163" s="40">
        <f>IF(158&gt;$B$3,"",IFERROR(MATCH(158-1,EV_Seq,1)+1,1))</f>
        <v/>
      </c>
    </row>
    <row r="164">
      <c r="A164" s="105">
        <f>IF($J164="","",INDEX(EV_Date,$J164))</f>
        <v/>
      </c>
      <c r="B164" s="78">
        <f>IF($J164="","",INDEX(EV_Name,$J164))</f>
        <v/>
      </c>
      <c r="C164" s="106">
        <f>IF($J164="","",INDEX(EV_ID,$J164))</f>
        <v/>
      </c>
      <c r="D164" s="106">
        <f>IF($J164="","",INDEX(EV_Class,$J164))</f>
        <v/>
      </c>
      <c r="E164" s="106">
        <f>IF($J164="","",INDEX(EV_Type,$J164))</f>
        <v/>
      </c>
      <c r="F164" s="106">
        <f>IF($J164="","",INDEX(EV_Cum,$J164))</f>
        <v/>
      </c>
      <c r="G164" s="106">
        <f>IF($J164="","",INDEX(LevelLabels,MATCH(F164,LevelValues,1)))</f>
        <v/>
      </c>
      <c r="H164" s="106">
        <f>IF($J164="","",IFERROR(INDEX(Stu_ContactReq,MATCH(C164,Stu_ID,0)),""))</f>
        <v/>
      </c>
      <c r="I164" s="107">
        <f>IF($J164="","",IFERROR(INDEX(Stu_Notes,MATCH(C164,Stu_ID,0)),""))</f>
        <v/>
      </c>
      <c r="J164" s="40">
        <f>IF(159&gt;$B$3,"",IFERROR(MATCH(159-1,EV_Seq,1)+1,1))</f>
        <v/>
      </c>
    </row>
    <row r="165">
      <c r="A165" s="105">
        <f>IF($J165="","",INDEX(EV_Date,$J165))</f>
        <v/>
      </c>
      <c r="B165" s="78">
        <f>IF($J165="","",INDEX(EV_Name,$J165))</f>
        <v/>
      </c>
      <c r="C165" s="106">
        <f>IF($J165="","",INDEX(EV_ID,$J165))</f>
        <v/>
      </c>
      <c r="D165" s="106">
        <f>IF($J165="","",INDEX(EV_Class,$J165))</f>
        <v/>
      </c>
      <c r="E165" s="106">
        <f>IF($J165="","",INDEX(EV_Type,$J165))</f>
        <v/>
      </c>
      <c r="F165" s="106">
        <f>IF($J165="","",INDEX(EV_Cum,$J165))</f>
        <v/>
      </c>
      <c r="G165" s="106">
        <f>IF($J165="","",INDEX(LevelLabels,MATCH(F165,LevelValues,1)))</f>
        <v/>
      </c>
      <c r="H165" s="106">
        <f>IF($J165="","",IFERROR(INDEX(Stu_ContactReq,MATCH(C165,Stu_ID,0)),""))</f>
        <v/>
      </c>
      <c r="I165" s="107">
        <f>IF($J165="","",IFERROR(INDEX(Stu_Notes,MATCH(C165,Stu_ID,0)),""))</f>
        <v/>
      </c>
      <c r="J165" s="40">
        <f>IF(160&gt;$B$3,"",IFERROR(MATCH(160-1,EV_Seq,1)+1,1))</f>
        <v/>
      </c>
    </row>
    <row r="166">
      <c r="A166" s="105">
        <f>IF($J166="","",INDEX(EV_Date,$J166))</f>
        <v/>
      </c>
      <c r="B166" s="78">
        <f>IF($J166="","",INDEX(EV_Name,$J166))</f>
        <v/>
      </c>
      <c r="C166" s="106">
        <f>IF($J166="","",INDEX(EV_ID,$J166))</f>
        <v/>
      </c>
      <c r="D166" s="106">
        <f>IF($J166="","",INDEX(EV_Class,$J166))</f>
        <v/>
      </c>
      <c r="E166" s="106">
        <f>IF($J166="","",INDEX(EV_Type,$J166))</f>
        <v/>
      </c>
      <c r="F166" s="106">
        <f>IF($J166="","",INDEX(EV_Cum,$J166))</f>
        <v/>
      </c>
      <c r="G166" s="106">
        <f>IF($J166="","",INDEX(LevelLabels,MATCH(F166,LevelValues,1)))</f>
        <v/>
      </c>
      <c r="H166" s="106">
        <f>IF($J166="","",IFERROR(INDEX(Stu_ContactReq,MATCH(C166,Stu_ID,0)),""))</f>
        <v/>
      </c>
      <c r="I166" s="107">
        <f>IF($J166="","",IFERROR(INDEX(Stu_Notes,MATCH(C166,Stu_ID,0)),""))</f>
        <v/>
      </c>
      <c r="J166" s="40">
        <f>IF(161&gt;$B$3,"",IFERROR(MATCH(161-1,EV_Seq,1)+1,1))</f>
        <v/>
      </c>
    </row>
    <row r="167">
      <c r="A167" s="105">
        <f>IF($J167="","",INDEX(EV_Date,$J167))</f>
        <v/>
      </c>
      <c r="B167" s="78">
        <f>IF($J167="","",INDEX(EV_Name,$J167))</f>
        <v/>
      </c>
      <c r="C167" s="106">
        <f>IF($J167="","",INDEX(EV_ID,$J167))</f>
        <v/>
      </c>
      <c r="D167" s="106">
        <f>IF($J167="","",INDEX(EV_Class,$J167))</f>
        <v/>
      </c>
      <c r="E167" s="106">
        <f>IF($J167="","",INDEX(EV_Type,$J167))</f>
        <v/>
      </c>
      <c r="F167" s="106">
        <f>IF($J167="","",INDEX(EV_Cum,$J167))</f>
        <v/>
      </c>
      <c r="G167" s="106">
        <f>IF($J167="","",INDEX(LevelLabels,MATCH(F167,LevelValues,1)))</f>
        <v/>
      </c>
      <c r="H167" s="106">
        <f>IF($J167="","",IFERROR(INDEX(Stu_ContactReq,MATCH(C167,Stu_ID,0)),""))</f>
        <v/>
      </c>
      <c r="I167" s="107">
        <f>IF($J167="","",IFERROR(INDEX(Stu_Notes,MATCH(C167,Stu_ID,0)),""))</f>
        <v/>
      </c>
      <c r="J167" s="40">
        <f>IF(162&gt;$B$3,"",IFERROR(MATCH(162-1,EV_Seq,1)+1,1))</f>
        <v/>
      </c>
    </row>
    <row r="168">
      <c r="A168" s="105">
        <f>IF($J168="","",INDEX(EV_Date,$J168))</f>
        <v/>
      </c>
      <c r="B168" s="78">
        <f>IF($J168="","",INDEX(EV_Name,$J168))</f>
        <v/>
      </c>
      <c r="C168" s="106">
        <f>IF($J168="","",INDEX(EV_ID,$J168))</f>
        <v/>
      </c>
      <c r="D168" s="106">
        <f>IF($J168="","",INDEX(EV_Class,$J168))</f>
        <v/>
      </c>
      <c r="E168" s="106">
        <f>IF($J168="","",INDEX(EV_Type,$J168))</f>
        <v/>
      </c>
      <c r="F168" s="106">
        <f>IF($J168="","",INDEX(EV_Cum,$J168))</f>
        <v/>
      </c>
      <c r="G168" s="106">
        <f>IF($J168="","",INDEX(LevelLabels,MATCH(F168,LevelValues,1)))</f>
        <v/>
      </c>
      <c r="H168" s="106">
        <f>IF($J168="","",IFERROR(INDEX(Stu_ContactReq,MATCH(C168,Stu_ID,0)),""))</f>
        <v/>
      </c>
      <c r="I168" s="107">
        <f>IF($J168="","",IFERROR(INDEX(Stu_Notes,MATCH(C168,Stu_ID,0)),""))</f>
        <v/>
      </c>
      <c r="J168" s="40">
        <f>IF(163&gt;$B$3,"",IFERROR(MATCH(163-1,EV_Seq,1)+1,1))</f>
        <v/>
      </c>
    </row>
    <row r="169">
      <c r="A169" s="105">
        <f>IF($J169="","",INDEX(EV_Date,$J169))</f>
        <v/>
      </c>
      <c r="B169" s="78">
        <f>IF($J169="","",INDEX(EV_Name,$J169))</f>
        <v/>
      </c>
      <c r="C169" s="106">
        <f>IF($J169="","",INDEX(EV_ID,$J169))</f>
        <v/>
      </c>
      <c r="D169" s="106">
        <f>IF($J169="","",INDEX(EV_Class,$J169))</f>
        <v/>
      </c>
      <c r="E169" s="106">
        <f>IF($J169="","",INDEX(EV_Type,$J169))</f>
        <v/>
      </c>
      <c r="F169" s="106">
        <f>IF($J169="","",INDEX(EV_Cum,$J169))</f>
        <v/>
      </c>
      <c r="G169" s="106">
        <f>IF($J169="","",INDEX(LevelLabels,MATCH(F169,LevelValues,1)))</f>
        <v/>
      </c>
      <c r="H169" s="106">
        <f>IF($J169="","",IFERROR(INDEX(Stu_ContactReq,MATCH(C169,Stu_ID,0)),""))</f>
        <v/>
      </c>
      <c r="I169" s="107">
        <f>IF($J169="","",IFERROR(INDEX(Stu_Notes,MATCH(C169,Stu_ID,0)),""))</f>
        <v/>
      </c>
      <c r="J169" s="40">
        <f>IF(164&gt;$B$3,"",IFERROR(MATCH(164-1,EV_Seq,1)+1,1))</f>
        <v/>
      </c>
    </row>
    <row r="170">
      <c r="A170" s="105">
        <f>IF($J170="","",INDEX(EV_Date,$J170))</f>
        <v/>
      </c>
      <c r="B170" s="78">
        <f>IF($J170="","",INDEX(EV_Name,$J170))</f>
        <v/>
      </c>
      <c r="C170" s="106">
        <f>IF($J170="","",INDEX(EV_ID,$J170))</f>
        <v/>
      </c>
      <c r="D170" s="106">
        <f>IF($J170="","",INDEX(EV_Class,$J170))</f>
        <v/>
      </c>
      <c r="E170" s="106">
        <f>IF($J170="","",INDEX(EV_Type,$J170))</f>
        <v/>
      </c>
      <c r="F170" s="106">
        <f>IF($J170="","",INDEX(EV_Cum,$J170))</f>
        <v/>
      </c>
      <c r="G170" s="106">
        <f>IF($J170="","",INDEX(LevelLabels,MATCH(F170,LevelValues,1)))</f>
        <v/>
      </c>
      <c r="H170" s="106">
        <f>IF($J170="","",IFERROR(INDEX(Stu_ContactReq,MATCH(C170,Stu_ID,0)),""))</f>
        <v/>
      </c>
      <c r="I170" s="107">
        <f>IF($J170="","",IFERROR(INDEX(Stu_Notes,MATCH(C170,Stu_ID,0)),""))</f>
        <v/>
      </c>
      <c r="J170" s="40">
        <f>IF(165&gt;$B$3,"",IFERROR(MATCH(165-1,EV_Seq,1)+1,1))</f>
        <v/>
      </c>
    </row>
    <row r="171">
      <c r="A171" s="105">
        <f>IF($J171="","",INDEX(EV_Date,$J171))</f>
        <v/>
      </c>
      <c r="B171" s="78">
        <f>IF($J171="","",INDEX(EV_Name,$J171))</f>
        <v/>
      </c>
      <c r="C171" s="106">
        <f>IF($J171="","",INDEX(EV_ID,$J171))</f>
        <v/>
      </c>
      <c r="D171" s="106">
        <f>IF($J171="","",INDEX(EV_Class,$J171))</f>
        <v/>
      </c>
      <c r="E171" s="106">
        <f>IF($J171="","",INDEX(EV_Type,$J171))</f>
        <v/>
      </c>
      <c r="F171" s="106">
        <f>IF($J171="","",INDEX(EV_Cum,$J171))</f>
        <v/>
      </c>
      <c r="G171" s="106">
        <f>IF($J171="","",INDEX(LevelLabels,MATCH(F171,LevelValues,1)))</f>
        <v/>
      </c>
      <c r="H171" s="106">
        <f>IF($J171="","",IFERROR(INDEX(Stu_ContactReq,MATCH(C171,Stu_ID,0)),""))</f>
        <v/>
      </c>
      <c r="I171" s="107">
        <f>IF($J171="","",IFERROR(INDEX(Stu_Notes,MATCH(C171,Stu_ID,0)),""))</f>
        <v/>
      </c>
      <c r="J171" s="40">
        <f>IF(166&gt;$B$3,"",IFERROR(MATCH(166-1,EV_Seq,1)+1,1))</f>
        <v/>
      </c>
    </row>
    <row r="172">
      <c r="A172" s="105">
        <f>IF($J172="","",INDEX(EV_Date,$J172))</f>
        <v/>
      </c>
      <c r="B172" s="78">
        <f>IF($J172="","",INDEX(EV_Name,$J172))</f>
        <v/>
      </c>
      <c r="C172" s="106">
        <f>IF($J172="","",INDEX(EV_ID,$J172))</f>
        <v/>
      </c>
      <c r="D172" s="106">
        <f>IF($J172="","",INDEX(EV_Class,$J172))</f>
        <v/>
      </c>
      <c r="E172" s="106">
        <f>IF($J172="","",INDEX(EV_Type,$J172))</f>
        <v/>
      </c>
      <c r="F172" s="106">
        <f>IF($J172="","",INDEX(EV_Cum,$J172))</f>
        <v/>
      </c>
      <c r="G172" s="106">
        <f>IF($J172="","",INDEX(LevelLabels,MATCH(F172,LevelValues,1)))</f>
        <v/>
      </c>
      <c r="H172" s="106">
        <f>IF($J172="","",IFERROR(INDEX(Stu_ContactReq,MATCH(C172,Stu_ID,0)),""))</f>
        <v/>
      </c>
      <c r="I172" s="107">
        <f>IF($J172="","",IFERROR(INDEX(Stu_Notes,MATCH(C172,Stu_ID,0)),""))</f>
        <v/>
      </c>
      <c r="J172" s="40">
        <f>IF(167&gt;$B$3,"",IFERROR(MATCH(167-1,EV_Seq,1)+1,1))</f>
        <v/>
      </c>
    </row>
    <row r="173">
      <c r="A173" s="105">
        <f>IF($J173="","",INDEX(EV_Date,$J173))</f>
        <v/>
      </c>
      <c r="B173" s="78">
        <f>IF($J173="","",INDEX(EV_Name,$J173))</f>
        <v/>
      </c>
      <c r="C173" s="106">
        <f>IF($J173="","",INDEX(EV_ID,$J173))</f>
        <v/>
      </c>
      <c r="D173" s="106">
        <f>IF($J173="","",INDEX(EV_Class,$J173))</f>
        <v/>
      </c>
      <c r="E173" s="106">
        <f>IF($J173="","",INDEX(EV_Type,$J173))</f>
        <v/>
      </c>
      <c r="F173" s="106">
        <f>IF($J173="","",INDEX(EV_Cum,$J173))</f>
        <v/>
      </c>
      <c r="G173" s="106">
        <f>IF($J173="","",INDEX(LevelLabels,MATCH(F173,LevelValues,1)))</f>
        <v/>
      </c>
      <c r="H173" s="106">
        <f>IF($J173="","",IFERROR(INDEX(Stu_ContactReq,MATCH(C173,Stu_ID,0)),""))</f>
        <v/>
      </c>
      <c r="I173" s="107">
        <f>IF($J173="","",IFERROR(INDEX(Stu_Notes,MATCH(C173,Stu_ID,0)),""))</f>
        <v/>
      </c>
      <c r="J173" s="40">
        <f>IF(168&gt;$B$3,"",IFERROR(MATCH(168-1,EV_Seq,1)+1,1))</f>
        <v/>
      </c>
    </row>
    <row r="174">
      <c r="A174" s="105">
        <f>IF($J174="","",INDEX(EV_Date,$J174))</f>
        <v/>
      </c>
      <c r="B174" s="78">
        <f>IF($J174="","",INDEX(EV_Name,$J174))</f>
        <v/>
      </c>
      <c r="C174" s="106">
        <f>IF($J174="","",INDEX(EV_ID,$J174))</f>
        <v/>
      </c>
      <c r="D174" s="106">
        <f>IF($J174="","",INDEX(EV_Class,$J174))</f>
        <v/>
      </c>
      <c r="E174" s="106">
        <f>IF($J174="","",INDEX(EV_Type,$J174))</f>
        <v/>
      </c>
      <c r="F174" s="106">
        <f>IF($J174="","",INDEX(EV_Cum,$J174))</f>
        <v/>
      </c>
      <c r="G174" s="106">
        <f>IF($J174="","",INDEX(LevelLabels,MATCH(F174,LevelValues,1)))</f>
        <v/>
      </c>
      <c r="H174" s="106">
        <f>IF($J174="","",IFERROR(INDEX(Stu_ContactReq,MATCH(C174,Stu_ID,0)),""))</f>
        <v/>
      </c>
      <c r="I174" s="107">
        <f>IF($J174="","",IFERROR(INDEX(Stu_Notes,MATCH(C174,Stu_ID,0)),""))</f>
        <v/>
      </c>
      <c r="J174" s="40">
        <f>IF(169&gt;$B$3,"",IFERROR(MATCH(169-1,EV_Seq,1)+1,1))</f>
        <v/>
      </c>
    </row>
    <row r="175">
      <c r="A175" s="105">
        <f>IF($J175="","",INDEX(EV_Date,$J175))</f>
        <v/>
      </c>
      <c r="B175" s="78">
        <f>IF($J175="","",INDEX(EV_Name,$J175))</f>
        <v/>
      </c>
      <c r="C175" s="106">
        <f>IF($J175="","",INDEX(EV_ID,$J175))</f>
        <v/>
      </c>
      <c r="D175" s="106">
        <f>IF($J175="","",INDEX(EV_Class,$J175))</f>
        <v/>
      </c>
      <c r="E175" s="106">
        <f>IF($J175="","",INDEX(EV_Type,$J175))</f>
        <v/>
      </c>
      <c r="F175" s="106">
        <f>IF($J175="","",INDEX(EV_Cum,$J175))</f>
        <v/>
      </c>
      <c r="G175" s="106">
        <f>IF($J175="","",INDEX(LevelLabels,MATCH(F175,LevelValues,1)))</f>
        <v/>
      </c>
      <c r="H175" s="106">
        <f>IF($J175="","",IFERROR(INDEX(Stu_ContactReq,MATCH(C175,Stu_ID,0)),""))</f>
        <v/>
      </c>
      <c r="I175" s="107">
        <f>IF($J175="","",IFERROR(INDEX(Stu_Notes,MATCH(C175,Stu_ID,0)),""))</f>
        <v/>
      </c>
      <c r="J175" s="40">
        <f>IF(170&gt;$B$3,"",IFERROR(MATCH(170-1,EV_Seq,1)+1,1))</f>
        <v/>
      </c>
    </row>
    <row r="176">
      <c r="A176" s="105">
        <f>IF($J176="","",INDEX(EV_Date,$J176))</f>
        <v/>
      </c>
      <c r="B176" s="78">
        <f>IF($J176="","",INDEX(EV_Name,$J176))</f>
        <v/>
      </c>
      <c r="C176" s="106">
        <f>IF($J176="","",INDEX(EV_ID,$J176))</f>
        <v/>
      </c>
      <c r="D176" s="106">
        <f>IF($J176="","",INDEX(EV_Class,$J176))</f>
        <v/>
      </c>
      <c r="E176" s="106">
        <f>IF($J176="","",INDEX(EV_Type,$J176))</f>
        <v/>
      </c>
      <c r="F176" s="106">
        <f>IF($J176="","",INDEX(EV_Cum,$J176))</f>
        <v/>
      </c>
      <c r="G176" s="106">
        <f>IF($J176="","",INDEX(LevelLabels,MATCH(F176,LevelValues,1)))</f>
        <v/>
      </c>
      <c r="H176" s="106">
        <f>IF($J176="","",IFERROR(INDEX(Stu_ContactReq,MATCH(C176,Stu_ID,0)),""))</f>
        <v/>
      </c>
      <c r="I176" s="107">
        <f>IF($J176="","",IFERROR(INDEX(Stu_Notes,MATCH(C176,Stu_ID,0)),""))</f>
        <v/>
      </c>
      <c r="J176" s="40">
        <f>IF(171&gt;$B$3,"",IFERROR(MATCH(171-1,EV_Seq,1)+1,1))</f>
        <v/>
      </c>
    </row>
    <row r="177">
      <c r="A177" s="105">
        <f>IF($J177="","",INDEX(EV_Date,$J177))</f>
        <v/>
      </c>
      <c r="B177" s="78">
        <f>IF($J177="","",INDEX(EV_Name,$J177))</f>
        <v/>
      </c>
      <c r="C177" s="106">
        <f>IF($J177="","",INDEX(EV_ID,$J177))</f>
        <v/>
      </c>
      <c r="D177" s="106">
        <f>IF($J177="","",INDEX(EV_Class,$J177))</f>
        <v/>
      </c>
      <c r="E177" s="106">
        <f>IF($J177="","",INDEX(EV_Type,$J177))</f>
        <v/>
      </c>
      <c r="F177" s="106">
        <f>IF($J177="","",INDEX(EV_Cum,$J177))</f>
        <v/>
      </c>
      <c r="G177" s="106">
        <f>IF($J177="","",INDEX(LevelLabels,MATCH(F177,LevelValues,1)))</f>
        <v/>
      </c>
      <c r="H177" s="106">
        <f>IF($J177="","",IFERROR(INDEX(Stu_ContactReq,MATCH(C177,Stu_ID,0)),""))</f>
        <v/>
      </c>
      <c r="I177" s="107">
        <f>IF($J177="","",IFERROR(INDEX(Stu_Notes,MATCH(C177,Stu_ID,0)),""))</f>
        <v/>
      </c>
      <c r="J177" s="40">
        <f>IF(172&gt;$B$3,"",IFERROR(MATCH(172-1,EV_Seq,1)+1,1))</f>
        <v/>
      </c>
    </row>
    <row r="178">
      <c r="A178" s="105">
        <f>IF($J178="","",INDEX(EV_Date,$J178))</f>
        <v/>
      </c>
      <c r="B178" s="78">
        <f>IF($J178="","",INDEX(EV_Name,$J178))</f>
        <v/>
      </c>
      <c r="C178" s="106">
        <f>IF($J178="","",INDEX(EV_ID,$J178))</f>
        <v/>
      </c>
      <c r="D178" s="106">
        <f>IF($J178="","",INDEX(EV_Class,$J178))</f>
        <v/>
      </c>
      <c r="E178" s="106">
        <f>IF($J178="","",INDEX(EV_Type,$J178))</f>
        <v/>
      </c>
      <c r="F178" s="106">
        <f>IF($J178="","",INDEX(EV_Cum,$J178))</f>
        <v/>
      </c>
      <c r="G178" s="106">
        <f>IF($J178="","",INDEX(LevelLabels,MATCH(F178,LevelValues,1)))</f>
        <v/>
      </c>
      <c r="H178" s="106">
        <f>IF($J178="","",IFERROR(INDEX(Stu_ContactReq,MATCH(C178,Stu_ID,0)),""))</f>
        <v/>
      </c>
      <c r="I178" s="107">
        <f>IF($J178="","",IFERROR(INDEX(Stu_Notes,MATCH(C178,Stu_ID,0)),""))</f>
        <v/>
      </c>
      <c r="J178" s="40">
        <f>IF(173&gt;$B$3,"",IFERROR(MATCH(173-1,EV_Seq,1)+1,1))</f>
        <v/>
      </c>
    </row>
    <row r="179">
      <c r="A179" s="105">
        <f>IF($J179="","",INDEX(EV_Date,$J179))</f>
        <v/>
      </c>
      <c r="B179" s="78">
        <f>IF($J179="","",INDEX(EV_Name,$J179))</f>
        <v/>
      </c>
      <c r="C179" s="106">
        <f>IF($J179="","",INDEX(EV_ID,$J179))</f>
        <v/>
      </c>
      <c r="D179" s="106">
        <f>IF($J179="","",INDEX(EV_Class,$J179))</f>
        <v/>
      </c>
      <c r="E179" s="106">
        <f>IF($J179="","",INDEX(EV_Type,$J179))</f>
        <v/>
      </c>
      <c r="F179" s="106">
        <f>IF($J179="","",INDEX(EV_Cum,$J179))</f>
        <v/>
      </c>
      <c r="G179" s="106">
        <f>IF($J179="","",INDEX(LevelLabels,MATCH(F179,LevelValues,1)))</f>
        <v/>
      </c>
      <c r="H179" s="106">
        <f>IF($J179="","",IFERROR(INDEX(Stu_ContactReq,MATCH(C179,Stu_ID,0)),""))</f>
        <v/>
      </c>
      <c r="I179" s="107">
        <f>IF($J179="","",IFERROR(INDEX(Stu_Notes,MATCH(C179,Stu_ID,0)),""))</f>
        <v/>
      </c>
      <c r="J179" s="40">
        <f>IF(174&gt;$B$3,"",IFERROR(MATCH(174-1,EV_Seq,1)+1,1))</f>
        <v/>
      </c>
    </row>
    <row r="180">
      <c r="A180" s="105">
        <f>IF($J180="","",INDEX(EV_Date,$J180))</f>
        <v/>
      </c>
      <c r="B180" s="78">
        <f>IF($J180="","",INDEX(EV_Name,$J180))</f>
        <v/>
      </c>
      <c r="C180" s="106">
        <f>IF($J180="","",INDEX(EV_ID,$J180))</f>
        <v/>
      </c>
      <c r="D180" s="106">
        <f>IF($J180="","",INDEX(EV_Class,$J180))</f>
        <v/>
      </c>
      <c r="E180" s="106">
        <f>IF($J180="","",INDEX(EV_Type,$J180))</f>
        <v/>
      </c>
      <c r="F180" s="106">
        <f>IF($J180="","",INDEX(EV_Cum,$J180))</f>
        <v/>
      </c>
      <c r="G180" s="106">
        <f>IF($J180="","",INDEX(LevelLabels,MATCH(F180,LevelValues,1)))</f>
        <v/>
      </c>
      <c r="H180" s="106">
        <f>IF($J180="","",IFERROR(INDEX(Stu_ContactReq,MATCH(C180,Stu_ID,0)),""))</f>
        <v/>
      </c>
      <c r="I180" s="107">
        <f>IF($J180="","",IFERROR(INDEX(Stu_Notes,MATCH(C180,Stu_ID,0)),""))</f>
        <v/>
      </c>
      <c r="J180" s="40">
        <f>IF(175&gt;$B$3,"",IFERROR(MATCH(175-1,EV_Seq,1)+1,1))</f>
        <v/>
      </c>
    </row>
    <row r="181">
      <c r="A181" s="105">
        <f>IF($J181="","",INDEX(EV_Date,$J181))</f>
        <v/>
      </c>
      <c r="B181" s="78">
        <f>IF($J181="","",INDEX(EV_Name,$J181))</f>
        <v/>
      </c>
      <c r="C181" s="106">
        <f>IF($J181="","",INDEX(EV_ID,$J181))</f>
        <v/>
      </c>
      <c r="D181" s="106">
        <f>IF($J181="","",INDEX(EV_Class,$J181))</f>
        <v/>
      </c>
      <c r="E181" s="106">
        <f>IF($J181="","",INDEX(EV_Type,$J181))</f>
        <v/>
      </c>
      <c r="F181" s="106">
        <f>IF($J181="","",INDEX(EV_Cum,$J181))</f>
        <v/>
      </c>
      <c r="G181" s="106">
        <f>IF($J181="","",INDEX(LevelLabels,MATCH(F181,LevelValues,1)))</f>
        <v/>
      </c>
      <c r="H181" s="106">
        <f>IF($J181="","",IFERROR(INDEX(Stu_ContactReq,MATCH(C181,Stu_ID,0)),""))</f>
        <v/>
      </c>
      <c r="I181" s="107">
        <f>IF($J181="","",IFERROR(INDEX(Stu_Notes,MATCH(C181,Stu_ID,0)),""))</f>
        <v/>
      </c>
      <c r="J181" s="40">
        <f>IF(176&gt;$B$3,"",IFERROR(MATCH(176-1,EV_Seq,1)+1,1))</f>
        <v/>
      </c>
    </row>
    <row r="182">
      <c r="A182" s="105">
        <f>IF($J182="","",INDEX(EV_Date,$J182))</f>
        <v/>
      </c>
      <c r="B182" s="78">
        <f>IF($J182="","",INDEX(EV_Name,$J182))</f>
        <v/>
      </c>
      <c r="C182" s="106">
        <f>IF($J182="","",INDEX(EV_ID,$J182))</f>
        <v/>
      </c>
      <c r="D182" s="106">
        <f>IF($J182="","",INDEX(EV_Class,$J182))</f>
        <v/>
      </c>
      <c r="E182" s="106">
        <f>IF($J182="","",INDEX(EV_Type,$J182))</f>
        <v/>
      </c>
      <c r="F182" s="106">
        <f>IF($J182="","",INDEX(EV_Cum,$J182))</f>
        <v/>
      </c>
      <c r="G182" s="106">
        <f>IF($J182="","",INDEX(LevelLabels,MATCH(F182,LevelValues,1)))</f>
        <v/>
      </c>
      <c r="H182" s="106">
        <f>IF($J182="","",IFERROR(INDEX(Stu_ContactReq,MATCH(C182,Stu_ID,0)),""))</f>
        <v/>
      </c>
      <c r="I182" s="107">
        <f>IF($J182="","",IFERROR(INDEX(Stu_Notes,MATCH(C182,Stu_ID,0)),""))</f>
        <v/>
      </c>
      <c r="J182" s="40">
        <f>IF(177&gt;$B$3,"",IFERROR(MATCH(177-1,EV_Seq,1)+1,1))</f>
        <v/>
      </c>
    </row>
    <row r="183">
      <c r="A183" s="105">
        <f>IF($J183="","",INDEX(EV_Date,$J183))</f>
        <v/>
      </c>
      <c r="B183" s="78">
        <f>IF($J183="","",INDEX(EV_Name,$J183))</f>
        <v/>
      </c>
      <c r="C183" s="106">
        <f>IF($J183="","",INDEX(EV_ID,$J183))</f>
        <v/>
      </c>
      <c r="D183" s="106">
        <f>IF($J183="","",INDEX(EV_Class,$J183))</f>
        <v/>
      </c>
      <c r="E183" s="106">
        <f>IF($J183="","",INDEX(EV_Type,$J183))</f>
        <v/>
      </c>
      <c r="F183" s="106">
        <f>IF($J183="","",INDEX(EV_Cum,$J183))</f>
        <v/>
      </c>
      <c r="G183" s="106">
        <f>IF($J183="","",INDEX(LevelLabels,MATCH(F183,LevelValues,1)))</f>
        <v/>
      </c>
      <c r="H183" s="106">
        <f>IF($J183="","",IFERROR(INDEX(Stu_ContactReq,MATCH(C183,Stu_ID,0)),""))</f>
        <v/>
      </c>
      <c r="I183" s="107">
        <f>IF($J183="","",IFERROR(INDEX(Stu_Notes,MATCH(C183,Stu_ID,0)),""))</f>
        <v/>
      </c>
      <c r="J183" s="40">
        <f>IF(178&gt;$B$3,"",IFERROR(MATCH(178-1,EV_Seq,1)+1,1))</f>
        <v/>
      </c>
    </row>
    <row r="184">
      <c r="A184" s="105">
        <f>IF($J184="","",INDEX(EV_Date,$J184))</f>
        <v/>
      </c>
      <c r="B184" s="78">
        <f>IF($J184="","",INDEX(EV_Name,$J184))</f>
        <v/>
      </c>
      <c r="C184" s="106">
        <f>IF($J184="","",INDEX(EV_ID,$J184))</f>
        <v/>
      </c>
      <c r="D184" s="106">
        <f>IF($J184="","",INDEX(EV_Class,$J184))</f>
        <v/>
      </c>
      <c r="E184" s="106">
        <f>IF($J184="","",INDEX(EV_Type,$J184))</f>
        <v/>
      </c>
      <c r="F184" s="106">
        <f>IF($J184="","",INDEX(EV_Cum,$J184))</f>
        <v/>
      </c>
      <c r="G184" s="106">
        <f>IF($J184="","",INDEX(LevelLabels,MATCH(F184,LevelValues,1)))</f>
        <v/>
      </c>
      <c r="H184" s="106">
        <f>IF($J184="","",IFERROR(INDEX(Stu_ContactReq,MATCH(C184,Stu_ID,0)),""))</f>
        <v/>
      </c>
      <c r="I184" s="107">
        <f>IF($J184="","",IFERROR(INDEX(Stu_Notes,MATCH(C184,Stu_ID,0)),""))</f>
        <v/>
      </c>
      <c r="J184" s="40">
        <f>IF(179&gt;$B$3,"",IFERROR(MATCH(179-1,EV_Seq,1)+1,1))</f>
        <v/>
      </c>
    </row>
    <row r="185">
      <c r="A185" s="105">
        <f>IF($J185="","",INDEX(EV_Date,$J185))</f>
        <v/>
      </c>
      <c r="B185" s="78">
        <f>IF($J185="","",INDEX(EV_Name,$J185))</f>
        <v/>
      </c>
      <c r="C185" s="106">
        <f>IF($J185="","",INDEX(EV_ID,$J185))</f>
        <v/>
      </c>
      <c r="D185" s="106">
        <f>IF($J185="","",INDEX(EV_Class,$J185))</f>
        <v/>
      </c>
      <c r="E185" s="106">
        <f>IF($J185="","",INDEX(EV_Type,$J185))</f>
        <v/>
      </c>
      <c r="F185" s="106">
        <f>IF($J185="","",INDEX(EV_Cum,$J185))</f>
        <v/>
      </c>
      <c r="G185" s="106">
        <f>IF($J185="","",INDEX(LevelLabels,MATCH(F185,LevelValues,1)))</f>
        <v/>
      </c>
      <c r="H185" s="106">
        <f>IF($J185="","",IFERROR(INDEX(Stu_ContactReq,MATCH(C185,Stu_ID,0)),""))</f>
        <v/>
      </c>
      <c r="I185" s="107">
        <f>IF($J185="","",IFERROR(INDEX(Stu_Notes,MATCH(C185,Stu_ID,0)),""))</f>
        <v/>
      </c>
      <c r="J185" s="40">
        <f>IF(180&gt;$B$3,"",IFERROR(MATCH(180-1,EV_Seq,1)+1,1))</f>
        <v/>
      </c>
    </row>
    <row r="186">
      <c r="A186" s="105">
        <f>IF($J186="","",INDEX(EV_Date,$J186))</f>
        <v/>
      </c>
      <c r="B186" s="78">
        <f>IF($J186="","",INDEX(EV_Name,$J186))</f>
        <v/>
      </c>
      <c r="C186" s="106">
        <f>IF($J186="","",INDEX(EV_ID,$J186))</f>
        <v/>
      </c>
      <c r="D186" s="106">
        <f>IF($J186="","",INDEX(EV_Class,$J186))</f>
        <v/>
      </c>
      <c r="E186" s="106">
        <f>IF($J186="","",INDEX(EV_Type,$J186))</f>
        <v/>
      </c>
      <c r="F186" s="106">
        <f>IF($J186="","",INDEX(EV_Cum,$J186))</f>
        <v/>
      </c>
      <c r="G186" s="106">
        <f>IF($J186="","",INDEX(LevelLabels,MATCH(F186,LevelValues,1)))</f>
        <v/>
      </c>
      <c r="H186" s="106">
        <f>IF($J186="","",IFERROR(INDEX(Stu_ContactReq,MATCH(C186,Stu_ID,0)),""))</f>
        <v/>
      </c>
      <c r="I186" s="107">
        <f>IF($J186="","",IFERROR(INDEX(Stu_Notes,MATCH(C186,Stu_ID,0)),""))</f>
        <v/>
      </c>
      <c r="J186" s="40">
        <f>IF(181&gt;$B$3,"",IFERROR(MATCH(181-1,EV_Seq,1)+1,1))</f>
        <v/>
      </c>
    </row>
    <row r="187">
      <c r="A187" s="105">
        <f>IF($J187="","",INDEX(EV_Date,$J187))</f>
        <v/>
      </c>
      <c r="B187" s="78">
        <f>IF($J187="","",INDEX(EV_Name,$J187))</f>
        <v/>
      </c>
      <c r="C187" s="106">
        <f>IF($J187="","",INDEX(EV_ID,$J187))</f>
        <v/>
      </c>
      <c r="D187" s="106">
        <f>IF($J187="","",INDEX(EV_Class,$J187))</f>
        <v/>
      </c>
      <c r="E187" s="106">
        <f>IF($J187="","",INDEX(EV_Type,$J187))</f>
        <v/>
      </c>
      <c r="F187" s="106">
        <f>IF($J187="","",INDEX(EV_Cum,$J187))</f>
        <v/>
      </c>
      <c r="G187" s="106">
        <f>IF($J187="","",INDEX(LevelLabels,MATCH(F187,LevelValues,1)))</f>
        <v/>
      </c>
      <c r="H187" s="106">
        <f>IF($J187="","",IFERROR(INDEX(Stu_ContactReq,MATCH(C187,Stu_ID,0)),""))</f>
        <v/>
      </c>
      <c r="I187" s="107">
        <f>IF($J187="","",IFERROR(INDEX(Stu_Notes,MATCH(C187,Stu_ID,0)),""))</f>
        <v/>
      </c>
      <c r="J187" s="40">
        <f>IF(182&gt;$B$3,"",IFERROR(MATCH(182-1,EV_Seq,1)+1,1))</f>
        <v/>
      </c>
    </row>
    <row r="188">
      <c r="A188" s="105">
        <f>IF($J188="","",INDEX(EV_Date,$J188))</f>
        <v/>
      </c>
      <c r="B188" s="78">
        <f>IF($J188="","",INDEX(EV_Name,$J188))</f>
        <v/>
      </c>
      <c r="C188" s="106">
        <f>IF($J188="","",INDEX(EV_ID,$J188))</f>
        <v/>
      </c>
      <c r="D188" s="106">
        <f>IF($J188="","",INDEX(EV_Class,$J188))</f>
        <v/>
      </c>
      <c r="E188" s="106">
        <f>IF($J188="","",INDEX(EV_Type,$J188))</f>
        <v/>
      </c>
      <c r="F188" s="106">
        <f>IF($J188="","",INDEX(EV_Cum,$J188))</f>
        <v/>
      </c>
      <c r="G188" s="106">
        <f>IF($J188="","",INDEX(LevelLabels,MATCH(F188,LevelValues,1)))</f>
        <v/>
      </c>
      <c r="H188" s="106">
        <f>IF($J188="","",IFERROR(INDEX(Stu_ContactReq,MATCH(C188,Stu_ID,0)),""))</f>
        <v/>
      </c>
      <c r="I188" s="107">
        <f>IF($J188="","",IFERROR(INDEX(Stu_Notes,MATCH(C188,Stu_ID,0)),""))</f>
        <v/>
      </c>
      <c r="J188" s="40">
        <f>IF(183&gt;$B$3,"",IFERROR(MATCH(183-1,EV_Seq,1)+1,1))</f>
        <v/>
      </c>
    </row>
    <row r="189">
      <c r="A189" s="105">
        <f>IF($J189="","",INDEX(EV_Date,$J189))</f>
        <v/>
      </c>
      <c r="B189" s="78">
        <f>IF($J189="","",INDEX(EV_Name,$J189))</f>
        <v/>
      </c>
      <c r="C189" s="106">
        <f>IF($J189="","",INDEX(EV_ID,$J189))</f>
        <v/>
      </c>
      <c r="D189" s="106">
        <f>IF($J189="","",INDEX(EV_Class,$J189))</f>
        <v/>
      </c>
      <c r="E189" s="106">
        <f>IF($J189="","",INDEX(EV_Type,$J189))</f>
        <v/>
      </c>
      <c r="F189" s="106">
        <f>IF($J189="","",INDEX(EV_Cum,$J189))</f>
        <v/>
      </c>
      <c r="G189" s="106">
        <f>IF($J189="","",INDEX(LevelLabels,MATCH(F189,LevelValues,1)))</f>
        <v/>
      </c>
      <c r="H189" s="106">
        <f>IF($J189="","",IFERROR(INDEX(Stu_ContactReq,MATCH(C189,Stu_ID,0)),""))</f>
        <v/>
      </c>
      <c r="I189" s="107">
        <f>IF($J189="","",IFERROR(INDEX(Stu_Notes,MATCH(C189,Stu_ID,0)),""))</f>
        <v/>
      </c>
      <c r="J189" s="40">
        <f>IF(184&gt;$B$3,"",IFERROR(MATCH(184-1,EV_Seq,1)+1,1))</f>
        <v/>
      </c>
    </row>
    <row r="190">
      <c r="A190" s="105">
        <f>IF($J190="","",INDEX(EV_Date,$J190))</f>
        <v/>
      </c>
      <c r="B190" s="78">
        <f>IF($J190="","",INDEX(EV_Name,$J190))</f>
        <v/>
      </c>
      <c r="C190" s="106">
        <f>IF($J190="","",INDEX(EV_ID,$J190))</f>
        <v/>
      </c>
      <c r="D190" s="106">
        <f>IF($J190="","",INDEX(EV_Class,$J190))</f>
        <v/>
      </c>
      <c r="E190" s="106">
        <f>IF($J190="","",INDEX(EV_Type,$J190))</f>
        <v/>
      </c>
      <c r="F190" s="106">
        <f>IF($J190="","",INDEX(EV_Cum,$J190))</f>
        <v/>
      </c>
      <c r="G190" s="106">
        <f>IF($J190="","",INDEX(LevelLabels,MATCH(F190,LevelValues,1)))</f>
        <v/>
      </c>
      <c r="H190" s="106">
        <f>IF($J190="","",IFERROR(INDEX(Stu_ContactReq,MATCH(C190,Stu_ID,0)),""))</f>
        <v/>
      </c>
      <c r="I190" s="107">
        <f>IF($J190="","",IFERROR(INDEX(Stu_Notes,MATCH(C190,Stu_ID,0)),""))</f>
        <v/>
      </c>
      <c r="J190" s="40">
        <f>IF(185&gt;$B$3,"",IFERROR(MATCH(185-1,EV_Seq,1)+1,1))</f>
        <v/>
      </c>
    </row>
    <row r="191">
      <c r="A191" s="105">
        <f>IF($J191="","",INDEX(EV_Date,$J191))</f>
        <v/>
      </c>
      <c r="B191" s="78">
        <f>IF($J191="","",INDEX(EV_Name,$J191))</f>
        <v/>
      </c>
      <c r="C191" s="106">
        <f>IF($J191="","",INDEX(EV_ID,$J191))</f>
        <v/>
      </c>
      <c r="D191" s="106">
        <f>IF($J191="","",INDEX(EV_Class,$J191))</f>
        <v/>
      </c>
      <c r="E191" s="106">
        <f>IF($J191="","",INDEX(EV_Type,$J191))</f>
        <v/>
      </c>
      <c r="F191" s="106">
        <f>IF($J191="","",INDEX(EV_Cum,$J191))</f>
        <v/>
      </c>
      <c r="G191" s="106">
        <f>IF($J191="","",INDEX(LevelLabels,MATCH(F191,LevelValues,1)))</f>
        <v/>
      </c>
      <c r="H191" s="106">
        <f>IF($J191="","",IFERROR(INDEX(Stu_ContactReq,MATCH(C191,Stu_ID,0)),""))</f>
        <v/>
      </c>
      <c r="I191" s="107">
        <f>IF($J191="","",IFERROR(INDEX(Stu_Notes,MATCH(C191,Stu_ID,0)),""))</f>
        <v/>
      </c>
      <c r="J191" s="40">
        <f>IF(186&gt;$B$3,"",IFERROR(MATCH(186-1,EV_Seq,1)+1,1))</f>
        <v/>
      </c>
    </row>
    <row r="192">
      <c r="A192" s="105">
        <f>IF($J192="","",INDEX(EV_Date,$J192))</f>
        <v/>
      </c>
      <c r="B192" s="78">
        <f>IF($J192="","",INDEX(EV_Name,$J192))</f>
        <v/>
      </c>
      <c r="C192" s="106">
        <f>IF($J192="","",INDEX(EV_ID,$J192))</f>
        <v/>
      </c>
      <c r="D192" s="106">
        <f>IF($J192="","",INDEX(EV_Class,$J192))</f>
        <v/>
      </c>
      <c r="E192" s="106">
        <f>IF($J192="","",INDEX(EV_Type,$J192))</f>
        <v/>
      </c>
      <c r="F192" s="106">
        <f>IF($J192="","",INDEX(EV_Cum,$J192))</f>
        <v/>
      </c>
      <c r="G192" s="106">
        <f>IF($J192="","",INDEX(LevelLabels,MATCH(F192,LevelValues,1)))</f>
        <v/>
      </c>
      <c r="H192" s="106">
        <f>IF($J192="","",IFERROR(INDEX(Stu_ContactReq,MATCH(C192,Stu_ID,0)),""))</f>
        <v/>
      </c>
      <c r="I192" s="107">
        <f>IF($J192="","",IFERROR(INDEX(Stu_Notes,MATCH(C192,Stu_ID,0)),""))</f>
        <v/>
      </c>
      <c r="J192" s="40">
        <f>IF(187&gt;$B$3,"",IFERROR(MATCH(187-1,EV_Seq,1)+1,1))</f>
        <v/>
      </c>
    </row>
    <row r="193">
      <c r="A193" s="105">
        <f>IF($J193="","",INDEX(EV_Date,$J193))</f>
        <v/>
      </c>
      <c r="B193" s="78">
        <f>IF($J193="","",INDEX(EV_Name,$J193))</f>
        <v/>
      </c>
      <c r="C193" s="106">
        <f>IF($J193="","",INDEX(EV_ID,$J193))</f>
        <v/>
      </c>
      <c r="D193" s="106">
        <f>IF($J193="","",INDEX(EV_Class,$J193))</f>
        <v/>
      </c>
      <c r="E193" s="106">
        <f>IF($J193="","",INDEX(EV_Type,$J193))</f>
        <v/>
      </c>
      <c r="F193" s="106">
        <f>IF($J193="","",INDEX(EV_Cum,$J193))</f>
        <v/>
      </c>
      <c r="G193" s="106">
        <f>IF($J193="","",INDEX(LevelLabels,MATCH(F193,LevelValues,1)))</f>
        <v/>
      </c>
      <c r="H193" s="106">
        <f>IF($J193="","",IFERROR(INDEX(Stu_ContactReq,MATCH(C193,Stu_ID,0)),""))</f>
        <v/>
      </c>
      <c r="I193" s="107">
        <f>IF($J193="","",IFERROR(INDEX(Stu_Notes,MATCH(C193,Stu_ID,0)),""))</f>
        <v/>
      </c>
      <c r="J193" s="40">
        <f>IF(188&gt;$B$3,"",IFERROR(MATCH(188-1,EV_Seq,1)+1,1))</f>
        <v/>
      </c>
    </row>
    <row r="194">
      <c r="A194" s="105">
        <f>IF($J194="","",INDEX(EV_Date,$J194))</f>
        <v/>
      </c>
      <c r="B194" s="78">
        <f>IF($J194="","",INDEX(EV_Name,$J194))</f>
        <v/>
      </c>
      <c r="C194" s="106">
        <f>IF($J194="","",INDEX(EV_ID,$J194))</f>
        <v/>
      </c>
      <c r="D194" s="106">
        <f>IF($J194="","",INDEX(EV_Class,$J194))</f>
        <v/>
      </c>
      <c r="E194" s="106">
        <f>IF($J194="","",INDEX(EV_Type,$J194))</f>
        <v/>
      </c>
      <c r="F194" s="106">
        <f>IF($J194="","",INDEX(EV_Cum,$J194))</f>
        <v/>
      </c>
      <c r="G194" s="106">
        <f>IF($J194="","",INDEX(LevelLabels,MATCH(F194,LevelValues,1)))</f>
        <v/>
      </c>
      <c r="H194" s="106">
        <f>IF($J194="","",IFERROR(INDEX(Stu_ContactReq,MATCH(C194,Stu_ID,0)),""))</f>
        <v/>
      </c>
      <c r="I194" s="107">
        <f>IF($J194="","",IFERROR(INDEX(Stu_Notes,MATCH(C194,Stu_ID,0)),""))</f>
        <v/>
      </c>
      <c r="J194" s="40">
        <f>IF(189&gt;$B$3,"",IFERROR(MATCH(189-1,EV_Seq,1)+1,1))</f>
        <v/>
      </c>
    </row>
    <row r="195">
      <c r="A195" s="105">
        <f>IF($J195="","",INDEX(EV_Date,$J195))</f>
        <v/>
      </c>
      <c r="B195" s="78">
        <f>IF($J195="","",INDEX(EV_Name,$J195))</f>
        <v/>
      </c>
      <c r="C195" s="106">
        <f>IF($J195="","",INDEX(EV_ID,$J195))</f>
        <v/>
      </c>
      <c r="D195" s="106">
        <f>IF($J195="","",INDEX(EV_Class,$J195))</f>
        <v/>
      </c>
      <c r="E195" s="106">
        <f>IF($J195="","",INDEX(EV_Type,$J195))</f>
        <v/>
      </c>
      <c r="F195" s="106">
        <f>IF($J195="","",INDEX(EV_Cum,$J195))</f>
        <v/>
      </c>
      <c r="G195" s="106">
        <f>IF($J195="","",INDEX(LevelLabels,MATCH(F195,LevelValues,1)))</f>
        <v/>
      </c>
      <c r="H195" s="106">
        <f>IF($J195="","",IFERROR(INDEX(Stu_ContactReq,MATCH(C195,Stu_ID,0)),""))</f>
        <v/>
      </c>
      <c r="I195" s="107">
        <f>IF($J195="","",IFERROR(INDEX(Stu_Notes,MATCH(C195,Stu_ID,0)),""))</f>
        <v/>
      </c>
      <c r="J195" s="40">
        <f>IF(190&gt;$B$3,"",IFERROR(MATCH(190-1,EV_Seq,1)+1,1))</f>
        <v/>
      </c>
    </row>
    <row r="196">
      <c r="A196" s="105">
        <f>IF($J196="","",INDEX(EV_Date,$J196))</f>
        <v/>
      </c>
      <c r="B196" s="78">
        <f>IF($J196="","",INDEX(EV_Name,$J196))</f>
        <v/>
      </c>
      <c r="C196" s="106">
        <f>IF($J196="","",INDEX(EV_ID,$J196))</f>
        <v/>
      </c>
      <c r="D196" s="106">
        <f>IF($J196="","",INDEX(EV_Class,$J196))</f>
        <v/>
      </c>
      <c r="E196" s="106">
        <f>IF($J196="","",INDEX(EV_Type,$J196))</f>
        <v/>
      </c>
      <c r="F196" s="106">
        <f>IF($J196="","",INDEX(EV_Cum,$J196))</f>
        <v/>
      </c>
      <c r="G196" s="106">
        <f>IF($J196="","",INDEX(LevelLabels,MATCH(F196,LevelValues,1)))</f>
        <v/>
      </c>
      <c r="H196" s="106">
        <f>IF($J196="","",IFERROR(INDEX(Stu_ContactReq,MATCH(C196,Stu_ID,0)),""))</f>
        <v/>
      </c>
      <c r="I196" s="107">
        <f>IF($J196="","",IFERROR(INDEX(Stu_Notes,MATCH(C196,Stu_ID,0)),""))</f>
        <v/>
      </c>
      <c r="J196" s="40">
        <f>IF(191&gt;$B$3,"",IFERROR(MATCH(191-1,EV_Seq,1)+1,1))</f>
        <v/>
      </c>
    </row>
    <row r="197">
      <c r="A197" s="105">
        <f>IF($J197="","",INDEX(EV_Date,$J197))</f>
        <v/>
      </c>
      <c r="B197" s="78">
        <f>IF($J197="","",INDEX(EV_Name,$J197))</f>
        <v/>
      </c>
      <c r="C197" s="106">
        <f>IF($J197="","",INDEX(EV_ID,$J197))</f>
        <v/>
      </c>
      <c r="D197" s="106">
        <f>IF($J197="","",INDEX(EV_Class,$J197))</f>
        <v/>
      </c>
      <c r="E197" s="106">
        <f>IF($J197="","",INDEX(EV_Type,$J197))</f>
        <v/>
      </c>
      <c r="F197" s="106">
        <f>IF($J197="","",INDEX(EV_Cum,$J197))</f>
        <v/>
      </c>
      <c r="G197" s="106">
        <f>IF($J197="","",INDEX(LevelLabels,MATCH(F197,LevelValues,1)))</f>
        <v/>
      </c>
      <c r="H197" s="106">
        <f>IF($J197="","",IFERROR(INDEX(Stu_ContactReq,MATCH(C197,Stu_ID,0)),""))</f>
        <v/>
      </c>
      <c r="I197" s="107">
        <f>IF($J197="","",IFERROR(INDEX(Stu_Notes,MATCH(C197,Stu_ID,0)),""))</f>
        <v/>
      </c>
      <c r="J197" s="40">
        <f>IF(192&gt;$B$3,"",IFERROR(MATCH(192-1,EV_Seq,1)+1,1))</f>
        <v/>
      </c>
    </row>
    <row r="198">
      <c r="A198" s="105">
        <f>IF($J198="","",INDEX(EV_Date,$J198))</f>
        <v/>
      </c>
      <c r="B198" s="78">
        <f>IF($J198="","",INDEX(EV_Name,$J198))</f>
        <v/>
      </c>
      <c r="C198" s="106">
        <f>IF($J198="","",INDEX(EV_ID,$J198))</f>
        <v/>
      </c>
      <c r="D198" s="106">
        <f>IF($J198="","",INDEX(EV_Class,$J198))</f>
        <v/>
      </c>
      <c r="E198" s="106">
        <f>IF($J198="","",INDEX(EV_Type,$J198))</f>
        <v/>
      </c>
      <c r="F198" s="106">
        <f>IF($J198="","",INDEX(EV_Cum,$J198))</f>
        <v/>
      </c>
      <c r="G198" s="106">
        <f>IF($J198="","",INDEX(LevelLabels,MATCH(F198,LevelValues,1)))</f>
        <v/>
      </c>
      <c r="H198" s="106">
        <f>IF($J198="","",IFERROR(INDEX(Stu_ContactReq,MATCH(C198,Stu_ID,0)),""))</f>
        <v/>
      </c>
      <c r="I198" s="107">
        <f>IF($J198="","",IFERROR(INDEX(Stu_Notes,MATCH(C198,Stu_ID,0)),""))</f>
        <v/>
      </c>
      <c r="J198" s="40">
        <f>IF(193&gt;$B$3,"",IFERROR(MATCH(193-1,EV_Seq,1)+1,1))</f>
        <v/>
      </c>
    </row>
    <row r="199">
      <c r="A199" s="105">
        <f>IF($J199="","",INDEX(EV_Date,$J199))</f>
        <v/>
      </c>
      <c r="B199" s="78">
        <f>IF($J199="","",INDEX(EV_Name,$J199))</f>
        <v/>
      </c>
      <c r="C199" s="106">
        <f>IF($J199="","",INDEX(EV_ID,$J199))</f>
        <v/>
      </c>
      <c r="D199" s="106">
        <f>IF($J199="","",INDEX(EV_Class,$J199))</f>
        <v/>
      </c>
      <c r="E199" s="106">
        <f>IF($J199="","",INDEX(EV_Type,$J199))</f>
        <v/>
      </c>
      <c r="F199" s="106">
        <f>IF($J199="","",INDEX(EV_Cum,$J199))</f>
        <v/>
      </c>
      <c r="G199" s="106">
        <f>IF($J199="","",INDEX(LevelLabels,MATCH(F199,LevelValues,1)))</f>
        <v/>
      </c>
      <c r="H199" s="106">
        <f>IF($J199="","",IFERROR(INDEX(Stu_ContactReq,MATCH(C199,Stu_ID,0)),""))</f>
        <v/>
      </c>
      <c r="I199" s="107">
        <f>IF($J199="","",IFERROR(INDEX(Stu_Notes,MATCH(C199,Stu_ID,0)),""))</f>
        <v/>
      </c>
      <c r="J199" s="40">
        <f>IF(194&gt;$B$3,"",IFERROR(MATCH(194-1,EV_Seq,1)+1,1))</f>
        <v/>
      </c>
    </row>
    <row r="200">
      <c r="A200" s="105">
        <f>IF($J200="","",INDEX(EV_Date,$J200))</f>
        <v/>
      </c>
      <c r="B200" s="78">
        <f>IF($J200="","",INDEX(EV_Name,$J200))</f>
        <v/>
      </c>
      <c r="C200" s="106">
        <f>IF($J200="","",INDEX(EV_ID,$J200))</f>
        <v/>
      </c>
      <c r="D200" s="106">
        <f>IF($J200="","",INDEX(EV_Class,$J200))</f>
        <v/>
      </c>
      <c r="E200" s="106">
        <f>IF($J200="","",INDEX(EV_Type,$J200))</f>
        <v/>
      </c>
      <c r="F200" s="106">
        <f>IF($J200="","",INDEX(EV_Cum,$J200))</f>
        <v/>
      </c>
      <c r="G200" s="106">
        <f>IF($J200="","",INDEX(LevelLabels,MATCH(F200,LevelValues,1)))</f>
        <v/>
      </c>
      <c r="H200" s="106">
        <f>IF($J200="","",IFERROR(INDEX(Stu_ContactReq,MATCH(C200,Stu_ID,0)),""))</f>
        <v/>
      </c>
      <c r="I200" s="107">
        <f>IF($J200="","",IFERROR(INDEX(Stu_Notes,MATCH(C200,Stu_ID,0)),""))</f>
        <v/>
      </c>
      <c r="J200" s="40">
        <f>IF(195&gt;$B$3,"",IFERROR(MATCH(195-1,EV_Seq,1)+1,1))</f>
        <v/>
      </c>
    </row>
    <row r="201">
      <c r="A201" s="105">
        <f>IF($J201="","",INDEX(EV_Date,$J201))</f>
        <v/>
      </c>
      <c r="B201" s="78">
        <f>IF($J201="","",INDEX(EV_Name,$J201))</f>
        <v/>
      </c>
      <c r="C201" s="106">
        <f>IF($J201="","",INDEX(EV_ID,$J201))</f>
        <v/>
      </c>
      <c r="D201" s="106">
        <f>IF($J201="","",INDEX(EV_Class,$J201))</f>
        <v/>
      </c>
      <c r="E201" s="106">
        <f>IF($J201="","",INDEX(EV_Type,$J201))</f>
        <v/>
      </c>
      <c r="F201" s="106">
        <f>IF($J201="","",INDEX(EV_Cum,$J201))</f>
        <v/>
      </c>
      <c r="G201" s="106">
        <f>IF($J201="","",INDEX(LevelLabels,MATCH(F201,LevelValues,1)))</f>
        <v/>
      </c>
      <c r="H201" s="106">
        <f>IF($J201="","",IFERROR(INDEX(Stu_ContactReq,MATCH(C201,Stu_ID,0)),""))</f>
        <v/>
      </c>
      <c r="I201" s="107">
        <f>IF($J201="","",IFERROR(INDEX(Stu_Notes,MATCH(C201,Stu_ID,0)),""))</f>
        <v/>
      </c>
      <c r="J201" s="40">
        <f>IF(196&gt;$B$3,"",IFERROR(MATCH(196-1,EV_Seq,1)+1,1))</f>
        <v/>
      </c>
    </row>
    <row r="202">
      <c r="A202" s="105">
        <f>IF($J202="","",INDEX(EV_Date,$J202))</f>
        <v/>
      </c>
      <c r="B202" s="78">
        <f>IF($J202="","",INDEX(EV_Name,$J202))</f>
        <v/>
      </c>
      <c r="C202" s="106">
        <f>IF($J202="","",INDEX(EV_ID,$J202))</f>
        <v/>
      </c>
      <c r="D202" s="106">
        <f>IF($J202="","",INDEX(EV_Class,$J202))</f>
        <v/>
      </c>
      <c r="E202" s="106">
        <f>IF($J202="","",INDEX(EV_Type,$J202))</f>
        <v/>
      </c>
      <c r="F202" s="106">
        <f>IF($J202="","",INDEX(EV_Cum,$J202))</f>
        <v/>
      </c>
      <c r="G202" s="106">
        <f>IF($J202="","",INDEX(LevelLabels,MATCH(F202,LevelValues,1)))</f>
        <v/>
      </c>
      <c r="H202" s="106">
        <f>IF($J202="","",IFERROR(INDEX(Stu_ContactReq,MATCH(C202,Stu_ID,0)),""))</f>
        <v/>
      </c>
      <c r="I202" s="107">
        <f>IF($J202="","",IFERROR(INDEX(Stu_Notes,MATCH(C202,Stu_ID,0)),""))</f>
        <v/>
      </c>
      <c r="J202" s="40">
        <f>IF(197&gt;$B$3,"",IFERROR(MATCH(197-1,EV_Seq,1)+1,1))</f>
        <v/>
      </c>
    </row>
    <row r="203">
      <c r="A203" s="105">
        <f>IF($J203="","",INDEX(EV_Date,$J203))</f>
        <v/>
      </c>
      <c r="B203" s="78">
        <f>IF($J203="","",INDEX(EV_Name,$J203))</f>
        <v/>
      </c>
      <c r="C203" s="106">
        <f>IF($J203="","",INDEX(EV_ID,$J203))</f>
        <v/>
      </c>
      <c r="D203" s="106">
        <f>IF($J203="","",INDEX(EV_Class,$J203))</f>
        <v/>
      </c>
      <c r="E203" s="106">
        <f>IF($J203="","",INDEX(EV_Type,$J203))</f>
        <v/>
      </c>
      <c r="F203" s="106">
        <f>IF($J203="","",INDEX(EV_Cum,$J203))</f>
        <v/>
      </c>
      <c r="G203" s="106">
        <f>IF($J203="","",INDEX(LevelLabels,MATCH(F203,LevelValues,1)))</f>
        <v/>
      </c>
      <c r="H203" s="106">
        <f>IF($J203="","",IFERROR(INDEX(Stu_ContactReq,MATCH(C203,Stu_ID,0)),""))</f>
        <v/>
      </c>
      <c r="I203" s="107">
        <f>IF($J203="","",IFERROR(INDEX(Stu_Notes,MATCH(C203,Stu_ID,0)),""))</f>
        <v/>
      </c>
      <c r="J203" s="40">
        <f>IF(198&gt;$B$3,"",IFERROR(MATCH(198-1,EV_Seq,1)+1,1))</f>
        <v/>
      </c>
    </row>
    <row r="204">
      <c r="A204" s="105">
        <f>IF($J204="","",INDEX(EV_Date,$J204))</f>
        <v/>
      </c>
      <c r="B204" s="78">
        <f>IF($J204="","",INDEX(EV_Name,$J204))</f>
        <v/>
      </c>
      <c r="C204" s="106">
        <f>IF($J204="","",INDEX(EV_ID,$J204))</f>
        <v/>
      </c>
      <c r="D204" s="106">
        <f>IF($J204="","",INDEX(EV_Class,$J204))</f>
        <v/>
      </c>
      <c r="E204" s="106">
        <f>IF($J204="","",INDEX(EV_Type,$J204))</f>
        <v/>
      </c>
      <c r="F204" s="106">
        <f>IF($J204="","",INDEX(EV_Cum,$J204))</f>
        <v/>
      </c>
      <c r="G204" s="106">
        <f>IF($J204="","",INDEX(LevelLabels,MATCH(F204,LevelValues,1)))</f>
        <v/>
      </c>
      <c r="H204" s="106">
        <f>IF($J204="","",IFERROR(INDEX(Stu_ContactReq,MATCH(C204,Stu_ID,0)),""))</f>
        <v/>
      </c>
      <c r="I204" s="107">
        <f>IF($J204="","",IFERROR(INDEX(Stu_Notes,MATCH(C204,Stu_ID,0)),""))</f>
        <v/>
      </c>
      <c r="J204" s="40">
        <f>IF(199&gt;$B$3,"",IFERROR(MATCH(199-1,EV_Seq,1)+1,1))</f>
        <v/>
      </c>
    </row>
    <row r="205">
      <c r="A205" s="105">
        <f>IF($J205="","",INDEX(EV_Date,$J205))</f>
        <v/>
      </c>
      <c r="B205" s="78">
        <f>IF($J205="","",INDEX(EV_Name,$J205))</f>
        <v/>
      </c>
      <c r="C205" s="106">
        <f>IF($J205="","",INDEX(EV_ID,$J205))</f>
        <v/>
      </c>
      <c r="D205" s="106">
        <f>IF($J205="","",INDEX(EV_Class,$J205))</f>
        <v/>
      </c>
      <c r="E205" s="106">
        <f>IF($J205="","",INDEX(EV_Type,$J205))</f>
        <v/>
      </c>
      <c r="F205" s="106">
        <f>IF($J205="","",INDEX(EV_Cum,$J205))</f>
        <v/>
      </c>
      <c r="G205" s="106">
        <f>IF($J205="","",INDEX(LevelLabels,MATCH(F205,LevelValues,1)))</f>
        <v/>
      </c>
      <c r="H205" s="106">
        <f>IF($J205="","",IFERROR(INDEX(Stu_ContactReq,MATCH(C205,Stu_ID,0)),""))</f>
        <v/>
      </c>
      <c r="I205" s="107">
        <f>IF($J205="","",IFERROR(INDEX(Stu_Notes,MATCH(C205,Stu_ID,0)),""))</f>
        <v/>
      </c>
      <c r="J205" s="40">
        <f>IF(200&gt;$B$3,"",IFERROR(MATCH(200-1,EV_Seq,1)+1,1))</f>
        <v/>
      </c>
    </row>
    <row r="206">
      <c r="A206" s="105">
        <f>IF($J206="","",INDEX(EV_Date,$J206))</f>
        <v/>
      </c>
      <c r="B206" s="78">
        <f>IF($J206="","",INDEX(EV_Name,$J206))</f>
        <v/>
      </c>
      <c r="C206" s="106">
        <f>IF($J206="","",INDEX(EV_ID,$J206))</f>
        <v/>
      </c>
      <c r="D206" s="106">
        <f>IF($J206="","",INDEX(EV_Class,$J206))</f>
        <v/>
      </c>
      <c r="E206" s="106">
        <f>IF($J206="","",INDEX(EV_Type,$J206))</f>
        <v/>
      </c>
      <c r="F206" s="106">
        <f>IF($J206="","",INDEX(EV_Cum,$J206))</f>
        <v/>
      </c>
      <c r="G206" s="106">
        <f>IF($J206="","",INDEX(LevelLabels,MATCH(F206,LevelValues,1)))</f>
        <v/>
      </c>
      <c r="H206" s="106">
        <f>IF($J206="","",IFERROR(INDEX(Stu_ContactReq,MATCH(C206,Stu_ID,0)),""))</f>
        <v/>
      </c>
      <c r="I206" s="107">
        <f>IF($J206="","",IFERROR(INDEX(Stu_Notes,MATCH(C206,Stu_ID,0)),""))</f>
        <v/>
      </c>
      <c r="J206" s="40">
        <f>IF(201&gt;$B$3,"",IFERROR(MATCH(201-1,EV_Seq,1)+1,1))</f>
        <v/>
      </c>
    </row>
    <row r="207">
      <c r="A207" s="105">
        <f>IF($J207="","",INDEX(EV_Date,$J207))</f>
        <v/>
      </c>
      <c r="B207" s="78">
        <f>IF($J207="","",INDEX(EV_Name,$J207))</f>
        <v/>
      </c>
      <c r="C207" s="106">
        <f>IF($J207="","",INDEX(EV_ID,$J207))</f>
        <v/>
      </c>
      <c r="D207" s="106">
        <f>IF($J207="","",INDEX(EV_Class,$J207))</f>
        <v/>
      </c>
      <c r="E207" s="106">
        <f>IF($J207="","",INDEX(EV_Type,$J207))</f>
        <v/>
      </c>
      <c r="F207" s="106">
        <f>IF($J207="","",INDEX(EV_Cum,$J207))</f>
        <v/>
      </c>
      <c r="G207" s="106">
        <f>IF($J207="","",INDEX(LevelLabels,MATCH(F207,LevelValues,1)))</f>
        <v/>
      </c>
      <c r="H207" s="106">
        <f>IF($J207="","",IFERROR(INDEX(Stu_ContactReq,MATCH(C207,Stu_ID,0)),""))</f>
        <v/>
      </c>
      <c r="I207" s="107">
        <f>IF($J207="","",IFERROR(INDEX(Stu_Notes,MATCH(C207,Stu_ID,0)),""))</f>
        <v/>
      </c>
      <c r="J207" s="40">
        <f>IF(202&gt;$B$3,"",IFERROR(MATCH(202-1,EV_Seq,1)+1,1))</f>
        <v/>
      </c>
    </row>
    <row r="208">
      <c r="A208" s="105">
        <f>IF($J208="","",INDEX(EV_Date,$J208))</f>
        <v/>
      </c>
      <c r="B208" s="78">
        <f>IF($J208="","",INDEX(EV_Name,$J208))</f>
        <v/>
      </c>
      <c r="C208" s="106">
        <f>IF($J208="","",INDEX(EV_ID,$J208))</f>
        <v/>
      </c>
      <c r="D208" s="106">
        <f>IF($J208="","",INDEX(EV_Class,$J208))</f>
        <v/>
      </c>
      <c r="E208" s="106">
        <f>IF($J208="","",INDEX(EV_Type,$J208))</f>
        <v/>
      </c>
      <c r="F208" s="106">
        <f>IF($J208="","",INDEX(EV_Cum,$J208))</f>
        <v/>
      </c>
      <c r="G208" s="106">
        <f>IF($J208="","",INDEX(LevelLabels,MATCH(F208,LevelValues,1)))</f>
        <v/>
      </c>
      <c r="H208" s="106">
        <f>IF($J208="","",IFERROR(INDEX(Stu_ContactReq,MATCH(C208,Stu_ID,0)),""))</f>
        <v/>
      </c>
      <c r="I208" s="107">
        <f>IF($J208="","",IFERROR(INDEX(Stu_Notes,MATCH(C208,Stu_ID,0)),""))</f>
        <v/>
      </c>
      <c r="J208" s="40">
        <f>IF(203&gt;$B$3,"",IFERROR(MATCH(203-1,EV_Seq,1)+1,1))</f>
        <v/>
      </c>
    </row>
    <row r="209">
      <c r="A209" s="105">
        <f>IF($J209="","",INDEX(EV_Date,$J209))</f>
        <v/>
      </c>
      <c r="B209" s="78">
        <f>IF($J209="","",INDEX(EV_Name,$J209))</f>
        <v/>
      </c>
      <c r="C209" s="106">
        <f>IF($J209="","",INDEX(EV_ID,$J209))</f>
        <v/>
      </c>
      <c r="D209" s="106">
        <f>IF($J209="","",INDEX(EV_Class,$J209))</f>
        <v/>
      </c>
      <c r="E209" s="106">
        <f>IF($J209="","",INDEX(EV_Type,$J209))</f>
        <v/>
      </c>
      <c r="F209" s="106">
        <f>IF($J209="","",INDEX(EV_Cum,$J209))</f>
        <v/>
      </c>
      <c r="G209" s="106">
        <f>IF($J209="","",INDEX(LevelLabels,MATCH(F209,LevelValues,1)))</f>
        <v/>
      </c>
      <c r="H209" s="106">
        <f>IF($J209="","",IFERROR(INDEX(Stu_ContactReq,MATCH(C209,Stu_ID,0)),""))</f>
        <v/>
      </c>
      <c r="I209" s="107">
        <f>IF($J209="","",IFERROR(INDEX(Stu_Notes,MATCH(C209,Stu_ID,0)),""))</f>
        <v/>
      </c>
      <c r="J209" s="40">
        <f>IF(204&gt;$B$3,"",IFERROR(MATCH(204-1,EV_Seq,1)+1,1))</f>
        <v/>
      </c>
    </row>
    <row r="210">
      <c r="A210" s="105">
        <f>IF($J210="","",INDEX(EV_Date,$J210))</f>
        <v/>
      </c>
      <c r="B210" s="78">
        <f>IF($J210="","",INDEX(EV_Name,$J210))</f>
        <v/>
      </c>
      <c r="C210" s="106">
        <f>IF($J210="","",INDEX(EV_ID,$J210))</f>
        <v/>
      </c>
      <c r="D210" s="106">
        <f>IF($J210="","",INDEX(EV_Class,$J210))</f>
        <v/>
      </c>
      <c r="E210" s="106">
        <f>IF($J210="","",INDEX(EV_Type,$J210))</f>
        <v/>
      </c>
      <c r="F210" s="106">
        <f>IF($J210="","",INDEX(EV_Cum,$J210))</f>
        <v/>
      </c>
      <c r="G210" s="106">
        <f>IF($J210="","",INDEX(LevelLabels,MATCH(F210,LevelValues,1)))</f>
        <v/>
      </c>
      <c r="H210" s="106">
        <f>IF($J210="","",IFERROR(INDEX(Stu_ContactReq,MATCH(C210,Stu_ID,0)),""))</f>
        <v/>
      </c>
      <c r="I210" s="107">
        <f>IF($J210="","",IFERROR(INDEX(Stu_Notes,MATCH(C210,Stu_ID,0)),""))</f>
        <v/>
      </c>
      <c r="J210" s="40">
        <f>IF(205&gt;$B$3,"",IFERROR(MATCH(205-1,EV_Seq,1)+1,1))</f>
        <v/>
      </c>
    </row>
    <row r="211">
      <c r="A211" s="105">
        <f>IF($J211="","",INDEX(EV_Date,$J211))</f>
        <v/>
      </c>
      <c r="B211" s="78">
        <f>IF($J211="","",INDEX(EV_Name,$J211))</f>
        <v/>
      </c>
      <c r="C211" s="106">
        <f>IF($J211="","",INDEX(EV_ID,$J211))</f>
        <v/>
      </c>
      <c r="D211" s="106">
        <f>IF($J211="","",INDEX(EV_Class,$J211))</f>
        <v/>
      </c>
      <c r="E211" s="106">
        <f>IF($J211="","",INDEX(EV_Type,$J211))</f>
        <v/>
      </c>
      <c r="F211" s="106">
        <f>IF($J211="","",INDEX(EV_Cum,$J211))</f>
        <v/>
      </c>
      <c r="G211" s="106">
        <f>IF($J211="","",INDEX(LevelLabels,MATCH(F211,LevelValues,1)))</f>
        <v/>
      </c>
      <c r="H211" s="106">
        <f>IF($J211="","",IFERROR(INDEX(Stu_ContactReq,MATCH(C211,Stu_ID,0)),""))</f>
        <v/>
      </c>
      <c r="I211" s="107">
        <f>IF($J211="","",IFERROR(INDEX(Stu_Notes,MATCH(C211,Stu_ID,0)),""))</f>
        <v/>
      </c>
      <c r="J211" s="40">
        <f>IF(206&gt;$B$3,"",IFERROR(MATCH(206-1,EV_Seq,1)+1,1))</f>
        <v/>
      </c>
    </row>
    <row r="212">
      <c r="A212" s="105">
        <f>IF($J212="","",INDEX(EV_Date,$J212))</f>
        <v/>
      </c>
      <c r="B212" s="78">
        <f>IF($J212="","",INDEX(EV_Name,$J212))</f>
        <v/>
      </c>
      <c r="C212" s="106">
        <f>IF($J212="","",INDEX(EV_ID,$J212))</f>
        <v/>
      </c>
      <c r="D212" s="106">
        <f>IF($J212="","",INDEX(EV_Class,$J212))</f>
        <v/>
      </c>
      <c r="E212" s="106">
        <f>IF($J212="","",INDEX(EV_Type,$J212))</f>
        <v/>
      </c>
      <c r="F212" s="106">
        <f>IF($J212="","",INDEX(EV_Cum,$J212))</f>
        <v/>
      </c>
      <c r="G212" s="106">
        <f>IF($J212="","",INDEX(LevelLabels,MATCH(F212,LevelValues,1)))</f>
        <v/>
      </c>
      <c r="H212" s="106">
        <f>IF($J212="","",IFERROR(INDEX(Stu_ContactReq,MATCH(C212,Stu_ID,0)),""))</f>
        <v/>
      </c>
      <c r="I212" s="107">
        <f>IF($J212="","",IFERROR(INDEX(Stu_Notes,MATCH(C212,Stu_ID,0)),""))</f>
        <v/>
      </c>
      <c r="J212" s="40">
        <f>IF(207&gt;$B$3,"",IFERROR(MATCH(207-1,EV_Seq,1)+1,1))</f>
        <v/>
      </c>
    </row>
    <row r="213">
      <c r="A213" s="105">
        <f>IF($J213="","",INDEX(EV_Date,$J213))</f>
        <v/>
      </c>
      <c r="B213" s="78">
        <f>IF($J213="","",INDEX(EV_Name,$J213))</f>
        <v/>
      </c>
      <c r="C213" s="106">
        <f>IF($J213="","",INDEX(EV_ID,$J213))</f>
        <v/>
      </c>
      <c r="D213" s="106">
        <f>IF($J213="","",INDEX(EV_Class,$J213))</f>
        <v/>
      </c>
      <c r="E213" s="106">
        <f>IF($J213="","",INDEX(EV_Type,$J213))</f>
        <v/>
      </c>
      <c r="F213" s="106">
        <f>IF($J213="","",INDEX(EV_Cum,$J213))</f>
        <v/>
      </c>
      <c r="G213" s="106">
        <f>IF($J213="","",INDEX(LevelLabels,MATCH(F213,LevelValues,1)))</f>
        <v/>
      </c>
      <c r="H213" s="106">
        <f>IF($J213="","",IFERROR(INDEX(Stu_ContactReq,MATCH(C213,Stu_ID,0)),""))</f>
        <v/>
      </c>
      <c r="I213" s="107">
        <f>IF($J213="","",IFERROR(INDEX(Stu_Notes,MATCH(C213,Stu_ID,0)),""))</f>
        <v/>
      </c>
      <c r="J213" s="40">
        <f>IF(208&gt;$B$3,"",IFERROR(MATCH(208-1,EV_Seq,1)+1,1))</f>
        <v/>
      </c>
    </row>
    <row r="214">
      <c r="A214" s="105">
        <f>IF($J214="","",INDEX(EV_Date,$J214))</f>
        <v/>
      </c>
      <c r="B214" s="78">
        <f>IF($J214="","",INDEX(EV_Name,$J214))</f>
        <v/>
      </c>
      <c r="C214" s="106">
        <f>IF($J214="","",INDEX(EV_ID,$J214))</f>
        <v/>
      </c>
      <c r="D214" s="106">
        <f>IF($J214="","",INDEX(EV_Class,$J214))</f>
        <v/>
      </c>
      <c r="E214" s="106">
        <f>IF($J214="","",INDEX(EV_Type,$J214))</f>
        <v/>
      </c>
      <c r="F214" s="106">
        <f>IF($J214="","",INDEX(EV_Cum,$J214))</f>
        <v/>
      </c>
      <c r="G214" s="106">
        <f>IF($J214="","",INDEX(LevelLabels,MATCH(F214,LevelValues,1)))</f>
        <v/>
      </c>
      <c r="H214" s="106">
        <f>IF($J214="","",IFERROR(INDEX(Stu_ContactReq,MATCH(C214,Stu_ID,0)),""))</f>
        <v/>
      </c>
      <c r="I214" s="107">
        <f>IF($J214="","",IFERROR(INDEX(Stu_Notes,MATCH(C214,Stu_ID,0)),""))</f>
        <v/>
      </c>
      <c r="J214" s="40">
        <f>IF(209&gt;$B$3,"",IFERROR(MATCH(209-1,EV_Seq,1)+1,1))</f>
        <v/>
      </c>
    </row>
    <row r="215">
      <c r="A215" s="105">
        <f>IF($J215="","",INDEX(EV_Date,$J215))</f>
        <v/>
      </c>
      <c r="B215" s="78">
        <f>IF($J215="","",INDEX(EV_Name,$J215))</f>
        <v/>
      </c>
      <c r="C215" s="106">
        <f>IF($J215="","",INDEX(EV_ID,$J215))</f>
        <v/>
      </c>
      <c r="D215" s="106">
        <f>IF($J215="","",INDEX(EV_Class,$J215))</f>
        <v/>
      </c>
      <c r="E215" s="106">
        <f>IF($J215="","",INDEX(EV_Type,$J215))</f>
        <v/>
      </c>
      <c r="F215" s="106">
        <f>IF($J215="","",INDEX(EV_Cum,$J215))</f>
        <v/>
      </c>
      <c r="G215" s="106">
        <f>IF($J215="","",INDEX(LevelLabels,MATCH(F215,LevelValues,1)))</f>
        <v/>
      </c>
      <c r="H215" s="106">
        <f>IF($J215="","",IFERROR(INDEX(Stu_ContactReq,MATCH(C215,Stu_ID,0)),""))</f>
        <v/>
      </c>
      <c r="I215" s="107">
        <f>IF($J215="","",IFERROR(INDEX(Stu_Notes,MATCH(C215,Stu_ID,0)),""))</f>
        <v/>
      </c>
      <c r="J215" s="40">
        <f>IF(210&gt;$B$3,"",IFERROR(MATCH(210-1,EV_Seq,1)+1,1))</f>
        <v/>
      </c>
    </row>
    <row r="216">
      <c r="A216" s="105">
        <f>IF($J216="","",INDEX(EV_Date,$J216))</f>
        <v/>
      </c>
      <c r="B216" s="78">
        <f>IF($J216="","",INDEX(EV_Name,$J216))</f>
        <v/>
      </c>
      <c r="C216" s="106">
        <f>IF($J216="","",INDEX(EV_ID,$J216))</f>
        <v/>
      </c>
      <c r="D216" s="106">
        <f>IF($J216="","",INDEX(EV_Class,$J216))</f>
        <v/>
      </c>
      <c r="E216" s="106">
        <f>IF($J216="","",INDEX(EV_Type,$J216))</f>
        <v/>
      </c>
      <c r="F216" s="106">
        <f>IF($J216="","",INDEX(EV_Cum,$J216))</f>
        <v/>
      </c>
      <c r="G216" s="106">
        <f>IF($J216="","",INDEX(LevelLabels,MATCH(F216,LevelValues,1)))</f>
        <v/>
      </c>
      <c r="H216" s="106">
        <f>IF($J216="","",IFERROR(INDEX(Stu_ContactReq,MATCH(C216,Stu_ID,0)),""))</f>
        <v/>
      </c>
      <c r="I216" s="107">
        <f>IF($J216="","",IFERROR(INDEX(Stu_Notes,MATCH(C216,Stu_ID,0)),""))</f>
        <v/>
      </c>
      <c r="J216" s="40">
        <f>IF(211&gt;$B$3,"",IFERROR(MATCH(211-1,EV_Seq,1)+1,1))</f>
        <v/>
      </c>
    </row>
    <row r="217">
      <c r="A217" s="105">
        <f>IF($J217="","",INDEX(EV_Date,$J217))</f>
        <v/>
      </c>
      <c r="B217" s="78">
        <f>IF($J217="","",INDEX(EV_Name,$J217))</f>
        <v/>
      </c>
      <c r="C217" s="106">
        <f>IF($J217="","",INDEX(EV_ID,$J217))</f>
        <v/>
      </c>
      <c r="D217" s="106">
        <f>IF($J217="","",INDEX(EV_Class,$J217))</f>
        <v/>
      </c>
      <c r="E217" s="106">
        <f>IF($J217="","",INDEX(EV_Type,$J217))</f>
        <v/>
      </c>
      <c r="F217" s="106">
        <f>IF($J217="","",INDEX(EV_Cum,$J217))</f>
        <v/>
      </c>
      <c r="G217" s="106">
        <f>IF($J217="","",INDEX(LevelLabels,MATCH(F217,LevelValues,1)))</f>
        <v/>
      </c>
      <c r="H217" s="106">
        <f>IF($J217="","",IFERROR(INDEX(Stu_ContactReq,MATCH(C217,Stu_ID,0)),""))</f>
        <v/>
      </c>
      <c r="I217" s="107">
        <f>IF($J217="","",IFERROR(INDEX(Stu_Notes,MATCH(C217,Stu_ID,0)),""))</f>
        <v/>
      </c>
      <c r="J217" s="40">
        <f>IF(212&gt;$B$3,"",IFERROR(MATCH(212-1,EV_Seq,1)+1,1))</f>
        <v/>
      </c>
    </row>
    <row r="218">
      <c r="A218" s="105">
        <f>IF($J218="","",INDEX(EV_Date,$J218))</f>
        <v/>
      </c>
      <c r="B218" s="78">
        <f>IF($J218="","",INDEX(EV_Name,$J218))</f>
        <v/>
      </c>
      <c r="C218" s="106">
        <f>IF($J218="","",INDEX(EV_ID,$J218))</f>
        <v/>
      </c>
      <c r="D218" s="106">
        <f>IF($J218="","",INDEX(EV_Class,$J218))</f>
        <v/>
      </c>
      <c r="E218" s="106">
        <f>IF($J218="","",INDEX(EV_Type,$J218))</f>
        <v/>
      </c>
      <c r="F218" s="106">
        <f>IF($J218="","",INDEX(EV_Cum,$J218))</f>
        <v/>
      </c>
      <c r="G218" s="106">
        <f>IF($J218="","",INDEX(LevelLabels,MATCH(F218,LevelValues,1)))</f>
        <v/>
      </c>
      <c r="H218" s="106">
        <f>IF($J218="","",IFERROR(INDEX(Stu_ContactReq,MATCH(C218,Stu_ID,0)),""))</f>
        <v/>
      </c>
      <c r="I218" s="107">
        <f>IF($J218="","",IFERROR(INDEX(Stu_Notes,MATCH(C218,Stu_ID,0)),""))</f>
        <v/>
      </c>
      <c r="J218" s="40">
        <f>IF(213&gt;$B$3,"",IFERROR(MATCH(213-1,EV_Seq,1)+1,1))</f>
        <v/>
      </c>
    </row>
    <row r="219">
      <c r="A219" s="105">
        <f>IF($J219="","",INDEX(EV_Date,$J219))</f>
        <v/>
      </c>
      <c r="B219" s="78">
        <f>IF($J219="","",INDEX(EV_Name,$J219))</f>
        <v/>
      </c>
      <c r="C219" s="106">
        <f>IF($J219="","",INDEX(EV_ID,$J219))</f>
        <v/>
      </c>
      <c r="D219" s="106">
        <f>IF($J219="","",INDEX(EV_Class,$J219))</f>
        <v/>
      </c>
      <c r="E219" s="106">
        <f>IF($J219="","",INDEX(EV_Type,$J219))</f>
        <v/>
      </c>
      <c r="F219" s="106">
        <f>IF($J219="","",INDEX(EV_Cum,$J219))</f>
        <v/>
      </c>
      <c r="G219" s="106">
        <f>IF($J219="","",INDEX(LevelLabels,MATCH(F219,LevelValues,1)))</f>
        <v/>
      </c>
      <c r="H219" s="106">
        <f>IF($J219="","",IFERROR(INDEX(Stu_ContactReq,MATCH(C219,Stu_ID,0)),""))</f>
        <v/>
      </c>
      <c r="I219" s="107">
        <f>IF($J219="","",IFERROR(INDEX(Stu_Notes,MATCH(C219,Stu_ID,0)),""))</f>
        <v/>
      </c>
      <c r="J219" s="40">
        <f>IF(214&gt;$B$3,"",IFERROR(MATCH(214-1,EV_Seq,1)+1,1))</f>
        <v/>
      </c>
    </row>
    <row r="220">
      <c r="A220" s="105">
        <f>IF($J220="","",INDEX(EV_Date,$J220))</f>
        <v/>
      </c>
      <c r="B220" s="78">
        <f>IF($J220="","",INDEX(EV_Name,$J220))</f>
        <v/>
      </c>
      <c r="C220" s="106">
        <f>IF($J220="","",INDEX(EV_ID,$J220))</f>
        <v/>
      </c>
      <c r="D220" s="106">
        <f>IF($J220="","",INDEX(EV_Class,$J220))</f>
        <v/>
      </c>
      <c r="E220" s="106">
        <f>IF($J220="","",INDEX(EV_Type,$J220))</f>
        <v/>
      </c>
      <c r="F220" s="106">
        <f>IF($J220="","",INDEX(EV_Cum,$J220))</f>
        <v/>
      </c>
      <c r="G220" s="106">
        <f>IF($J220="","",INDEX(LevelLabels,MATCH(F220,LevelValues,1)))</f>
        <v/>
      </c>
      <c r="H220" s="106">
        <f>IF($J220="","",IFERROR(INDEX(Stu_ContactReq,MATCH(C220,Stu_ID,0)),""))</f>
        <v/>
      </c>
      <c r="I220" s="107">
        <f>IF($J220="","",IFERROR(INDEX(Stu_Notes,MATCH(C220,Stu_ID,0)),""))</f>
        <v/>
      </c>
      <c r="J220" s="40">
        <f>IF(215&gt;$B$3,"",IFERROR(MATCH(215-1,EV_Seq,1)+1,1))</f>
        <v/>
      </c>
    </row>
    <row r="221">
      <c r="A221" s="105">
        <f>IF($J221="","",INDEX(EV_Date,$J221))</f>
        <v/>
      </c>
      <c r="B221" s="78">
        <f>IF($J221="","",INDEX(EV_Name,$J221))</f>
        <v/>
      </c>
      <c r="C221" s="106">
        <f>IF($J221="","",INDEX(EV_ID,$J221))</f>
        <v/>
      </c>
      <c r="D221" s="106">
        <f>IF($J221="","",INDEX(EV_Class,$J221))</f>
        <v/>
      </c>
      <c r="E221" s="106">
        <f>IF($J221="","",INDEX(EV_Type,$J221))</f>
        <v/>
      </c>
      <c r="F221" s="106">
        <f>IF($J221="","",INDEX(EV_Cum,$J221))</f>
        <v/>
      </c>
      <c r="G221" s="106">
        <f>IF($J221="","",INDEX(LevelLabels,MATCH(F221,LevelValues,1)))</f>
        <v/>
      </c>
      <c r="H221" s="106">
        <f>IF($J221="","",IFERROR(INDEX(Stu_ContactReq,MATCH(C221,Stu_ID,0)),""))</f>
        <v/>
      </c>
      <c r="I221" s="107">
        <f>IF($J221="","",IFERROR(INDEX(Stu_Notes,MATCH(C221,Stu_ID,0)),""))</f>
        <v/>
      </c>
      <c r="J221" s="40">
        <f>IF(216&gt;$B$3,"",IFERROR(MATCH(216-1,EV_Seq,1)+1,1))</f>
        <v/>
      </c>
    </row>
    <row r="222">
      <c r="A222" s="105">
        <f>IF($J222="","",INDEX(EV_Date,$J222))</f>
        <v/>
      </c>
      <c r="B222" s="78">
        <f>IF($J222="","",INDEX(EV_Name,$J222))</f>
        <v/>
      </c>
      <c r="C222" s="106">
        <f>IF($J222="","",INDEX(EV_ID,$J222))</f>
        <v/>
      </c>
      <c r="D222" s="106">
        <f>IF($J222="","",INDEX(EV_Class,$J222))</f>
        <v/>
      </c>
      <c r="E222" s="106">
        <f>IF($J222="","",INDEX(EV_Type,$J222))</f>
        <v/>
      </c>
      <c r="F222" s="106">
        <f>IF($J222="","",INDEX(EV_Cum,$J222))</f>
        <v/>
      </c>
      <c r="G222" s="106">
        <f>IF($J222="","",INDEX(LevelLabels,MATCH(F222,LevelValues,1)))</f>
        <v/>
      </c>
      <c r="H222" s="106">
        <f>IF($J222="","",IFERROR(INDEX(Stu_ContactReq,MATCH(C222,Stu_ID,0)),""))</f>
        <v/>
      </c>
      <c r="I222" s="107">
        <f>IF($J222="","",IFERROR(INDEX(Stu_Notes,MATCH(C222,Stu_ID,0)),""))</f>
        <v/>
      </c>
      <c r="J222" s="40">
        <f>IF(217&gt;$B$3,"",IFERROR(MATCH(217-1,EV_Seq,1)+1,1))</f>
        <v/>
      </c>
    </row>
    <row r="223">
      <c r="A223" s="105">
        <f>IF($J223="","",INDEX(EV_Date,$J223))</f>
        <v/>
      </c>
      <c r="B223" s="78">
        <f>IF($J223="","",INDEX(EV_Name,$J223))</f>
        <v/>
      </c>
      <c r="C223" s="106">
        <f>IF($J223="","",INDEX(EV_ID,$J223))</f>
        <v/>
      </c>
      <c r="D223" s="106">
        <f>IF($J223="","",INDEX(EV_Class,$J223))</f>
        <v/>
      </c>
      <c r="E223" s="106">
        <f>IF($J223="","",INDEX(EV_Type,$J223))</f>
        <v/>
      </c>
      <c r="F223" s="106">
        <f>IF($J223="","",INDEX(EV_Cum,$J223))</f>
        <v/>
      </c>
      <c r="G223" s="106">
        <f>IF($J223="","",INDEX(LevelLabels,MATCH(F223,LevelValues,1)))</f>
        <v/>
      </c>
      <c r="H223" s="106">
        <f>IF($J223="","",IFERROR(INDEX(Stu_ContactReq,MATCH(C223,Stu_ID,0)),""))</f>
        <v/>
      </c>
      <c r="I223" s="107">
        <f>IF($J223="","",IFERROR(INDEX(Stu_Notes,MATCH(C223,Stu_ID,0)),""))</f>
        <v/>
      </c>
      <c r="J223" s="40">
        <f>IF(218&gt;$B$3,"",IFERROR(MATCH(218-1,EV_Seq,1)+1,1))</f>
        <v/>
      </c>
    </row>
    <row r="224">
      <c r="A224" s="105">
        <f>IF($J224="","",INDEX(EV_Date,$J224))</f>
        <v/>
      </c>
      <c r="B224" s="78">
        <f>IF($J224="","",INDEX(EV_Name,$J224))</f>
        <v/>
      </c>
      <c r="C224" s="106">
        <f>IF($J224="","",INDEX(EV_ID,$J224))</f>
        <v/>
      </c>
      <c r="D224" s="106">
        <f>IF($J224="","",INDEX(EV_Class,$J224))</f>
        <v/>
      </c>
      <c r="E224" s="106">
        <f>IF($J224="","",INDEX(EV_Type,$J224))</f>
        <v/>
      </c>
      <c r="F224" s="106">
        <f>IF($J224="","",INDEX(EV_Cum,$J224))</f>
        <v/>
      </c>
      <c r="G224" s="106">
        <f>IF($J224="","",INDEX(LevelLabels,MATCH(F224,LevelValues,1)))</f>
        <v/>
      </c>
      <c r="H224" s="106">
        <f>IF($J224="","",IFERROR(INDEX(Stu_ContactReq,MATCH(C224,Stu_ID,0)),""))</f>
        <v/>
      </c>
      <c r="I224" s="107">
        <f>IF($J224="","",IFERROR(INDEX(Stu_Notes,MATCH(C224,Stu_ID,0)),""))</f>
        <v/>
      </c>
      <c r="J224" s="40">
        <f>IF(219&gt;$B$3,"",IFERROR(MATCH(219-1,EV_Seq,1)+1,1))</f>
        <v/>
      </c>
    </row>
    <row r="225">
      <c r="A225" s="105">
        <f>IF($J225="","",INDEX(EV_Date,$J225))</f>
        <v/>
      </c>
      <c r="B225" s="78">
        <f>IF($J225="","",INDEX(EV_Name,$J225))</f>
        <v/>
      </c>
      <c r="C225" s="106">
        <f>IF($J225="","",INDEX(EV_ID,$J225))</f>
        <v/>
      </c>
      <c r="D225" s="106">
        <f>IF($J225="","",INDEX(EV_Class,$J225))</f>
        <v/>
      </c>
      <c r="E225" s="106">
        <f>IF($J225="","",INDEX(EV_Type,$J225))</f>
        <v/>
      </c>
      <c r="F225" s="106">
        <f>IF($J225="","",INDEX(EV_Cum,$J225))</f>
        <v/>
      </c>
      <c r="G225" s="106">
        <f>IF($J225="","",INDEX(LevelLabels,MATCH(F225,LevelValues,1)))</f>
        <v/>
      </c>
      <c r="H225" s="106">
        <f>IF($J225="","",IFERROR(INDEX(Stu_ContactReq,MATCH(C225,Stu_ID,0)),""))</f>
        <v/>
      </c>
      <c r="I225" s="107">
        <f>IF($J225="","",IFERROR(INDEX(Stu_Notes,MATCH(C225,Stu_ID,0)),""))</f>
        <v/>
      </c>
      <c r="J225" s="40">
        <f>IF(220&gt;$B$3,"",IFERROR(MATCH(220-1,EV_Seq,1)+1,1))</f>
        <v/>
      </c>
    </row>
    <row r="226">
      <c r="A226" s="105">
        <f>IF($J226="","",INDEX(EV_Date,$J226))</f>
        <v/>
      </c>
      <c r="B226" s="78">
        <f>IF($J226="","",INDEX(EV_Name,$J226))</f>
        <v/>
      </c>
      <c r="C226" s="106">
        <f>IF($J226="","",INDEX(EV_ID,$J226))</f>
        <v/>
      </c>
      <c r="D226" s="106">
        <f>IF($J226="","",INDEX(EV_Class,$J226))</f>
        <v/>
      </c>
      <c r="E226" s="106">
        <f>IF($J226="","",INDEX(EV_Type,$J226))</f>
        <v/>
      </c>
      <c r="F226" s="106">
        <f>IF($J226="","",INDEX(EV_Cum,$J226))</f>
        <v/>
      </c>
      <c r="G226" s="106">
        <f>IF($J226="","",INDEX(LevelLabels,MATCH(F226,LevelValues,1)))</f>
        <v/>
      </c>
      <c r="H226" s="106">
        <f>IF($J226="","",IFERROR(INDEX(Stu_ContactReq,MATCH(C226,Stu_ID,0)),""))</f>
        <v/>
      </c>
      <c r="I226" s="107">
        <f>IF($J226="","",IFERROR(INDEX(Stu_Notes,MATCH(C226,Stu_ID,0)),""))</f>
        <v/>
      </c>
      <c r="J226" s="40">
        <f>IF(221&gt;$B$3,"",IFERROR(MATCH(221-1,EV_Seq,1)+1,1))</f>
        <v/>
      </c>
    </row>
    <row r="227">
      <c r="A227" s="105">
        <f>IF($J227="","",INDEX(EV_Date,$J227))</f>
        <v/>
      </c>
      <c r="B227" s="78">
        <f>IF($J227="","",INDEX(EV_Name,$J227))</f>
        <v/>
      </c>
      <c r="C227" s="106">
        <f>IF($J227="","",INDEX(EV_ID,$J227))</f>
        <v/>
      </c>
      <c r="D227" s="106">
        <f>IF($J227="","",INDEX(EV_Class,$J227))</f>
        <v/>
      </c>
      <c r="E227" s="106">
        <f>IF($J227="","",INDEX(EV_Type,$J227))</f>
        <v/>
      </c>
      <c r="F227" s="106">
        <f>IF($J227="","",INDEX(EV_Cum,$J227))</f>
        <v/>
      </c>
      <c r="G227" s="106">
        <f>IF($J227="","",INDEX(LevelLabels,MATCH(F227,LevelValues,1)))</f>
        <v/>
      </c>
      <c r="H227" s="106">
        <f>IF($J227="","",IFERROR(INDEX(Stu_ContactReq,MATCH(C227,Stu_ID,0)),""))</f>
        <v/>
      </c>
      <c r="I227" s="107">
        <f>IF($J227="","",IFERROR(INDEX(Stu_Notes,MATCH(C227,Stu_ID,0)),""))</f>
        <v/>
      </c>
      <c r="J227" s="40">
        <f>IF(222&gt;$B$3,"",IFERROR(MATCH(222-1,EV_Seq,1)+1,1))</f>
        <v/>
      </c>
    </row>
    <row r="228">
      <c r="A228" s="105">
        <f>IF($J228="","",INDEX(EV_Date,$J228))</f>
        <v/>
      </c>
      <c r="B228" s="78">
        <f>IF($J228="","",INDEX(EV_Name,$J228))</f>
        <v/>
      </c>
      <c r="C228" s="106">
        <f>IF($J228="","",INDEX(EV_ID,$J228))</f>
        <v/>
      </c>
      <c r="D228" s="106">
        <f>IF($J228="","",INDEX(EV_Class,$J228))</f>
        <v/>
      </c>
      <c r="E228" s="106">
        <f>IF($J228="","",INDEX(EV_Type,$J228))</f>
        <v/>
      </c>
      <c r="F228" s="106">
        <f>IF($J228="","",INDEX(EV_Cum,$J228))</f>
        <v/>
      </c>
      <c r="G228" s="106">
        <f>IF($J228="","",INDEX(LevelLabels,MATCH(F228,LevelValues,1)))</f>
        <v/>
      </c>
      <c r="H228" s="106">
        <f>IF($J228="","",IFERROR(INDEX(Stu_ContactReq,MATCH(C228,Stu_ID,0)),""))</f>
        <v/>
      </c>
      <c r="I228" s="107">
        <f>IF($J228="","",IFERROR(INDEX(Stu_Notes,MATCH(C228,Stu_ID,0)),""))</f>
        <v/>
      </c>
      <c r="J228" s="40">
        <f>IF(223&gt;$B$3,"",IFERROR(MATCH(223-1,EV_Seq,1)+1,1))</f>
        <v/>
      </c>
    </row>
    <row r="229">
      <c r="A229" s="105">
        <f>IF($J229="","",INDEX(EV_Date,$J229))</f>
        <v/>
      </c>
      <c r="B229" s="78">
        <f>IF($J229="","",INDEX(EV_Name,$J229))</f>
        <v/>
      </c>
      <c r="C229" s="106">
        <f>IF($J229="","",INDEX(EV_ID,$J229))</f>
        <v/>
      </c>
      <c r="D229" s="106">
        <f>IF($J229="","",INDEX(EV_Class,$J229))</f>
        <v/>
      </c>
      <c r="E229" s="106">
        <f>IF($J229="","",INDEX(EV_Type,$J229))</f>
        <v/>
      </c>
      <c r="F229" s="106">
        <f>IF($J229="","",INDEX(EV_Cum,$J229))</f>
        <v/>
      </c>
      <c r="G229" s="106">
        <f>IF($J229="","",INDEX(LevelLabels,MATCH(F229,LevelValues,1)))</f>
        <v/>
      </c>
      <c r="H229" s="106">
        <f>IF($J229="","",IFERROR(INDEX(Stu_ContactReq,MATCH(C229,Stu_ID,0)),""))</f>
        <v/>
      </c>
      <c r="I229" s="107">
        <f>IF($J229="","",IFERROR(INDEX(Stu_Notes,MATCH(C229,Stu_ID,0)),""))</f>
        <v/>
      </c>
      <c r="J229" s="40">
        <f>IF(224&gt;$B$3,"",IFERROR(MATCH(224-1,EV_Seq,1)+1,1))</f>
        <v/>
      </c>
    </row>
    <row r="230">
      <c r="A230" s="105">
        <f>IF($J230="","",INDEX(EV_Date,$J230))</f>
        <v/>
      </c>
      <c r="B230" s="78">
        <f>IF($J230="","",INDEX(EV_Name,$J230))</f>
        <v/>
      </c>
      <c r="C230" s="106">
        <f>IF($J230="","",INDEX(EV_ID,$J230))</f>
        <v/>
      </c>
      <c r="D230" s="106">
        <f>IF($J230="","",INDEX(EV_Class,$J230))</f>
        <v/>
      </c>
      <c r="E230" s="106">
        <f>IF($J230="","",INDEX(EV_Type,$J230))</f>
        <v/>
      </c>
      <c r="F230" s="106">
        <f>IF($J230="","",INDEX(EV_Cum,$J230))</f>
        <v/>
      </c>
      <c r="G230" s="106">
        <f>IF($J230="","",INDEX(LevelLabels,MATCH(F230,LevelValues,1)))</f>
        <v/>
      </c>
      <c r="H230" s="106">
        <f>IF($J230="","",IFERROR(INDEX(Stu_ContactReq,MATCH(C230,Stu_ID,0)),""))</f>
        <v/>
      </c>
      <c r="I230" s="107">
        <f>IF($J230="","",IFERROR(INDEX(Stu_Notes,MATCH(C230,Stu_ID,0)),""))</f>
        <v/>
      </c>
      <c r="J230" s="40">
        <f>IF(225&gt;$B$3,"",IFERROR(MATCH(225-1,EV_Seq,1)+1,1))</f>
        <v/>
      </c>
    </row>
    <row r="231">
      <c r="A231" s="105">
        <f>IF($J231="","",INDEX(EV_Date,$J231))</f>
        <v/>
      </c>
      <c r="B231" s="78">
        <f>IF($J231="","",INDEX(EV_Name,$J231))</f>
        <v/>
      </c>
      <c r="C231" s="106">
        <f>IF($J231="","",INDEX(EV_ID,$J231))</f>
        <v/>
      </c>
      <c r="D231" s="106">
        <f>IF($J231="","",INDEX(EV_Class,$J231))</f>
        <v/>
      </c>
      <c r="E231" s="106">
        <f>IF($J231="","",INDEX(EV_Type,$J231))</f>
        <v/>
      </c>
      <c r="F231" s="106">
        <f>IF($J231="","",INDEX(EV_Cum,$J231))</f>
        <v/>
      </c>
      <c r="G231" s="106">
        <f>IF($J231="","",INDEX(LevelLabels,MATCH(F231,LevelValues,1)))</f>
        <v/>
      </c>
      <c r="H231" s="106">
        <f>IF($J231="","",IFERROR(INDEX(Stu_ContactReq,MATCH(C231,Stu_ID,0)),""))</f>
        <v/>
      </c>
      <c r="I231" s="107">
        <f>IF($J231="","",IFERROR(INDEX(Stu_Notes,MATCH(C231,Stu_ID,0)),""))</f>
        <v/>
      </c>
      <c r="J231" s="40">
        <f>IF(226&gt;$B$3,"",IFERROR(MATCH(226-1,EV_Seq,1)+1,1))</f>
        <v/>
      </c>
    </row>
    <row r="232">
      <c r="A232" s="105">
        <f>IF($J232="","",INDEX(EV_Date,$J232))</f>
        <v/>
      </c>
      <c r="B232" s="78">
        <f>IF($J232="","",INDEX(EV_Name,$J232))</f>
        <v/>
      </c>
      <c r="C232" s="106">
        <f>IF($J232="","",INDEX(EV_ID,$J232))</f>
        <v/>
      </c>
      <c r="D232" s="106">
        <f>IF($J232="","",INDEX(EV_Class,$J232))</f>
        <v/>
      </c>
      <c r="E232" s="106">
        <f>IF($J232="","",INDEX(EV_Type,$J232))</f>
        <v/>
      </c>
      <c r="F232" s="106">
        <f>IF($J232="","",INDEX(EV_Cum,$J232))</f>
        <v/>
      </c>
      <c r="G232" s="106">
        <f>IF($J232="","",INDEX(LevelLabels,MATCH(F232,LevelValues,1)))</f>
        <v/>
      </c>
      <c r="H232" s="106">
        <f>IF($J232="","",IFERROR(INDEX(Stu_ContactReq,MATCH(C232,Stu_ID,0)),""))</f>
        <v/>
      </c>
      <c r="I232" s="107">
        <f>IF($J232="","",IFERROR(INDEX(Stu_Notes,MATCH(C232,Stu_ID,0)),""))</f>
        <v/>
      </c>
      <c r="J232" s="40">
        <f>IF(227&gt;$B$3,"",IFERROR(MATCH(227-1,EV_Seq,1)+1,1))</f>
        <v/>
      </c>
    </row>
    <row r="233">
      <c r="A233" s="105">
        <f>IF($J233="","",INDEX(EV_Date,$J233))</f>
        <v/>
      </c>
      <c r="B233" s="78">
        <f>IF($J233="","",INDEX(EV_Name,$J233))</f>
        <v/>
      </c>
      <c r="C233" s="106">
        <f>IF($J233="","",INDEX(EV_ID,$J233))</f>
        <v/>
      </c>
      <c r="D233" s="106">
        <f>IF($J233="","",INDEX(EV_Class,$J233))</f>
        <v/>
      </c>
      <c r="E233" s="106">
        <f>IF($J233="","",INDEX(EV_Type,$J233))</f>
        <v/>
      </c>
      <c r="F233" s="106">
        <f>IF($J233="","",INDEX(EV_Cum,$J233))</f>
        <v/>
      </c>
      <c r="G233" s="106">
        <f>IF($J233="","",INDEX(LevelLabels,MATCH(F233,LevelValues,1)))</f>
        <v/>
      </c>
      <c r="H233" s="106">
        <f>IF($J233="","",IFERROR(INDEX(Stu_ContactReq,MATCH(C233,Stu_ID,0)),""))</f>
        <v/>
      </c>
      <c r="I233" s="107">
        <f>IF($J233="","",IFERROR(INDEX(Stu_Notes,MATCH(C233,Stu_ID,0)),""))</f>
        <v/>
      </c>
      <c r="J233" s="40">
        <f>IF(228&gt;$B$3,"",IFERROR(MATCH(228-1,EV_Seq,1)+1,1))</f>
        <v/>
      </c>
    </row>
    <row r="234">
      <c r="A234" s="105">
        <f>IF($J234="","",INDEX(EV_Date,$J234))</f>
        <v/>
      </c>
      <c r="B234" s="78">
        <f>IF($J234="","",INDEX(EV_Name,$J234))</f>
        <v/>
      </c>
      <c r="C234" s="106">
        <f>IF($J234="","",INDEX(EV_ID,$J234))</f>
        <v/>
      </c>
      <c r="D234" s="106">
        <f>IF($J234="","",INDEX(EV_Class,$J234))</f>
        <v/>
      </c>
      <c r="E234" s="106">
        <f>IF($J234="","",INDEX(EV_Type,$J234))</f>
        <v/>
      </c>
      <c r="F234" s="106">
        <f>IF($J234="","",INDEX(EV_Cum,$J234))</f>
        <v/>
      </c>
      <c r="G234" s="106">
        <f>IF($J234="","",INDEX(LevelLabels,MATCH(F234,LevelValues,1)))</f>
        <v/>
      </c>
      <c r="H234" s="106">
        <f>IF($J234="","",IFERROR(INDEX(Stu_ContactReq,MATCH(C234,Stu_ID,0)),""))</f>
        <v/>
      </c>
      <c r="I234" s="107">
        <f>IF($J234="","",IFERROR(INDEX(Stu_Notes,MATCH(C234,Stu_ID,0)),""))</f>
        <v/>
      </c>
      <c r="J234" s="40">
        <f>IF(229&gt;$B$3,"",IFERROR(MATCH(229-1,EV_Seq,1)+1,1))</f>
        <v/>
      </c>
    </row>
    <row r="235">
      <c r="A235" s="105">
        <f>IF($J235="","",INDEX(EV_Date,$J235))</f>
        <v/>
      </c>
      <c r="B235" s="78">
        <f>IF($J235="","",INDEX(EV_Name,$J235))</f>
        <v/>
      </c>
      <c r="C235" s="106">
        <f>IF($J235="","",INDEX(EV_ID,$J235))</f>
        <v/>
      </c>
      <c r="D235" s="106">
        <f>IF($J235="","",INDEX(EV_Class,$J235))</f>
        <v/>
      </c>
      <c r="E235" s="106">
        <f>IF($J235="","",INDEX(EV_Type,$J235))</f>
        <v/>
      </c>
      <c r="F235" s="106">
        <f>IF($J235="","",INDEX(EV_Cum,$J235))</f>
        <v/>
      </c>
      <c r="G235" s="106">
        <f>IF($J235="","",INDEX(LevelLabels,MATCH(F235,LevelValues,1)))</f>
        <v/>
      </c>
      <c r="H235" s="106">
        <f>IF($J235="","",IFERROR(INDEX(Stu_ContactReq,MATCH(C235,Stu_ID,0)),""))</f>
        <v/>
      </c>
      <c r="I235" s="107">
        <f>IF($J235="","",IFERROR(INDEX(Stu_Notes,MATCH(C235,Stu_ID,0)),""))</f>
        <v/>
      </c>
      <c r="J235" s="40">
        <f>IF(230&gt;$B$3,"",IFERROR(MATCH(230-1,EV_Seq,1)+1,1))</f>
        <v/>
      </c>
    </row>
    <row r="236">
      <c r="A236" s="105">
        <f>IF($J236="","",INDEX(EV_Date,$J236))</f>
        <v/>
      </c>
      <c r="B236" s="78">
        <f>IF($J236="","",INDEX(EV_Name,$J236))</f>
        <v/>
      </c>
      <c r="C236" s="106">
        <f>IF($J236="","",INDEX(EV_ID,$J236))</f>
        <v/>
      </c>
      <c r="D236" s="106">
        <f>IF($J236="","",INDEX(EV_Class,$J236))</f>
        <v/>
      </c>
      <c r="E236" s="106">
        <f>IF($J236="","",INDEX(EV_Type,$J236))</f>
        <v/>
      </c>
      <c r="F236" s="106">
        <f>IF($J236="","",INDEX(EV_Cum,$J236))</f>
        <v/>
      </c>
      <c r="G236" s="106">
        <f>IF($J236="","",INDEX(LevelLabels,MATCH(F236,LevelValues,1)))</f>
        <v/>
      </c>
      <c r="H236" s="106">
        <f>IF($J236="","",IFERROR(INDEX(Stu_ContactReq,MATCH(C236,Stu_ID,0)),""))</f>
        <v/>
      </c>
      <c r="I236" s="107">
        <f>IF($J236="","",IFERROR(INDEX(Stu_Notes,MATCH(C236,Stu_ID,0)),""))</f>
        <v/>
      </c>
      <c r="J236" s="40">
        <f>IF(231&gt;$B$3,"",IFERROR(MATCH(231-1,EV_Seq,1)+1,1))</f>
        <v/>
      </c>
    </row>
    <row r="237">
      <c r="A237" s="105">
        <f>IF($J237="","",INDEX(EV_Date,$J237))</f>
        <v/>
      </c>
      <c r="B237" s="78">
        <f>IF($J237="","",INDEX(EV_Name,$J237))</f>
        <v/>
      </c>
      <c r="C237" s="106">
        <f>IF($J237="","",INDEX(EV_ID,$J237))</f>
        <v/>
      </c>
      <c r="D237" s="106">
        <f>IF($J237="","",INDEX(EV_Class,$J237))</f>
        <v/>
      </c>
      <c r="E237" s="106">
        <f>IF($J237="","",INDEX(EV_Type,$J237))</f>
        <v/>
      </c>
      <c r="F237" s="106">
        <f>IF($J237="","",INDEX(EV_Cum,$J237))</f>
        <v/>
      </c>
      <c r="G237" s="106">
        <f>IF($J237="","",INDEX(LevelLabels,MATCH(F237,LevelValues,1)))</f>
        <v/>
      </c>
      <c r="H237" s="106">
        <f>IF($J237="","",IFERROR(INDEX(Stu_ContactReq,MATCH(C237,Stu_ID,0)),""))</f>
        <v/>
      </c>
      <c r="I237" s="107">
        <f>IF($J237="","",IFERROR(INDEX(Stu_Notes,MATCH(C237,Stu_ID,0)),""))</f>
        <v/>
      </c>
      <c r="J237" s="40">
        <f>IF(232&gt;$B$3,"",IFERROR(MATCH(232-1,EV_Seq,1)+1,1))</f>
        <v/>
      </c>
    </row>
    <row r="238">
      <c r="A238" s="105">
        <f>IF($J238="","",INDEX(EV_Date,$J238))</f>
        <v/>
      </c>
      <c r="B238" s="78">
        <f>IF($J238="","",INDEX(EV_Name,$J238))</f>
        <v/>
      </c>
      <c r="C238" s="106">
        <f>IF($J238="","",INDEX(EV_ID,$J238))</f>
        <v/>
      </c>
      <c r="D238" s="106">
        <f>IF($J238="","",INDEX(EV_Class,$J238))</f>
        <v/>
      </c>
      <c r="E238" s="106">
        <f>IF($J238="","",INDEX(EV_Type,$J238))</f>
        <v/>
      </c>
      <c r="F238" s="106">
        <f>IF($J238="","",INDEX(EV_Cum,$J238))</f>
        <v/>
      </c>
      <c r="G238" s="106">
        <f>IF($J238="","",INDEX(LevelLabels,MATCH(F238,LevelValues,1)))</f>
        <v/>
      </c>
      <c r="H238" s="106">
        <f>IF($J238="","",IFERROR(INDEX(Stu_ContactReq,MATCH(C238,Stu_ID,0)),""))</f>
        <v/>
      </c>
      <c r="I238" s="107">
        <f>IF($J238="","",IFERROR(INDEX(Stu_Notes,MATCH(C238,Stu_ID,0)),""))</f>
        <v/>
      </c>
      <c r="J238" s="40">
        <f>IF(233&gt;$B$3,"",IFERROR(MATCH(233-1,EV_Seq,1)+1,1))</f>
        <v/>
      </c>
    </row>
    <row r="239">
      <c r="A239" s="105">
        <f>IF($J239="","",INDEX(EV_Date,$J239))</f>
        <v/>
      </c>
      <c r="B239" s="78">
        <f>IF($J239="","",INDEX(EV_Name,$J239))</f>
        <v/>
      </c>
      <c r="C239" s="106">
        <f>IF($J239="","",INDEX(EV_ID,$J239))</f>
        <v/>
      </c>
      <c r="D239" s="106">
        <f>IF($J239="","",INDEX(EV_Class,$J239))</f>
        <v/>
      </c>
      <c r="E239" s="106">
        <f>IF($J239="","",INDEX(EV_Type,$J239))</f>
        <v/>
      </c>
      <c r="F239" s="106">
        <f>IF($J239="","",INDEX(EV_Cum,$J239))</f>
        <v/>
      </c>
      <c r="G239" s="106">
        <f>IF($J239="","",INDEX(LevelLabels,MATCH(F239,LevelValues,1)))</f>
        <v/>
      </c>
      <c r="H239" s="106">
        <f>IF($J239="","",IFERROR(INDEX(Stu_ContactReq,MATCH(C239,Stu_ID,0)),""))</f>
        <v/>
      </c>
      <c r="I239" s="107">
        <f>IF($J239="","",IFERROR(INDEX(Stu_Notes,MATCH(C239,Stu_ID,0)),""))</f>
        <v/>
      </c>
      <c r="J239" s="40">
        <f>IF(234&gt;$B$3,"",IFERROR(MATCH(234-1,EV_Seq,1)+1,1))</f>
        <v/>
      </c>
    </row>
    <row r="240">
      <c r="A240" s="105">
        <f>IF($J240="","",INDEX(EV_Date,$J240))</f>
        <v/>
      </c>
      <c r="B240" s="78">
        <f>IF($J240="","",INDEX(EV_Name,$J240))</f>
        <v/>
      </c>
      <c r="C240" s="106">
        <f>IF($J240="","",INDEX(EV_ID,$J240))</f>
        <v/>
      </c>
      <c r="D240" s="106">
        <f>IF($J240="","",INDEX(EV_Class,$J240))</f>
        <v/>
      </c>
      <c r="E240" s="106">
        <f>IF($J240="","",INDEX(EV_Type,$J240))</f>
        <v/>
      </c>
      <c r="F240" s="106">
        <f>IF($J240="","",INDEX(EV_Cum,$J240))</f>
        <v/>
      </c>
      <c r="G240" s="106">
        <f>IF($J240="","",INDEX(LevelLabels,MATCH(F240,LevelValues,1)))</f>
        <v/>
      </c>
      <c r="H240" s="106">
        <f>IF($J240="","",IFERROR(INDEX(Stu_ContactReq,MATCH(C240,Stu_ID,0)),""))</f>
        <v/>
      </c>
      <c r="I240" s="107">
        <f>IF($J240="","",IFERROR(INDEX(Stu_Notes,MATCH(C240,Stu_ID,0)),""))</f>
        <v/>
      </c>
      <c r="J240" s="40">
        <f>IF(235&gt;$B$3,"",IFERROR(MATCH(235-1,EV_Seq,1)+1,1))</f>
        <v/>
      </c>
    </row>
    <row r="241">
      <c r="A241" s="105">
        <f>IF($J241="","",INDEX(EV_Date,$J241))</f>
        <v/>
      </c>
      <c r="B241" s="78">
        <f>IF($J241="","",INDEX(EV_Name,$J241))</f>
        <v/>
      </c>
      <c r="C241" s="106">
        <f>IF($J241="","",INDEX(EV_ID,$J241))</f>
        <v/>
      </c>
      <c r="D241" s="106">
        <f>IF($J241="","",INDEX(EV_Class,$J241))</f>
        <v/>
      </c>
      <c r="E241" s="106">
        <f>IF($J241="","",INDEX(EV_Type,$J241))</f>
        <v/>
      </c>
      <c r="F241" s="106">
        <f>IF($J241="","",INDEX(EV_Cum,$J241))</f>
        <v/>
      </c>
      <c r="G241" s="106">
        <f>IF($J241="","",INDEX(LevelLabels,MATCH(F241,LevelValues,1)))</f>
        <v/>
      </c>
      <c r="H241" s="106">
        <f>IF($J241="","",IFERROR(INDEX(Stu_ContactReq,MATCH(C241,Stu_ID,0)),""))</f>
        <v/>
      </c>
      <c r="I241" s="107">
        <f>IF($J241="","",IFERROR(INDEX(Stu_Notes,MATCH(C241,Stu_ID,0)),""))</f>
        <v/>
      </c>
      <c r="J241" s="40">
        <f>IF(236&gt;$B$3,"",IFERROR(MATCH(236-1,EV_Seq,1)+1,1))</f>
        <v/>
      </c>
    </row>
    <row r="242">
      <c r="A242" s="105">
        <f>IF($J242="","",INDEX(EV_Date,$J242))</f>
        <v/>
      </c>
      <c r="B242" s="78">
        <f>IF($J242="","",INDEX(EV_Name,$J242))</f>
        <v/>
      </c>
      <c r="C242" s="106">
        <f>IF($J242="","",INDEX(EV_ID,$J242))</f>
        <v/>
      </c>
      <c r="D242" s="106">
        <f>IF($J242="","",INDEX(EV_Class,$J242))</f>
        <v/>
      </c>
      <c r="E242" s="106">
        <f>IF($J242="","",INDEX(EV_Type,$J242))</f>
        <v/>
      </c>
      <c r="F242" s="106">
        <f>IF($J242="","",INDEX(EV_Cum,$J242))</f>
        <v/>
      </c>
      <c r="G242" s="106">
        <f>IF($J242="","",INDEX(LevelLabels,MATCH(F242,LevelValues,1)))</f>
        <v/>
      </c>
      <c r="H242" s="106">
        <f>IF($J242="","",IFERROR(INDEX(Stu_ContactReq,MATCH(C242,Stu_ID,0)),""))</f>
        <v/>
      </c>
      <c r="I242" s="107">
        <f>IF($J242="","",IFERROR(INDEX(Stu_Notes,MATCH(C242,Stu_ID,0)),""))</f>
        <v/>
      </c>
      <c r="J242" s="40">
        <f>IF(237&gt;$B$3,"",IFERROR(MATCH(237-1,EV_Seq,1)+1,1))</f>
        <v/>
      </c>
    </row>
    <row r="243">
      <c r="A243" s="105">
        <f>IF($J243="","",INDEX(EV_Date,$J243))</f>
        <v/>
      </c>
      <c r="B243" s="78">
        <f>IF($J243="","",INDEX(EV_Name,$J243))</f>
        <v/>
      </c>
      <c r="C243" s="106">
        <f>IF($J243="","",INDEX(EV_ID,$J243))</f>
        <v/>
      </c>
      <c r="D243" s="106">
        <f>IF($J243="","",INDEX(EV_Class,$J243))</f>
        <v/>
      </c>
      <c r="E243" s="106">
        <f>IF($J243="","",INDEX(EV_Type,$J243))</f>
        <v/>
      </c>
      <c r="F243" s="106">
        <f>IF($J243="","",INDEX(EV_Cum,$J243))</f>
        <v/>
      </c>
      <c r="G243" s="106">
        <f>IF($J243="","",INDEX(LevelLabels,MATCH(F243,LevelValues,1)))</f>
        <v/>
      </c>
      <c r="H243" s="106">
        <f>IF($J243="","",IFERROR(INDEX(Stu_ContactReq,MATCH(C243,Stu_ID,0)),""))</f>
        <v/>
      </c>
      <c r="I243" s="107">
        <f>IF($J243="","",IFERROR(INDEX(Stu_Notes,MATCH(C243,Stu_ID,0)),""))</f>
        <v/>
      </c>
      <c r="J243" s="40">
        <f>IF(238&gt;$B$3,"",IFERROR(MATCH(238-1,EV_Seq,1)+1,1))</f>
        <v/>
      </c>
    </row>
    <row r="244">
      <c r="A244" s="105">
        <f>IF($J244="","",INDEX(EV_Date,$J244))</f>
        <v/>
      </c>
      <c r="B244" s="78">
        <f>IF($J244="","",INDEX(EV_Name,$J244))</f>
        <v/>
      </c>
      <c r="C244" s="106">
        <f>IF($J244="","",INDEX(EV_ID,$J244))</f>
        <v/>
      </c>
      <c r="D244" s="106">
        <f>IF($J244="","",INDEX(EV_Class,$J244))</f>
        <v/>
      </c>
      <c r="E244" s="106">
        <f>IF($J244="","",INDEX(EV_Type,$J244))</f>
        <v/>
      </c>
      <c r="F244" s="106">
        <f>IF($J244="","",INDEX(EV_Cum,$J244))</f>
        <v/>
      </c>
      <c r="G244" s="106">
        <f>IF($J244="","",INDEX(LevelLabels,MATCH(F244,LevelValues,1)))</f>
        <v/>
      </c>
      <c r="H244" s="106">
        <f>IF($J244="","",IFERROR(INDEX(Stu_ContactReq,MATCH(C244,Stu_ID,0)),""))</f>
        <v/>
      </c>
      <c r="I244" s="107">
        <f>IF($J244="","",IFERROR(INDEX(Stu_Notes,MATCH(C244,Stu_ID,0)),""))</f>
        <v/>
      </c>
      <c r="J244" s="40">
        <f>IF(239&gt;$B$3,"",IFERROR(MATCH(239-1,EV_Seq,1)+1,1))</f>
        <v/>
      </c>
    </row>
    <row r="245">
      <c r="A245" s="105">
        <f>IF($J245="","",INDEX(EV_Date,$J245))</f>
        <v/>
      </c>
      <c r="B245" s="78">
        <f>IF($J245="","",INDEX(EV_Name,$J245))</f>
        <v/>
      </c>
      <c r="C245" s="106">
        <f>IF($J245="","",INDEX(EV_ID,$J245))</f>
        <v/>
      </c>
      <c r="D245" s="106">
        <f>IF($J245="","",INDEX(EV_Class,$J245))</f>
        <v/>
      </c>
      <c r="E245" s="106">
        <f>IF($J245="","",INDEX(EV_Type,$J245))</f>
        <v/>
      </c>
      <c r="F245" s="106">
        <f>IF($J245="","",INDEX(EV_Cum,$J245))</f>
        <v/>
      </c>
      <c r="G245" s="106">
        <f>IF($J245="","",INDEX(LevelLabels,MATCH(F245,LevelValues,1)))</f>
        <v/>
      </c>
      <c r="H245" s="106">
        <f>IF($J245="","",IFERROR(INDEX(Stu_ContactReq,MATCH(C245,Stu_ID,0)),""))</f>
        <v/>
      </c>
      <c r="I245" s="107">
        <f>IF($J245="","",IFERROR(INDEX(Stu_Notes,MATCH(C245,Stu_ID,0)),""))</f>
        <v/>
      </c>
      <c r="J245" s="40">
        <f>IF(240&gt;$B$3,"",IFERROR(MATCH(240-1,EV_Seq,1)+1,1))</f>
        <v/>
      </c>
    </row>
    <row r="246">
      <c r="A246" s="105">
        <f>IF($J246="","",INDEX(EV_Date,$J246))</f>
        <v/>
      </c>
      <c r="B246" s="78">
        <f>IF($J246="","",INDEX(EV_Name,$J246))</f>
        <v/>
      </c>
      <c r="C246" s="106">
        <f>IF($J246="","",INDEX(EV_ID,$J246))</f>
        <v/>
      </c>
      <c r="D246" s="106">
        <f>IF($J246="","",INDEX(EV_Class,$J246))</f>
        <v/>
      </c>
      <c r="E246" s="106">
        <f>IF($J246="","",INDEX(EV_Type,$J246))</f>
        <v/>
      </c>
      <c r="F246" s="106">
        <f>IF($J246="","",INDEX(EV_Cum,$J246))</f>
        <v/>
      </c>
      <c r="G246" s="106">
        <f>IF($J246="","",INDEX(LevelLabels,MATCH(F246,LevelValues,1)))</f>
        <v/>
      </c>
      <c r="H246" s="106">
        <f>IF($J246="","",IFERROR(INDEX(Stu_ContactReq,MATCH(C246,Stu_ID,0)),""))</f>
        <v/>
      </c>
      <c r="I246" s="107">
        <f>IF($J246="","",IFERROR(INDEX(Stu_Notes,MATCH(C246,Stu_ID,0)),""))</f>
        <v/>
      </c>
      <c r="J246" s="40">
        <f>IF(241&gt;$B$3,"",IFERROR(MATCH(241-1,EV_Seq,1)+1,1))</f>
        <v/>
      </c>
    </row>
    <row r="247">
      <c r="A247" s="105">
        <f>IF($J247="","",INDEX(EV_Date,$J247))</f>
        <v/>
      </c>
      <c r="B247" s="78">
        <f>IF($J247="","",INDEX(EV_Name,$J247))</f>
        <v/>
      </c>
      <c r="C247" s="106">
        <f>IF($J247="","",INDEX(EV_ID,$J247))</f>
        <v/>
      </c>
      <c r="D247" s="106">
        <f>IF($J247="","",INDEX(EV_Class,$J247))</f>
        <v/>
      </c>
      <c r="E247" s="106">
        <f>IF($J247="","",INDEX(EV_Type,$J247))</f>
        <v/>
      </c>
      <c r="F247" s="106">
        <f>IF($J247="","",INDEX(EV_Cum,$J247))</f>
        <v/>
      </c>
      <c r="G247" s="106">
        <f>IF($J247="","",INDEX(LevelLabels,MATCH(F247,LevelValues,1)))</f>
        <v/>
      </c>
      <c r="H247" s="106">
        <f>IF($J247="","",IFERROR(INDEX(Stu_ContactReq,MATCH(C247,Stu_ID,0)),""))</f>
        <v/>
      </c>
      <c r="I247" s="107">
        <f>IF($J247="","",IFERROR(INDEX(Stu_Notes,MATCH(C247,Stu_ID,0)),""))</f>
        <v/>
      </c>
      <c r="J247" s="40">
        <f>IF(242&gt;$B$3,"",IFERROR(MATCH(242-1,EV_Seq,1)+1,1))</f>
        <v/>
      </c>
    </row>
    <row r="248">
      <c r="A248" s="105">
        <f>IF($J248="","",INDEX(EV_Date,$J248))</f>
        <v/>
      </c>
      <c r="B248" s="78">
        <f>IF($J248="","",INDEX(EV_Name,$J248))</f>
        <v/>
      </c>
      <c r="C248" s="106">
        <f>IF($J248="","",INDEX(EV_ID,$J248))</f>
        <v/>
      </c>
      <c r="D248" s="106">
        <f>IF($J248="","",INDEX(EV_Class,$J248))</f>
        <v/>
      </c>
      <c r="E248" s="106">
        <f>IF($J248="","",INDEX(EV_Type,$J248))</f>
        <v/>
      </c>
      <c r="F248" s="106">
        <f>IF($J248="","",INDEX(EV_Cum,$J248))</f>
        <v/>
      </c>
      <c r="G248" s="106">
        <f>IF($J248="","",INDEX(LevelLabels,MATCH(F248,LevelValues,1)))</f>
        <v/>
      </c>
      <c r="H248" s="106">
        <f>IF($J248="","",IFERROR(INDEX(Stu_ContactReq,MATCH(C248,Stu_ID,0)),""))</f>
        <v/>
      </c>
      <c r="I248" s="107">
        <f>IF($J248="","",IFERROR(INDEX(Stu_Notes,MATCH(C248,Stu_ID,0)),""))</f>
        <v/>
      </c>
      <c r="J248" s="40">
        <f>IF(243&gt;$B$3,"",IFERROR(MATCH(243-1,EV_Seq,1)+1,1))</f>
        <v/>
      </c>
    </row>
    <row r="249">
      <c r="A249" s="105">
        <f>IF($J249="","",INDEX(EV_Date,$J249))</f>
        <v/>
      </c>
      <c r="B249" s="78">
        <f>IF($J249="","",INDEX(EV_Name,$J249))</f>
        <v/>
      </c>
      <c r="C249" s="106">
        <f>IF($J249="","",INDEX(EV_ID,$J249))</f>
        <v/>
      </c>
      <c r="D249" s="106">
        <f>IF($J249="","",INDEX(EV_Class,$J249))</f>
        <v/>
      </c>
      <c r="E249" s="106">
        <f>IF($J249="","",INDEX(EV_Type,$J249))</f>
        <v/>
      </c>
      <c r="F249" s="106">
        <f>IF($J249="","",INDEX(EV_Cum,$J249))</f>
        <v/>
      </c>
      <c r="G249" s="106">
        <f>IF($J249="","",INDEX(LevelLabels,MATCH(F249,LevelValues,1)))</f>
        <v/>
      </c>
      <c r="H249" s="106">
        <f>IF($J249="","",IFERROR(INDEX(Stu_ContactReq,MATCH(C249,Stu_ID,0)),""))</f>
        <v/>
      </c>
      <c r="I249" s="107">
        <f>IF($J249="","",IFERROR(INDEX(Stu_Notes,MATCH(C249,Stu_ID,0)),""))</f>
        <v/>
      </c>
      <c r="J249" s="40">
        <f>IF(244&gt;$B$3,"",IFERROR(MATCH(244-1,EV_Seq,1)+1,1))</f>
        <v/>
      </c>
    </row>
    <row r="250">
      <c r="A250" s="105">
        <f>IF($J250="","",INDEX(EV_Date,$J250))</f>
        <v/>
      </c>
      <c r="B250" s="78">
        <f>IF($J250="","",INDEX(EV_Name,$J250))</f>
        <v/>
      </c>
      <c r="C250" s="106">
        <f>IF($J250="","",INDEX(EV_ID,$J250))</f>
        <v/>
      </c>
      <c r="D250" s="106">
        <f>IF($J250="","",INDEX(EV_Class,$J250))</f>
        <v/>
      </c>
      <c r="E250" s="106">
        <f>IF($J250="","",INDEX(EV_Type,$J250))</f>
        <v/>
      </c>
      <c r="F250" s="106">
        <f>IF($J250="","",INDEX(EV_Cum,$J250))</f>
        <v/>
      </c>
      <c r="G250" s="106">
        <f>IF($J250="","",INDEX(LevelLabels,MATCH(F250,LevelValues,1)))</f>
        <v/>
      </c>
      <c r="H250" s="106">
        <f>IF($J250="","",IFERROR(INDEX(Stu_ContactReq,MATCH(C250,Stu_ID,0)),""))</f>
        <v/>
      </c>
      <c r="I250" s="107">
        <f>IF($J250="","",IFERROR(INDEX(Stu_Notes,MATCH(C250,Stu_ID,0)),""))</f>
        <v/>
      </c>
      <c r="J250" s="40">
        <f>IF(245&gt;$B$3,"",IFERROR(MATCH(245-1,EV_Seq,1)+1,1))</f>
        <v/>
      </c>
    </row>
    <row r="251">
      <c r="A251" s="105">
        <f>IF($J251="","",INDEX(EV_Date,$J251))</f>
        <v/>
      </c>
      <c r="B251" s="78">
        <f>IF($J251="","",INDEX(EV_Name,$J251))</f>
        <v/>
      </c>
      <c r="C251" s="106">
        <f>IF($J251="","",INDEX(EV_ID,$J251))</f>
        <v/>
      </c>
      <c r="D251" s="106">
        <f>IF($J251="","",INDEX(EV_Class,$J251))</f>
        <v/>
      </c>
      <c r="E251" s="106">
        <f>IF($J251="","",INDEX(EV_Type,$J251))</f>
        <v/>
      </c>
      <c r="F251" s="106">
        <f>IF($J251="","",INDEX(EV_Cum,$J251))</f>
        <v/>
      </c>
      <c r="G251" s="106">
        <f>IF($J251="","",INDEX(LevelLabels,MATCH(F251,LevelValues,1)))</f>
        <v/>
      </c>
      <c r="H251" s="106">
        <f>IF($J251="","",IFERROR(INDEX(Stu_ContactReq,MATCH(C251,Stu_ID,0)),""))</f>
        <v/>
      </c>
      <c r="I251" s="107">
        <f>IF($J251="","",IFERROR(INDEX(Stu_Notes,MATCH(C251,Stu_ID,0)),""))</f>
        <v/>
      </c>
      <c r="J251" s="40">
        <f>IF(246&gt;$B$3,"",IFERROR(MATCH(246-1,EV_Seq,1)+1,1))</f>
        <v/>
      </c>
    </row>
    <row r="252">
      <c r="A252" s="105">
        <f>IF($J252="","",INDEX(EV_Date,$J252))</f>
        <v/>
      </c>
      <c r="B252" s="78">
        <f>IF($J252="","",INDEX(EV_Name,$J252))</f>
        <v/>
      </c>
      <c r="C252" s="106">
        <f>IF($J252="","",INDEX(EV_ID,$J252))</f>
        <v/>
      </c>
      <c r="D252" s="106">
        <f>IF($J252="","",INDEX(EV_Class,$J252))</f>
        <v/>
      </c>
      <c r="E252" s="106">
        <f>IF($J252="","",INDEX(EV_Type,$J252))</f>
        <v/>
      </c>
      <c r="F252" s="106">
        <f>IF($J252="","",INDEX(EV_Cum,$J252))</f>
        <v/>
      </c>
      <c r="G252" s="106">
        <f>IF($J252="","",INDEX(LevelLabels,MATCH(F252,LevelValues,1)))</f>
        <v/>
      </c>
      <c r="H252" s="106">
        <f>IF($J252="","",IFERROR(INDEX(Stu_ContactReq,MATCH(C252,Stu_ID,0)),""))</f>
        <v/>
      </c>
      <c r="I252" s="107">
        <f>IF($J252="","",IFERROR(INDEX(Stu_Notes,MATCH(C252,Stu_ID,0)),""))</f>
        <v/>
      </c>
      <c r="J252" s="40">
        <f>IF(247&gt;$B$3,"",IFERROR(MATCH(247-1,EV_Seq,1)+1,1))</f>
        <v/>
      </c>
    </row>
    <row r="253">
      <c r="A253" s="105">
        <f>IF($J253="","",INDEX(EV_Date,$J253))</f>
        <v/>
      </c>
      <c r="B253" s="78">
        <f>IF($J253="","",INDEX(EV_Name,$J253))</f>
        <v/>
      </c>
      <c r="C253" s="106">
        <f>IF($J253="","",INDEX(EV_ID,$J253))</f>
        <v/>
      </c>
      <c r="D253" s="106">
        <f>IF($J253="","",INDEX(EV_Class,$J253))</f>
        <v/>
      </c>
      <c r="E253" s="106">
        <f>IF($J253="","",INDEX(EV_Type,$J253))</f>
        <v/>
      </c>
      <c r="F253" s="106">
        <f>IF($J253="","",INDEX(EV_Cum,$J253))</f>
        <v/>
      </c>
      <c r="G253" s="106">
        <f>IF($J253="","",INDEX(LevelLabels,MATCH(F253,LevelValues,1)))</f>
        <v/>
      </c>
      <c r="H253" s="106">
        <f>IF($J253="","",IFERROR(INDEX(Stu_ContactReq,MATCH(C253,Stu_ID,0)),""))</f>
        <v/>
      </c>
      <c r="I253" s="107">
        <f>IF($J253="","",IFERROR(INDEX(Stu_Notes,MATCH(C253,Stu_ID,0)),""))</f>
        <v/>
      </c>
      <c r="J253" s="40">
        <f>IF(248&gt;$B$3,"",IFERROR(MATCH(248-1,EV_Seq,1)+1,1))</f>
        <v/>
      </c>
    </row>
    <row r="254">
      <c r="A254" s="105">
        <f>IF($J254="","",INDEX(EV_Date,$J254))</f>
        <v/>
      </c>
      <c r="B254" s="78">
        <f>IF($J254="","",INDEX(EV_Name,$J254))</f>
        <v/>
      </c>
      <c r="C254" s="106">
        <f>IF($J254="","",INDEX(EV_ID,$J254))</f>
        <v/>
      </c>
      <c r="D254" s="106">
        <f>IF($J254="","",INDEX(EV_Class,$J254))</f>
        <v/>
      </c>
      <c r="E254" s="106">
        <f>IF($J254="","",INDEX(EV_Type,$J254))</f>
        <v/>
      </c>
      <c r="F254" s="106">
        <f>IF($J254="","",INDEX(EV_Cum,$J254))</f>
        <v/>
      </c>
      <c r="G254" s="106">
        <f>IF($J254="","",INDEX(LevelLabels,MATCH(F254,LevelValues,1)))</f>
        <v/>
      </c>
      <c r="H254" s="106">
        <f>IF($J254="","",IFERROR(INDEX(Stu_ContactReq,MATCH(C254,Stu_ID,0)),""))</f>
        <v/>
      </c>
      <c r="I254" s="107">
        <f>IF($J254="","",IFERROR(INDEX(Stu_Notes,MATCH(C254,Stu_ID,0)),""))</f>
        <v/>
      </c>
      <c r="J254" s="40">
        <f>IF(249&gt;$B$3,"",IFERROR(MATCH(249-1,EV_Seq,1)+1,1))</f>
        <v/>
      </c>
    </row>
    <row r="255">
      <c r="A255" s="105">
        <f>IF($J255="","",INDEX(EV_Date,$J255))</f>
        <v/>
      </c>
      <c r="B255" s="78">
        <f>IF($J255="","",INDEX(EV_Name,$J255))</f>
        <v/>
      </c>
      <c r="C255" s="106">
        <f>IF($J255="","",INDEX(EV_ID,$J255))</f>
        <v/>
      </c>
      <c r="D255" s="106">
        <f>IF($J255="","",INDEX(EV_Class,$J255))</f>
        <v/>
      </c>
      <c r="E255" s="106">
        <f>IF($J255="","",INDEX(EV_Type,$J255))</f>
        <v/>
      </c>
      <c r="F255" s="106">
        <f>IF($J255="","",INDEX(EV_Cum,$J255))</f>
        <v/>
      </c>
      <c r="G255" s="106">
        <f>IF($J255="","",INDEX(LevelLabels,MATCH(F255,LevelValues,1)))</f>
        <v/>
      </c>
      <c r="H255" s="106">
        <f>IF($J255="","",IFERROR(INDEX(Stu_ContactReq,MATCH(C255,Stu_ID,0)),""))</f>
        <v/>
      </c>
      <c r="I255" s="107">
        <f>IF($J255="","",IFERROR(INDEX(Stu_Notes,MATCH(C255,Stu_ID,0)),""))</f>
        <v/>
      </c>
      <c r="J255" s="40">
        <f>IF(250&gt;$B$3,"",IFERROR(MATCH(250-1,EV_Seq,1)+1,1))</f>
        <v/>
      </c>
    </row>
    <row r="256">
      <c r="A256" s="105">
        <f>IF($J256="","",INDEX(EV_Date,$J256))</f>
        <v/>
      </c>
      <c r="B256" s="78">
        <f>IF($J256="","",INDEX(EV_Name,$J256))</f>
        <v/>
      </c>
      <c r="C256" s="106">
        <f>IF($J256="","",INDEX(EV_ID,$J256))</f>
        <v/>
      </c>
      <c r="D256" s="106">
        <f>IF($J256="","",INDEX(EV_Class,$J256))</f>
        <v/>
      </c>
      <c r="E256" s="106">
        <f>IF($J256="","",INDEX(EV_Type,$J256))</f>
        <v/>
      </c>
      <c r="F256" s="106">
        <f>IF($J256="","",INDEX(EV_Cum,$J256))</f>
        <v/>
      </c>
      <c r="G256" s="106">
        <f>IF($J256="","",INDEX(LevelLabels,MATCH(F256,LevelValues,1)))</f>
        <v/>
      </c>
      <c r="H256" s="106">
        <f>IF($J256="","",IFERROR(INDEX(Stu_ContactReq,MATCH(C256,Stu_ID,0)),""))</f>
        <v/>
      </c>
      <c r="I256" s="107">
        <f>IF($J256="","",IFERROR(INDEX(Stu_Notes,MATCH(C256,Stu_ID,0)),""))</f>
        <v/>
      </c>
      <c r="J256" s="40">
        <f>IF(251&gt;$B$3,"",IFERROR(MATCH(251-1,EV_Seq,1)+1,1))</f>
        <v/>
      </c>
    </row>
    <row r="257">
      <c r="A257" s="105">
        <f>IF($J257="","",INDEX(EV_Date,$J257))</f>
        <v/>
      </c>
      <c r="B257" s="78">
        <f>IF($J257="","",INDEX(EV_Name,$J257))</f>
        <v/>
      </c>
      <c r="C257" s="106">
        <f>IF($J257="","",INDEX(EV_ID,$J257))</f>
        <v/>
      </c>
      <c r="D257" s="106">
        <f>IF($J257="","",INDEX(EV_Class,$J257))</f>
        <v/>
      </c>
      <c r="E257" s="106">
        <f>IF($J257="","",INDEX(EV_Type,$J257))</f>
        <v/>
      </c>
      <c r="F257" s="106">
        <f>IF($J257="","",INDEX(EV_Cum,$J257))</f>
        <v/>
      </c>
      <c r="G257" s="106">
        <f>IF($J257="","",INDEX(LevelLabels,MATCH(F257,LevelValues,1)))</f>
        <v/>
      </c>
      <c r="H257" s="106">
        <f>IF($J257="","",IFERROR(INDEX(Stu_ContactReq,MATCH(C257,Stu_ID,0)),""))</f>
        <v/>
      </c>
      <c r="I257" s="107">
        <f>IF($J257="","",IFERROR(INDEX(Stu_Notes,MATCH(C257,Stu_ID,0)),""))</f>
        <v/>
      </c>
      <c r="J257" s="40">
        <f>IF(252&gt;$B$3,"",IFERROR(MATCH(252-1,EV_Seq,1)+1,1))</f>
        <v/>
      </c>
    </row>
    <row r="258">
      <c r="A258" s="105">
        <f>IF($J258="","",INDEX(EV_Date,$J258))</f>
        <v/>
      </c>
      <c r="B258" s="78">
        <f>IF($J258="","",INDEX(EV_Name,$J258))</f>
        <v/>
      </c>
      <c r="C258" s="106">
        <f>IF($J258="","",INDEX(EV_ID,$J258))</f>
        <v/>
      </c>
      <c r="D258" s="106">
        <f>IF($J258="","",INDEX(EV_Class,$J258))</f>
        <v/>
      </c>
      <c r="E258" s="106">
        <f>IF($J258="","",INDEX(EV_Type,$J258))</f>
        <v/>
      </c>
      <c r="F258" s="106">
        <f>IF($J258="","",INDEX(EV_Cum,$J258))</f>
        <v/>
      </c>
      <c r="G258" s="106">
        <f>IF($J258="","",INDEX(LevelLabels,MATCH(F258,LevelValues,1)))</f>
        <v/>
      </c>
      <c r="H258" s="106">
        <f>IF($J258="","",IFERROR(INDEX(Stu_ContactReq,MATCH(C258,Stu_ID,0)),""))</f>
        <v/>
      </c>
      <c r="I258" s="107">
        <f>IF($J258="","",IFERROR(INDEX(Stu_Notes,MATCH(C258,Stu_ID,0)),""))</f>
        <v/>
      </c>
      <c r="J258" s="40">
        <f>IF(253&gt;$B$3,"",IFERROR(MATCH(253-1,EV_Seq,1)+1,1))</f>
        <v/>
      </c>
    </row>
    <row r="259">
      <c r="A259" s="105">
        <f>IF($J259="","",INDEX(EV_Date,$J259))</f>
        <v/>
      </c>
      <c r="B259" s="78">
        <f>IF($J259="","",INDEX(EV_Name,$J259))</f>
        <v/>
      </c>
      <c r="C259" s="106">
        <f>IF($J259="","",INDEX(EV_ID,$J259))</f>
        <v/>
      </c>
      <c r="D259" s="106">
        <f>IF($J259="","",INDEX(EV_Class,$J259))</f>
        <v/>
      </c>
      <c r="E259" s="106">
        <f>IF($J259="","",INDEX(EV_Type,$J259))</f>
        <v/>
      </c>
      <c r="F259" s="106">
        <f>IF($J259="","",INDEX(EV_Cum,$J259))</f>
        <v/>
      </c>
      <c r="G259" s="106">
        <f>IF($J259="","",INDEX(LevelLabels,MATCH(F259,LevelValues,1)))</f>
        <v/>
      </c>
      <c r="H259" s="106">
        <f>IF($J259="","",IFERROR(INDEX(Stu_ContactReq,MATCH(C259,Stu_ID,0)),""))</f>
        <v/>
      </c>
      <c r="I259" s="107">
        <f>IF($J259="","",IFERROR(INDEX(Stu_Notes,MATCH(C259,Stu_ID,0)),""))</f>
        <v/>
      </c>
      <c r="J259" s="40">
        <f>IF(254&gt;$B$3,"",IFERROR(MATCH(254-1,EV_Seq,1)+1,1))</f>
        <v/>
      </c>
    </row>
    <row r="260">
      <c r="A260" s="105">
        <f>IF($J260="","",INDEX(EV_Date,$J260))</f>
        <v/>
      </c>
      <c r="B260" s="78">
        <f>IF($J260="","",INDEX(EV_Name,$J260))</f>
        <v/>
      </c>
      <c r="C260" s="106">
        <f>IF($J260="","",INDEX(EV_ID,$J260))</f>
        <v/>
      </c>
      <c r="D260" s="106">
        <f>IF($J260="","",INDEX(EV_Class,$J260))</f>
        <v/>
      </c>
      <c r="E260" s="106">
        <f>IF($J260="","",INDEX(EV_Type,$J260))</f>
        <v/>
      </c>
      <c r="F260" s="106">
        <f>IF($J260="","",INDEX(EV_Cum,$J260))</f>
        <v/>
      </c>
      <c r="G260" s="106">
        <f>IF($J260="","",INDEX(LevelLabels,MATCH(F260,LevelValues,1)))</f>
        <v/>
      </c>
      <c r="H260" s="106">
        <f>IF($J260="","",IFERROR(INDEX(Stu_ContactReq,MATCH(C260,Stu_ID,0)),""))</f>
        <v/>
      </c>
      <c r="I260" s="107">
        <f>IF($J260="","",IFERROR(INDEX(Stu_Notes,MATCH(C260,Stu_ID,0)),""))</f>
        <v/>
      </c>
      <c r="J260" s="40">
        <f>IF(255&gt;$B$3,"",IFERROR(MATCH(255-1,EV_Seq,1)+1,1))</f>
        <v/>
      </c>
    </row>
    <row r="261">
      <c r="A261" s="105">
        <f>IF($J261="","",INDEX(EV_Date,$J261))</f>
        <v/>
      </c>
      <c r="B261" s="78">
        <f>IF($J261="","",INDEX(EV_Name,$J261))</f>
        <v/>
      </c>
      <c r="C261" s="106">
        <f>IF($J261="","",INDEX(EV_ID,$J261))</f>
        <v/>
      </c>
      <c r="D261" s="106">
        <f>IF($J261="","",INDEX(EV_Class,$J261))</f>
        <v/>
      </c>
      <c r="E261" s="106">
        <f>IF($J261="","",INDEX(EV_Type,$J261))</f>
        <v/>
      </c>
      <c r="F261" s="106">
        <f>IF($J261="","",INDEX(EV_Cum,$J261))</f>
        <v/>
      </c>
      <c r="G261" s="106">
        <f>IF($J261="","",INDEX(LevelLabels,MATCH(F261,LevelValues,1)))</f>
        <v/>
      </c>
      <c r="H261" s="106">
        <f>IF($J261="","",IFERROR(INDEX(Stu_ContactReq,MATCH(C261,Stu_ID,0)),""))</f>
        <v/>
      </c>
      <c r="I261" s="107">
        <f>IF($J261="","",IFERROR(INDEX(Stu_Notes,MATCH(C261,Stu_ID,0)),""))</f>
        <v/>
      </c>
      <c r="J261" s="40">
        <f>IF(256&gt;$B$3,"",IFERROR(MATCH(256-1,EV_Seq,1)+1,1))</f>
        <v/>
      </c>
    </row>
    <row r="262">
      <c r="A262" s="105">
        <f>IF($J262="","",INDEX(EV_Date,$J262))</f>
        <v/>
      </c>
      <c r="B262" s="78">
        <f>IF($J262="","",INDEX(EV_Name,$J262))</f>
        <v/>
      </c>
      <c r="C262" s="106">
        <f>IF($J262="","",INDEX(EV_ID,$J262))</f>
        <v/>
      </c>
      <c r="D262" s="106">
        <f>IF($J262="","",INDEX(EV_Class,$J262))</f>
        <v/>
      </c>
      <c r="E262" s="106">
        <f>IF($J262="","",INDEX(EV_Type,$J262))</f>
        <v/>
      </c>
      <c r="F262" s="106">
        <f>IF($J262="","",INDEX(EV_Cum,$J262))</f>
        <v/>
      </c>
      <c r="G262" s="106">
        <f>IF($J262="","",INDEX(LevelLabels,MATCH(F262,LevelValues,1)))</f>
        <v/>
      </c>
      <c r="H262" s="106">
        <f>IF($J262="","",IFERROR(INDEX(Stu_ContactReq,MATCH(C262,Stu_ID,0)),""))</f>
        <v/>
      </c>
      <c r="I262" s="107">
        <f>IF($J262="","",IFERROR(INDEX(Stu_Notes,MATCH(C262,Stu_ID,0)),""))</f>
        <v/>
      </c>
      <c r="J262" s="40">
        <f>IF(257&gt;$B$3,"",IFERROR(MATCH(257-1,EV_Seq,1)+1,1))</f>
        <v/>
      </c>
    </row>
    <row r="263">
      <c r="A263" s="105">
        <f>IF($J263="","",INDEX(EV_Date,$J263))</f>
        <v/>
      </c>
      <c r="B263" s="78">
        <f>IF($J263="","",INDEX(EV_Name,$J263))</f>
        <v/>
      </c>
      <c r="C263" s="106">
        <f>IF($J263="","",INDEX(EV_ID,$J263))</f>
        <v/>
      </c>
      <c r="D263" s="106">
        <f>IF($J263="","",INDEX(EV_Class,$J263))</f>
        <v/>
      </c>
      <c r="E263" s="106">
        <f>IF($J263="","",INDEX(EV_Type,$J263))</f>
        <v/>
      </c>
      <c r="F263" s="106">
        <f>IF($J263="","",INDEX(EV_Cum,$J263))</f>
        <v/>
      </c>
      <c r="G263" s="106">
        <f>IF($J263="","",INDEX(LevelLabels,MATCH(F263,LevelValues,1)))</f>
        <v/>
      </c>
      <c r="H263" s="106">
        <f>IF($J263="","",IFERROR(INDEX(Stu_ContactReq,MATCH(C263,Stu_ID,0)),""))</f>
        <v/>
      </c>
      <c r="I263" s="107">
        <f>IF($J263="","",IFERROR(INDEX(Stu_Notes,MATCH(C263,Stu_ID,0)),""))</f>
        <v/>
      </c>
      <c r="J263" s="40">
        <f>IF(258&gt;$B$3,"",IFERROR(MATCH(258-1,EV_Seq,1)+1,1))</f>
        <v/>
      </c>
    </row>
    <row r="264">
      <c r="A264" s="105">
        <f>IF($J264="","",INDEX(EV_Date,$J264))</f>
        <v/>
      </c>
      <c r="B264" s="78">
        <f>IF($J264="","",INDEX(EV_Name,$J264))</f>
        <v/>
      </c>
      <c r="C264" s="106">
        <f>IF($J264="","",INDEX(EV_ID,$J264))</f>
        <v/>
      </c>
      <c r="D264" s="106">
        <f>IF($J264="","",INDEX(EV_Class,$J264))</f>
        <v/>
      </c>
      <c r="E264" s="106">
        <f>IF($J264="","",INDEX(EV_Type,$J264))</f>
        <v/>
      </c>
      <c r="F264" s="106">
        <f>IF($J264="","",INDEX(EV_Cum,$J264))</f>
        <v/>
      </c>
      <c r="G264" s="106">
        <f>IF($J264="","",INDEX(LevelLabels,MATCH(F264,LevelValues,1)))</f>
        <v/>
      </c>
      <c r="H264" s="106">
        <f>IF($J264="","",IFERROR(INDEX(Stu_ContactReq,MATCH(C264,Stu_ID,0)),""))</f>
        <v/>
      </c>
      <c r="I264" s="107">
        <f>IF($J264="","",IFERROR(INDEX(Stu_Notes,MATCH(C264,Stu_ID,0)),""))</f>
        <v/>
      </c>
      <c r="J264" s="40">
        <f>IF(259&gt;$B$3,"",IFERROR(MATCH(259-1,EV_Seq,1)+1,1))</f>
        <v/>
      </c>
    </row>
    <row r="265">
      <c r="A265" s="105">
        <f>IF($J265="","",INDEX(EV_Date,$J265))</f>
        <v/>
      </c>
      <c r="B265" s="78">
        <f>IF($J265="","",INDEX(EV_Name,$J265))</f>
        <v/>
      </c>
      <c r="C265" s="106">
        <f>IF($J265="","",INDEX(EV_ID,$J265))</f>
        <v/>
      </c>
      <c r="D265" s="106">
        <f>IF($J265="","",INDEX(EV_Class,$J265))</f>
        <v/>
      </c>
      <c r="E265" s="106">
        <f>IF($J265="","",INDEX(EV_Type,$J265))</f>
        <v/>
      </c>
      <c r="F265" s="106">
        <f>IF($J265="","",INDEX(EV_Cum,$J265))</f>
        <v/>
      </c>
      <c r="G265" s="106">
        <f>IF($J265="","",INDEX(LevelLabels,MATCH(F265,LevelValues,1)))</f>
        <v/>
      </c>
      <c r="H265" s="106">
        <f>IF($J265="","",IFERROR(INDEX(Stu_ContactReq,MATCH(C265,Stu_ID,0)),""))</f>
        <v/>
      </c>
      <c r="I265" s="107">
        <f>IF($J265="","",IFERROR(INDEX(Stu_Notes,MATCH(C265,Stu_ID,0)),""))</f>
        <v/>
      </c>
      <c r="J265" s="40">
        <f>IF(260&gt;$B$3,"",IFERROR(MATCH(260-1,EV_Seq,1)+1,1))</f>
        <v/>
      </c>
    </row>
    <row r="266">
      <c r="A266" s="105">
        <f>IF($J266="","",INDEX(EV_Date,$J266))</f>
        <v/>
      </c>
      <c r="B266" s="78">
        <f>IF($J266="","",INDEX(EV_Name,$J266))</f>
        <v/>
      </c>
      <c r="C266" s="106">
        <f>IF($J266="","",INDEX(EV_ID,$J266))</f>
        <v/>
      </c>
      <c r="D266" s="106">
        <f>IF($J266="","",INDEX(EV_Class,$J266))</f>
        <v/>
      </c>
      <c r="E266" s="106">
        <f>IF($J266="","",INDEX(EV_Type,$J266))</f>
        <v/>
      </c>
      <c r="F266" s="106">
        <f>IF($J266="","",INDEX(EV_Cum,$J266))</f>
        <v/>
      </c>
      <c r="G266" s="106">
        <f>IF($J266="","",INDEX(LevelLabels,MATCH(F266,LevelValues,1)))</f>
        <v/>
      </c>
      <c r="H266" s="106">
        <f>IF($J266="","",IFERROR(INDEX(Stu_ContactReq,MATCH(C266,Stu_ID,0)),""))</f>
        <v/>
      </c>
      <c r="I266" s="107">
        <f>IF($J266="","",IFERROR(INDEX(Stu_Notes,MATCH(C266,Stu_ID,0)),""))</f>
        <v/>
      </c>
      <c r="J266" s="40">
        <f>IF(261&gt;$B$3,"",IFERROR(MATCH(261-1,EV_Seq,1)+1,1))</f>
        <v/>
      </c>
    </row>
    <row r="267">
      <c r="A267" s="105">
        <f>IF($J267="","",INDEX(EV_Date,$J267))</f>
        <v/>
      </c>
      <c r="B267" s="78">
        <f>IF($J267="","",INDEX(EV_Name,$J267))</f>
        <v/>
      </c>
      <c r="C267" s="106">
        <f>IF($J267="","",INDEX(EV_ID,$J267))</f>
        <v/>
      </c>
      <c r="D267" s="106">
        <f>IF($J267="","",INDEX(EV_Class,$J267))</f>
        <v/>
      </c>
      <c r="E267" s="106">
        <f>IF($J267="","",INDEX(EV_Type,$J267))</f>
        <v/>
      </c>
      <c r="F267" s="106">
        <f>IF($J267="","",INDEX(EV_Cum,$J267))</f>
        <v/>
      </c>
      <c r="G267" s="106">
        <f>IF($J267="","",INDEX(LevelLabels,MATCH(F267,LevelValues,1)))</f>
        <v/>
      </c>
      <c r="H267" s="106">
        <f>IF($J267="","",IFERROR(INDEX(Stu_ContactReq,MATCH(C267,Stu_ID,0)),""))</f>
        <v/>
      </c>
      <c r="I267" s="107">
        <f>IF($J267="","",IFERROR(INDEX(Stu_Notes,MATCH(C267,Stu_ID,0)),""))</f>
        <v/>
      </c>
      <c r="J267" s="40">
        <f>IF(262&gt;$B$3,"",IFERROR(MATCH(262-1,EV_Seq,1)+1,1))</f>
        <v/>
      </c>
    </row>
    <row r="268">
      <c r="A268" s="105">
        <f>IF($J268="","",INDEX(EV_Date,$J268))</f>
        <v/>
      </c>
      <c r="B268" s="78">
        <f>IF($J268="","",INDEX(EV_Name,$J268))</f>
        <v/>
      </c>
      <c r="C268" s="106">
        <f>IF($J268="","",INDEX(EV_ID,$J268))</f>
        <v/>
      </c>
      <c r="D268" s="106">
        <f>IF($J268="","",INDEX(EV_Class,$J268))</f>
        <v/>
      </c>
      <c r="E268" s="106">
        <f>IF($J268="","",INDEX(EV_Type,$J268))</f>
        <v/>
      </c>
      <c r="F268" s="106">
        <f>IF($J268="","",INDEX(EV_Cum,$J268))</f>
        <v/>
      </c>
      <c r="G268" s="106">
        <f>IF($J268="","",INDEX(LevelLabels,MATCH(F268,LevelValues,1)))</f>
        <v/>
      </c>
      <c r="H268" s="106">
        <f>IF($J268="","",IFERROR(INDEX(Stu_ContactReq,MATCH(C268,Stu_ID,0)),""))</f>
        <v/>
      </c>
      <c r="I268" s="107">
        <f>IF($J268="","",IFERROR(INDEX(Stu_Notes,MATCH(C268,Stu_ID,0)),""))</f>
        <v/>
      </c>
      <c r="J268" s="40">
        <f>IF(263&gt;$B$3,"",IFERROR(MATCH(263-1,EV_Seq,1)+1,1))</f>
        <v/>
      </c>
    </row>
    <row r="269">
      <c r="A269" s="105">
        <f>IF($J269="","",INDEX(EV_Date,$J269))</f>
        <v/>
      </c>
      <c r="B269" s="78">
        <f>IF($J269="","",INDEX(EV_Name,$J269))</f>
        <v/>
      </c>
      <c r="C269" s="106">
        <f>IF($J269="","",INDEX(EV_ID,$J269))</f>
        <v/>
      </c>
      <c r="D269" s="106">
        <f>IF($J269="","",INDEX(EV_Class,$J269))</f>
        <v/>
      </c>
      <c r="E269" s="106">
        <f>IF($J269="","",INDEX(EV_Type,$J269))</f>
        <v/>
      </c>
      <c r="F269" s="106">
        <f>IF($J269="","",INDEX(EV_Cum,$J269))</f>
        <v/>
      </c>
      <c r="G269" s="106">
        <f>IF($J269="","",INDEX(LevelLabels,MATCH(F269,LevelValues,1)))</f>
        <v/>
      </c>
      <c r="H269" s="106">
        <f>IF($J269="","",IFERROR(INDEX(Stu_ContactReq,MATCH(C269,Stu_ID,0)),""))</f>
        <v/>
      </c>
      <c r="I269" s="107">
        <f>IF($J269="","",IFERROR(INDEX(Stu_Notes,MATCH(C269,Stu_ID,0)),""))</f>
        <v/>
      </c>
      <c r="J269" s="40">
        <f>IF(264&gt;$B$3,"",IFERROR(MATCH(264-1,EV_Seq,1)+1,1))</f>
        <v/>
      </c>
    </row>
    <row r="270">
      <c r="A270" s="105">
        <f>IF($J270="","",INDEX(EV_Date,$J270))</f>
        <v/>
      </c>
      <c r="B270" s="78">
        <f>IF($J270="","",INDEX(EV_Name,$J270))</f>
        <v/>
      </c>
      <c r="C270" s="106">
        <f>IF($J270="","",INDEX(EV_ID,$J270))</f>
        <v/>
      </c>
      <c r="D270" s="106">
        <f>IF($J270="","",INDEX(EV_Class,$J270))</f>
        <v/>
      </c>
      <c r="E270" s="106">
        <f>IF($J270="","",INDEX(EV_Type,$J270))</f>
        <v/>
      </c>
      <c r="F270" s="106">
        <f>IF($J270="","",INDEX(EV_Cum,$J270))</f>
        <v/>
      </c>
      <c r="G270" s="106">
        <f>IF($J270="","",INDEX(LevelLabels,MATCH(F270,LevelValues,1)))</f>
        <v/>
      </c>
      <c r="H270" s="106">
        <f>IF($J270="","",IFERROR(INDEX(Stu_ContactReq,MATCH(C270,Stu_ID,0)),""))</f>
        <v/>
      </c>
      <c r="I270" s="107">
        <f>IF($J270="","",IFERROR(INDEX(Stu_Notes,MATCH(C270,Stu_ID,0)),""))</f>
        <v/>
      </c>
      <c r="J270" s="40">
        <f>IF(265&gt;$B$3,"",IFERROR(MATCH(265-1,EV_Seq,1)+1,1))</f>
        <v/>
      </c>
    </row>
    <row r="271">
      <c r="A271" s="105">
        <f>IF($J271="","",INDEX(EV_Date,$J271))</f>
        <v/>
      </c>
      <c r="B271" s="78">
        <f>IF($J271="","",INDEX(EV_Name,$J271))</f>
        <v/>
      </c>
      <c r="C271" s="106">
        <f>IF($J271="","",INDEX(EV_ID,$J271))</f>
        <v/>
      </c>
      <c r="D271" s="106">
        <f>IF($J271="","",INDEX(EV_Class,$J271))</f>
        <v/>
      </c>
      <c r="E271" s="106">
        <f>IF($J271="","",INDEX(EV_Type,$J271))</f>
        <v/>
      </c>
      <c r="F271" s="106">
        <f>IF($J271="","",INDEX(EV_Cum,$J271))</f>
        <v/>
      </c>
      <c r="G271" s="106">
        <f>IF($J271="","",INDEX(LevelLabels,MATCH(F271,LevelValues,1)))</f>
        <v/>
      </c>
      <c r="H271" s="106">
        <f>IF($J271="","",IFERROR(INDEX(Stu_ContactReq,MATCH(C271,Stu_ID,0)),""))</f>
        <v/>
      </c>
      <c r="I271" s="107">
        <f>IF($J271="","",IFERROR(INDEX(Stu_Notes,MATCH(C271,Stu_ID,0)),""))</f>
        <v/>
      </c>
      <c r="J271" s="40">
        <f>IF(266&gt;$B$3,"",IFERROR(MATCH(266-1,EV_Seq,1)+1,1))</f>
        <v/>
      </c>
    </row>
    <row r="272">
      <c r="A272" s="105">
        <f>IF($J272="","",INDEX(EV_Date,$J272))</f>
        <v/>
      </c>
      <c r="B272" s="78">
        <f>IF($J272="","",INDEX(EV_Name,$J272))</f>
        <v/>
      </c>
      <c r="C272" s="106">
        <f>IF($J272="","",INDEX(EV_ID,$J272))</f>
        <v/>
      </c>
      <c r="D272" s="106">
        <f>IF($J272="","",INDEX(EV_Class,$J272))</f>
        <v/>
      </c>
      <c r="E272" s="106">
        <f>IF($J272="","",INDEX(EV_Type,$J272))</f>
        <v/>
      </c>
      <c r="F272" s="106">
        <f>IF($J272="","",INDEX(EV_Cum,$J272))</f>
        <v/>
      </c>
      <c r="G272" s="106">
        <f>IF($J272="","",INDEX(LevelLabels,MATCH(F272,LevelValues,1)))</f>
        <v/>
      </c>
      <c r="H272" s="106">
        <f>IF($J272="","",IFERROR(INDEX(Stu_ContactReq,MATCH(C272,Stu_ID,0)),""))</f>
        <v/>
      </c>
      <c r="I272" s="107">
        <f>IF($J272="","",IFERROR(INDEX(Stu_Notes,MATCH(C272,Stu_ID,0)),""))</f>
        <v/>
      </c>
      <c r="J272" s="40">
        <f>IF(267&gt;$B$3,"",IFERROR(MATCH(267-1,EV_Seq,1)+1,1))</f>
        <v/>
      </c>
    </row>
    <row r="273">
      <c r="A273" s="105">
        <f>IF($J273="","",INDEX(EV_Date,$J273))</f>
        <v/>
      </c>
      <c r="B273" s="78">
        <f>IF($J273="","",INDEX(EV_Name,$J273))</f>
        <v/>
      </c>
      <c r="C273" s="106">
        <f>IF($J273="","",INDEX(EV_ID,$J273))</f>
        <v/>
      </c>
      <c r="D273" s="106">
        <f>IF($J273="","",INDEX(EV_Class,$J273))</f>
        <v/>
      </c>
      <c r="E273" s="106">
        <f>IF($J273="","",INDEX(EV_Type,$J273))</f>
        <v/>
      </c>
      <c r="F273" s="106">
        <f>IF($J273="","",INDEX(EV_Cum,$J273))</f>
        <v/>
      </c>
      <c r="G273" s="106">
        <f>IF($J273="","",INDEX(LevelLabels,MATCH(F273,LevelValues,1)))</f>
        <v/>
      </c>
      <c r="H273" s="106">
        <f>IF($J273="","",IFERROR(INDEX(Stu_ContactReq,MATCH(C273,Stu_ID,0)),""))</f>
        <v/>
      </c>
      <c r="I273" s="107">
        <f>IF($J273="","",IFERROR(INDEX(Stu_Notes,MATCH(C273,Stu_ID,0)),""))</f>
        <v/>
      </c>
      <c r="J273" s="40">
        <f>IF(268&gt;$B$3,"",IFERROR(MATCH(268-1,EV_Seq,1)+1,1))</f>
        <v/>
      </c>
    </row>
    <row r="274">
      <c r="A274" s="105">
        <f>IF($J274="","",INDEX(EV_Date,$J274))</f>
        <v/>
      </c>
      <c r="B274" s="78">
        <f>IF($J274="","",INDEX(EV_Name,$J274))</f>
        <v/>
      </c>
      <c r="C274" s="106">
        <f>IF($J274="","",INDEX(EV_ID,$J274))</f>
        <v/>
      </c>
      <c r="D274" s="106">
        <f>IF($J274="","",INDEX(EV_Class,$J274))</f>
        <v/>
      </c>
      <c r="E274" s="106">
        <f>IF($J274="","",INDEX(EV_Type,$J274))</f>
        <v/>
      </c>
      <c r="F274" s="106">
        <f>IF($J274="","",INDEX(EV_Cum,$J274))</f>
        <v/>
      </c>
      <c r="G274" s="106">
        <f>IF($J274="","",INDEX(LevelLabels,MATCH(F274,LevelValues,1)))</f>
        <v/>
      </c>
      <c r="H274" s="106">
        <f>IF($J274="","",IFERROR(INDEX(Stu_ContactReq,MATCH(C274,Stu_ID,0)),""))</f>
        <v/>
      </c>
      <c r="I274" s="107">
        <f>IF($J274="","",IFERROR(INDEX(Stu_Notes,MATCH(C274,Stu_ID,0)),""))</f>
        <v/>
      </c>
      <c r="J274" s="40">
        <f>IF(269&gt;$B$3,"",IFERROR(MATCH(269-1,EV_Seq,1)+1,1))</f>
        <v/>
      </c>
    </row>
    <row r="275">
      <c r="A275" s="105">
        <f>IF($J275="","",INDEX(EV_Date,$J275))</f>
        <v/>
      </c>
      <c r="B275" s="78">
        <f>IF($J275="","",INDEX(EV_Name,$J275))</f>
        <v/>
      </c>
      <c r="C275" s="106">
        <f>IF($J275="","",INDEX(EV_ID,$J275))</f>
        <v/>
      </c>
      <c r="D275" s="106">
        <f>IF($J275="","",INDEX(EV_Class,$J275))</f>
        <v/>
      </c>
      <c r="E275" s="106">
        <f>IF($J275="","",INDEX(EV_Type,$J275))</f>
        <v/>
      </c>
      <c r="F275" s="106">
        <f>IF($J275="","",INDEX(EV_Cum,$J275))</f>
        <v/>
      </c>
      <c r="G275" s="106">
        <f>IF($J275="","",INDEX(LevelLabels,MATCH(F275,LevelValues,1)))</f>
        <v/>
      </c>
      <c r="H275" s="106">
        <f>IF($J275="","",IFERROR(INDEX(Stu_ContactReq,MATCH(C275,Stu_ID,0)),""))</f>
        <v/>
      </c>
      <c r="I275" s="107">
        <f>IF($J275="","",IFERROR(INDEX(Stu_Notes,MATCH(C275,Stu_ID,0)),""))</f>
        <v/>
      </c>
      <c r="J275" s="40">
        <f>IF(270&gt;$B$3,"",IFERROR(MATCH(270-1,EV_Seq,1)+1,1))</f>
        <v/>
      </c>
    </row>
    <row r="276">
      <c r="A276" s="105">
        <f>IF($J276="","",INDEX(EV_Date,$J276))</f>
        <v/>
      </c>
      <c r="B276" s="78">
        <f>IF($J276="","",INDEX(EV_Name,$J276))</f>
        <v/>
      </c>
      <c r="C276" s="106">
        <f>IF($J276="","",INDEX(EV_ID,$J276))</f>
        <v/>
      </c>
      <c r="D276" s="106">
        <f>IF($J276="","",INDEX(EV_Class,$J276))</f>
        <v/>
      </c>
      <c r="E276" s="106">
        <f>IF($J276="","",INDEX(EV_Type,$J276))</f>
        <v/>
      </c>
      <c r="F276" s="106">
        <f>IF($J276="","",INDEX(EV_Cum,$J276))</f>
        <v/>
      </c>
      <c r="G276" s="106">
        <f>IF($J276="","",INDEX(LevelLabels,MATCH(F276,LevelValues,1)))</f>
        <v/>
      </c>
      <c r="H276" s="106">
        <f>IF($J276="","",IFERROR(INDEX(Stu_ContactReq,MATCH(C276,Stu_ID,0)),""))</f>
        <v/>
      </c>
      <c r="I276" s="107">
        <f>IF($J276="","",IFERROR(INDEX(Stu_Notes,MATCH(C276,Stu_ID,0)),""))</f>
        <v/>
      </c>
      <c r="J276" s="40">
        <f>IF(271&gt;$B$3,"",IFERROR(MATCH(271-1,EV_Seq,1)+1,1))</f>
        <v/>
      </c>
    </row>
    <row r="277">
      <c r="A277" s="105">
        <f>IF($J277="","",INDEX(EV_Date,$J277))</f>
        <v/>
      </c>
      <c r="B277" s="78">
        <f>IF($J277="","",INDEX(EV_Name,$J277))</f>
        <v/>
      </c>
      <c r="C277" s="106">
        <f>IF($J277="","",INDEX(EV_ID,$J277))</f>
        <v/>
      </c>
      <c r="D277" s="106">
        <f>IF($J277="","",INDEX(EV_Class,$J277))</f>
        <v/>
      </c>
      <c r="E277" s="106">
        <f>IF($J277="","",INDEX(EV_Type,$J277))</f>
        <v/>
      </c>
      <c r="F277" s="106">
        <f>IF($J277="","",INDEX(EV_Cum,$J277))</f>
        <v/>
      </c>
      <c r="G277" s="106">
        <f>IF($J277="","",INDEX(LevelLabels,MATCH(F277,LevelValues,1)))</f>
        <v/>
      </c>
      <c r="H277" s="106">
        <f>IF($J277="","",IFERROR(INDEX(Stu_ContactReq,MATCH(C277,Stu_ID,0)),""))</f>
        <v/>
      </c>
      <c r="I277" s="107">
        <f>IF($J277="","",IFERROR(INDEX(Stu_Notes,MATCH(C277,Stu_ID,0)),""))</f>
        <v/>
      </c>
      <c r="J277" s="40">
        <f>IF(272&gt;$B$3,"",IFERROR(MATCH(272-1,EV_Seq,1)+1,1))</f>
        <v/>
      </c>
    </row>
    <row r="278">
      <c r="A278" s="105">
        <f>IF($J278="","",INDEX(EV_Date,$J278))</f>
        <v/>
      </c>
      <c r="B278" s="78">
        <f>IF($J278="","",INDEX(EV_Name,$J278))</f>
        <v/>
      </c>
      <c r="C278" s="106">
        <f>IF($J278="","",INDEX(EV_ID,$J278))</f>
        <v/>
      </c>
      <c r="D278" s="106">
        <f>IF($J278="","",INDEX(EV_Class,$J278))</f>
        <v/>
      </c>
      <c r="E278" s="106">
        <f>IF($J278="","",INDEX(EV_Type,$J278))</f>
        <v/>
      </c>
      <c r="F278" s="106">
        <f>IF($J278="","",INDEX(EV_Cum,$J278))</f>
        <v/>
      </c>
      <c r="G278" s="106">
        <f>IF($J278="","",INDEX(LevelLabels,MATCH(F278,LevelValues,1)))</f>
        <v/>
      </c>
      <c r="H278" s="106">
        <f>IF($J278="","",IFERROR(INDEX(Stu_ContactReq,MATCH(C278,Stu_ID,0)),""))</f>
        <v/>
      </c>
      <c r="I278" s="107">
        <f>IF($J278="","",IFERROR(INDEX(Stu_Notes,MATCH(C278,Stu_ID,0)),""))</f>
        <v/>
      </c>
      <c r="J278" s="40">
        <f>IF(273&gt;$B$3,"",IFERROR(MATCH(273-1,EV_Seq,1)+1,1))</f>
        <v/>
      </c>
    </row>
    <row r="279">
      <c r="A279" s="105">
        <f>IF($J279="","",INDEX(EV_Date,$J279))</f>
        <v/>
      </c>
      <c r="B279" s="78">
        <f>IF($J279="","",INDEX(EV_Name,$J279))</f>
        <v/>
      </c>
      <c r="C279" s="106">
        <f>IF($J279="","",INDEX(EV_ID,$J279))</f>
        <v/>
      </c>
      <c r="D279" s="106">
        <f>IF($J279="","",INDEX(EV_Class,$J279))</f>
        <v/>
      </c>
      <c r="E279" s="106">
        <f>IF($J279="","",INDEX(EV_Type,$J279))</f>
        <v/>
      </c>
      <c r="F279" s="106">
        <f>IF($J279="","",INDEX(EV_Cum,$J279))</f>
        <v/>
      </c>
      <c r="G279" s="106">
        <f>IF($J279="","",INDEX(LevelLabels,MATCH(F279,LevelValues,1)))</f>
        <v/>
      </c>
      <c r="H279" s="106">
        <f>IF($J279="","",IFERROR(INDEX(Stu_ContactReq,MATCH(C279,Stu_ID,0)),""))</f>
        <v/>
      </c>
      <c r="I279" s="107">
        <f>IF($J279="","",IFERROR(INDEX(Stu_Notes,MATCH(C279,Stu_ID,0)),""))</f>
        <v/>
      </c>
      <c r="J279" s="40">
        <f>IF(274&gt;$B$3,"",IFERROR(MATCH(274-1,EV_Seq,1)+1,1))</f>
        <v/>
      </c>
    </row>
    <row r="280">
      <c r="A280" s="105">
        <f>IF($J280="","",INDEX(EV_Date,$J280))</f>
        <v/>
      </c>
      <c r="B280" s="78">
        <f>IF($J280="","",INDEX(EV_Name,$J280))</f>
        <v/>
      </c>
      <c r="C280" s="106">
        <f>IF($J280="","",INDEX(EV_ID,$J280))</f>
        <v/>
      </c>
      <c r="D280" s="106">
        <f>IF($J280="","",INDEX(EV_Class,$J280))</f>
        <v/>
      </c>
      <c r="E280" s="106">
        <f>IF($J280="","",INDEX(EV_Type,$J280))</f>
        <v/>
      </c>
      <c r="F280" s="106">
        <f>IF($J280="","",INDEX(EV_Cum,$J280))</f>
        <v/>
      </c>
      <c r="G280" s="106">
        <f>IF($J280="","",INDEX(LevelLabels,MATCH(F280,LevelValues,1)))</f>
        <v/>
      </c>
      <c r="H280" s="106">
        <f>IF($J280="","",IFERROR(INDEX(Stu_ContactReq,MATCH(C280,Stu_ID,0)),""))</f>
        <v/>
      </c>
      <c r="I280" s="107">
        <f>IF($J280="","",IFERROR(INDEX(Stu_Notes,MATCH(C280,Stu_ID,0)),""))</f>
        <v/>
      </c>
      <c r="J280" s="40">
        <f>IF(275&gt;$B$3,"",IFERROR(MATCH(275-1,EV_Seq,1)+1,1))</f>
        <v/>
      </c>
    </row>
    <row r="281">
      <c r="A281" s="105">
        <f>IF($J281="","",INDEX(EV_Date,$J281))</f>
        <v/>
      </c>
      <c r="B281" s="78">
        <f>IF($J281="","",INDEX(EV_Name,$J281))</f>
        <v/>
      </c>
      <c r="C281" s="106">
        <f>IF($J281="","",INDEX(EV_ID,$J281))</f>
        <v/>
      </c>
      <c r="D281" s="106">
        <f>IF($J281="","",INDEX(EV_Class,$J281))</f>
        <v/>
      </c>
      <c r="E281" s="106">
        <f>IF($J281="","",INDEX(EV_Type,$J281))</f>
        <v/>
      </c>
      <c r="F281" s="106">
        <f>IF($J281="","",INDEX(EV_Cum,$J281))</f>
        <v/>
      </c>
      <c r="G281" s="106">
        <f>IF($J281="","",INDEX(LevelLabels,MATCH(F281,LevelValues,1)))</f>
        <v/>
      </c>
      <c r="H281" s="106">
        <f>IF($J281="","",IFERROR(INDEX(Stu_ContactReq,MATCH(C281,Stu_ID,0)),""))</f>
        <v/>
      </c>
      <c r="I281" s="107">
        <f>IF($J281="","",IFERROR(INDEX(Stu_Notes,MATCH(C281,Stu_ID,0)),""))</f>
        <v/>
      </c>
      <c r="J281" s="40">
        <f>IF(276&gt;$B$3,"",IFERROR(MATCH(276-1,EV_Seq,1)+1,1))</f>
        <v/>
      </c>
    </row>
    <row r="282">
      <c r="A282" s="105">
        <f>IF($J282="","",INDEX(EV_Date,$J282))</f>
        <v/>
      </c>
      <c r="B282" s="78">
        <f>IF($J282="","",INDEX(EV_Name,$J282))</f>
        <v/>
      </c>
      <c r="C282" s="106">
        <f>IF($J282="","",INDEX(EV_ID,$J282))</f>
        <v/>
      </c>
      <c r="D282" s="106">
        <f>IF($J282="","",INDEX(EV_Class,$J282))</f>
        <v/>
      </c>
      <c r="E282" s="106">
        <f>IF($J282="","",INDEX(EV_Type,$J282))</f>
        <v/>
      </c>
      <c r="F282" s="106">
        <f>IF($J282="","",INDEX(EV_Cum,$J282))</f>
        <v/>
      </c>
      <c r="G282" s="106">
        <f>IF($J282="","",INDEX(LevelLabels,MATCH(F282,LevelValues,1)))</f>
        <v/>
      </c>
      <c r="H282" s="106">
        <f>IF($J282="","",IFERROR(INDEX(Stu_ContactReq,MATCH(C282,Stu_ID,0)),""))</f>
        <v/>
      </c>
      <c r="I282" s="107">
        <f>IF($J282="","",IFERROR(INDEX(Stu_Notes,MATCH(C282,Stu_ID,0)),""))</f>
        <v/>
      </c>
      <c r="J282" s="40">
        <f>IF(277&gt;$B$3,"",IFERROR(MATCH(277-1,EV_Seq,1)+1,1))</f>
        <v/>
      </c>
    </row>
    <row r="283">
      <c r="A283" s="105">
        <f>IF($J283="","",INDEX(EV_Date,$J283))</f>
        <v/>
      </c>
      <c r="B283" s="78">
        <f>IF($J283="","",INDEX(EV_Name,$J283))</f>
        <v/>
      </c>
      <c r="C283" s="106">
        <f>IF($J283="","",INDEX(EV_ID,$J283))</f>
        <v/>
      </c>
      <c r="D283" s="106">
        <f>IF($J283="","",INDEX(EV_Class,$J283))</f>
        <v/>
      </c>
      <c r="E283" s="106">
        <f>IF($J283="","",INDEX(EV_Type,$J283))</f>
        <v/>
      </c>
      <c r="F283" s="106">
        <f>IF($J283="","",INDEX(EV_Cum,$J283))</f>
        <v/>
      </c>
      <c r="G283" s="106">
        <f>IF($J283="","",INDEX(LevelLabels,MATCH(F283,LevelValues,1)))</f>
        <v/>
      </c>
      <c r="H283" s="106">
        <f>IF($J283="","",IFERROR(INDEX(Stu_ContactReq,MATCH(C283,Stu_ID,0)),""))</f>
        <v/>
      </c>
      <c r="I283" s="107">
        <f>IF($J283="","",IFERROR(INDEX(Stu_Notes,MATCH(C283,Stu_ID,0)),""))</f>
        <v/>
      </c>
      <c r="J283" s="40">
        <f>IF(278&gt;$B$3,"",IFERROR(MATCH(278-1,EV_Seq,1)+1,1))</f>
        <v/>
      </c>
    </row>
    <row r="284">
      <c r="A284" s="105">
        <f>IF($J284="","",INDEX(EV_Date,$J284))</f>
        <v/>
      </c>
      <c r="B284" s="78">
        <f>IF($J284="","",INDEX(EV_Name,$J284))</f>
        <v/>
      </c>
      <c r="C284" s="106">
        <f>IF($J284="","",INDEX(EV_ID,$J284))</f>
        <v/>
      </c>
      <c r="D284" s="106">
        <f>IF($J284="","",INDEX(EV_Class,$J284))</f>
        <v/>
      </c>
      <c r="E284" s="106">
        <f>IF($J284="","",INDEX(EV_Type,$J284))</f>
        <v/>
      </c>
      <c r="F284" s="106">
        <f>IF($J284="","",INDEX(EV_Cum,$J284))</f>
        <v/>
      </c>
      <c r="G284" s="106">
        <f>IF($J284="","",INDEX(LevelLabels,MATCH(F284,LevelValues,1)))</f>
        <v/>
      </c>
      <c r="H284" s="106">
        <f>IF($J284="","",IFERROR(INDEX(Stu_ContactReq,MATCH(C284,Stu_ID,0)),""))</f>
        <v/>
      </c>
      <c r="I284" s="107">
        <f>IF($J284="","",IFERROR(INDEX(Stu_Notes,MATCH(C284,Stu_ID,0)),""))</f>
        <v/>
      </c>
      <c r="J284" s="40">
        <f>IF(279&gt;$B$3,"",IFERROR(MATCH(279-1,EV_Seq,1)+1,1))</f>
        <v/>
      </c>
    </row>
    <row r="285">
      <c r="A285" s="105">
        <f>IF($J285="","",INDEX(EV_Date,$J285))</f>
        <v/>
      </c>
      <c r="B285" s="78">
        <f>IF($J285="","",INDEX(EV_Name,$J285))</f>
        <v/>
      </c>
      <c r="C285" s="106">
        <f>IF($J285="","",INDEX(EV_ID,$J285))</f>
        <v/>
      </c>
      <c r="D285" s="106">
        <f>IF($J285="","",INDEX(EV_Class,$J285))</f>
        <v/>
      </c>
      <c r="E285" s="106">
        <f>IF($J285="","",INDEX(EV_Type,$J285))</f>
        <v/>
      </c>
      <c r="F285" s="106">
        <f>IF($J285="","",INDEX(EV_Cum,$J285))</f>
        <v/>
      </c>
      <c r="G285" s="106">
        <f>IF($J285="","",INDEX(LevelLabels,MATCH(F285,LevelValues,1)))</f>
        <v/>
      </c>
      <c r="H285" s="106">
        <f>IF($J285="","",IFERROR(INDEX(Stu_ContactReq,MATCH(C285,Stu_ID,0)),""))</f>
        <v/>
      </c>
      <c r="I285" s="107">
        <f>IF($J285="","",IFERROR(INDEX(Stu_Notes,MATCH(C285,Stu_ID,0)),""))</f>
        <v/>
      </c>
      <c r="J285" s="40">
        <f>IF(280&gt;$B$3,"",IFERROR(MATCH(280-1,EV_Seq,1)+1,1))</f>
        <v/>
      </c>
    </row>
    <row r="286">
      <c r="A286" s="105">
        <f>IF($J286="","",INDEX(EV_Date,$J286))</f>
        <v/>
      </c>
      <c r="B286" s="78">
        <f>IF($J286="","",INDEX(EV_Name,$J286))</f>
        <v/>
      </c>
      <c r="C286" s="106">
        <f>IF($J286="","",INDEX(EV_ID,$J286))</f>
        <v/>
      </c>
      <c r="D286" s="106">
        <f>IF($J286="","",INDEX(EV_Class,$J286))</f>
        <v/>
      </c>
      <c r="E286" s="106">
        <f>IF($J286="","",INDEX(EV_Type,$J286))</f>
        <v/>
      </c>
      <c r="F286" s="106">
        <f>IF($J286="","",INDEX(EV_Cum,$J286))</f>
        <v/>
      </c>
      <c r="G286" s="106">
        <f>IF($J286="","",INDEX(LevelLabels,MATCH(F286,LevelValues,1)))</f>
        <v/>
      </c>
      <c r="H286" s="106">
        <f>IF($J286="","",IFERROR(INDEX(Stu_ContactReq,MATCH(C286,Stu_ID,0)),""))</f>
        <v/>
      </c>
      <c r="I286" s="107">
        <f>IF($J286="","",IFERROR(INDEX(Stu_Notes,MATCH(C286,Stu_ID,0)),""))</f>
        <v/>
      </c>
      <c r="J286" s="40">
        <f>IF(281&gt;$B$3,"",IFERROR(MATCH(281-1,EV_Seq,1)+1,1))</f>
        <v/>
      </c>
    </row>
    <row r="287">
      <c r="A287" s="105">
        <f>IF($J287="","",INDEX(EV_Date,$J287))</f>
        <v/>
      </c>
      <c r="B287" s="78">
        <f>IF($J287="","",INDEX(EV_Name,$J287))</f>
        <v/>
      </c>
      <c r="C287" s="106">
        <f>IF($J287="","",INDEX(EV_ID,$J287))</f>
        <v/>
      </c>
      <c r="D287" s="106">
        <f>IF($J287="","",INDEX(EV_Class,$J287))</f>
        <v/>
      </c>
      <c r="E287" s="106">
        <f>IF($J287="","",INDEX(EV_Type,$J287))</f>
        <v/>
      </c>
      <c r="F287" s="106">
        <f>IF($J287="","",INDEX(EV_Cum,$J287))</f>
        <v/>
      </c>
      <c r="G287" s="106">
        <f>IF($J287="","",INDEX(LevelLabels,MATCH(F287,LevelValues,1)))</f>
        <v/>
      </c>
      <c r="H287" s="106">
        <f>IF($J287="","",IFERROR(INDEX(Stu_ContactReq,MATCH(C287,Stu_ID,0)),""))</f>
        <v/>
      </c>
      <c r="I287" s="107">
        <f>IF($J287="","",IFERROR(INDEX(Stu_Notes,MATCH(C287,Stu_ID,0)),""))</f>
        <v/>
      </c>
      <c r="J287" s="40">
        <f>IF(282&gt;$B$3,"",IFERROR(MATCH(282-1,EV_Seq,1)+1,1))</f>
        <v/>
      </c>
    </row>
    <row r="288">
      <c r="A288" s="105">
        <f>IF($J288="","",INDEX(EV_Date,$J288))</f>
        <v/>
      </c>
      <c r="B288" s="78">
        <f>IF($J288="","",INDEX(EV_Name,$J288))</f>
        <v/>
      </c>
      <c r="C288" s="106">
        <f>IF($J288="","",INDEX(EV_ID,$J288))</f>
        <v/>
      </c>
      <c r="D288" s="106">
        <f>IF($J288="","",INDEX(EV_Class,$J288))</f>
        <v/>
      </c>
      <c r="E288" s="106">
        <f>IF($J288="","",INDEX(EV_Type,$J288))</f>
        <v/>
      </c>
      <c r="F288" s="106">
        <f>IF($J288="","",INDEX(EV_Cum,$J288))</f>
        <v/>
      </c>
      <c r="G288" s="106">
        <f>IF($J288="","",INDEX(LevelLabels,MATCH(F288,LevelValues,1)))</f>
        <v/>
      </c>
      <c r="H288" s="106">
        <f>IF($J288="","",IFERROR(INDEX(Stu_ContactReq,MATCH(C288,Stu_ID,0)),""))</f>
        <v/>
      </c>
      <c r="I288" s="107">
        <f>IF($J288="","",IFERROR(INDEX(Stu_Notes,MATCH(C288,Stu_ID,0)),""))</f>
        <v/>
      </c>
      <c r="J288" s="40">
        <f>IF(283&gt;$B$3,"",IFERROR(MATCH(283-1,EV_Seq,1)+1,1))</f>
        <v/>
      </c>
    </row>
    <row r="289">
      <c r="A289" s="105">
        <f>IF($J289="","",INDEX(EV_Date,$J289))</f>
        <v/>
      </c>
      <c r="B289" s="78">
        <f>IF($J289="","",INDEX(EV_Name,$J289))</f>
        <v/>
      </c>
      <c r="C289" s="106">
        <f>IF($J289="","",INDEX(EV_ID,$J289))</f>
        <v/>
      </c>
      <c r="D289" s="106">
        <f>IF($J289="","",INDEX(EV_Class,$J289))</f>
        <v/>
      </c>
      <c r="E289" s="106">
        <f>IF($J289="","",INDEX(EV_Type,$J289))</f>
        <v/>
      </c>
      <c r="F289" s="106">
        <f>IF($J289="","",INDEX(EV_Cum,$J289))</f>
        <v/>
      </c>
      <c r="G289" s="106">
        <f>IF($J289="","",INDEX(LevelLabels,MATCH(F289,LevelValues,1)))</f>
        <v/>
      </c>
      <c r="H289" s="106">
        <f>IF($J289="","",IFERROR(INDEX(Stu_ContactReq,MATCH(C289,Stu_ID,0)),""))</f>
        <v/>
      </c>
      <c r="I289" s="107">
        <f>IF($J289="","",IFERROR(INDEX(Stu_Notes,MATCH(C289,Stu_ID,0)),""))</f>
        <v/>
      </c>
      <c r="J289" s="40">
        <f>IF(284&gt;$B$3,"",IFERROR(MATCH(284-1,EV_Seq,1)+1,1))</f>
        <v/>
      </c>
    </row>
    <row r="290">
      <c r="A290" s="105">
        <f>IF($J290="","",INDEX(EV_Date,$J290))</f>
        <v/>
      </c>
      <c r="B290" s="78">
        <f>IF($J290="","",INDEX(EV_Name,$J290))</f>
        <v/>
      </c>
      <c r="C290" s="106">
        <f>IF($J290="","",INDEX(EV_ID,$J290))</f>
        <v/>
      </c>
      <c r="D290" s="106">
        <f>IF($J290="","",INDEX(EV_Class,$J290))</f>
        <v/>
      </c>
      <c r="E290" s="106">
        <f>IF($J290="","",INDEX(EV_Type,$J290))</f>
        <v/>
      </c>
      <c r="F290" s="106">
        <f>IF($J290="","",INDEX(EV_Cum,$J290))</f>
        <v/>
      </c>
      <c r="G290" s="106">
        <f>IF($J290="","",INDEX(LevelLabels,MATCH(F290,LevelValues,1)))</f>
        <v/>
      </c>
      <c r="H290" s="106">
        <f>IF($J290="","",IFERROR(INDEX(Stu_ContactReq,MATCH(C290,Stu_ID,0)),""))</f>
        <v/>
      </c>
      <c r="I290" s="107">
        <f>IF($J290="","",IFERROR(INDEX(Stu_Notes,MATCH(C290,Stu_ID,0)),""))</f>
        <v/>
      </c>
      <c r="J290" s="40">
        <f>IF(285&gt;$B$3,"",IFERROR(MATCH(285-1,EV_Seq,1)+1,1))</f>
        <v/>
      </c>
    </row>
    <row r="291">
      <c r="A291" s="105">
        <f>IF($J291="","",INDEX(EV_Date,$J291))</f>
        <v/>
      </c>
      <c r="B291" s="78">
        <f>IF($J291="","",INDEX(EV_Name,$J291))</f>
        <v/>
      </c>
      <c r="C291" s="106">
        <f>IF($J291="","",INDEX(EV_ID,$J291))</f>
        <v/>
      </c>
      <c r="D291" s="106">
        <f>IF($J291="","",INDEX(EV_Class,$J291))</f>
        <v/>
      </c>
      <c r="E291" s="106">
        <f>IF($J291="","",INDEX(EV_Type,$J291))</f>
        <v/>
      </c>
      <c r="F291" s="106">
        <f>IF($J291="","",INDEX(EV_Cum,$J291))</f>
        <v/>
      </c>
      <c r="G291" s="106">
        <f>IF($J291="","",INDEX(LevelLabels,MATCH(F291,LevelValues,1)))</f>
        <v/>
      </c>
      <c r="H291" s="106">
        <f>IF($J291="","",IFERROR(INDEX(Stu_ContactReq,MATCH(C291,Stu_ID,0)),""))</f>
        <v/>
      </c>
      <c r="I291" s="107">
        <f>IF($J291="","",IFERROR(INDEX(Stu_Notes,MATCH(C291,Stu_ID,0)),""))</f>
        <v/>
      </c>
      <c r="J291" s="40">
        <f>IF(286&gt;$B$3,"",IFERROR(MATCH(286-1,EV_Seq,1)+1,1))</f>
        <v/>
      </c>
    </row>
    <row r="292">
      <c r="A292" s="105">
        <f>IF($J292="","",INDEX(EV_Date,$J292))</f>
        <v/>
      </c>
      <c r="B292" s="78">
        <f>IF($J292="","",INDEX(EV_Name,$J292))</f>
        <v/>
      </c>
      <c r="C292" s="106">
        <f>IF($J292="","",INDEX(EV_ID,$J292))</f>
        <v/>
      </c>
      <c r="D292" s="106">
        <f>IF($J292="","",INDEX(EV_Class,$J292))</f>
        <v/>
      </c>
      <c r="E292" s="106">
        <f>IF($J292="","",INDEX(EV_Type,$J292))</f>
        <v/>
      </c>
      <c r="F292" s="106">
        <f>IF($J292="","",INDEX(EV_Cum,$J292))</f>
        <v/>
      </c>
      <c r="G292" s="106">
        <f>IF($J292="","",INDEX(LevelLabels,MATCH(F292,LevelValues,1)))</f>
        <v/>
      </c>
      <c r="H292" s="106">
        <f>IF($J292="","",IFERROR(INDEX(Stu_ContactReq,MATCH(C292,Stu_ID,0)),""))</f>
        <v/>
      </c>
      <c r="I292" s="107">
        <f>IF($J292="","",IFERROR(INDEX(Stu_Notes,MATCH(C292,Stu_ID,0)),""))</f>
        <v/>
      </c>
      <c r="J292" s="40">
        <f>IF(287&gt;$B$3,"",IFERROR(MATCH(287-1,EV_Seq,1)+1,1))</f>
        <v/>
      </c>
    </row>
    <row r="293">
      <c r="A293" s="105">
        <f>IF($J293="","",INDEX(EV_Date,$J293))</f>
        <v/>
      </c>
      <c r="B293" s="78">
        <f>IF($J293="","",INDEX(EV_Name,$J293))</f>
        <v/>
      </c>
      <c r="C293" s="106">
        <f>IF($J293="","",INDEX(EV_ID,$J293))</f>
        <v/>
      </c>
      <c r="D293" s="106">
        <f>IF($J293="","",INDEX(EV_Class,$J293))</f>
        <v/>
      </c>
      <c r="E293" s="106">
        <f>IF($J293="","",INDEX(EV_Type,$J293))</f>
        <v/>
      </c>
      <c r="F293" s="106">
        <f>IF($J293="","",INDEX(EV_Cum,$J293))</f>
        <v/>
      </c>
      <c r="G293" s="106">
        <f>IF($J293="","",INDEX(LevelLabels,MATCH(F293,LevelValues,1)))</f>
        <v/>
      </c>
      <c r="H293" s="106">
        <f>IF($J293="","",IFERROR(INDEX(Stu_ContactReq,MATCH(C293,Stu_ID,0)),""))</f>
        <v/>
      </c>
      <c r="I293" s="107">
        <f>IF($J293="","",IFERROR(INDEX(Stu_Notes,MATCH(C293,Stu_ID,0)),""))</f>
        <v/>
      </c>
      <c r="J293" s="40">
        <f>IF(288&gt;$B$3,"",IFERROR(MATCH(288-1,EV_Seq,1)+1,1))</f>
        <v/>
      </c>
    </row>
    <row r="294">
      <c r="A294" s="105">
        <f>IF($J294="","",INDEX(EV_Date,$J294))</f>
        <v/>
      </c>
      <c r="B294" s="78">
        <f>IF($J294="","",INDEX(EV_Name,$J294))</f>
        <v/>
      </c>
      <c r="C294" s="106">
        <f>IF($J294="","",INDEX(EV_ID,$J294))</f>
        <v/>
      </c>
      <c r="D294" s="106">
        <f>IF($J294="","",INDEX(EV_Class,$J294))</f>
        <v/>
      </c>
      <c r="E294" s="106">
        <f>IF($J294="","",INDEX(EV_Type,$J294))</f>
        <v/>
      </c>
      <c r="F294" s="106">
        <f>IF($J294="","",INDEX(EV_Cum,$J294))</f>
        <v/>
      </c>
      <c r="G294" s="106">
        <f>IF($J294="","",INDEX(LevelLabels,MATCH(F294,LevelValues,1)))</f>
        <v/>
      </c>
      <c r="H294" s="106">
        <f>IF($J294="","",IFERROR(INDEX(Stu_ContactReq,MATCH(C294,Stu_ID,0)),""))</f>
        <v/>
      </c>
      <c r="I294" s="107">
        <f>IF($J294="","",IFERROR(INDEX(Stu_Notes,MATCH(C294,Stu_ID,0)),""))</f>
        <v/>
      </c>
      <c r="J294" s="40">
        <f>IF(289&gt;$B$3,"",IFERROR(MATCH(289-1,EV_Seq,1)+1,1))</f>
        <v/>
      </c>
    </row>
    <row r="295">
      <c r="A295" s="105">
        <f>IF($J295="","",INDEX(EV_Date,$J295))</f>
        <v/>
      </c>
      <c r="B295" s="78">
        <f>IF($J295="","",INDEX(EV_Name,$J295))</f>
        <v/>
      </c>
      <c r="C295" s="106">
        <f>IF($J295="","",INDEX(EV_ID,$J295))</f>
        <v/>
      </c>
      <c r="D295" s="106">
        <f>IF($J295="","",INDEX(EV_Class,$J295))</f>
        <v/>
      </c>
      <c r="E295" s="106">
        <f>IF($J295="","",INDEX(EV_Type,$J295))</f>
        <v/>
      </c>
      <c r="F295" s="106">
        <f>IF($J295="","",INDEX(EV_Cum,$J295))</f>
        <v/>
      </c>
      <c r="G295" s="106">
        <f>IF($J295="","",INDEX(LevelLabels,MATCH(F295,LevelValues,1)))</f>
        <v/>
      </c>
      <c r="H295" s="106">
        <f>IF($J295="","",IFERROR(INDEX(Stu_ContactReq,MATCH(C295,Stu_ID,0)),""))</f>
        <v/>
      </c>
      <c r="I295" s="107">
        <f>IF($J295="","",IFERROR(INDEX(Stu_Notes,MATCH(C295,Stu_ID,0)),""))</f>
        <v/>
      </c>
      <c r="J295" s="40">
        <f>IF(290&gt;$B$3,"",IFERROR(MATCH(290-1,EV_Seq,1)+1,1))</f>
        <v/>
      </c>
    </row>
    <row r="296">
      <c r="A296" s="105">
        <f>IF($J296="","",INDEX(EV_Date,$J296))</f>
        <v/>
      </c>
      <c r="B296" s="78">
        <f>IF($J296="","",INDEX(EV_Name,$J296))</f>
        <v/>
      </c>
      <c r="C296" s="106">
        <f>IF($J296="","",INDEX(EV_ID,$J296))</f>
        <v/>
      </c>
      <c r="D296" s="106">
        <f>IF($J296="","",INDEX(EV_Class,$J296))</f>
        <v/>
      </c>
      <c r="E296" s="106">
        <f>IF($J296="","",INDEX(EV_Type,$J296))</f>
        <v/>
      </c>
      <c r="F296" s="106">
        <f>IF($J296="","",INDEX(EV_Cum,$J296))</f>
        <v/>
      </c>
      <c r="G296" s="106">
        <f>IF($J296="","",INDEX(LevelLabels,MATCH(F296,LevelValues,1)))</f>
        <v/>
      </c>
      <c r="H296" s="106">
        <f>IF($J296="","",IFERROR(INDEX(Stu_ContactReq,MATCH(C296,Stu_ID,0)),""))</f>
        <v/>
      </c>
      <c r="I296" s="107">
        <f>IF($J296="","",IFERROR(INDEX(Stu_Notes,MATCH(C296,Stu_ID,0)),""))</f>
        <v/>
      </c>
      <c r="J296" s="40">
        <f>IF(291&gt;$B$3,"",IFERROR(MATCH(291-1,EV_Seq,1)+1,1))</f>
        <v/>
      </c>
    </row>
    <row r="297">
      <c r="A297" s="105">
        <f>IF($J297="","",INDEX(EV_Date,$J297))</f>
        <v/>
      </c>
      <c r="B297" s="78">
        <f>IF($J297="","",INDEX(EV_Name,$J297))</f>
        <v/>
      </c>
      <c r="C297" s="106">
        <f>IF($J297="","",INDEX(EV_ID,$J297))</f>
        <v/>
      </c>
      <c r="D297" s="106">
        <f>IF($J297="","",INDEX(EV_Class,$J297))</f>
        <v/>
      </c>
      <c r="E297" s="106">
        <f>IF($J297="","",INDEX(EV_Type,$J297))</f>
        <v/>
      </c>
      <c r="F297" s="106">
        <f>IF($J297="","",INDEX(EV_Cum,$J297))</f>
        <v/>
      </c>
      <c r="G297" s="106">
        <f>IF($J297="","",INDEX(LevelLabels,MATCH(F297,LevelValues,1)))</f>
        <v/>
      </c>
      <c r="H297" s="106">
        <f>IF($J297="","",IFERROR(INDEX(Stu_ContactReq,MATCH(C297,Stu_ID,0)),""))</f>
        <v/>
      </c>
      <c r="I297" s="107">
        <f>IF($J297="","",IFERROR(INDEX(Stu_Notes,MATCH(C297,Stu_ID,0)),""))</f>
        <v/>
      </c>
      <c r="J297" s="40">
        <f>IF(292&gt;$B$3,"",IFERROR(MATCH(292-1,EV_Seq,1)+1,1))</f>
        <v/>
      </c>
    </row>
    <row r="298">
      <c r="A298" s="105">
        <f>IF($J298="","",INDEX(EV_Date,$J298))</f>
        <v/>
      </c>
      <c r="B298" s="78">
        <f>IF($J298="","",INDEX(EV_Name,$J298))</f>
        <v/>
      </c>
      <c r="C298" s="106">
        <f>IF($J298="","",INDEX(EV_ID,$J298))</f>
        <v/>
      </c>
      <c r="D298" s="106">
        <f>IF($J298="","",INDEX(EV_Class,$J298))</f>
        <v/>
      </c>
      <c r="E298" s="106">
        <f>IF($J298="","",INDEX(EV_Type,$J298))</f>
        <v/>
      </c>
      <c r="F298" s="106">
        <f>IF($J298="","",INDEX(EV_Cum,$J298))</f>
        <v/>
      </c>
      <c r="G298" s="106">
        <f>IF($J298="","",INDEX(LevelLabels,MATCH(F298,LevelValues,1)))</f>
        <v/>
      </c>
      <c r="H298" s="106">
        <f>IF($J298="","",IFERROR(INDEX(Stu_ContactReq,MATCH(C298,Stu_ID,0)),""))</f>
        <v/>
      </c>
      <c r="I298" s="107">
        <f>IF($J298="","",IFERROR(INDEX(Stu_Notes,MATCH(C298,Stu_ID,0)),""))</f>
        <v/>
      </c>
      <c r="J298" s="40">
        <f>IF(293&gt;$B$3,"",IFERROR(MATCH(293-1,EV_Seq,1)+1,1))</f>
        <v/>
      </c>
    </row>
    <row r="299">
      <c r="A299" s="105">
        <f>IF($J299="","",INDEX(EV_Date,$J299))</f>
        <v/>
      </c>
      <c r="B299" s="78">
        <f>IF($J299="","",INDEX(EV_Name,$J299))</f>
        <v/>
      </c>
      <c r="C299" s="106">
        <f>IF($J299="","",INDEX(EV_ID,$J299))</f>
        <v/>
      </c>
      <c r="D299" s="106">
        <f>IF($J299="","",INDEX(EV_Class,$J299))</f>
        <v/>
      </c>
      <c r="E299" s="106">
        <f>IF($J299="","",INDEX(EV_Type,$J299))</f>
        <v/>
      </c>
      <c r="F299" s="106">
        <f>IF($J299="","",INDEX(EV_Cum,$J299))</f>
        <v/>
      </c>
      <c r="G299" s="106">
        <f>IF($J299="","",INDEX(LevelLabels,MATCH(F299,LevelValues,1)))</f>
        <v/>
      </c>
      <c r="H299" s="106">
        <f>IF($J299="","",IFERROR(INDEX(Stu_ContactReq,MATCH(C299,Stu_ID,0)),""))</f>
        <v/>
      </c>
      <c r="I299" s="107">
        <f>IF($J299="","",IFERROR(INDEX(Stu_Notes,MATCH(C299,Stu_ID,0)),""))</f>
        <v/>
      </c>
      <c r="J299" s="40">
        <f>IF(294&gt;$B$3,"",IFERROR(MATCH(294-1,EV_Seq,1)+1,1))</f>
        <v/>
      </c>
    </row>
    <row r="300">
      <c r="A300" s="105">
        <f>IF($J300="","",INDEX(EV_Date,$J300))</f>
        <v/>
      </c>
      <c r="B300" s="78">
        <f>IF($J300="","",INDEX(EV_Name,$J300))</f>
        <v/>
      </c>
      <c r="C300" s="106">
        <f>IF($J300="","",INDEX(EV_ID,$J300))</f>
        <v/>
      </c>
      <c r="D300" s="106">
        <f>IF($J300="","",INDEX(EV_Class,$J300))</f>
        <v/>
      </c>
      <c r="E300" s="106">
        <f>IF($J300="","",INDEX(EV_Type,$J300))</f>
        <v/>
      </c>
      <c r="F300" s="106">
        <f>IF($J300="","",INDEX(EV_Cum,$J300))</f>
        <v/>
      </c>
      <c r="G300" s="106">
        <f>IF($J300="","",INDEX(LevelLabels,MATCH(F300,LevelValues,1)))</f>
        <v/>
      </c>
      <c r="H300" s="106">
        <f>IF($J300="","",IFERROR(INDEX(Stu_ContactReq,MATCH(C300,Stu_ID,0)),""))</f>
        <v/>
      </c>
      <c r="I300" s="107">
        <f>IF($J300="","",IFERROR(INDEX(Stu_Notes,MATCH(C300,Stu_ID,0)),""))</f>
        <v/>
      </c>
      <c r="J300" s="40">
        <f>IF(295&gt;$B$3,"",IFERROR(MATCH(295-1,EV_Seq,1)+1,1))</f>
        <v/>
      </c>
    </row>
    <row r="301">
      <c r="A301" s="105">
        <f>IF($J301="","",INDEX(EV_Date,$J301))</f>
        <v/>
      </c>
      <c r="B301" s="78">
        <f>IF($J301="","",INDEX(EV_Name,$J301))</f>
        <v/>
      </c>
      <c r="C301" s="106">
        <f>IF($J301="","",INDEX(EV_ID,$J301))</f>
        <v/>
      </c>
      <c r="D301" s="106">
        <f>IF($J301="","",INDEX(EV_Class,$J301))</f>
        <v/>
      </c>
      <c r="E301" s="106">
        <f>IF($J301="","",INDEX(EV_Type,$J301))</f>
        <v/>
      </c>
      <c r="F301" s="106">
        <f>IF($J301="","",INDEX(EV_Cum,$J301))</f>
        <v/>
      </c>
      <c r="G301" s="106">
        <f>IF($J301="","",INDEX(LevelLabels,MATCH(F301,LevelValues,1)))</f>
        <v/>
      </c>
      <c r="H301" s="106">
        <f>IF($J301="","",IFERROR(INDEX(Stu_ContactReq,MATCH(C301,Stu_ID,0)),""))</f>
        <v/>
      </c>
      <c r="I301" s="107">
        <f>IF($J301="","",IFERROR(INDEX(Stu_Notes,MATCH(C301,Stu_ID,0)),""))</f>
        <v/>
      </c>
      <c r="J301" s="40">
        <f>IF(296&gt;$B$3,"",IFERROR(MATCH(296-1,EV_Seq,1)+1,1))</f>
        <v/>
      </c>
    </row>
    <row r="302">
      <c r="A302" s="105">
        <f>IF($J302="","",INDEX(EV_Date,$J302))</f>
        <v/>
      </c>
      <c r="B302" s="78">
        <f>IF($J302="","",INDEX(EV_Name,$J302))</f>
        <v/>
      </c>
      <c r="C302" s="106">
        <f>IF($J302="","",INDEX(EV_ID,$J302))</f>
        <v/>
      </c>
      <c r="D302" s="106">
        <f>IF($J302="","",INDEX(EV_Class,$J302))</f>
        <v/>
      </c>
      <c r="E302" s="106">
        <f>IF($J302="","",INDEX(EV_Type,$J302))</f>
        <v/>
      </c>
      <c r="F302" s="106">
        <f>IF($J302="","",INDEX(EV_Cum,$J302))</f>
        <v/>
      </c>
      <c r="G302" s="106">
        <f>IF($J302="","",INDEX(LevelLabels,MATCH(F302,LevelValues,1)))</f>
        <v/>
      </c>
      <c r="H302" s="106">
        <f>IF($J302="","",IFERROR(INDEX(Stu_ContactReq,MATCH(C302,Stu_ID,0)),""))</f>
        <v/>
      </c>
      <c r="I302" s="107">
        <f>IF($J302="","",IFERROR(INDEX(Stu_Notes,MATCH(C302,Stu_ID,0)),""))</f>
        <v/>
      </c>
      <c r="J302" s="40">
        <f>IF(297&gt;$B$3,"",IFERROR(MATCH(297-1,EV_Seq,1)+1,1))</f>
        <v/>
      </c>
    </row>
    <row r="303">
      <c r="A303" s="105">
        <f>IF($J303="","",INDEX(EV_Date,$J303))</f>
        <v/>
      </c>
      <c r="B303" s="78">
        <f>IF($J303="","",INDEX(EV_Name,$J303))</f>
        <v/>
      </c>
      <c r="C303" s="106">
        <f>IF($J303="","",INDEX(EV_ID,$J303))</f>
        <v/>
      </c>
      <c r="D303" s="106">
        <f>IF($J303="","",INDEX(EV_Class,$J303))</f>
        <v/>
      </c>
      <c r="E303" s="106">
        <f>IF($J303="","",INDEX(EV_Type,$J303))</f>
        <v/>
      </c>
      <c r="F303" s="106">
        <f>IF($J303="","",INDEX(EV_Cum,$J303))</f>
        <v/>
      </c>
      <c r="G303" s="106">
        <f>IF($J303="","",INDEX(LevelLabels,MATCH(F303,LevelValues,1)))</f>
        <v/>
      </c>
      <c r="H303" s="106">
        <f>IF($J303="","",IFERROR(INDEX(Stu_ContactReq,MATCH(C303,Stu_ID,0)),""))</f>
        <v/>
      </c>
      <c r="I303" s="107">
        <f>IF($J303="","",IFERROR(INDEX(Stu_Notes,MATCH(C303,Stu_ID,0)),""))</f>
        <v/>
      </c>
      <c r="J303" s="40">
        <f>IF(298&gt;$B$3,"",IFERROR(MATCH(298-1,EV_Seq,1)+1,1))</f>
        <v/>
      </c>
    </row>
    <row r="304">
      <c r="A304" s="105">
        <f>IF($J304="","",INDEX(EV_Date,$J304))</f>
        <v/>
      </c>
      <c r="B304" s="78">
        <f>IF($J304="","",INDEX(EV_Name,$J304))</f>
        <v/>
      </c>
      <c r="C304" s="106">
        <f>IF($J304="","",INDEX(EV_ID,$J304))</f>
        <v/>
      </c>
      <c r="D304" s="106">
        <f>IF($J304="","",INDEX(EV_Class,$J304))</f>
        <v/>
      </c>
      <c r="E304" s="106">
        <f>IF($J304="","",INDEX(EV_Type,$J304))</f>
        <v/>
      </c>
      <c r="F304" s="106">
        <f>IF($J304="","",INDEX(EV_Cum,$J304))</f>
        <v/>
      </c>
      <c r="G304" s="106">
        <f>IF($J304="","",INDEX(LevelLabels,MATCH(F304,LevelValues,1)))</f>
        <v/>
      </c>
      <c r="H304" s="106">
        <f>IF($J304="","",IFERROR(INDEX(Stu_ContactReq,MATCH(C304,Stu_ID,0)),""))</f>
        <v/>
      </c>
      <c r="I304" s="107">
        <f>IF($J304="","",IFERROR(INDEX(Stu_Notes,MATCH(C304,Stu_ID,0)),""))</f>
        <v/>
      </c>
      <c r="J304" s="40">
        <f>IF(299&gt;$B$3,"",IFERROR(MATCH(299-1,EV_Seq,1)+1,1))</f>
        <v/>
      </c>
    </row>
    <row r="305">
      <c r="A305" s="105">
        <f>IF($J305="","",INDEX(EV_Date,$J305))</f>
        <v/>
      </c>
      <c r="B305" s="78">
        <f>IF($J305="","",INDEX(EV_Name,$J305))</f>
        <v/>
      </c>
      <c r="C305" s="106">
        <f>IF($J305="","",INDEX(EV_ID,$J305))</f>
        <v/>
      </c>
      <c r="D305" s="106">
        <f>IF($J305="","",INDEX(EV_Class,$J305))</f>
        <v/>
      </c>
      <c r="E305" s="106">
        <f>IF($J305="","",INDEX(EV_Type,$J305))</f>
        <v/>
      </c>
      <c r="F305" s="106">
        <f>IF($J305="","",INDEX(EV_Cum,$J305))</f>
        <v/>
      </c>
      <c r="G305" s="106">
        <f>IF($J305="","",INDEX(LevelLabels,MATCH(F305,LevelValues,1)))</f>
        <v/>
      </c>
      <c r="H305" s="106">
        <f>IF($J305="","",IFERROR(INDEX(Stu_ContactReq,MATCH(C305,Stu_ID,0)),""))</f>
        <v/>
      </c>
      <c r="I305" s="107">
        <f>IF($J305="","",IFERROR(INDEX(Stu_Notes,MATCH(C305,Stu_ID,0)),""))</f>
        <v/>
      </c>
      <c r="J305" s="40">
        <f>IF(300&gt;$B$3,"",IFERROR(MATCH(300-1,EV_Seq,1)+1,1))</f>
        <v/>
      </c>
    </row>
    <row r="306">
      <c r="A306" s="105">
        <f>IF($J306="","",INDEX(EV_Date,$J306))</f>
        <v/>
      </c>
      <c r="B306" s="78">
        <f>IF($J306="","",INDEX(EV_Name,$J306))</f>
        <v/>
      </c>
      <c r="C306" s="106">
        <f>IF($J306="","",INDEX(EV_ID,$J306))</f>
        <v/>
      </c>
      <c r="D306" s="106">
        <f>IF($J306="","",INDEX(EV_Class,$J306))</f>
        <v/>
      </c>
      <c r="E306" s="106">
        <f>IF($J306="","",INDEX(EV_Type,$J306))</f>
        <v/>
      </c>
      <c r="F306" s="106">
        <f>IF($J306="","",INDEX(EV_Cum,$J306))</f>
        <v/>
      </c>
      <c r="G306" s="106">
        <f>IF($J306="","",INDEX(LevelLabels,MATCH(F306,LevelValues,1)))</f>
        <v/>
      </c>
      <c r="H306" s="106">
        <f>IF($J306="","",IFERROR(INDEX(Stu_ContactReq,MATCH(C306,Stu_ID,0)),""))</f>
        <v/>
      </c>
      <c r="I306" s="107">
        <f>IF($J306="","",IFERROR(INDEX(Stu_Notes,MATCH(C306,Stu_ID,0)),""))</f>
        <v/>
      </c>
      <c r="J306" s="40">
        <f>IF(301&gt;$B$3,"",IFERROR(MATCH(301-1,EV_Seq,1)+1,1))</f>
        <v/>
      </c>
    </row>
    <row r="307">
      <c r="A307" s="105">
        <f>IF($J307="","",INDEX(EV_Date,$J307))</f>
        <v/>
      </c>
      <c r="B307" s="78">
        <f>IF($J307="","",INDEX(EV_Name,$J307))</f>
        <v/>
      </c>
      <c r="C307" s="106">
        <f>IF($J307="","",INDEX(EV_ID,$J307))</f>
        <v/>
      </c>
      <c r="D307" s="106">
        <f>IF($J307="","",INDEX(EV_Class,$J307))</f>
        <v/>
      </c>
      <c r="E307" s="106">
        <f>IF($J307="","",INDEX(EV_Type,$J307))</f>
        <v/>
      </c>
      <c r="F307" s="106">
        <f>IF($J307="","",INDEX(EV_Cum,$J307))</f>
        <v/>
      </c>
      <c r="G307" s="106">
        <f>IF($J307="","",INDEX(LevelLabels,MATCH(F307,LevelValues,1)))</f>
        <v/>
      </c>
      <c r="H307" s="106">
        <f>IF($J307="","",IFERROR(INDEX(Stu_ContactReq,MATCH(C307,Stu_ID,0)),""))</f>
        <v/>
      </c>
      <c r="I307" s="107">
        <f>IF($J307="","",IFERROR(INDEX(Stu_Notes,MATCH(C307,Stu_ID,0)),""))</f>
        <v/>
      </c>
      <c r="J307" s="40">
        <f>IF(302&gt;$B$3,"",IFERROR(MATCH(302-1,EV_Seq,1)+1,1))</f>
        <v/>
      </c>
    </row>
    <row r="308">
      <c r="A308" s="105">
        <f>IF($J308="","",INDEX(EV_Date,$J308))</f>
        <v/>
      </c>
      <c r="B308" s="78">
        <f>IF($J308="","",INDEX(EV_Name,$J308))</f>
        <v/>
      </c>
      <c r="C308" s="106">
        <f>IF($J308="","",INDEX(EV_ID,$J308))</f>
        <v/>
      </c>
      <c r="D308" s="106">
        <f>IF($J308="","",INDEX(EV_Class,$J308))</f>
        <v/>
      </c>
      <c r="E308" s="106">
        <f>IF($J308="","",INDEX(EV_Type,$J308))</f>
        <v/>
      </c>
      <c r="F308" s="106">
        <f>IF($J308="","",INDEX(EV_Cum,$J308))</f>
        <v/>
      </c>
      <c r="G308" s="106">
        <f>IF($J308="","",INDEX(LevelLabels,MATCH(F308,LevelValues,1)))</f>
        <v/>
      </c>
      <c r="H308" s="106">
        <f>IF($J308="","",IFERROR(INDEX(Stu_ContactReq,MATCH(C308,Stu_ID,0)),""))</f>
        <v/>
      </c>
      <c r="I308" s="107">
        <f>IF($J308="","",IFERROR(INDEX(Stu_Notes,MATCH(C308,Stu_ID,0)),""))</f>
        <v/>
      </c>
      <c r="J308" s="40">
        <f>IF(303&gt;$B$3,"",IFERROR(MATCH(303-1,EV_Seq,1)+1,1))</f>
        <v/>
      </c>
    </row>
    <row r="309">
      <c r="A309" s="105">
        <f>IF($J309="","",INDEX(EV_Date,$J309))</f>
        <v/>
      </c>
      <c r="B309" s="78">
        <f>IF($J309="","",INDEX(EV_Name,$J309))</f>
        <v/>
      </c>
      <c r="C309" s="106">
        <f>IF($J309="","",INDEX(EV_ID,$J309))</f>
        <v/>
      </c>
      <c r="D309" s="106">
        <f>IF($J309="","",INDEX(EV_Class,$J309))</f>
        <v/>
      </c>
      <c r="E309" s="106">
        <f>IF($J309="","",INDEX(EV_Type,$J309))</f>
        <v/>
      </c>
      <c r="F309" s="106">
        <f>IF($J309="","",INDEX(EV_Cum,$J309))</f>
        <v/>
      </c>
      <c r="G309" s="106">
        <f>IF($J309="","",INDEX(LevelLabels,MATCH(F309,LevelValues,1)))</f>
        <v/>
      </c>
      <c r="H309" s="106">
        <f>IF($J309="","",IFERROR(INDEX(Stu_ContactReq,MATCH(C309,Stu_ID,0)),""))</f>
        <v/>
      </c>
      <c r="I309" s="107">
        <f>IF($J309="","",IFERROR(INDEX(Stu_Notes,MATCH(C309,Stu_ID,0)),""))</f>
        <v/>
      </c>
      <c r="J309" s="40">
        <f>IF(304&gt;$B$3,"",IFERROR(MATCH(304-1,EV_Seq,1)+1,1))</f>
        <v/>
      </c>
    </row>
    <row r="310">
      <c r="A310" s="105">
        <f>IF($J310="","",INDEX(EV_Date,$J310))</f>
        <v/>
      </c>
      <c r="B310" s="78">
        <f>IF($J310="","",INDEX(EV_Name,$J310))</f>
        <v/>
      </c>
      <c r="C310" s="106">
        <f>IF($J310="","",INDEX(EV_ID,$J310))</f>
        <v/>
      </c>
      <c r="D310" s="106">
        <f>IF($J310="","",INDEX(EV_Class,$J310))</f>
        <v/>
      </c>
      <c r="E310" s="106">
        <f>IF($J310="","",INDEX(EV_Type,$J310))</f>
        <v/>
      </c>
      <c r="F310" s="106">
        <f>IF($J310="","",INDEX(EV_Cum,$J310))</f>
        <v/>
      </c>
      <c r="G310" s="106">
        <f>IF($J310="","",INDEX(LevelLabels,MATCH(F310,LevelValues,1)))</f>
        <v/>
      </c>
      <c r="H310" s="106">
        <f>IF($J310="","",IFERROR(INDEX(Stu_ContactReq,MATCH(C310,Stu_ID,0)),""))</f>
        <v/>
      </c>
      <c r="I310" s="107">
        <f>IF($J310="","",IFERROR(INDEX(Stu_Notes,MATCH(C310,Stu_ID,0)),""))</f>
        <v/>
      </c>
      <c r="J310" s="40">
        <f>IF(305&gt;$B$3,"",IFERROR(MATCH(305-1,EV_Seq,1)+1,1))</f>
        <v/>
      </c>
    </row>
    <row r="311">
      <c r="A311" s="105">
        <f>IF($J311="","",INDEX(EV_Date,$J311))</f>
        <v/>
      </c>
      <c r="B311" s="78">
        <f>IF($J311="","",INDEX(EV_Name,$J311))</f>
        <v/>
      </c>
      <c r="C311" s="106">
        <f>IF($J311="","",INDEX(EV_ID,$J311))</f>
        <v/>
      </c>
      <c r="D311" s="106">
        <f>IF($J311="","",INDEX(EV_Class,$J311))</f>
        <v/>
      </c>
      <c r="E311" s="106">
        <f>IF($J311="","",INDEX(EV_Type,$J311))</f>
        <v/>
      </c>
      <c r="F311" s="106">
        <f>IF($J311="","",INDEX(EV_Cum,$J311))</f>
        <v/>
      </c>
      <c r="G311" s="106">
        <f>IF($J311="","",INDEX(LevelLabels,MATCH(F311,LevelValues,1)))</f>
        <v/>
      </c>
      <c r="H311" s="106">
        <f>IF($J311="","",IFERROR(INDEX(Stu_ContactReq,MATCH(C311,Stu_ID,0)),""))</f>
        <v/>
      </c>
      <c r="I311" s="107">
        <f>IF($J311="","",IFERROR(INDEX(Stu_Notes,MATCH(C311,Stu_ID,0)),""))</f>
        <v/>
      </c>
      <c r="J311" s="40">
        <f>IF(306&gt;$B$3,"",IFERROR(MATCH(306-1,EV_Seq,1)+1,1))</f>
        <v/>
      </c>
    </row>
    <row r="312">
      <c r="A312" s="105">
        <f>IF($J312="","",INDEX(EV_Date,$J312))</f>
        <v/>
      </c>
      <c r="B312" s="78">
        <f>IF($J312="","",INDEX(EV_Name,$J312))</f>
        <v/>
      </c>
      <c r="C312" s="106">
        <f>IF($J312="","",INDEX(EV_ID,$J312))</f>
        <v/>
      </c>
      <c r="D312" s="106">
        <f>IF($J312="","",INDEX(EV_Class,$J312))</f>
        <v/>
      </c>
      <c r="E312" s="106">
        <f>IF($J312="","",INDEX(EV_Type,$J312))</f>
        <v/>
      </c>
      <c r="F312" s="106">
        <f>IF($J312="","",INDEX(EV_Cum,$J312))</f>
        <v/>
      </c>
      <c r="G312" s="106">
        <f>IF($J312="","",INDEX(LevelLabels,MATCH(F312,LevelValues,1)))</f>
        <v/>
      </c>
      <c r="H312" s="106">
        <f>IF($J312="","",IFERROR(INDEX(Stu_ContactReq,MATCH(C312,Stu_ID,0)),""))</f>
        <v/>
      </c>
      <c r="I312" s="107">
        <f>IF($J312="","",IFERROR(INDEX(Stu_Notes,MATCH(C312,Stu_ID,0)),""))</f>
        <v/>
      </c>
      <c r="J312" s="40">
        <f>IF(307&gt;$B$3,"",IFERROR(MATCH(307-1,EV_Seq,1)+1,1))</f>
        <v/>
      </c>
    </row>
    <row r="313">
      <c r="A313" s="105">
        <f>IF($J313="","",INDEX(EV_Date,$J313))</f>
        <v/>
      </c>
      <c r="B313" s="78">
        <f>IF($J313="","",INDEX(EV_Name,$J313))</f>
        <v/>
      </c>
      <c r="C313" s="106">
        <f>IF($J313="","",INDEX(EV_ID,$J313))</f>
        <v/>
      </c>
      <c r="D313" s="106">
        <f>IF($J313="","",INDEX(EV_Class,$J313))</f>
        <v/>
      </c>
      <c r="E313" s="106">
        <f>IF($J313="","",INDEX(EV_Type,$J313))</f>
        <v/>
      </c>
      <c r="F313" s="106">
        <f>IF($J313="","",INDEX(EV_Cum,$J313))</f>
        <v/>
      </c>
      <c r="G313" s="106">
        <f>IF($J313="","",INDEX(LevelLabels,MATCH(F313,LevelValues,1)))</f>
        <v/>
      </c>
      <c r="H313" s="106">
        <f>IF($J313="","",IFERROR(INDEX(Stu_ContactReq,MATCH(C313,Stu_ID,0)),""))</f>
        <v/>
      </c>
      <c r="I313" s="107">
        <f>IF($J313="","",IFERROR(INDEX(Stu_Notes,MATCH(C313,Stu_ID,0)),""))</f>
        <v/>
      </c>
      <c r="J313" s="40">
        <f>IF(308&gt;$B$3,"",IFERROR(MATCH(308-1,EV_Seq,1)+1,1))</f>
        <v/>
      </c>
    </row>
    <row r="314">
      <c r="A314" s="105">
        <f>IF($J314="","",INDEX(EV_Date,$J314))</f>
        <v/>
      </c>
      <c r="B314" s="78">
        <f>IF($J314="","",INDEX(EV_Name,$J314))</f>
        <v/>
      </c>
      <c r="C314" s="106">
        <f>IF($J314="","",INDEX(EV_ID,$J314))</f>
        <v/>
      </c>
      <c r="D314" s="106">
        <f>IF($J314="","",INDEX(EV_Class,$J314))</f>
        <v/>
      </c>
      <c r="E314" s="106">
        <f>IF($J314="","",INDEX(EV_Type,$J314))</f>
        <v/>
      </c>
      <c r="F314" s="106">
        <f>IF($J314="","",INDEX(EV_Cum,$J314))</f>
        <v/>
      </c>
      <c r="G314" s="106">
        <f>IF($J314="","",INDEX(LevelLabels,MATCH(F314,LevelValues,1)))</f>
        <v/>
      </c>
      <c r="H314" s="106">
        <f>IF($J314="","",IFERROR(INDEX(Stu_ContactReq,MATCH(C314,Stu_ID,0)),""))</f>
        <v/>
      </c>
      <c r="I314" s="107">
        <f>IF($J314="","",IFERROR(INDEX(Stu_Notes,MATCH(C314,Stu_ID,0)),""))</f>
        <v/>
      </c>
      <c r="J314" s="40">
        <f>IF(309&gt;$B$3,"",IFERROR(MATCH(309-1,EV_Seq,1)+1,1))</f>
        <v/>
      </c>
    </row>
    <row r="315">
      <c r="A315" s="105">
        <f>IF($J315="","",INDEX(EV_Date,$J315))</f>
        <v/>
      </c>
      <c r="B315" s="78">
        <f>IF($J315="","",INDEX(EV_Name,$J315))</f>
        <v/>
      </c>
      <c r="C315" s="106">
        <f>IF($J315="","",INDEX(EV_ID,$J315))</f>
        <v/>
      </c>
      <c r="D315" s="106">
        <f>IF($J315="","",INDEX(EV_Class,$J315))</f>
        <v/>
      </c>
      <c r="E315" s="106">
        <f>IF($J315="","",INDEX(EV_Type,$J315))</f>
        <v/>
      </c>
      <c r="F315" s="106">
        <f>IF($J315="","",INDEX(EV_Cum,$J315))</f>
        <v/>
      </c>
      <c r="G315" s="106">
        <f>IF($J315="","",INDEX(LevelLabels,MATCH(F315,LevelValues,1)))</f>
        <v/>
      </c>
      <c r="H315" s="106">
        <f>IF($J315="","",IFERROR(INDEX(Stu_ContactReq,MATCH(C315,Stu_ID,0)),""))</f>
        <v/>
      </c>
      <c r="I315" s="107">
        <f>IF($J315="","",IFERROR(INDEX(Stu_Notes,MATCH(C315,Stu_ID,0)),""))</f>
        <v/>
      </c>
      <c r="J315" s="40">
        <f>IF(310&gt;$B$3,"",IFERROR(MATCH(310-1,EV_Seq,1)+1,1))</f>
        <v/>
      </c>
    </row>
    <row r="316">
      <c r="A316" s="105">
        <f>IF($J316="","",INDEX(EV_Date,$J316))</f>
        <v/>
      </c>
      <c r="B316" s="78">
        <f>IF($J316="","",INDEX(EV_Name,$J316))</f>
        <v/>
      </c>
      <c r="C316" s="106">
        <f>IF($J316="","",INDEX(EV_ID,$J316))</f>
        <v/>
      </c>
      <c r="D316" s="106">
        <f>IF($J316="","",INDEX(EV_Class,$J316))</f>
        <v/>
      </c>
      <c r="E316" s="106">
        <f>IF($J316="","",INDEX(EV_Type,$J316))</f>
        <v/>
      </c>
      <c r="F316" s="106">
        <f>IF($J316="","",INDEX(EV_Cum,$J316))</f>
        <v/>
      </c>
      <c r="G316" s="106">
        <f>IF($J316="","",INDEX(LevelLabels,MATCH(F316,LevelValues,1)))</f>
        <v/>
      </c>
      <c r="H316" s="106">
        <f>IF($J316="","",IFERROR(INDEX(Stu_ContactReq,MATCH(C316,Stu_ID,0)),""))</f>
        <v/>
      </c>
      <c r="I316" s="107">
        <f>IF($J316="","",IFERROR(INDEX(Stu_Notes,MATCH(C316,Stu_ID,0)),""))</f>
        <v/>
      </c>
      <c r="J316" s="40">
        <f>IF(311&gt;$B$3,"",IFERROR(MATCH(311-1,EV_Seq,1)+1,1))</f>
        <v/>
      </c>
    </row>
    <row r="317">
      <c r="A317" s="105">
        <f>IF($J317="","",INDEX(EV_Date,$J317))</f>
        <v/>
      </c>
      <c r="B317" s="78">
        <f>IF($J317="","",INDEX(EV_Name,$J317))</f>
        <v/>
      </c>
      <c r="C317" s="106">
        <f>IF($J317="","",INDEX(EV_ID,$J317))</f>
        <v/>
      </c>
      <c r="D317" s="106">
        <f>IF($J317="","",INDEX(EV_Class,$J317))</f>
        <v/>
      </c>
      <c r="E317" s="106">
        <f>IF($J317="","",INDEX(EV_Type,$J317))</f>
        <v/>
      </c>
      <c r="F317" s="106">
        <f>IF($J317="","",INDEX(EV_Cum,$J317))</f>
        <v/>
      </c>
      <c r="G317" s="106">
        <f>IF($J317="","",INDEX(LevelLabels,MATCH(F317,LevelValues,1)))</f>
        <v/>
      </c>
      <c r="H317" s="106">
        <f>IF($J317="","",IFERROR(INDEX(Stu_ContactReq,MATCH(C317,Stu_ID,0)),""))</f>
        <v/>
      </c>
      <c r="I317" s="107">
        <f>IF($J317="","",IFERROR(INDEX(Stu_Notes,MATCH(C317,Stu_ID,0)),""))</f>
        <v/>
      </c>
      <c r="J317" s="40">
        <f>IF(312&gt;$B$3,"",IFERROR(MATCH(312-1,EV_Seq,1)+1,1))</f>
        <v/>
      </c>
    </row>
    <row r="318">
      <c r="A318" s="105">
        <f>IF($J318="","",INDEX(EV_Date,$J318))</f>
        <v/>
      </c>
      <c r="B318" s="78">
        <f>IF($J318="","",INDEX(EV_Name,$J318))</f>
        <v/>
      </c>
      <c r="C318" s="106">
        <f>IF($J318="","",INDEX(EV_ID,$J318))</f>
        <v/>
      </c>
      <c r="D318" s="106">
        <f>IF($J318="","",INDEX(EV_Class,$J318))</f>
        <v/>
      </c>
      <c r="E318" s="106">
        <f>IF($J318="","",INDEX(EV_Type,$J318))</f>
        <v/>
      </c>
      <c r="F318" s="106">
        <f>IF($J318="","",INDEX(EV_Cum,$J318))</f>
        <v/>
      </c>
      <c r="G318" s="106">
        <f>IF($J318="","",INDEX(LevelLabels,MATCH(F318,LevelValues,1)))</f>
        <v/>
      </c>
      <c r="H318" s="106">
        <f>IF($J318="","",IFERROR(INDEX(Stu_ContactReq,MATCH(C318,Stu_ID,0)),""))</f>
        <v/>
      </c>
      <c r="I318" s="107">
        <f>IF($J318="","",IFERROR(INDEX(Stu_Notes,MATCH(C318,Stu_ID,0)),""))</f>
        <v/>
      </c>
      <c r="J318" s="40">
        <f>IF(313&gt;$B$3,"",IFERROR(MATCH(313-1,EV_Seq,1)+1,1))</f>
        <v/>
      </c>
    </row>
    <row r="319">
      <c r="A319" s="105">
        <f>IF($J319="","",INDEX(EV_Date,$J319))</f>
        <v/>
      </c>
      <c r="B319" s="78">
        <f>IF($J319="","",INDEX(EV_Name,$J319))</f>
        <v/>
      </c>
      <c r="C319" s="106">
        <f>IF($J319="","",INDEX(EV_ID,$J319))</f>
        <v/>
      </c>
      <c r="D319" s="106">
        <f>IF($J319="","",INDEX(EV_Class,$J319))</f>
        <v/>
      </c>
      <c r="E319" s="106">
        <f>IF($J319="","",INDEX(EV_Type,$J319))</f>
        <v/>
      </c>
      <c r="F319" s="106">
        <f>IF($J319="","",INDEX(EV_Cum,$J319))</f>
        <v/>
      </c>
      <c r="G319" s="106">
        <f>IF($J319="","",INDEX(LevelLabels,MATCH(F319,LevelValues,1)))</f>
        <v/>
      </c>
      <c r="H319" s="106">
        <f>IF($J319="","",IFERROR(INDEX(Stu_ContactReq,MATCH(C319,Stu_ID,0)),""))</f>
        <v/>
      </c>
      <c r="I319" s="107">
        <f>IF($J319="","",IFERROR(INDEX(Stu_Notes,MATCH(C319,Stu_ID,0)),""))</f>
        <v/>
      </c>
      <c r="J319" s="40">
        <f>IF(314&gt;$B$3,"",IFERROR(MATCH(314-1,EV_Seq,1)+1,1))</f>
        <v/>
      </c>
    </row>
    <row r="320">
      <c r="A320" s="105">
        <f>IF($J320="","",INDEX(EV_Date,$J320))</f>
        <v/>
      </c>
      <c r="B320" s="78">
        <f>IF($J320="","",INDEX(EV_Name,$J320))</f>
        <v/>
      </c>
      <c r="C320" s="106">
        <f>IF($J320="","",INDEX(EV_ID,$J320))</f>
        <v/>
      </c>
      <c r="D320" s="106">
        <f>IF($J320="","",INDEX(EV_Class,$J320))</f>
        <v/>
      </c>
      <c r="E320" s="106">
        <f>IF($J320="","",INDEX(EV_Type,$J320))</f>
        <v/>
      </c>
      <c r="F320" s="106">
        <f>IF($J320="","",INDEX(EV_Cum,$J320))</f>
        <v/>
      </c>
      <c r="G320" s="106">
        <f>IF($J320="","",INDEX(LevelLabels,MATCH(F320,LevelValues,1)))</f>
        <v/>
      </c>
      <c r="H320" s="106">
        <f>IF($J320="","",IFERROR(INDEX(Stu_ContactReq,MATCH(C320,Stu_ID,0)),""))</f>
        <v/>
      </c>
      <c r="I320" s="107">
        <f>IF($J320="","",IFERROR(INDEX(Stu_Notes,MATCH(C320,Stu_ID,0)),""))</f>
        <v/>
      </c>
      <c r="J320" s="40">
        <f>IF(315&gt;$B$3,"",IFERROR(MATCH(315-1,EV_Seq,1)+1,1))</f>
        <v/>
      </c>
    </row>
    <row r="321">
      <c r="A321" s="105">
        <f>IF($J321="","",INDEX(EV_Date,$J321))</f>
        <v/>
      </c>
      <c r="B321" s="78">
        <f>IF($J321="","",INDEX(EV_Name,$J321))</f>
        <v/>
      </c>
      <c r="C321" s="106">
        <f>IF($J321="","",INDEX(EV_ID,$J321))</f>
        <v/>
      </c>
      <c r="D321" s="106">
        <f>IF($J321="","",INDEX(EV_Class,$J321))</f>
        <v/>
      </c>
      <c r="E321" s="106">
        <f>IF($J321="","",INDEX(EV_Type,$J321))</f>
        <v/>
      </c>
      <c r="F321" s="106">
        <f>IF($J321="","",INDEX(EV_Cum,$J321))</f>
        <v/>
      </c>
      <c r="G321" s="106">
        <f>IF($J321="","",INDEX(LevelLabels,MATCH(F321,LevelValues,1)))</f>
        <v/>
      </c>
      <c r="H321" s="106">
        <f>IF($J321="","",IFERROR(INDEX(Stu_ContactReq,MATCH(C321,Stu_ID,0)),""))</f>
        <v/>
      </c>
      <c r="I321" s="107">
        <f>IF($J321="","",IFERROR(INDEX(Stu_Notes,MATCH(C321,Stu_ID,0)),""))</f>
        <v/>
      </c>
      <c r="J321" s="40">
        <f>IF(316&gt;$B$3,"",IFERROR(MATCH(316-1,EV_Seq,1)+1,1))</f>
        <v/>
      </c>
    </row>
    <row r="322">
      <c r="A322" s="105">
        <f>IF($J322="","",INDEX(EV_Date,$J322))</f>
        <v/>
      </c>
      <c r="B322" s="78">
        <f>IF($J322="","",INDEX(EV_Name,$J322))</f>
        <v/>
      </c>
      <c r="C322" s="106">
        <f>IF($J322="","",INDEX(EV_ID,$J322))</f>
        <v/>
      </c>
      <c r="D322" s="106">
        <f>IF($J322="","",INDEX(EV_Class,$J322))</f>
        <v/>
      </c>
      <c r="E322" s="106">
        <f>IF($J322="","",INDEX(EV_Type,$J322))</f>
        <v/>
      </c>
      <c r="F322" s="106">
        <f>IF($J322="","",INDEX(EV_Cum,$J322))</f>
        <v/>
      </c>
      <c r="G322" s="106">
        <f>IF($J322="","",INDEX(LevelLabels,MATCH(F322,LevelValues,1)))</f>
        <v/>
      </c>
      <c r="H322" s="106">
        <f>IF($J322="","",IFERROR(INDEX(Stu_ContactReq,MATCH(C322,Stu_ID,0)),""))</f>
        <v/>
      </c>
      <c r="I322" s="107">
        <f>IF($J322="","",IFERROR(INDEX(Stu_Notes,MATCH(C322,Stu_ID,0)),""))</f>
        <v/>
      </c>
      <c r="J322" s="40">
        <f>IF(317&gt;$B$3,"",IFERROR(MATCH(317-1,EV_Seq,1)+1,1))</f>
        <v/>
      </c>
    </row>
    <row r="323">
      <c r="A323" s="105">
        <f>IF($J323="","",INDEX(EV_Date,$J323))</f>
        <v/>
      </c>
      <c r="B323" s="78">
        <f>IF($J323="","",INDEX(EV_Name,$J323))</f>
        <v/>
      </c>
      <c r="C323" s="106">
        <f>IF($J323="","",INDEX(EV_ID,$J323))</f>
        <v/>
      </c>
      <c r="D323" s="106">
        <f>IF($J323="","",INDEX(EV_Class,$J323))</f>
        <v/>
      </c>
      <c r="E323" s="106">
        <f>IF($J323="","",INDEX(EV_Type,$J323))</f>
        <v/>
      </c>
      <c r="F323" s="106">
        <f>IF($J323="","",INDEX(EV_Cum,$J323))</f>
        <v/>
      </c>
      <c r="G323" s="106">
        <f>IF($J323="","",INDEX(LevelLabels,MATCH(F323,LevelValues,1)))</f>
        <v/>
      </c>
      <c r="H323" s="106">
        <f>IF($J323="","",IFERROR(INDEX(Stu_ContactReq,MATCH(C323,Stu_ID,0)),""))</f>
        <v/>
      </c>
      <c r="I323" s="107">
        <f>IF($J323="","",IFERROR(INDEX(Stu_Notes,MATCH(C323,Stu_ID,0)),""))</f>
        <v/>
      </c>
      <c r="J323" s="40">
        <f>IF(318&gt;$B$3,"",IFERROR(MATCH(318-1,EV_Seq,1)+1,1))</f>
        <v/>
      </c>
    </row>
    <row r="324">
      <c r="A324" s="105">
        <f>IF($J324="","",INDEX(EV_Date,$J324))</f>
        <v/>
      </c>
      <c r="B324" s="78">
        <f>IF($J324="","",INDEX(EV_Name,$J324))</f>
        <v/>
      </c>
      <c r="C324" s="106">
        <f>IF($J324="","",INDEX(EV_ID,$J324))</f>
        <v/>
      </c>
      <c r="D324" s="106">
        <f>IF($J324="","",INDEX(EV_Class,$J324))</f>
        <v/>
      </c>
      <c r="E324" s="106">
        <f>IF($J324="","",INDEX(EV_Type,$J324))</f>
        <v/>
      </c>
      <c r="F324" s="106">
        <f>IF($J324="","",INDEX(EV_Cum,$J324))</f>
        <v/>
      </c>
      <c r="G324" s="106">
        <f>IF($J324="","",INDEX(LevelLabels,MATCH(F324,LevelValues,1)))</f>
        <v/>
      </c>
      <c r="H324" s="106">
        <f>IF($J324="","",IFERROR(INDEX(Stu_ContactReq,MATCH(C324,Stu_ID,0)),""))</f>
        <v/>
      </c>
      <c r="I324" s="107">
        <f>IF($J324="","",IFERROR(INDEX(Stu_Notes,MATCH(C324,Stu_ID,0)),""))</f>
        <v/>
      </c>
      <c r="J324" s="40">
        <f>IF(319&gt;$B$3,"",IFERROR(MATCH(319-1,EV_Seq,1)+1,1))</f>
        <v/>
      </c>
    </row>
    <row r="325">
      <c r="A325" s="105">
        <f>IF($J325="","",INDEX(EV_Date,$J325))</f>
        <v/>
      </c>
      <c r="B325" s="78">
        <f>IF($J325="","",INDEX(EV_Name,$J325))</f>
        <v/>
      </c>
      <c r="C325" s="106">
        <f>IF($J325="","",INDEX(EV_ID,$J325))</f>
        <v/>
      </c>
      <c r="D325" s="106">
        <f>IF($J325="","",INDEX(EV_Class,$J325))</f>
        <v/>
      </c>
      <c r="E325" s="106">
        <f>IF($J325="","",INDEX(EV_Type,$J325))</f>
        <v/>
      </c>
      <c r="F325" s="106">
        <f>IF($J325="","",INDEX(EV_Cum,$J325))</f>
        <v/>
      </c>
      <c r="G325" s="106">
        <f>IF($J325="","",INDEX(LevelLabels,MATCH(F325,LevelValues,1)))</f>
        <v/>
      </c>
      <c r="H325" s="106">
        <f>IF($J325="","",IFERROR(INDEX(Stu_ContactReq,MATCH(C325,Stu_ID,0)),""))</f>
        <v/>
      </c>
      <c r="I325" s="107">
        <f>IF($J325="","",IFERROR(INDEX(Stu_Notes,MATCH(C325,Stu_ID,0)),""))</f>
        <v/>
      </c>
      <c r="J325" s="40">
        <f>IF(320&gt;$B$3,"",IFERROR(MATCH(320-1,EV_Seq,1)+1,1))</f>
        <v/>
      </c>
    </row>
    <row r="326">
      <c r="A326" s="105">
        <f>IF($J326="","",INDEX(EV_Date,$J326))</f>
        <v/>
      </c>
      <c r="B326" s="78">
        <f>IF($J326="","",INDEX(EV_Name,$J326))</f>
        <v/>
      </c>
      <c r="C326" s="106">
        <f>IF($J326="","",INDEX(EV_ID,$J326))</f>
        <v/>
      </c>
      <c r="D326" s="106">
        <f>IF($J326="","",INDEX(EV_Class,$J326))</f>
        <v/>
      </c>
      <c r="E326" s="106">
        <f>IF($J326="","",INDEX(EV_Type,$J326))</f>
        <v/>
      </c>
      <c r="F326" s="106">
        <f>IF($J326="","",INDEX(EV_Cum,$J326))</f>
        <v/>
      </c>
      <c r="G326" s="106">
        <f>IF($J326="","",INDEX(LevelLabels,MATCH(F326,LevelValues,1)))</f>
        <v/>
      </c>
      <c r="H326" s="106">
        <f>IF($J326="","",IFERROR(INDEX(Stu_ContactReq,MATCH(C326,Stu_ID,0)),""))</f>
        <v/>
      </c>
      <c r="I326" s="107">
        <f>IF($J326="","",IFERROR(INDEX(Stu_Notes,MATCH(C326,Stu_ID,0)),""))</f>
        <v/>
      </c>
      <c r="J326" s="40">
        <f>IF(321&gt;$B$3,"",IFERROR(MATCH(321-1,EV_Seq,1)+1,1))</f>
        <v/>
      </c>
    </row>
    <row r="327">
      <c r="A327" s="105">
        <f>IF($J327="","",INDEX(EV_Date,$J327))</f>
        <v/>
      </c>
      <c r="B327" s="78">
        <f>IF($J327="","",INDEX(EV_Name,$J327))</f>
        <v/>
      </c>
      <c r="C327" s="106">
        <f>IF($J327="","",INDEX(EV_ID,$J327))</f>
        <v/>
      </c>
      <c r="D327" s="106">
        <f>IF($J327="","",INDEX(EV_Class,$J327))</f>
        <v/>
      </c>
      <c r="E327" s="106">
        <f>IF($J327="","",INDEX(EV_Type,$J327))</f>
        <v/>
      </c>
      <c r="F327" s="106">
        <f>IF($J327="","",INDEX(EV_Cum,$J327))</f>
        <v/>
      </c>
      <c r="G327" s="106">
        <f>IF($J327="","",INDEX(LevelLabels,MATCH(F327,LevelValues,1)))</f>
        <v/>
      </c>
      <c r="H327" s="106">
        <f>IF($J327="","",IFERROR(INDEX(Stu_ContactReq,MATCH(C327,Stu_ID,0)),""))</f>
        <v/>
      </c>
      <c r="I327" s="107">
        <f>IF($J327="","",IFERROR(INDEX(Stu_Notes,MATCH(C327,Stu_ID,0)),""))</f>
        <v/>
      </c>
      <c r="J327" s="40">
        <f>IF(322&gt;$B$3,"",IFERROR(MATCH(322-1,EV_Seq,1)+1,1))</f>
        <v/>
      </c>
    </row>
    <row r="328">
      <c r="A328" s="105">
        <f>IF($J328="","",INDEX(EV_Date,$J328))</f>
        <v/>
      </c>
      <c r="B328" s="78">
        <f>IF($J328="","",INDEX(EV_Name,$J328))</f>
        <v/>
      </c>
      <c r="C328" s="106">
        <f>IF($J328="","",INDEX(EV_ID,$J328))</f>
        <v/>
      </c>
      <c r="D328" s="106">
        <f>IF($J328="","",INDEX(EV_Class,$J328))</f>
        <v/>
      </c>
      <c r="E328" s="106">
        <f>IF($J328="","",INDEX(EV_Type,$J328))</f>
        <v/>
      </c>
      <c r="F328" s="106">
        <f>IF($J328="","",INDEX(EV_Cum,$J328))</f>
        <v/>
      </c>
      <c r="G328" s="106">
        <f>IF($J328="","",INDEX(LevelLabels,MATCH(F328,LevelValues,1)))</f>
        <v/>
      </c>
      <c r="H328" s="106">
        <f>IF($J328="","",IFERROR(INDEX(Stu_ContactReq,MATCH(C328,Stu_ID,0)),""))</f>
        <v/>
      </c>
      <c r="I328" s="107">
        <f>IF($J328="","",IFERROR(INDEX(Stu_Notes,MATCH(C328,Stu_ID,0)),""))</f>
        <v/>
      </c>
      <c r="J328" s="40">
        <f>IF(323&gt;$B$3,"",IFERROR(MATCH(323-1,EV_Seq,1)+1,1))</f>
        <v/>
      </c>
    </row>
    <row r="329">
      <c r="A329" s="105">
        <f>IF($J329="","",INDEX(EV_Date,$J329))</f>
        <v/>
      </c>
      <c r="B329" s="78">
        <f>IF($J329="","",INDEX(EV_Name,$J329))</f>
        <v/>
      </c>
      <c r="C329" s="106">
        <f>IF($J329="","",INDEX(EV_ID,$J329))</f>
        <v/>
      </c>
      <c r="D329" s="106">
        <f>IF($J329="","",INDEX(EV_Class,$J329))</f>
        <v/>
      </c>
      <c r="E329" s="106">
        <f>IF($J329="","",INDEX(EV_Type,$J329))</f>
        <v/>
      </c>
      <c r="F329" s="106">
        <f>IF($J329="","",INDEX(EV_Cum,$J329))</f>
        <v/>
      </c>
      <c r="G329" s="106">
        <f>IF($J329="","",INDEX(LevelLabels,MATCH(F329,LevelValues,1)))</f>
        <v/>
      </c>
      <c r="H329" s="106">
        <f>IF($J329="","",IFERROR(INDEX(Stu_ContactReq,MATCH(C329,Stu_ID,0)),""))</f>
        <v/>
      </c>
      <c r="I329" s="107">
        <f>IF($J329="","",IFERROR(INDEX(Stu_Notes,MATCH(C329,Stu_ID,0)),""))</f>
        <v/>
      </c>
      <c r="J329" s="40">
        <f>IF(324&gt;$B$3,"",IFERROR(MATCH(324-1,EV_Seq,1)+1,1))</f>
        <v/>
      </c>
    </row>
    <row r="330">
      <c r="A330" s="105">
        <f>IF($J330="","",INDEX(EV_Date,$J330))</f>
        <v/>
      </c>
      <c r="B330" s="78">
        <f>IF($J330="","",INDEX(EV_Name,$J330))</f>
        <v/>
      </c>
      <c r="C330" s="106">
        <f>IF($J330="","",INDEX(EV_ID,$J330))</f>
        <v/>
      </c>
      <c r="D330" s="106">
        <f>IF($J330="","",INDEX(EV_Class,$J330))</f>
        <v/>
      </c>
      <c r="E330" s="106">
        <f>IF($J330="","",INDEX(EV_Type,$J330))</f>
        <v/>
      </c>
      <c r="F330" s="106">
        <f>IF($J330="","",INDEX(EV_Cum,$J330))</f>
        <v/>
      </c>
      <c r="G330" s="106">
        <f>IF($J330="","",INDEX(LevelLabels,MATCH(F330,LevelValues,1)))</f>
        <v/>
      </c>
      <c r="H330" s="106">
        <f>IF($J330="","",IFERROR(INDEX(Stu_ContactReq,MATCH(C330,Stu_ID,0)),""))</f>
        <v/>
      </c>
      <c r="I330" s="107">
        <f>IF($J330="","",IFERROR(INDEX(Stu_Notes,MATCH(C330,Stu_ID,0)),""))</f>
        <v/>
      </c>
      <c r="J330" s="40">
        <f>IF(325&gt;$B$3,"",IFERROR(MATCH(325-1,EV_Seq,1)+1,1))</f>
        <v/>
      </c>
    </row>
    <row r="331">
      <c r="A331" s="105">
        <f>IF($J331="","",INDEX(EV_Date,$J331))</f>
        <v/>
      </c>
      <c r="B331" s="78">
        <f>IF($J331="","",INDEX(EV_Name,$J331))</f>
        <v/>
      </c>
      <c r="C331" s="106">
        <f>IF($J331="","",INDEX(EV_ID,$J331))</f>
        <v/>
      </c>
      <c r="D331" s="106">
        <f>IF($J331="","",INDEX(EV_Class,$J331))</f>
        <v/>
      </c>
      <c r="E331" s="106">
        <f>IF($J331="","",INDEX(EV_Type,$J331))</f>
        <v/>
      </c>
      <c r="F331" s="106">
        <f>IF($J331="","",INDEX(EV_Cum,$J331))</f>
        <v/>
      </c>
      <c r="G331" s="106">
        <f>IF($J331="","",INDEX(LevelLabels,MATCH(F331,LevelValues,1)))</f>
        <v/>
      </c>
      <c r="H331" s="106">
        <f>IF($J331="","",IFERROR(INDEX(Stu_ContactReq,MATCH(C331,Stu_ID,0)),""))</f>
        <v/>
      </c>
      <c r="I331" s="107">
        <f>IF($J331="","",IFERROR(INDEX(Stu_Notes,MATCH(C331,Stu_ID,0)),""))</f>
        <v/>
      </c>
      <c r="J331" s="40">
        <f>IF(326&gt;$B$3,"",IFERROR(MATCH(326-1,EV_Seq,1)+1,1))</f>
        <v/>
      </c>
    </row>
    <row r="332">
      <c r="A332" s="105">
        <f>IF($J332="","",INDEX(EV_Date,$J332))</f>
        <v/>
      </c>
      <c r="B332" s="78">
        <f>IF($J332="","",INDEX(EV_Name,$J332))</f>
        <v/>
      </c>
      <c r="C332" s="106">
        <f>IF($J332="","",INDEX(EV_ID,$J332))</f>
        <v/>
      </c>
      <c r="D332" s="106">
        <f>IF($J332="","",INDEX(EV_Class,$J332))</f>
        <v/>
      </c>
      <c r="E332" s="106">
        <f>IF($J332="","",INDEX(EV_Type,$J332))</f>
        <v/>
      </c>
      <c r="F332" s="106">
        <f>IF($J332="","",INDEX(EV_Cum,$J332))</f>
        <v/>
      </c>
      <c r="G332" s="106">
        <f>IF($J332="","",INDEX(LevelLabels,MATCH(F332,LevelValues,1)))</f>
        <v/>
      </c>
      <c r="H332" s="106">
        <f>IF($J332="","",IFERROR(INDEX(Stu_ContactReq,MATCH(C332,Stu_ID,0)),""))</f>
        <v/>
      </c>
      <c r="I332" s="107">
        <f>IF($J332="","",IFERROR(INDEX(Stu_Notes,MATCH(C332,Stu_ID,0)),""))</f>
        <v/>
      </c>
      <c r="J332" s="40">
        <f>IF(327&gt;$B$3,"",IFERROR(MATCH(327-1,EV_Seq,1)+1,1))</f>
        <v/>
      </c>
    </row>
    <row r="333">
      <c r="A333" s="105">
        <f>IF($J333="","",INDEX(EV_Date,$J333))</f>
        <v/>
      </c>
      <c r="B333" s="78">
        <f>IF($J333="","",INDEX(EV_Name,$J333))</f>
        <v/>
      </c>
      <c r="C333" s="106">
        <f>IF($J333="","",INDEX(EV_ID,$J333))</f>
        <v/>
      </c>
      <c r="D333" s="106">
        <f>IF($J333="","",INDEX(EV_Class,$J333))</f>
        <v/>
      </c>
      <c r="E333" s="106">
        <f>IF($J333="","",INDEX(EV_Type,$J333))</f>
        <v/>
      </c>
      <c r="F333" s="106">
        <f>IF($J333="","",INDEX(EV_Cum,$J333))</f>
        <v/>
      </c>
      <c r="G333" s="106">
        <f>IF($J333="","",INDEX(LevelLabels,MATCH(F333,LevelValues,1)))</f>
        <v/>
      </c>
      <c r="H333" s="106">
        <f>IF($J333="","",IFERROR(INDEX(Stu_ContactReq,MATCH(C333,Stu_ID,0)),""))</f>
        <v/>
      </c>
      <c r="I333" s="107">
        <f>IF($J333="","",IFERROR(INDEX(Stu_Notes,MATCH(C333,Stu_ID,0)),""))</f>
        <v/>
      </c>
      <c r="J333" s="40">
        <f>IF(328&gt;$B$3,"",IFERROR(MATCH(328-1,EV_Seq,1)+1,1))</f>
        <v/>
      </c>
    </row>
    <row r="334">
      <c r="A334" s="105">
        <f>IF($J334="","",INDEX(EV_Date,$J334))</f>
        <v/>
      </c>
      <c r="B334" s="78">
        <f>IF($J334="","",INDEX(EV_Name,$J334))</f>
        <v/>
      </c>
      <c r="C334" s="106">
        <f>IF($J334="","",INDEX(EV_ID,$J334))</f>
        <v/>
      </c>
      <c r="D334" s="106">
        <f>IF($J334="","",INDEX(EV_Class,$J334))</f>
        <v/>
      </c>
      <c r="E334" s="106">
        <f>IF($J334="","",INDEX(EV_Type,$J334))</f>
        <v/>
      </c>
      <c r="F334" s="106">
        <f>IF($J334="","",INDEX(EV_Cum,$J334))</f>
        <v/>
      </c>
      <c r="G334" s="106">
        <f>IF($J334="","",INDEX(LevelLabels,MATCH(F334,LevelValues,1)))</f>
        <v/>
      </c>
      <c r="H334" s="106">
        <f>IF($J334="","",IFERROR(INDEX(Stu_ContactReq,MATCH(C334,Stu_ID,0)),""))</f>
        <v/>
      </c>
      <c r="I334" s="107">
        <f>IF($J334="","",IFERROR(INDEX(Stu_Notes,MATCH(C334,Stu_ID,0)),""))</f>
        <v/>
      </c>
      <c r="J334" s="40">
        <f>IF(329&gt;$B$3,"",IFERROR(MATCH(329-1,EV_Seq,1)+1,1))</f>
        <v/>
      </c>
    </row>
    <row r="335">
      <c r="A335" s="105">
        <f>IF($J335="","",INDEX(EV_Date,$J335))</f>
        <v/>
      </c>
      <c r="B335" s="78">
        <f>IF($J335="","",INDEX(EV_Name,$J335))</f>
        <v/>
      </c>
      <c r="C335" s="106">
        <f>IF($J335="","",INDEX(EV_ID,$J335))</f>
        <v/>
      </c>
      <c r="D335" s="106">
        <f>IF($J335="","",INDEX(EV_Class,$J335))</f>
        <v/>
      </c>
      <c r="E335" s="106">
        <f>IF($J335="","",INDEX(EV_Type,$J335))</f>
        <v/>
      </c>
      <c r="F335" s="106">
        <f>IF($J335="","",INDEX(EV_Cum,$J335))</f>
        <v/>
      </c>
      <c r="G335" s="106">
        <f>IF($J335="","",INDEX(LevelLabels,MATCH(F335,LevelValues,1)))</f>
        <v/>
      </c>
      <c r="H335" s="106">
        <f>IF($J335="","",IFERROR(INDEX(Stu_ContactReq,MATCH(C335,Stu_ID,0)),""))</f>
        <v/>
      </c>
      <c r="I335" s="107">
        <f>IF($J335="","",IFERROR(INDEX(Stu_Notes,MATCH(C335,Stu_ID,0)),""))</f>
        <v/>
      </c>
      <c r="J335" s="40">
        <f>IF(330&gt;$B$3,"",IFERROR(MATCH(330-1,EV_Seq,1)+1,1))</f>
        <v/>
      </c>
    </row>
    <row r="336">
      <c r="A336" s="105">
        <f>IF($J336="","",INDEX(EV_Date,$J336))</f>
        <v/>
      </c>
      <c r="B336" s="78">
        <f>IF($J336="","",INDEX(EV_Name,$J336))</f>
        <v/>
      </c>
      <c r="C336" s="106">
        <f>IF($J336="","",INDEX(EV_ID,$J336))</f>
        <v/>
      </c>
      <c r="D336" s="106">
        <f>IF($J336="","",INDEX(EV_Class,$J336))</f>
        <v/>
      </c>
      <c r="E336" s="106">
        <f>IF($J336="","",INDEX(EV_Type,$J336))</f>
        <v/>
      </c>
      <c r="F336" s="106">
        <f>IF($J336="","",INDEX(EV_Cum,$J336))</f>
        <v/>
      </c>
      <c r="G336" s="106">
        <f>IF($J336="","",INDEX(LevelLabels,MATCH(F336,LevelValues,1)))</f>
        <v/>
      </c>
      <c r="H336" s="106">
        <f>IF($J336="","",IFERROR(INDEX(Stu_ContactReq,MATCH(C336,Stu_ID,0)),""))</f>
        <v/>
      </c>
      <c r="I336" s="107">
        <f>IF($J336="","",IFERROR(INDEX(Stu_Notes,MATCH(C336,Stu_ID,0)),""))</f>
        <v/>
      </c>
      <c r="J336" s="40">
        <f>IF(331&gt;$B$3,"",IFERROR(MATCH(331-1,EV_Seq,1)+1,1))</f>
        <v/>
      </c>
    </row>
    <row r="337">
      <c r="A337" s="105">
        <f>IF($J337="","",INDEX(EV_Date,$J337))</f>
        <v/>
      </c>
      <c r="B337" s="78">
        <f>IF($J337="","",INDEX(EV_Name,$J337))</f>
        <v/>
      </c>
      <c r="C337" s="106">
        <f>IF($J337="","",INDEX(EV_ID,$J337))</f>
        <v/>
      </c>
      <c r="D337" s="106">
        <f>IF($J337="","",INDEX(EV_Class,$J337))</f>
        <v/>
      </c>
      <c r="E337" s="106">
        <f>IF($J337="","",INDEX(EV_Type,$J337))</f>
        <v/>
      </c>
      <c r="F337" s="106">
        <f>IF($J337="","",INDEX(EV_Cum,$J337))</f>
        <v/>
      </c>
      <c r="G337" s="106">
        <f>IF($J337="","",INDEX(LevelLabels,MATCH(F337,LevelValues,1)))</f>
        <v/>
      </c>
      <c r="H337" s="106">
        <f>IF($J337="","",IFERROR(INDEX(Stu_ContactReq,MATCH(C337,Stu_ID,0)),""))</f>
        <v/>
      </c>
      <c r="I337" s="107">
        <f>IF($J337="","",IFERROR(INDEX(Stu_Notes,MATCH(C337,Stu_ID,0)),""))</f>
        <v/>
      </c>
      <c r="J337" s="40">
        <f>IF(332&gt;$B$3,"",IFERROR(MATCH(332-1,EV_Seq,1)+1,1))</f>
        <v/>
      </c>
    </row>
    <row r="338">
      <c r="A338" s="105">
        <f>IF($J338="","",INDEX(EV_Date,$J338))</f>
        <v/>
      </c>
      <c r="B338" s="78">
        <f>IF($J338="","",INDEX(EV_Name,$J338))</f>
        <v/>
      </c>
      <c r="C338" s="106">
        <f>IF($J338="","",INDEX(EV_ID,$J338))</f>
        <v/>
      </c>
      <c r="D338" s="106">
        <f>IF($J338="","",INDEX(EV_Class,$J338))</f>
        <v/>
      </c>
      <c r="E338" s="106">
        <f>IF($J338="","",INDEX(EV_Type,$J338))</f>
        <v/>
      </c>
      <c r="F338" s="106">
        <f>IF($J338="","",INDEX(EV_Cum,$J338))</f>
        <v/>
      </c>
      <c r="G338" s="106">
        <f>IF($J338="","",INDEX(LevelLabels,MATCH(F338,LevelValues,1)))</f>
        <v/>
      </c>
      <c r="H338" s="106">
        <f>IF($J338="","",IFERROR(INDEX(Stu_ContactReq,MATCH(C338,Stu_ID,0)),""))</f>
        <v/>
      </c>
      <c r="I338" s="107">
        <f>IF($J338="","",IFERROR(INDEX(Stu_Notes,MATCH(C338,Stu_ID,0)),""))</f>
        <v/>
      </c>
      <c r="J338" s="40">
        <f>IF(333&gt;$B$3,"",IFERROR(MATCH(333-1,EV_Seq,1)+1,1))</f>
        <v/>
      </c>
    </row>
    <row r="339">
      <c r="A339" s="105">
        <f>IF($J339="","",INDEX(EV_Date,$J339))</f>
        <v/>
      </c>
      <c r="B339" s="78">
        <f>IF($J339="","",INDEX(EV_Name,$J339))</f>
        <v/>
      </c>
      <c r="C339" s="106">
        <f>IF($J339="","",INDEX(EV_ID,$J339))</f>
        <v/>
      </c>
      <c r="D339" s="106">
        <f>IF($J339="","",INDEX(EV_Class,$J339))</f>
        <v/>
      </c>
      <c r="E339" s="106">
        <f>IF($J339="","",INDEX(EV_Type,$J339))</f>
        <v/>
      </c>
      <c r="F339" s="106">
        <f>IF($J339="","",INDEX(EV_Cum,$J339))</f>
        <v/>
      </c>
      <c r="G339" s="106">
        <f>IF($J339="","",INDEX(LevelLabels,MATCH(F339,LevelValues,1)))</f>
        <v/>
      </c>
      <c r="H339" s="106">
        <f>IF($J339="","",IFERROR(INDEX(Stu_ContactReq,MATCH(C339,Stu_ID,0)),""))</f>
        <v/>
      </c>
      <c r="I339" s="107">
        <f>IF($J339="","",IFERROR(INDEX(Stu_Notes,MATCH(C339,Stu_ID,0)),""))</f>
        <v/>
      </c>
      <c r="J339" s="40">
        <f>IF(334&gt;$B$3,"",IFERROR(MATCH(334-1,EV_Seq,1)+1,1))</f>
        <v/>
      </c>
    </row>
    <row r="340">
      <c r="A340" s="105">
        <f>IF($J340="","",INDEX(EV_Date,$J340))</f>
        <v/>
      </c>
      <c r="B340" s="78">
        <f>IF($J340="","",INDEX(EV_Name,$J340))</f>
        <v/>
      </c>
      <c r="C340" s="106">
        <f>IF($J340="","",INDEX(EV_ID,$J340))</f>
        <v/>
      </c>
      <c r="D340" s="106">
        <f>IF($J340="","",INDEX(EV_Class,$J340))</f>
        <v/>
      </c>
      <c r="E340" s="106">
        <f>IF($J340="","",INDEX(EV_Type,$J340))</f>
        <v/>
      </c>
      <c r="F340" s="106">
        <f>IF($J340="","",INDEX(EV_Cum,$J340))</f>
        <v/>
      </c>
      <c r="G340" s="106">
        <f>IF($J340="","",INDEX(LevelLabels,MATCH(F340,LevelValues,1)))</f>
        <v/>
      </c>
      <c r="H340" s="106">
        <f>IF($J340="","",IFERROR(INDEX(Stu_ContactReq,MATCH(C340,Stu_ID,0)),""))</f>
        <v/>
      </c>
      <c r="I340" s="107">
        <f>IF($J340="","",IFERROR(INDEX(Stu_Notes,MATCH(C340,Stu_ID,0)),""))</f>
        <v/>
      </c>
      <c r="J340" s="40">
        <f>IF(335&gt;$B$3,"",IFERROR(MATCH(335-1,EV_Seq,1)+1,1))</f>
        <v/>
      </c>
    </row>
    <row r="341">
      <c r="A341" s="105">
        <f>IF($J341="","",INDEX(EV_Date,$J341))</f>
        <v/>
      </c>
      <c r="B341" s="78">
        <f>IF($J341="","",INDEX(EV_Name,$J341))</f>
        <v/>
      </c>
      <c r="C341" s="106">
        <f>IF($J341="","",INDEX(EV_ID,$J341))</f>
        <v/>
      </c>
      <c r="D341" s="106">
        <f>IF($J341="","",INDEX(EV_Class,$J341))</f>
        <v/>
      </c>
      <c r="E341" s="106">
        <f>IF($J341="","",INDEX(EV_Type,$J341))</f>
        <v/>
      </c>
      <c r="F341" s="106">
        <f>IF($J341="","",INDEX(EV_Cum,$J341))</f>
        <v/>
      </c>
      <c r="G341" s="106">
        <f>IF($J341="","",INDEX(LevelLabels,MATCH(F341,LevelValues,1)))</f>
        <v/>
      </c>
      <c r="H341" s="106">
        <f>IF($J341="","",IFERROR(INDEX(Stu_ContactReq,MATCH(C341,Stu_ID,0)),""))</f>
        <v/>
      </c>
      <c r="I341" s="107">
        <f>IF($J341="","",IFERROR(INDEX(Stu_Notes,MATCH(C341,Stu_ID,0)),""))</f>
        <v/>
      </c>
      <c r="J341" s="40">
        <f>IF(336&gt;$B$3,"",IFERROR(MATCH(336-1,EV_Seq,1)+1,1))</f>
        <v/>
      </c>
    </row>
    <row r="342">
      <c r="A342" s="105">
        <f>IF($J342="","",INDEX(EV_Date,$J342))</f>
        <v/>
      </c>
      <c r="B342" s="78">
        <f>IF($J342="","",INDEX(EV_Name,$J342))</f>
        <v/>
      </c>
      <c r="C342" s="106">
        <f>IF($J342="","",INDEX(EV_ID,$J342))</f>
        <v/>
      </c>
      <c r="D342" s="106">
        <f>IF($J342="","",INDEX(EV_Class,$J342))</f>
        <v/>
      </c>
      <c r="E342" s="106">
        <f>IF($J342="","",INDEX(EV_Type,$J342))</f>
        <v/>
      </c>
      <c r="F342" s="106">
        <f>IF($J342="","",INDEX(EV_Cum,$J342))</f>
        <v/>
      </c>
      <c r="G342" s="106">
        <f>IF($J342="","",INDEX(LevelLabels,MATCH(F342,LevelValues,1)))</f>
        <v/>
      </c>
      <c r="H342" s="106">
        <f>IF($J342="","",IFERROR(INDEX(Stu_ContactReq,MATCH(C342,Stu_ID,0)),""))</f>
        <v/>
      </c>
      <c r="I342" s="107">
        <f>IF($J342="","",IFERROR(INDEX(Stu_Notes,MATCH(C342,Stu_ID,0)),""))</f>
        <v/>
      </c>
      <c r="J342" s="40">
        <f>IF(337&gt;$B$3,"",IFERROR(MATCH(337-1,EV_Seq,1)+1,1))</f>
        <v/>
      </c>
    </row>
    <row r="343">
      <c r="A343" s="105">
        <f>IF($J343="","",INDEX(EV_Date,$J343))</f>
        <v/>
      </c>
      <c r="B343" s="78">
        <f>IF($J343="","",INDEX(EV_Name,$J343))</f>
        <v/>
      </c>
      <c r="C343" s="106">
        <f>IF($J343="","",INDEX(EV_ID,$J343))</f>
        <v/>
      </c>
      <c r="D343" s="106">
        <f>IF($J343="","",INDEX(EV_Class,$J343))</f>
        <v/>
      </c>
      <c r="E343" s="106">
        <f>IF($J343="","",INDEX(EV_Type,$J343))</f>
        <v/>
      </c>
      <c r="F343" s="106">
        <f>IF($J343="","",INDEX(EV_Cum,$J343))</f>
        <v/>
      </c>
      <c r="G343" s="106">
        <f>IF($J343="","",INDEX(LevelLabels,MATCH(F343,LevelValues,1)))</f>
        <v/>
      </c>
      <c r="H343" s="106">
        <f>IF($J343="","",IFERROR(INDEX(Stu_ContactReq,MATCH(C343,Stu_ID,0)),""))</f>
        <v/>
      </c>
      <c r="I343" s="107">
        <f>IF($J343="","",IFERROR(INDEX(Stu_Notes,MATCH(C343,Stu_ID,0)),""))</f>
        <v/>
      </c>
      <c r="J343" s="40">
        <f>IF(338&gt;$B$3,"",IFERROR(MATCH(338-1,EV_Seq,1)+1,1))</f>
        <v/>
      </c>
    </row>
    <row r="344">
      <c r="A344" s="105">
        <f>IF($J344="","",INDEX(EV_Date,$J344))</f>
        <v/>
      </c>
      <c r="B344" s="78">
        <f>IF($J344="","",INDEX(EV_Name,$J344))</f>
        <v/>
      </c>
      <c r="C344" s="106">
        <f>IF($J344="","",INDEX(EV_ID,$J344))</f>
        <v/>
      </c>
      <c r="D344" s="106">
        <f>IF($J344="","",INDEX(EV_Class,$J344))</f>
        <v/>
      </c>
      <c r="E344" s="106">
        <f>IF($J344="","",INDEX(EV_Type,$J344))</f>
        <v/>
      </c>
      <c r="F344" s="106">
        <f>IF($J344="","",INDEX(EV_Cum,$J344))</f>
        <v/>
      </c>
      <c r="G344" s="106">
        <f>IF($J344="","",INDEX(LevelLabels,MATCH(F344,LevelValues,1)))</f>
        <v/>
      </c>
      <c r="H344" s="106">
        <f>IF($J344="","",IFERROR(INDEX(Stu_ContactReq,MATCH(C344,Stu_ID,0)),""))</f>
        <v/>
      </c>
      <c r="I344" s="107">
        <f>IF($J344="","",IFERROR(INDEX(Stu_Notes,MATCH(C344,Stu_ID,0)),""))</f>
        <v/>
      </c>
      <c r="J344" s="40">
        <f>IF(339&gt;$B$3,"",IFERROR(MATCH(339-1,EV_Seq,1)+1,1))</f>
        <v/>
      </c>
    </row>
    <row r="345">
      <c r="A345" s="105">
        <f>IF($J345="","",INDEX(EV_Date,$J345))</f>
        <v/>
      </c>
      <c r="B345" s="78">
        <f>IF($J345="","",INDEX(EV_Name,$J345))</f>
        <v/>
      </c>
      <c r="C345" s="106">
        <f>IF($J345="","",INDEX(EV_ID,$J345))</f>
        <v/>
      </c>
      <c r="D345" s="106">
        <f>IF($J345="","",INDEX(EV_Class,$J345))</f>
        <v/>
      </c>
      <c r="E345" s="106">
        <f>IF($J345="","",INDEX(EV_Type,$J345))</f>
        <v/>
      </c>
      <c r="F345" s="106">
        <f>IF($J345="","",INDEX(EV_Cum,$J345))</f>
        <v/>
      </c>
      <c r="G345" s="106">
        <f>IF($J345="","",INDEX(LevelLabels,MATCH(F345,LevelValues,1)))</f>
        <v/>
      </c>
      <c r="H345" s="106">
        <f>IF($J345="","",IFERROR(INDEX(Stu_ContactReq,MATCH(C345,Stu_ID,0)),""))</f>
        <v/>
      </c>
      <c r="I345" s="107">
        <f>IF($J345="","",IFERROR(INDEX(Stu_Notes,MATCH(C345,Stu_ID,0)),""))</f>
        <v/>
      </c>
      <c r="J345" s="40">
        <f>IF(340&gt;$B$3,"",IFERROR(MATCH(340-1,EV_Seq,1)+1,1))</f>
        <v/>
      </c>
    </row>
    <row r="346">
      <c r="A346" s="105">
        <f>IF($J346="","",INDEX(EV_Date,$J346))</f>
        <v/>
      </c>
      <c r="B346" s="78">
        <f>IF($J346="","",INDEX(EV_Name,$J346))</f>
        <v/>
      </c>
      <c r="C346" s="106">
        <f>IF($J346="","",INDEX(EV_ID,$J346))</f>
        <v/>
      </c>
      <c r="D346" s="106">
        <f>IF($J346="","",INDEX(EV_Class,$J346))</f>
        <v/>
      </c>
      <c r="E346" s="106">
        <f>IF($J346="","",INDEX(EV_Type,$J346))</f>
        <v/>
      </c>
      <c r="F346" s="106">
        <f>IF($J346="","",INDEX(EV_Cum,$J346))</f>
        <v/>
      </c>
      <c r="G346" s="106">
        <f>IF($J346="","",INDEX(LevelLabels,MATCH(F346,LevelValues,1)))</f>
        <v/>
      </c>
      <c r="H346" s="106">
        <f>IF($J346="","",IFERROR(INDEX(Stu_ContactReq,MATCH(C346,Stu_ID,0)),""))</f>
        <v/>
      </c>
      <c r="I346" s="107">
        <f>IF($J346="","",IFERROR(INDEX(Stu_Notes,MATCH(C346,Stu_ID,0)),""))</f>
        <v/>
      </c>
      <c r="J346" s="40">
        <f>IF(341&gt;$B$3,"",IFERROR(MATCH(341-1,EV_Seq,1)+1,1))</f>
        <v/>
      </c>
    </row>
    <row r="347">
      <c r="A347" s="105">
        <f>IF($J347="","",INDEX(EV_Date,$J347))</f>
        <v/>
      </c>
      <c r="B347" s="78">
        <f>IF($J347="","",INDEX(EV_Name,$J347))</f>
        <v/>
      </c>
      <c r="C347" s="106">
        <f>IF($J347="","",INDEX(EV_ID,$J347))</f>
        <v/>
      </c>
      <c r="D347" s="106">
        <f>IF($J347="","",INDEX(EV_Class,$J347))</f>
        <v/>
      </c>
      <c r="E347" s="106">
        <f>IF($J347="","",INDEX(EV_Type,$J347))</f>
        <v/>
      </c>
      <c r="F347" s="106">
        <f>IF($J347="","",INDEX(EV_Cum,$J347))</f>
        <v/>
      </c>
      <c r="G347" s="106">
        <f>IF($J347="","",INDEX(LevelLabels,MATCH(F347,LevelValues,1)))</f>
        <v/>
      </c>
      <c r="H347" s="106">
        <f>IF($J347="","",IFERROR(INDEX(Stu_ContactReq,MATCH(C347,Stu_ID,0)),""))</f>
        <v/>
      </c>
      <c r="I347" s="107">
        <f>IF($J347="","",IFERROR(INDEX(Stu_Notes,MATCH(C347,Stu_ID,0)),""))</f>
        <v/>
      </c>
      <c r="J347" s="40">
        <f>IF(342&gt;$B$3,"",IFERROR(MATCH(342-1,EV_Seq,1)+1,1))</f>
        <v/>
      </c>
    </row>
    <row r="348">
      <c r="A348" s="105">
        <f>IF($J348="","",INDEX(EV_Date,$J348))</f>
        <v/>
      </c>
      <c r="B348" s="78">
        <f>IF($J348="","",INDEX(EV_Name,$J348))</f>
        <v/>
      </c>
      <c r="C348" s="106">
        <f>IF($J348="","",INDEX(EV_ID,$J348))</f>
        <v/>
      </c>
      <c r="D348" s="106">
        <f>IF($J348="","",INDEX(EV_Class,$J348))</f>
        <v/>
      </c>
      <c r="E348" s="106">
        <f>IF($J348="","",INDEX(EV_Type,$J348))</f>
        <v/>
      </c>
      <c r="F348" s="106">
        <f>IF($J348="","",INDEX(EV_Cum,$J348))</f>
        <v/>
      </c>
      <c r="G348" s="106">
        <f>IF($J348="","",INDEX(LevelLabels,MATCH(F348,LevelValues,1)))</f>
        <v/>
      </c>
      <c r="H348" s="106">
        <f>IF($J348="","",IFERROR(INDEX(Stu_ContactReq,MATCH(C348,Stu_ID,0)),""))</f>
        <v/>
      </c>
      <c r="I348" s="107">
        <f>IF($J348="","",IFERROR(INDEX(Stu_Notes,MATCH(C348,Stu_ID,0)),""))</f>
        <v/>
      </c>
      <c r="J348" s="40">
        <f>IF(343&gt;$B$3,"",IFERROR(MATCH(343-1,EV_Seq,1)+1,1))</f>
        <v/>
      </c>
    </row>
    <row r="349">
      <c r="A349" s="105">
        <f>IF($J349="","",INDEX(EV_Date,$J349))</f>
        <v/>
      </c>
      <c r="B349" s="78">
        <f>IF($J349="","",INDEX(EV_Name,$J349))</f>
        <v/>
      </c>
      <c r="C349" s="106">
        <f>IF($J349="","",INDEX(EV_ID,$J349))</f>
        <v/>
      </c>
      <c r="D349" s="106">
        <f>IF($J349="","",INDEX(EV_Class,$J349))</f>
        <v/>
      </c>
      <c r="E349" s="106">
        <f>IF($J349="","",INDEX(EV_Type,$J349))</f>
        <v/>
      </c>
      <c r="F349" s="106">
        <f>IF($J349="","",INDEX(EV_Cum,$J349))</f>
        <v/>
      </c>
      <c r="G349" s="106">
        <f>IF($J349="","",INDEX(LevelLabels,MATCH(F349,LevelValues,1)))</f>
        <v/>
      </c>
      <c r="H349" s="106">
        <f>IF($J349="","",IFERROR(INDEX(Stu_ContactReq,MATCH(C349,Stu_ID,0)),""))</f>
        <v/>
      </c>
      <c r="I349" s="107">
        <f>IF($J349="","",IFERROR(INDEX(Stu_Notes,MATCH(C349,Stu_ID,0)),""))</f>
        <v/>
      </c>
      <c r="J349" s="40">
        <f>IF(344&gt;$B$3,"",IFERROR(MATCH(344-1,EV_Seq,1)+1,1))</f>
        <v/>
      </c>
    </row>
    <row r="350">
      <c r="A350" s="105">
        <f>IF($J350="","",INDEX(EV_Date,$J350))</f>
        <v/>
      </c>
      <c r="B350" s="78">
        <f>IF($J350="","",INDEX(EV_Name,$J350))</f>
        <v/>
      </c>
      <c r="C350" s="106">
        <f>IF($J350="","",INDEX(EV_ID,$J350))</f>
        <v/>
      </c>
      <c r="D350" s="106">
        <f>IF($J350="","",INDEX(EV_Class,$J350))</f>
        <v/>
      </c>
      <c r="E350" s="106">
        <f>IF($J350="","",INDEX(EV_Type,$J350))</f>
        <v/>
      </c>
      <c r="F350" s="106">
        <f>IF($J350="","",INDEX(EV_Cum,$J350))</f>
        <v/>
      </c>
      <c r="G350" s="106">
        <f>IF($J350="","",INDEX(LevelLabels,MATCH(F350,LevelValues,1)))</f>
        <v/>
      </c>
      <c r="H350" s="106">
        <f>IF($J350="","",IFERROR(INDEX(Stu_ContactReq,MATCH(C350,Stu_ID,0)),""))</f>
        <v/>
      </c>
      <c r="I350" s="107">
        <f>IF($J350="","",IFERROR(INDEX(Stu_Notes,MATCH(C350,Stu_ID,0)),""))</f>
        <v/>
      </c>
      <c r="J350" s="40">
        <f>IF(345&gt;$B$3,"",IFERROR(MATCH(345-1,EV_Seq,1)+1,1))</f>
        <v/>
      </c>
    </row>
    <row r="351">
      <c r="A351" s="105">
        <f>IF($J351="","",INDEX(EV_Date,$J351))</f>
        <v/>
      </c>
      <c r="B351" s="78">
        <f>IF($J351="","",INDEX(EV_Name,$J351))</f>
        <v/>
      </c>
      <c r="C351" s="106">
        <f>IF($J351="","",INDEX(EV_ID,$J351))</f>
        <v/>
      </c>
      <c r="D351" s="106">
        <f>IF($J351="","",INDEX(EV_Class,$J351))</f>
        <v/>
      </c>
      <c r="E351" s="106">
        <f>IF($J351="","",INDEX(EV_Type,$J351))</f>
        <v/>
      </c>
      <c r="F351" s="106">
        <f>IF($J351="","",INDEX(EV_Cum,$J351))</f>
        <v/>
      </c>
      <c r="G351" s="106">
        <f>IF($J351="","",INDEX(LevelLabels,MATCH(F351,LevelValues,1)))</f>
        <v/>
      </c>
      <c r="H351" s="106">
        <f>IF($J351="","",IFERROR(INDEX(Stu_ContactReq,MATCH(C351,Stu_ID,0)),""))</f>
        <v/>
      </c>
      <c r="I351" s="107">
        <f>IF($J351="","",IFERROR(INDEX(Stu_Notes,MATCH(C351,Stu_ID,0)),""))</f>
        <v/>
      </c>
      <c r="J351" s="40">
        <f>IF(346&gt;$B$3,"",IFERROR(MATCH(346-1,EV_Seq,1)+1,1))</f>
        <v/>
      </c>
    </row>
    <row r="352">
      <c r="A352" s="105">
        <f>IF($J352="","",INDEX(EV_Date,$J352))</f>
        <v/>
      </c>
      <c r="B352" s="78">
        <f>IF($J352="","",INDEX(EV_Name,$J352))</f>
        <v/>
      </c>
      <c r="C352" s="106">
        <f>IF($J352="","",INDEX(EV_ID,$J352))</f>
        <v/>
      </c>
      <c r="D352" s="106">
        <f>IF($J352="","",INDEX(EV_Class,$J352))</f>
        <v/>
      </c>
      <c r="E352" s="106">
        <f>IF($J352="","",INDEX(EV_Type,$J352))</f>
        <v/>
      </c>
      <c r="F352" s="106">
        <f>IF($J352="","",INDEX(EV_Cum,$J352))</f>
        <v/>
      </c>
      <c r="G352" s="106">
        <f>IF($J352="","",INDEX(LevelLabels,MATCH(F352,LevelValues,1)))</f>
        <v/>
      </c>
      <c r="H352" s="106">
        <f>IF($J352="","",IFERROR(INDEX(Stu_ContactReq,MATCH(C352,Stu_ID,0)),""))</f>
        <v/>
      </c>
      <c r="I352" s="107">
        <f>IF($J352="","",IFERROR(INDEX(Stu_Notes,MATCH(C352,Stu_ID,0)),""))</f>
        <v/>
      </c>
      <c r="J352" s="40">
        <f>IF(347&gt;$B$3,"",IFERROR(MATCH(347-1,EV_Seq,1)+1,1))</f>
        <v/>
      </c>
    </row>
    <row r="353">
      <c r="A353" s="105">
        <f>IF($J353="","",INDEX(EV_Date,$J353))</f>
        <v/>
      </c>
      <c r="B353" s="78">
        <f>IF($J353="","",INDEX(EV_Name,$J353))</f>
        <v/>
      </c>
      <c r="C353" s="106">
        <f>IF($J353="","",INDEX(EV_ID,$J353))</f>
        <v/>
      </c>
      <c r="D353" s="106">
        <f>IF($J353="","",INDEX(EV_Class,$J353))</f>
        <v/>
      </c>
      <c r="E353" s="106">
        <f>IF($J353="","",INDEX(EV_Type,$J353))</f>
        <v/>
      </c>
      <c r="F353" s="106">
        <f>IF($J353="","",INDEX(EV_Cum,$J353))</f>
        <v/>
      </c>
      <c r="G353" s="106">
        <f>IF($J353="","",INDEX(LevelLabels,MATCH(F353,LevelValues,1)))</f>
        <v/>
      </c>
      <c r="H353" s="106">
        <f>IF($J353="","",IFERROR(INDEX(Stu_ContactReq,MATCH(C353,Stu_ID,0)),""))</f>
        <v/>
      </c>
      <c r="I353" s="107">
        <f>IF($J353="","",IFERROR(INDEX(Stu_Notes,MATCH(C353,Stu_ID,0)),""))</f>
        <v/>
      </c>
      <c r="J353" s="40">
        <f>IF(348&gt;$B$3,"",IFERROR(MATCH(348-1,EV_Seq,1)+1,1))</f>
        <v/>
      </c>
    </row>
    <row r="354">
      <c r="A354" s="105">
        <f>IF($J354="","",INDEX(EV_Date,$J354))</f>
        <v/>
      </c>
      <c r="B354" s="78">
        <f>IF($J354="","",INDEX(EV_Name,$J354))</f>
        <v/>
      </c>
      <c r="C354" s="106">
        <f>IF($J354="","",INDEX(EV_ID,$J354))</f>
        <v/>
      </c>
      <c r="D354" s="106">
        <f>IF($J354="","",INDEX(EV_Class,$J354))</f>
        <v/>
      </c>
      <c r="E354" s="106">
        <f>IF($J354="","",INDEX(EV_Type,$J354))</f>
        <v/>
      </c>
      <c r="F354" s="106">
        <f>IF($J354="","",INDEX(EV_Cum,$J354))</f>
        <v/>
      </c>
      <c r="G354" s="106">
        <f>IF($J354="","",INDEX(LevelLabels,MATCH(F354,LevelValues,1)))</f>
        <v/>
      </c>
      <c r="H354" s="106">
        <f>IF($J354="","",IFERROR(INDEX(Stu_ContactReq,MATCH(C354,Stu_ID,0)),""))</f>
        <v/>
      </c>
      <c r="I354" s="107">
        <f>IF($J354="","",IFERROR(INDEX(Stu_Notes,MATCH(C354,Stu_ID,0)),""))</f>
        <v/>
      </c>
      <c r="J354" s="40">
        <f>IF(349&gt;$B$3,"",IFERROR(MATCH(349-1,EV_Seq,1)+1,1))</f>
        <v/>
      </c>
    </row>
    <row r="355">
      <c r="A355" s="105">
        <f>IF($J355="","",INDEX(EV_Date,$J355))</f>
        <v/>
      </c>
      <c r="B355" s="78">
        <f>IF($J355="","",INDEX(EV_Name,$J355))</f>
        <v/>
      </c>
      <c r="C355" s="106">
        <f>IF($J355="","",INDEX(EV_ID,$J355))</f>
        <v/>
      </c>
      <c r="D355" s="106">
        <f>IF($J355="","",INDEX(EV_Class,$J355))</f>
        <v/>
      </c>
      <c r="E355" s="106">
        <f>IF($J355="","",INDEX(EV_Type,$J355))</f>
        <v/>
      </c>
      <c r="F355" s="106">
        <f>IF($J355="","",INDEX(EV_Cum,$J355))</f>
        <v/>
      </c>
      <c r="G355" s="106">
        <f>IF($J355="","",INDEX(LevelLabels,MATCH(F355,LevelValues,1)))</f>
        <v/>
      </c>
      <c r="H355" s="106">
        <f>IF($J355="","",IFERROR(INDEX(Stu_ContactReq,MATCH(C355,Stu_ID,0)),""))</f>
        <v/>
      </c>
      <c r="I355" s="107">
        <f>IF($J355="","",IFERROR(INDEX(Stu_Notes,MATCH(C355,Stu_ID,0)),""))</f>
        <v/>
      </c>
      <c r="J355" s="40">
        <f>IF(350&gt;$B$3,"",IFERROR(MATCH(350-1,EV_Seq,1)+1,1))</f>
        <v/>
      </c>
    </row>
    <row r="356">
      <c r="A356" s="105">
        <f>IF($J356="","",INDEX(EV_Date,$J356))</f>
        <v/>
      </c>
      <c r="B356" s="78">
        <f>IF($J356="","",INDEX(EV_Name,$J356))</f>
        <v/>
      </c>
      <c r="C356" s="106">
        <f>IF($J356="","",INDEX(EV_ID,$J356))</f>
        <v/>
      </c>
      <c r="D356" s="106">
        <f>IF($J356="","",INDEX(EV_Class,$J356))</f>
        <v/>
      </c>
      <c r="E356" s="106">
        <f>IF($J356="","",INDEX(EV_Type,$J356))</f>
        <v/>
      </c>
      <c r="F356" s="106">
        <f>IF($J356="","",INDEX(EV_Cum,$J356))</f>
        <v/>
      </c>
      <c r="G356" s="106">
        <f>IF($J356="","",INDEX(LevelLabels,MATCH(F356,LevelValues,1)))</f>
        <v/>
      </c>
      <c r="H356" s="106">
        <f>IF($J356="","",IFERROR(INDEX(Stu_ContactReq,MATCH(C356,Stu_ID,0)),""))</f>
        <v/>
      </c>
      <c r="I356" s="107">
        <f>IF($J356="","",IFERROR(INDEX(Stu_Notes,MATCH(C356,Stu_ID,0)),""))</f>
        <v/>
      </c>
      <c r="J356" s="40">
        <f>IF(351&gt;$B$3,"",IFERROR(MATCH(351-1,EV_Seq,1)+1,1))</f>
        <v/>
      </c>
    </row>
    <row r="357">
      <c r="A357" s="105">
        <f>IF($J357="","",INDEX(EV_Date,$J357))</f>
        <v/>
      </c>
      <c r="B357" s="78">
        <f>IF($J357="","",INDEX(EV_Name,$J357))</f>
        <v/>
      </c>
      <c r="C357" s="106">
        <f>IF($J357="","",INDEX(EV_ID,$J357))</f>
        <v/>
      </c>
      <c r="D357" s="106">
        <f>IF($J357="","",INDEX(EV_Class,$J357))</f>
        <v/>
      </c>
      <c r="E357" s="106">
        <f>IF($J357="","",INDEX(EV_Type,$J357))</f>
        <v/>
      </c>
      <c r="F357" s="106">
        <f>IF($J357="","",INDEX(EV_Cum,$J357))</f>
        <v/>
      </c>
      <c r="G357" s="106">
        <f>IF($J357="","",INDEX(LevelLabels,MATCH(F357,LevelValues,1)))</f>
        <v/>
      </c>
      <c r="H357" s="106">
        <f>IF($J357="","",IFERROR(INDEX(Stu_ContactReq,MATCH(C357,Stu_ID,0)),""))</f>
        <v/>
      </c>
      <c r="I357" s="107">
        <f>IF($J357="","",IFERROR(INDEX(Stu_Notes,MATCH(C357,Stu_ID,0)),""))</f>
        <v/>
      </c>
      <c r="J357" s="40">
        <f>IF(352&gt;$B$3,"",IFERROR(MATCH(352-1,EV_Seq,1)+1,1))</f>
        <v/>
      </c>
    </row>
    <row r="358">
      <c r="A358" s="105">
        <f>IF($J358="","",INDEX(EV_Date,$J358))</f>
        <v/>
      </c>
      <c r="B358" s="78">
        <f>IF($J358="","",INDEX(EV_Name,$J358))</f>
        <v/>
      </c>
      <c r="C358" s="106">
        <f>IF($J358="","",INDEX(EV_ID,$J358))</f>
        <v/>
      </c>
      <c r="D358" s="106">
        <f>IF($J358="","",INDEX(EV_Class,$J358))</f>
        <v/>
      </c>
      <c r="E358" s="106">
        <f>IF($J358="","",INDEX(EV_Type,$J358))</f>
        <v/>
      </c>
      <c r="F358" s="106">
        <f>IF($J358="","",INDEX(EV_Cum,$J358))</f>
        <v/>
      </c>
      <c r="G358" s="106">
        <f>IF($J358="","",INDEX(LevelLabels,MATCH(F358,LevelValues,1)))</f>
        <v/>
      </c>
      <c r="H358" s="106">
        <f>IF($J358="","",IFERROR(INDEX(Stu_ContactReq,MATCH(C358,Stu_ID,0)),""))</f>
        <v/>
      </c>
      <c r="I358" s="107">
        <f>IF($J358="","",IFERROR(INDEX(Stu_Notes,MATCH(C358,Stu_ID,0)),""))</f>
        <v/>
      </c>
      <c r="J358" s="40">
        <f>IF(353&gt;$B$3,"",IFERROR(MATCH(353-1,EV_Seq,1)+1,1))</f>
        <v/>
      </c>
    </row>
    <row r="359">
      <c r="A359" s="105">
        <f>IF($J359="","",INDEX(EV_Date,$J359))</f>
        <v/>
      </c>
      <c r="B359" s="78">
        <f>IF($J359="","",INDEX(EV_Name,$J359))</f>
        <v/>
      </c>
      <c r="C359" s="106">
        <f>IF($J359="","",INDEX(EV_ID,$J359))</f>
        <v/>
      </c>
      <c r="D359" s="106">
        <f>IF($J359="","",INDEX(EV_Class,$J359))</f>
        <v/>
      </c>
      <c r="E359" s="106">
        <f>IF($J359="","",INDEX(EV_Type,$J359))</f>
        <v/>
      </c>
      <c r="F359" s="106">
        <f>IF($J359="","",INDEX(EV_Cum,$J359))</f>
        <v/>
      </c>
      <c r="G359" s="106">
        <f>IF($J359="","",INDEX(LevelLabels,MATCH(F359,LevelValues,1)))</f>
        <v/>
      </c>
      <c r="H359" s="106">
        <f>IF($J359="","",IFERROR(INDEX(Stu_ContactReq,MATCH(C359,Stu_ID,0)),""))</f>
        <v/>
      </c>
      <c r="I359" s="107">
        <f>IF($J359="","",IFERROR(INDEX(Stu_Notes,MATCH(C359,Stu_ID,0)),""))</f>
        <v/>
      </c>
      <c r="J359" s="40">
        <f>IF(354&gt;$B$3,"",IFERROR(MATCH(354-1,EV_Seq,1)+1,1))</f>
        <v/>
      </c>
    </row>
    <row r="360">
      <c r="A360" s="105">
        <f>IF($J360="","",INDEX(EV_Date,$J360))</f>
        <v/>
      </c>
      <c r="B360" s="78">
        <f>IF($J360="","",INDEX(EV_Name,$J360))</f>
        <v/>
      </c>
      <c r="C360" s="106">
        <f>IF($J360="","",INDEX(EV_ID,$J360))</f>
        <v/>
      </c>
      <c r="D360" s="106">
        <f>IF($J360="","",INDEX(EV_Class,$J360))</f>
        <v/>
      </c>
      <c r="E360" s="106">
        <f>IF($J360="","",INDEX(EV_Type,$J360))</f>
        <v/>
      </c>
      <c r="F360" s="106">
        <f>IF($J360="","",INDEX(EV_Cum,$J360))</f>
        <v/>
      </c>
      <c r="G360" s="106">
        <f>IF($J360="","",INDEX(LevelLabels,MATCH(F360,LevelValues,1)))</f>
        <v/>
      </c>
      <c r="H360" s="106">
        <f>IF($J360="","",IFERROR(INDEX(Stu_ContactReq,MATCH(C360,Stu_ID,0)),""))</f>
        <v/>
      </c>
      <c r="I360" s="107">
        <f>IF($J360="","",IFERROR(INDEX(Stu_Notes,MATCH(C360,Stu_ID,0)),""))</f>
        <v/>
      </c>
      <c r="J360" s="40">
        <f>IF(355&gt;$B$3,"",IFERROR(MATCH(355-1,EV_Seq,1)+1,1))</f>
        <v/>
      </c>
    </row>
    <row r="361">
      <c r="A361" s="105">
        <f>IF($J361="","",INDEX(EV_Date,$J361))</f>
        <v/>
      </c>
      <c r="B361" s="78">
        <f>IF($J361="","",INDEX(EV_Name,$J361))</f>
        <v/>
      </c>
      <c r="C361" s="106">
        <f>IF($J361="","",INDEX(EV_ID,$J361))</f>
        <v/>
      </c>
      <c r="D361" s="106">
        <f>IF($J361="","",INDEX(EV_Class,$J361))</f>
        <v/>
      </c>
      <c r="E361" s="106">
        <f>IF($J361="","",INDEX(EV_Type,$J361))</f>
        <v/>
      </c>
      <c r="F361" s="106">
        <f>IF($J361="","",INDEX(EV_Cum,$J361))</f>
        <v/>
      </c>
      <c r="G361" s="106">
        <f>IF($J361="","",INDEX(LevelLabels,MATCH(F361,LevelValues,1)))</f>
        <v/>
      </c>
      <c r="H361" s="106">
        <f>IF($J361="","",IFERROR(INDEX(Stu_ContactReq,MATCH(C361,Stu_ID,0)),""))</f>
        <v/>
      </c>
      <c r="I361" s="107">
        <f>IF($J361="","",IFERROR(INDEX(Stu_Notes,MATCH(C361,Stu_ID,0)),""))</f>
        <v/>
      </c>
      <c r="J361" s="40">
        <f>IF(356&gt;$B$3,"",IFERROR(MATCH(356-1,EV_Seq,1)+1,1))</f>
        <v/>
      </c>
    </row>
    <row r="362">
      <c r="A362" s="105">
        <f>IF($J362="","",INDEX(EV_Date,$J362))</f>
        <v/>
      </c>
      <c r="B362" s="78">
        <f>IF($J362="","",INDEX(EV_Name,$J362))</f>
        <v/>
      </c>
      <c r="C362" s="106">
        <f>IF($J362="","",INDEX(EV_ID,$J362))</f>
        <v/>
      </c>
      <c r="D362" s="106">
        <f>IF($J362="","",INDEX(EV_Class,$J362))</f>
        <v/>
      </c>
      <c r="E362" s="106">
        <f>IF($J362="","",INDEX(EV_Type,$J362))</f>
        <v/>
      </c>
      <c r="F362" s="106">
        <f>IF($J362="","",INDEX(EV_Cum,$J362))</f>
        <v/>
      </c>
      <c r="G362" s="106">
        <f>IF($J362="","",INDEX(LevelLabels,MATCH(F362,LevelValues,1)))</f>
        <v/>
      </c>
      <c r="H362" s="106">
        <f>IF($J362="","",IFERROR(INDEX(Stu_ContactReq,MATCH(C362,Stu_ID,0)),""))</f>
        <v/>
      </c>
      <c r="I362" s="107">
        <f>IF($J362="","",IFERROR(INDEX(Stu_Notes,MATCH(C362,Stu_ID,0)),""))</f>
        <v/>
      </c>
      <c r="J362" s="40">
        <f>IF(357&gt;$B$3,"",IFERROR(MATCH(357-1,EV_Seq,1)+1,1))</f>
        <v/>
      </c>
    </row>
    <row r="363">
      <c r="A363" s="105">
        <f>IF($J363="","",INDEX(EV_Date,$J363))</f>
        <v/>
      </c>
      <c r="B363" s="78">
        <f>IF($J363="","",INDEX(EV_Name,$J363))</f>
        <v/>
      </c>
      <c r="C363" s="106">
        <f>IF($J363="","",INDEX(EV_ID,$J363))</f>
        <v/>
      </c>
      <c r="D363" s="106">
        <f>IF($J363="","",INDEX(EV_Class,$J363))</f>
        <v/>
      </c>
      <c r="E363" s="106">
        <f>IF($J363="","",INDEX(EV_Type,$J363))</f>
        <v/>
      </c>
      <c r="F363" s="106">
        <f>IF($J363="","",INDEX(EV_Cum,$J363))</f>
        <v/>
      </c>
      <c r="G363" s="106">
        <f>IF($J363="","",INDEX(LevelLabels,MATCH(F363,LevelValues,1)))</f>
        <v/>
      </c>
      <c r="H363" s="106">
        <f>IF($J363="","",IFERROR(INDEX(Stu_ContactReq,MATCH(C363,Stu_ID,0)),""))</f>
        <v/>
      </c>
      <c r="I363" s="107">
        <f>IF($J363="","",IFERROR(INDEX(Stu_Notes,MATCH(C363,Stu_ID,0)),""))</f>
        <v/>
      </c>
      <c r="J363" s="40">
        <f>IF(358&gt;$B$3,"",IFERROR(MATCH(358-1,EV_Seq,1)+1,1))</f>
        <v/>
      </c>
    </row>
    <row r="364">
      <c r="A364" s="105">
        <f>IF($J364="","",INDEX(EV_Date,$J364))</f>
        <v/>
      </c>
      <c r="B364" s="78">
        <f>IF($J364="","",INDEX(EV_Name,$J364))</f>
        <v/>
      </c>
      <c r="C364" s="106">
        <f>IF($J364="","",INDEX(EV_ID,$J364))</f>
        <v/>
      </c>
      <c r="D364" s="106">
        <f>IF($J364="","",INDEX(EV_Class,$J364))</f>
        <v/>
      </c>
      <c r="E364" s="106">
        <f>IF($J364="","",INDEX(EV_Type,$J364))</f>
        <v/>
      </c>
      <c r="F364" s="106">
        <f>IF($J364="","",INDEX(EV_Cum,$J364))</f>
        <v/>
      </c>
      <c r="G364" s="106">
        <f>IF($J364="","",INDEX(LevelLabels,MATCH(F364,LevelValues,1)))</f>
        <v/>
      </c>
      <c r="H364" s="106">
        <f>IF($J364="","",IFERROR(INDEX(Stu_ContactReq,MATCH(C364,Stu_ID,0)),""))</f>
        <v/>
      </c>
      <c r="I364" s="107">
        <f>IF($J364="","",IFERROR(INDEX(Stu_Notes,MATCH(C364,Stu_ID,0)),""))</f>
        <v/>
      </c>
      <c r="J364" s="40">
        <f>IF(359&gt;$B$3,"",IFERROR(MATCH(359-1,EV_Seq,1)+1,1))</f>
        <v/>
      </c>
    </row>
    <row r="365">
      <c r="A365" s="105">
        <f>IF($J365="","",INDEX(EV_Date,$J365))</f>
        <v/>
      </c>
      <c r="B365" s="78">
        <f>IF($J365="","",INDEX(EV_Name,$J365))</f>
        <v/>
      </c>
      <c r="C365" s="106">
        <f>IF($J365="","",INDEX(EV_ID,$J365))</f>
        <v/>
      </c>
      <c r="D365" s="106">
        <f>IF($J365="","",INDEX(EV_Class,$J365))</f>
        <v/>
      </c>
      <c r="E365" s="106">
        <f>IF($J365="","",INDEX(EV_Type,$J365))</f>
        <v/>
      </c>
      <c r="F365" s="106">
        <f>IF($J365="","",INDEX(EV_Cum,$J365))</f>
        <v/>
      </c>
      <c r="G365" s="106">
        <f>IF($J365="","",INDEX(LevelLabels,MATCH(F365,LevelValues,1)))</f>
        <v/>
      </c>
      <c r="H365" s="106">
        <f>IF($J365="","",IFERROR(INDEX(Stu_ContactReq,MATCH(C365,Stu_ID,0)),""))</f>
        <v/>
      </c>
      <c r="I365" s="107">
        <f>IF($J365="","",IFERROR(INDEX(Stu_Notes,MATCH(C365,Stu_ID,0)),""))</f>
        <v/>
      </c>
      <c r="J365" s="40">
        <f>IF(360&gt;$B$3,"",IFERROR(MATCH(360-1,EV_Seq,1)+1,1))</f>
        <v/>
      </c>
    </row>
    <row r="366">
      <c r="A366" s="105">
        <f>IF($J366="","",INDEX(EV_Date,$J366))</f>
        <v/>
      </c>
      <c r="B366" s="78">
        <f>IF($J366="","",INDEX(EV_Name,$J366))</f>
        <v/>
      </c>
      <c r="C366" s="106">
        <f>IF($J366="","",INDEX(EV_ID,$J366))</f>
        <v/>
      </c>
      <c r="D366" s="106">
        <f>IF($J366="","",INDEX(EV_Class,$J366))</f>
        <v/>
      </c>
      <c r="E366" s="106">
        <f>IF($J366="","",INDEX(EV_Type,$J366))</f>
        <v/>
      </c>
      <c r="F366" s="106">
        <f>IF($J366="","",INDEX(EV_Cum,$J366))</f>
        <v/>
      </c>
      <c r="G366" s="106">
        <f>IF($J366="","",INDEX(LevelLabels,MATCH(F366,LevelValues,1)))</f>
        <v/>
      </c>
      <c r="H366" s="106">
        <f>IF($J366="","",IFERROR(INDEX(Stu_ContactReq,MATCH(C366,Stu_ID,0)),""))</f>
        <v/>
      </c>
      <c r="I366" s="107">
        <f>IF($J366="","",IFERROR(INDEX(Stu_Notes,MATCH(C366,Stu_ID,0)),""))</f>
        <v/>
      </c>
      <c r="J366" s="40">
        <f>IF(361&gt;$B$3,"",IFERROR(MATCH(361-1,EV_Seq,1)+1,1))</f>
        <v/>
      </c>
    </row>
    <row r="367">
      <c r="A367" s="105">
        <f>IF($J367="","",INDEX(EV_Date,$J367))</f>
        <v/>
      </c>
      <c r="B367" s="78">
        <f>IF($J367="","",INDEX(EV_Name,$J367))</f>
        <v/>
      </c>
      <c r="C367" s="106">
        <f>IF($J367="","",INDEX(EV_ID,$J367))</f>
        <v/>
      </c>
      <c r="D367" s="106">
        <f>IF($J367="","",INDEX(EV_Class,$J367))</f>
        <v/>
      </c>
      <c r="E367" s="106">
        <f>IF($J367="","",INDEX(EV_Type,$J367))</f>
        <v/>
      </c>
      <c r="F367" s="106">
        <f>IF($J367="","",INDEX(EV_Cum,$J367))</f>
        <v/>
      </c>
      <c r="G367" s="106">
        <f>IF($J367="","",INDEX(LevelLabels,MATCH(F367,LevelValues,1)))</f>
        <v/>
      </c>
      <c r="H367" s="106">
        <f>IF($J367="","",IFERROR(INDEX(Stu_ContactReq,MATCH(C367,Stu_ID,0)),""))</f>
        <v/>
      </c>
      <c r="I367" s="107">
        <f>IF($J367="","",IFERROR(INDEX(Stu_Notes,MATCH(C367,Stu_ID,0)),""))</f>
        <v/>
      </c>
      <c r="J367" s="40">
        <f>IF(362&gt;$B$3,"",IFERROR(MATCH(362-1,EV_Seq,1)+1,1))</f>
        <v/>
      </c>
    </row>
    <row r="368">
      <c r="A368" s="105">
        <f>IF($J368="","",INDEX(EV_Date,$J368))</f>
        <v/>
      </c>
      <c r="B368" s="78">
        <f>IF($J368="","",INDEX(EV_Name,$J368))</f>
        <v/>
      </c>
      <c r="C368" s="106">
        <f>IF($J368="","",INDEX(EV_ID,$J368))</f>
        <v/>
      </c>
      <c r="D368" s="106">
        <f>IF($J368="","",INDEX(EV_Class,$J368))</f>
        <v/>
      </c>
      <c r="E368" s="106">
        <f>IF($J368="","",INDEX(EV_Type,$J368))</f>
        <v/>
      </c>
      <c r="F368" s="106">
        <f>IF($J368="","",INDEX(EV_Cum,$J368))</f>
        <v/>
      </c>
      <c r="G368" s="106">
        <f>IF($J368="","",INDEX(LevelLabels,MATCH(F368,LevelValues,1)))</f>
        <v/>
      </c>
      <c r="H368" s="106">
        <f>IF($J368="","",IFERROR(INDEX(Stu_ContactReq,MATCH(C368,Stu_ID,0)),""))</f>
        <v/>
      </c>
      <c r="I368" s="107">
        <f>IF($J368="","",IFERROR(INDEX(Stu_Notes,MATCH(C368,Stu_ID,0)),""))</f>
        <v/>
      </c>
      <c r="J368" s="40">
        <f>IF(363&gt;$B$3,"",IFERROR(MATCH(363-1,EV_Seq,1)+1,1))</f>
        <v/>
      </c>
    </row>
    <row r="369">
      <c r="A369" s="105">
        <f>IF($J369="","",INDEX(EV_Date,$J369))</f>
        <v/>
      </c>
      <c r="B369" s="78">
        <f>IF($J369="","",INDEX(EV_Name,$J369))</f>
        <v/>
      </c>
      <c r="C369" s="106">
        <f>IF($J369="","",INDEX(EV_ID,$J369))</f>
        <v/>
      </c>
      <c r="D369" s="106">
        <f>IF($J369="","",INDEX(EV_Class,$J369))</f>
        <v/>
      </c>
      <c r="E369" s="106">
        <f>IF($J369="","",INDEX(EV_Type,$J369))</f>
        <v/>
      </c>
      <c r="F369" s="106">
        <f>IF($J369="","",INDEX(EV_Cum,$J369))</f>
        <v/>
      </c>
      <c r="G369" s="106">
        <f>IF($J369="","",INDEX(LevelLabels,MATCH(F369,LevelValues,1)))</f>
        <v/>
      </c>
      <c r="H369" s="106">
        <f>IF($J369="","",IFERROR(INDEX(Stu_ContactReq,MATCH(C369,Stu_ID,0)),""))</f>
        <v/>
      </c>
      <c r="I369" s="107">
        <f>IF($J369="","",IFERROR(INDEX(Stu_Notes,MATCH(C369,Stu_ID,0)),""))</f>
        <v/>
      </c>
      <c r="J369" s="40">
        <f>IF(364&gt;$B$3,"",IFERROR(MATCH(364-1,EV_Seq,1)+1,1))</f>
        <v/>
      </c>
    </row>
    <row r="370">
      <c r="A370" s="105">
        <f>IF($J370="","",INDEX(EV_Date,$J370))</f>
        <v/>
      </c>
      <c r="B370" s="78">
        <f>IF($J370="","",INDEX(EV_Name,$J370))</f>
        <v/>
      </c>
      <c r="C370" s="106">
        <f>IF($J370="","",INDEX(EV_ID,$J370))</f>
        <v/>
      </c>
      <c r="D370" s="106">
        <f>IF($J370="","",INDEX(EV_Class,$J370))</f>
        <v/>
      </c>
      <c r="E370" s="106">
        <f>IF($J370="","",INDEX(EV_Type,$J370))</f>
        <v/>
      </c>
      <c r="F370" s="106">
        <f>IF($J370="","",INDEX(EV_Cum,$J370))</f>
        <v/>
      </c>
      <c r="G370" s="106">
        <f>IF($J370="","",INDEX(LevelLabels,MATCH(F370,LevelValues,1)))</f>
        <v/>
      </c>
      <c r="H370" s="106">
        <f>IF($J370="","",IFERROR(INDEX(Stu_ContactReq,MATCH(C370,Stu_ID,0)),""))</f>
        <v/>
      </c>
      <c r="I370" s="107">
        <f>IF($J370="","",IFERROR(INDEX(Stu_Notes,MATCH(C370,Stu_ID,0)),""))</f>
        <v/>
      </c>
      <c r="J370" s="40">
        <f>IF(365&gt;$B$3,"",IFERROR(MATCH(365-1,EV_Seq,1)+1,1))</f>
        <v/>
      </c>
    </row>
    <row r="371">
      <c r="A371" s="105">
        <f>IF($J371="","",INDEX(EV_Date,$J371))</f>
        <v/>
      </c>
      <c r="B371" s="78">
        <f>IF($J371="","",INDEX(EV_Name,$J371))</f>
        <v/>
      </c>
      <c r="C371" s="106">
        <f>IF($J371="","",INDEX(EV_ID,$J371))</f>
        <v/>
      </c>
      <c r="D371" s="106">
        <f>IF($J371="","",INDEX(EV_Class,$J371))</f>
        <v/>
      </c>
      <c r="E371" s="106">
        <f>IF($J371="","",INDEX(EV_Type,$J371))</f>
        <v/>
      </c>
      <c r="F371" s="106">
        <f>IF($J371="","",INDEX(EV_Cum,$J371))</f>
        <v/>
      </c>
      <c r="G371" s="106">
        <f>IF($J371="","",INDEX(LevelLabels,MATCH(F371,LevelValues,1)))</f>
        <v/>
      </c>
      <c r="H371" s="106">
        <f>IF($J371="","",IFERROR(INDEX(Stu_ContactReq,MATCH(C371,Stu_ID,0)),""))</f>
        <v/>
      </c>
      <c r="I371" s="107">
        <f>IF($J371="","",IFERROR(INDEX(Stu_Notes,MATCH(C371,Stu_ID,0)),""))</f>
        <v/>
      </c>
      <c r="J371" s="40">
        <f>IF(366&gt;$B$3,"",IFERROR(MATCH(366-1,EV_Seq,1)+1,1))</f>
        <v/>
      </c>
    </row>
    <row r="372">
      <c r="A372" s="105">
        <f>IF($J372="","",INDEX(EV_Date,$J372))</f>
        <v/>
      </c>
      <c r="B372" s="78">
        <f>IF($J372="","",INDEX(EV_Name,$J372))</f>
        <v/>
      </c>
      <c r="C372" s="106">
        <f>IF($J372="","",INDEX(EV_ID,$J372))</f>
        <v/>
      </c>
      <c r="D372" s="106">
        <f>IF($J372="","",INDEX(EV_Class,$J372))</f>
        <v/>
      </c>
      <c r="E372" s="106">
        <f>IF($J372="","",INDEX(EV_Type,$J372))</f>
        <v/>
      </c>
      <c r="F372" s="106">
        <f>IF($J372="","",INDEX(EV_Cum,$J372))</f>
        <v/>
      </c>
      <c r="G372" s="106">
        <f>IF($J372="","",INDEX(LevelLabels,MATCH(F372,LevelValues,1)))</f>
        <v/>
      </c>
      <c r="H372" s="106">
        <f>IF($J372="","",IFERROR(INDEX(Stu_ContactReq,MATCH(C372,Stu_ID,0)),""))</f>
        <v/>
      </c>
      <c r="I372" s="107">
        <f>IF($J372="","",IFERROR(INDEX(Stu_Notes,MATCH(C372,Stu_ID,0)),""))</f>
        <v/>
      </c>
      <c r="J372" s="40">
        <f>IF(367&gt;$B$3,"",IFERROR(MATCH(367-1,EV_Seq,1)+1,1))</f>
        <v/>
      </c>
    </row>
    <row r="373">
      <c r="A373" s="105">
        <f>IF($J373="","",INDEX(EV_Date,$J373))</f>
        <v/>
      </c>
      <c r="B373" s="78">
        <f>IF($J373="","",INDEX(EV_Name,$J373))</f>
        <v/>
      </c>
      <c r="C373" s="106">
        <f>IF($J373="","",INDEX(EV_ID,$J373))</f>
        <v/>
      </c>
      <c r="D373" s="106">
        <f>IF($J373="","",INDEX(EV_Class,$J373))</f>
        <v/>
      </c>
      <c r="E373" s="106">
        <f>IF($J373="","",INDEX(EV_Type,$J373))</f>
        <v/>
      </c>
      <c r="F373" s="106">
        <f>IF($J373="","",INDEX(EV_Cum,$J373))</f>
        <v/>
      </c>
      <c r="G373" s="106">
        <f>IF($J373="","",INDEX(LevelLabels,MATCH(F373,LevelValues,1)))</f>
        <v/>
      </c>
      <c r="H373" s="106">
        <f>IF($J373="","",IFERROR(INDEX(Stu_ContactReq,MATCH(C373,Stu_ID,0)),""))</f>
        <v/>
      </c>
      <c r="I373" s="107">
        <f>IF($J373="","",IFERROR(INDEX(Stu_Notes,MATCH(C373,Stu_ID,0)),""))</f>
        <v/>
      </c>
      <c r="J373" s="40">
        <f>IF(368&gt;$B$3,"",IFERROR(MATCH(368-1,EV_Seq,1)+1,1))</f>
        <v/>
      </c>
    </row>
    <row r="374">
      <c r="A374" s="105">
        <f>IF($J374="","",INDEX(EV_Date,$J374))</f>
        <v/>
      </c>
      <c r="B374" s="78">
        <f>IF($J374="","",INDEX(EV_Name,$J374))</f>
        <v/>
      </c>
      <c r="C374" s="106">
        <f>IF($J374="","",INDEX(EV_ID,$J374))</f>
        <v/>
      </c>
      <c r="D374" s="106">
        <f>IF($J374="","",INDEX(EV_Class,$J374))</f>
        <v/>
      </c>
      <c r="E374" s="106">
        <f>IF($J374="","",INDEX(EV_Type,$J374))</f>
        <v/>
      </c>
      <c r="F374" s="106">
        <f>IF($J374="","",INDEX(EV_Cum,$J374))</f>
        <v/>
      </c>
      <c r="G374" s="106">
        <f>IF($J374="","",INDEX(LevelLabels,MATCH(F374,LevelValues,1)))</f>
        <v/>
      </c>
      <c r="H374" s="106">
        <f>IF($J374="","",IFERROR(INDEX(Stu_ContactReq,MATCH(C374,Stu_ID,0)),""))</f>
        <v/>
      </c>
      <c r="I374" s="107">
        <f>IF($J374="","",IFERROR(INDEX(Stu_Notes,MATCH(C374,Stu_ID,0)),""))</f>
        <v/>
      </c>
      <c r="J374" s="40">
        <f>IF(369&gt;$B$3,"",IFERROR(MATCH(369-1,EV_Seq,1)+1,1))</f>
        <v/>
      </c>
    </row>
    <row r="375">
      <c r="A375" s="105">
        <f>IF($J375="","",INDEX(EV_Date,$J375))</f>
        <v/>
      </c>
      <c r="B375" s="78">
        <f>IF($J375="","",INDEX(EV_Name,$J375))</f>
        <v/>
      </c>
      <c r="C375" s="106">
        <f>IF($J375="","",INDEX(EV_ID,$J375))</f>
        <v/>
      </c>
      <c r="D375" s="106">
        <f>IF($J375="","",INDEX(EV_Class,$J375))</f>
        <v/>
      </c>
      <c r="E375" s="106">
        <f>IF($J375="","",INDEX(EV_Type,$J375))</f>
        <v/>
      </c>
      <c r="F375" s="106">
        <f>IF($J375="","",INDEX(EV_Cum,$J375))</f>
        <v/>
      </c>
      <c r="G375" s="106">
        <f>IF($J375="","",INDEX(LevelLabels,MATCH(F375,LevelValues,1)))</f>
        <v/>
      </c>
      <c r="H375" s="106">
        <f>IF($J375="","",IFERROR(INDEX(Stu_ContactReq,MATCH(C375,Stu_ID,0)),""))</f>
        <v/>
      </c>
      <c r="I375" s="107">
        <f>IF($J375="","",IFERROR(INDEX(Stu_Notes,MATCH(C375,Stu_ID,0)),""))</f>
        <v/>
      </c>
      <c r="J375" s="40">
        <f>IF(370&gt;$B$3,"",IFERROR(MATCH(370-1,EV_Seq,1)+1,1))</f>
        <v/>
      </c>
    </row>
    <row r="376">
      <c r="A376" s="105">
        <f>IF($J376="","",INDEX(EV_Date,$J376))</f>
        <v/>
      </c>
      <c r="B376" s="78">
        <f>IF($J376="","",INDEX(EV_Name,$J376))</f>
        <v/>
      </c>
      <c r="C376" s="106">
        <f>IF($J376="","",INDEX(EV_ID,$J376))</f>
        <v/>
      </c>
      <c r="D376" s="106">
        <f>IF($J376="","",INDEX(EV_Class,$J376))</f>
        <v/>
      </c>
      <c r="E376" s="106">
        <f>IF($J376="","",INDEX(EV_Type,$J376))</f>
        <v/>
      </c>
      <c r="F376" s="106">
        <f>IF($J376="","",INDEX(EV_Cum,$J376))</f>
        <v/>
      </c>
      <c r="G376" s="106">
        <f>IF($J376="","",INDEX(LevelLabels,MATCH(F376,LevelValues,1)))</f>
        <v/>
      </c>
      <c r="H376" s="106">
        <f>IF($J376="","",IFERROR(INDEX(Stu_ContactReq,MATCH(C376,Stu_ID,0)),""))</f>
        <v/>
      </c>
      <c r="I376" s="107">
        <f>IF($J376="","",IFERROR(INDEX(Stu_Notes,MATCH(C376,Stu_ID,0)),""))</f>
        <v/>
      </c>
      <c r="J376" s="40">
        <f>IF(371&gt;$B$3,"",IFERROR(MATCH(371-1,EV_Seq,1)+1,1))</f>
        <v/>
      </c>
    </row>
    <row r="377">
      <c r="A377" s="105">
        <f>IF($J377="","",INDEX(EV_Date,$J377))</f>
        <v/>
      </c>
      <c r="B377" s="78">
        <f>IF($J377="","",INDEX(EV_Name,$J377))</f>
        <v/>
      </c>
      <c r="C377" s="106">
        <f>IF($J377="","",INDEX(EV_ID,$J377))</f>
        <v/>
      </c>
      <c r="D377" s="106">
        <f>IF($J377="","",INDEX(EV_Class,$J377))</f>
        <v/>
      </c>
      <c r="E377" s="106">
        <f>IF($J377="","",INDEX(EV_Type,$J377))</f>
        <v/>
      </c>
      <c r="F377" s="106">
        <f>IF($J377="","",INDEX(EV_Cum,$J377))</f>
        <v/>
      </c>
      <c r="G377" s="106">
        <f>IF($J377="","",INDEX(LevelLabels,MATCH(F377,LevelValues,1)))</f>
        <v/>
      </c>
      <c r="H377" s="106">
        <f>IF($J377="","",IFERROR(INDEX(Stu_ContactReq,MATCH(C377,Stu_ID,0)),""))</f>
        <v/>
      </c>
      <c r="I377" s="107">
        <f>IF($J377="","",IFERROR(INDEX(Stu_Notes,MATCH(C377,Stu_ID,0)),""))</f>
        <v/>
      </c>
      <c r="J377" s="40">
        <f>IF(372&gt;$B$3,"",IFERROR(MATCH(372-1,EV_Seq,1)+1,1))</f>
        <v/>
      </c>
    </row>
    <row r="378">
      <c r="A378" s="105">
        <f>IF($J378="","",INDEX(EV_Date,$J378))</f>
        <v/>
      </c>
      <c r="B378" s="78">
        <f>IF($J378="","",INDEX(EV_Name,$J378))</f>
        <v/>
      </c>
      <c r="C378" s="106">
        <f>IF($J378="","",INDEX(EV_ID,$J378))</f>
        <v/>
      </c>
      <c r="D378" s="106">
        <f>IF($J378="","",INDEX(EV_Class,$J378))</f>
        <v/>
      </c>
      <c r="E378" s="106">
        <f>IF($J378="","",INDEX(EV_Type,$J378))</f>
        <v/>
      </c>
      <c r="F378" s="106">
        <f>IF($J378="","",INDEX(EV_Cum,$J378))</f>
        <v/>
      </c>
      <c r="G378" s="106">
        <f>IF($J378="","",INDEX(LevelLabels,MATCH(F378,LevelValues,1)))</f>
        <v/>
      </c>
      <c r="H378" s="106">
        <f>IF($J378="","",IFERROR(INDEX(Stu_ContactReq,MATCH(C378,Stu_ID,0)),""))</f>
        <v/>
      </c>
      <c r="I378" s="107">
        <f>IF($J378="","",IFERROR(INDEX(Stu_Notes,MATCH(C378,Stu_ID,0)),""))</f>
        <v/>
      </c>
      <c r="J378" s="40">
        <f>IF(373&gt;$B$3,"",IFERROR(MATCH(373-1,EV_Seq,1)+1,1))</f>
        <v/>
      </c>
    </row>
    <row r="379">
      <c r="A379" s="105">
        <f>IF($J379="","",INDEX(EV_Date,$J379))</f>
        <v/>
      </c>
      <c r="B379" s="78">
        <f>IF($J379="","",INDEX(EV_Name,$J379))</f>
        <v/>
      </c>
      <c r="C379" s="106">
        <f>IF($J379="","",INDEX(EV_ID,$J379))</f>
        <v/>
      </c>
      <c r="D379" s="106">
        <f>IF($J379="","",INDEX(EV_Class,$J379))</f>
        <v/>
      </c>
      <c r="E379" s="106">
        <f>IF($J379="","",INDEX(EV_Type,$J379))</f>
        <v/>
      </c>
      <c r="F379" s="106">
        <f>IF($J379="","",INDEX(EV_Cum,$J379))</f>
        <v/>
      </c>
      <c r="G379" s="106">
        <f>IF($J379="","",INDEX(LevelLabels,MATCH(F379,LevelValues,1)))</f>
        <v/>
      </c>
      <c r="H379" s="106">
        <f>IF($J379="","",IFERROR(INDEX(Stu_ContactReq,MATCH(C379,Stu_ID,0)),""))</f>
        <v/>
      </c>
      <c r="I379" s="107">
        <f>IF($J379="","",IFERROR(INDEX(Stu_Notes,MATCH(C379,Stu_ID,0)),""))</f>
        <v/>
      </c>
      <c r="J379" s="40">
        <f>IF(374&gt;$B$3,"",IFERROR(MATCH(374-1,EV_Seq,1)+1,1))</f>
        <v/>
      </c>
    </row>
    <row r="380">
      <c r="A380" s="105">
        <f>IF($J380="","",INDEX(EV_Date,$J380))</f>
        <v/>
      </c>
      <c r="B380" s="78">
        <f>IF($J380="","",INDEX(EV_Name,$J380))</f>
        <v/>
      </c>
      <c r="C380" s="106">
        <f>IF($J380="","",INDEX(EV_ID,$J380))</f>
        <v/>
      </c>
      <c r="D380" s="106">
        <f>IF($J380="","",INDEX(EV_Class,$J380))</f>
        <v/>
      </c>
      <c r="E380" s="106">
        <f>IF($J380="","",INDEX(EV_Type,$J380))</f>
        <v/>
      </c>
      <c r="F380" s="106">
        <f>IF($J380="","",INDEX(EV_Cum,$J380))</f>
        <v/>
      </c>
      <c r="G380" s="106">
        <f>IF($J380="","",INDEX(LevelLabels,MATCH(F380,LevelValues,1)))</f>
        <v/>
      </c>
      <c r="H380" s="106">
        <f>IF($J380="","",IFERROR(INDEX(Stu_ContactReq,MATCH(C380,Stu_ID,0)),""))</f>
        <v/>
      </c>
      <c r="I380" s="107">
        <f>IF($J380="","",IFERROR(INDEX(Stu_Notes,MATCH(C380,Stu_ID,0)),""))</f>
        <v/>
      </c>
      <c r="J380" s="40">
        <f>IF(375&gt;$B$3,"",IFERROR(MATCH(375-1,EV_Seq,1)+1,1))</f>
        <v/>
      </c>
    </row>
    <row r="381">
      <c r="A381" s="105">
        <f>IF($J381="","",INDEX(EV_Date,$J381))</f>
        <v/>
      </c>
      <c r="B381" s="78">
        <f>IF($J381="","",INDEX(EV_Name,$J381))</f>
        <v/>
      </c>
      <c r="C381" s="106">
        <f>IF($J381="","",INDEX(EV_ID,$J381))</f>
        <v/>
      </c>
      <c r="D381" s="106">
        <f>IF($J381="","",INDEX(EV_Class,$J381))</f>
        <v/>
      </c>
      <c r="E381" s="106">
        <f>IF($J381="","",INDEX(EV_Type,$J381))</f>
        <v/>
      </c>
      <c r="F381" s="106">
        <f>IF($J381="","",INDEX(EV_Cum,$J381))</f>
        <v/>
      </c>
      <c r="G381" s="106">
        <f>IF($J381="","",INDEX(LevelLabels,MATCH(F381,LevelValues,1)))</f>
        <v/>
      </c>
      <c r="H381" s="106">
        <f>IF($J381="","",IFERROR(INDEX(Stu_ContactReq,MATCH(C381,Stu_ID,0)),""))</f>
        <v/>
      </c>
      <c r="I381" s="107">
        <f>IF($J381="","",IFERROR(INDEX(Stu_Notes,MATCH(C381,Stu_ID,0)),""))</f>
        <v/>
      </c>
      <c r="J381" s="40">
        <f>IF(376&gt;$B$3,"",IFERROR(MATCH(376-1,EV_Seq,1)+1,1))</f>
        <v/>
      </c>
    </row>
    <row r="382">
      <c r="A382" s="105">
        <f>IF($J382="","",INDEX(EV_Date,$J382))</f>
        <v/>
      </c>
      <c r="B382" s="78">
        <f>IF($J382="","",INDEX(EV_Name,$J382))</f>
        <v/>
      </c>
      <c r="C382" s="106">
        <f>IF($J382="","",INDEX(EV_ID,$J382))</f>
        <v/>
      </c>
      <c r="D382" s="106">
        <f>IF($J382="","",INDEX(EV_Class,$J382))</f>
        <v/>
      </c>
      <c r="E382" s="106">
        <f>IF($J382="","",INDEX(EV_Type,$J382))</f>
        <v/>
      </c>
      <c r="F382" s="106">
        <f>IF($J382="","",INDEX(EV_Cum,$J382))</f>
        <v/>
      </c>
      <c r="G382" s="106">
        <f>IF($J382="","",INDEX(LevelLabels,MATCH(F382,LevelValues,1)))</f>
        <v/>
      </c>
      <c r="H382" s="106">
        <f>IF($J382="","",IFERROR(INDEX(Stu_ContactReq,MATCH(C382,Stu_ID,0)),""))</f>
        <v/>
      </c>
      <c r="I382" s="107">
        <f>IF($J382="","",IFERROR(INDEX(Stu_Notes,MATCH(C382,Stu_ID,0)),""))</f>
        <v/>
      </c>
      <c r="J382" s="40">
        <f>IF(377&gt;$B$3,"",IFERROR(MATCH(377-1,EV_Seq,1)+1,1))</f>
        <v/>
      </c>
    </row>
    <row r="383">
      <c r="A383" s="105">
        <f>IF($J383="","",INDEX(EV_Date,$J383))</f>
        <v/>
      </c>
      <c r="B383" s="78">
        <f>IF($J383="","",INDEX(EV_Name,$J383))</f>
        <v/>
      </c>
      <c r="C383" s="106">
        <f>IF($J383="","",INDEX(EV_ID,$J383))</f>
        <v/>
      </c>
      <c r="D383" s="106">
        <f>IF($J383="","",INDEX(EV_Class,$J383))</f>
        <v/>
      </c>
      <c r="E383" s="106">
        <f>IF($J383="","",INDEX(EV_Type,$J383))</f>
        <v/>
      </c>
      <c r="F383" s="106">
        <f>IF($J383="","",INDEX(EV_Cum,$J383))</f>
        <v/>
      </c>
      <c r="G383" s="106">
        <f>IF($J383="","",INDEX(LevelLabels,MATCH(F383,LevelValues,1)))</f>
        <v/>
      </c>
      <c r="H383" s="106">
        <f>IF($J383="","",IFERROR(INDEX(Stu_ContactReq,MATCH(C383,Stu_ID,0)),""))</f>
        <v/>
      </c>
      <c r="I383" s="107">
        <f>IF($J383="","",IFERROR(INDEX(Stu_Notes,MATCH(C383,Stu_ID,0)),""))</f>
        <v/>
      </c>
      <c r="J383" s="40">
        <f>IF(378&gt;$B$3,"",IFERROR(MATCH(378-1,EV_Seq,1)+1,1))</f>
        <v/>
      </c>
    </row>
    <row r="384">
      <c r="A384" s="105">
        <f>IF($J384="","",INDEX(EV_Date,$J384))</f>
        <v/>
      </c>
      <c r="B384" s="78">
        <f>IF($J384="","",INDEX(EV_Name,$J384))</f>
        <v/>
      </c>
      <c r="C384" s="106">
        <f>IF($J384="","",INDEX(EV_ID,$J384))</f>
        <v/>
      </c>
      <c r="D384" s="106">
        <f>IF($J384="","",INDEX(EV_Class,$J384))</f>
        <v/>
      </c>
      <c r="E384" s="106">
        <f>IF($J384="","",INDEX(EV_Type,$J384))</f>
        <v/>
      </c>
      <c r="F384" s="106">
        <f>IF($J384="","",INDEX(EV_Cum,$J384))</f>
        <v/>
      </c>
      <c r="G384" s="106">
        <f>IF($J384="","",INDEX(LevelLabels,MATCH(F384,LevelValues,1)))</f>
        <v/>
      </c>
      <c r="H384" s="106">
        <f>IF($J384="","",IFERROR(INDEX(Stu_ContactReq,MATCH(C384,Stu_ID,0)),""))</f>
        <v/>
      </c>
      <c r="I384" s="107">
        <f>IF($J384="","",IFERROR(INDEX(Stu_Notes,MATCH(C384,Stu_ID,0)),""))</f>
        <v/>
      </c>
      <c r="J384" s="40">
        <f>IF(379&gt;$B$3,"",IFERROR(MATCH(379-1,EV_Seq,1)+1,1))</f>
        <v/>
      </c>
    </row>
    <row r="385">
      <c r="A385" s="105">
        <f>IF($J385="","",INDEX(EV_Date,$J385))</f>
        <v/>
      </c>
      <c r="B385" s="78">
        <f>IF($J385="","",INDEX(EV_Name,$J385))</f>
        <v/>
      </c>
      <c r="C385" s="106">
        <f>IF($J385="","",INDEX(EV_ID,$J385))</f>
        <v/>
      </c>
      <c r="D385" s="106">
        <f>IF($J385="","",INDEX(EV_Class,$J385))</f>
        <v/>
      </c>
      <c r="E385" s="106">
        <f>IF($J385="","",INDEX(EV_Type,$J385))</f>
        <v/>
      </c>
      <c r="F385" s="106">
        <f>IF($J385="","",INDEX(EV_Cum,$J385))</f>
        <v/>
      </c>
      <c r="G385" s="106">
        <f>IF($J385="","",INDEX(LevelLabels,MATCH(F385,LevelValues,1)))</f>
        <v/>
      </c>
      <c r="H385" s="106">
        <f>IF($J385="","",IFERROR(INDEX(Stu_ContactReq,MATCH(C385,Stu_ID,0)),""))</f>
        <v/>
      </c>
      <c r="I385" s="107">
        <f>IF($J385="","",IFERROR(INDEX(Stu_Notes,MATCH(C385,Stu_ID,0)),""))</f>
        <v/>
      </c>
      <c r="J385" s="40">
        <f>IF(380&gt;$B$3,"",IFERROR(MATCH(380-1,EV_Seq,1)+1,1))</f>
        <v/>
      </c>
    </row>
    <row r="386">
      <c r="A386" s="105">
        <f>IF($J386="","",INDEX(EV_Date,$J386))</f>
        <v/>
      </c>
      <c r="B386" s="78">
        <f>IF($J386="","",INDEX(EV_Name,$J386))</f>
        <v/>
      </c>
      <c r="C386" s="106">
        <f>IF($J386="","",INDEX(EV_ID,$J386))</f>
        <v/>
      </c>
      <c r="D386" s="106">
        <f>IF($J386="","",INDEX(EV_Class,$J386))</f>
        <v/>
      </c>
      <c r="E386" s="106">
        <f>IF($J386="","",INDEX(EV_Type,$J386))</f>
        <v/>
      </c>
      <c r="F386" s="106">
        <f>IF($J386="","",INDEX(EV_Cum,$J386))</f>
        <v/>
      </c>
      <c r="G386" s="106">
        <f>IF($J386="","",INDEX(LevelLabels,MATCH(F386,LevelValues,1)))</f>
        <v/>
      </c>
      <c r="H386" s="106">
        <f>IF($J386="","",IFERROR(INDEX(Stu_ContactReq,MATCH(C386,Stu_ID,0)),""))</f>
        <v/>
      </c>
      <c r="I386" s="107">
        <f>IF($J386="","",IFERROR(INDEX(Stu_Notes,MATCH(C386,Stu_ID,0)),""))</f>
        <v/>
      </c>
      <c r="J386" s="40">
        <f>IF(381&gt;$B$3,"",IFERROR(MATCH(381-1,EV_Seq,1)+1,1))</f>
        <v/>
      </c>
    </row>
    <row r="387">
      <c r="A387" s="105">
        <f>IF($J387="","",INDEX(EV_Date,$J387))</f>
        <v/>
      </c>
      <c r="B387" s="78">
        <f>IF($J387="","",INDEX(EV_Name,$J387))</f>
        <v/>
      </c>
      <c r="C387" s="106">
        <f>IF($J387="","",INDEX(EV_ID,$J387))</f>
        <v/>
      </c>
      <c r="D387" s="106">
        <f>IF($J387="","",INDEX(EV_Class,$J387))</f>
        <v/>
      </c>
      <c r="E387" s="106">
        <f>IF($J387="","",INDEX(EV_Type,$J387))</f>
        <v/>
      </c>
      <c r="F387" s="106">
        <f>IF($J387="","",INDEX(EV_Cum,$J387))</f>
        <v/>
      </c>
      <c r="G387" s="106">
        <f>IF($J387="","",INDEX(LevelLabels,MATCH(F387,LevelValues,1)))</f>
        <v/>
      </c>
      <c r="H387" s="106">
        <f>IF($J387="","",IFERROR(INDEX(Stu_ContactReq,MATCH(C387,Stu_ID,0)),""))</f>
        <v/>
      </c>
      <c r="I387" s="107">
        <f>IF($J387="","",IFERROR(INDEX(Stu_Notes,MATCH(C387,Stu_ID,0)),""))</f>
        <v/>
      </c>
      <c r="J387" s="40">
        <f>IF(382&gt;$B$3,"",IFERROR(MATCH(382-1,EV_Seq,1)+1,1))</f>
        <v/>
      </c>
    </row>
    <row r="388">
      <c r="A388" s="105">
        <f>IF($J388="","",INDEX(EV_Date,$J388))</f>
        <v/>
      </c>
      <c r="B388" s="78">
        <f>IF($J388="","",INDEX(EV_Name,$J388))</f>
        <v/>
      </c>
      <c r="C388" s="106">
        <f>IF($J388="","",INDEX(EV_ID,$J388))</f>
        <v/>
      </c>
      <c r="D388" s="106">
        <f>IF($J388="","",INDEX(EV_Class,$J388))</f>
        <v/>
      </c>
      <c r="E388" s="106">
        <f>IF($J388="","",INDEX(EV_Type,$J388))</f>
        <v/>
      </c>
      <c r="F388" s="106">
        <f>IF($J388="","",INDEX(EV_Cum,$J388))</f>
        <v/>
      </c>
      <c r="G388" s="106">
        <f>IF($J388="","",INDEX(LevelLabels,MATCH(F388,LevelValues,1)))</f>
        <v/>
      </c>
      <c r="H388" s="106">
        <f>IF($J388="","",IFERROR(INDEX(Stu_ContactReq,MATCH(C388,Stu_ID,0)),""))</f>
        <v/>
      </c>
      <c r="I388" s="107">
        <f>IF($J388="","",IFERROR(INDEX(Stu_Notes,MATCH(C388,Stu_ID,0)),""))</f>
        <v/>
      </c>
      <c r="J388" s="40">
        <f>IF(383&gt;$B$3,"",IFERROR(MATCH(383-1,EV_Seq,1)+1,1))</f>
        <v/>
      </c>
    </row>
    <row r="389">
      <c r="A389" s="105">
        <f>IF($J389="","",INDEX(EV_Date,$J389))</f>
        <v/>
      </c>
      <c r="B389" s="78">
        <f>IF($J389="","",INDEX(EV_Name,$J389))</f>
        <v/>
      </c>
      <c r="C389" s="106">
        <f>IF($J389="","",INDEX(EV_ID,$J389))</f>
        <v/>
      </c>
      <c r="D389" s="106">
        <f>IF($J389="","",INDEX(EV_Class,$J389))</f>
        <v/>
      </c>
      <c r="E389" s="106">
        <f>IF($J389="","",INDEX(EV_Type,$J389))</f>
        <v/>
      </c>
      <c r="F389" s="106">
        <f>IF($J389="","",INDEX(EV_Cum,$J389))</f>
        <v/>
      </c>
      <c r="G389" s="106">
        <f>IF($J389="","",INDEX(LevelLabels,MATCH(F389,LevelValues,1)))</f>
        <v/>
      </c>
      <c r="H389" s="106">
        <f>IF($J389="","",IFERROR(INDEX(Stu_ContactReq,MATCH(C389,Stu_ID,0)),""))</f>
        <v/>
      </c>
      <c r="I389" s="107">
        <f>IF($J389="","",IFERROR(INDEX(Stu_Notes,MATCH(C389,Stu_ID,0)),""))</f>
        <v/>
      </c>
      <c r="J389" s="40">
        <f>IF(384&gt;$B$3,"",IFERROR(MATCH(384-1,EV_Seq,1)+1,1))</f>
        <v/>
      </c>
    </row>
    <row r="390">
      <c r="A390" s="105">
        <f>IF($J390="","",INDEX(EV_Date,$J390))</f>
        <v/>
      </c>
      <c r="B390" s="78">
        <f>IF($J390="","",INDEX(EV_Name,$J390))</f>
        <v/>
      </c>
      <c r="C390" s="106">
        <f>IF($J390="","",INDEX(EV_ID,$J390))</f>
        <v/>
      </c>
      <c r="D390" s="106">
        <f>IF($J390="","",INDEX(EV_Class,$J390))</f>
        <v/>
      </c>
      <c r="E390" s="106">
        <f>IF($J390="","",INDEX(EV_Type,$J390))</f>
        <v/>
      </c>
      <c r="F390" s="106">
        <f>IF($J390="","",INDEX(EV_Cum,$J390))</f>
        <v/>
      </c>
      <c r="G390" s="106">
        <f>IF($J390="","",INDEX(LevelLabels,MATCH(F390,LevelValues,1)))</f>
        <v/>
      </c>
      <c r="H390" s="106">
        <f>IF($J390="","",IFERROR(INDEX(Stu_ContactReq,MATCH(C390,Stu_ID,0)),""))</f>
        <v/>
      </c>
      <c r="I390" s="107">
        <f>IF($J390="","",IFERROR(INDEX(Stu_Notes,MATCH(C390,Stu_ID,0)),""))</f>
        <v/>
      </c>
      <c r="J390" s="40">
        <f>IF(385&gt;$B$3,"",IFERROR(MATCH(385-1,EV_Seq,1)+1,1))</f>
        <v/>
      </c>
    </row>
    <row r="391">
      <c r="A391" s="105">
        <f>IF($J391="","",INDEX(EV_Date,$J391))</f>
        <v/>
      </c>
      <c r="B391" s="78">
        <f>IF($J391="","",INDEX(EV_Name,$J391))</f>
        <v/>
      </c>
      <c r="C391" s="106">
        <f>IF($J391="","",INDEX(EV_ID,$J391))</f>
        <v/>
      </c>
      <c r="D391" s="106">
        <f>IF($J391="","",INDEX(EV_Class,$J391))</f>
        <v/>
      </c>
      <c r="E391" s="106">
        <f>IF($J391="","",INDEX(EV_Type,$J391))</f>
        <v/>
      </c>
      <c r="F391" s="106">
        <f>IF($J391="","",INDEX(EV_Cum,$J391))</f>
        <v/>
      </c>
      <c r="G391" s="106">
        <f>IF($J391="","",INDEX(LevelLabels,MATCH(F391,LevelValues,1)))</f>
        <v/>
      </c>
      <c r="H391" s="106">
        <f>IF($J391="","",IFERROR(INDEX(Stu_ContactReq,MATCH(C391,Stu_ID,0)),""))</f>
        <v/>
      </c>
      <c r="I391" s="107">
        <f>IF($J391="","",IFERROR(INDEX(Stu_Notes,MATCH(C391,Stu_ID,0)),""))</f>
        <v/>
      </c>
      <c r="J391" s="40">
        <f>IF(386&gt;$B$3,"",IFERROR(MATCH(386-1,EV_Seq,1)+1,1))</f>
        <v/>
      </c>
    </row>
    <row r="392">
      <c r="A392" s="105">
        <f>IF($J392="","",INDEX(EV_Date,$J392))</f>
        <v/>
      </c>
      <c r="B392" s="78">
        <f>IF($J392="","",INDEX(EV_Name,$J392))</f>
        <v/>
      </c>
      <c r="C392" s="106">
        <f>IF($J392="","",INDEX(EV_ID,$J392))</f>
        <v/>
      </c>
      <c r="D392" s="106">
        <f>IF($J392="","",INDEX(EV_Class,$J392))</f>
        <v/>
      </c>
      <c r="E392" s="106">
        <f>IF($J392="","",INDEX(EV_Type,$J392))</f>
        <v/>
      </c>
      <c r="F392" s="106">
        <f>IF($J392="","",INDEX(EV_Cum,$J392))</f>
        <v/>
      </c>
      <c r="G392" s="106">
        <f>IF($J392="","",INDEX(LevelLabels,MATCH(F392,LevelValues,1)))</f>
        <v/>
      </c>
      <c r="H392" s="106">
        <f>IF($J392="","",IFERROR(INDEX(Stu_ContactReq,MATCH(C392,Stu_ID,0)),""))</f>
        <v/>
      </c>
      <c r="I392" s="107">
        <f>IF($J392="","",IFERROR(INDEX(Stu_Notes,MATCH(C392,Stu_ID,0)),""))</f>
        <v/>
      </c>
      <c r="J392" s="40">
        <f>IF(387&gt;$B$3,"",IFERROR(MATCH(387-1,EV_Seq,1)+1,1))</f>
        <v/>
      </c>
    </row>
    <row r="393">
      <c r="A393" s="105">
        <f>IF($J393="","",INDEX(EV_Date,$J393))</f>
        <v/>
      </c>
      <c r="B393" s="78">
        <f>IF($J393="","",INDEX(EV_Name,$J393))</f>
        <v/>
      </c>
      <c r="C393" s="106">
        <f>IF($J393="","",INDEX(EV_ID,$J393))</f>
        <v/>
      </c>
      <c r="D393" s="106">
        <f>IF($J393="","",INDEX(EV_Class,$J393))</f>
        <v/>
      </c>
      <c r="E393" s="106">
        <f>IF($J393="","",INDEX(EV_Type,$J393))</f>
        <v/>
      </c>
      <c r="F393" s="106">
        <f>IF($J393="","",INDEX(EV_Cum,$J393))</f>
        <v/>
      </c>
      <c r="G393" s="106">
        <f>IF($J393="","",INDEX(LevelLabels,MATCH(F393,LevelValues,1)))</f>
        <v/>
      </c>
      <c r="H393" s="106">
        <f>IF($J393="","",IFERROR(INDEX(Stu_ContactReq,MATCH(C393,Stu_ID,0)),""))</f>
        <v/>
      </c>
      <c r="I393" s="107">
        <f>IF($J393="","",IFERROR(INDEX(Stu_Notes,MATCH(C393,Stu_ID,0)),""))</f>
        <v/>
      </c>
      <c r="J393" s="40">
        <f>IF(388&gt;$B$3,"",IFERROR(MATCH(388-1,EV_Seq,1)+1,1))</f>
        <v/>
      </c>
    </row>
    <row r="394">
      <c r="A394" s="105">
        <f>IF($J394="","",INDEX(EV_Date,$J394))</f>
        <v/>
      </c>
      <c r="B394" s="78">
        <f>IF($J394="","",INDEX(EV_Name,$J394))</f>
        <v/>
      </c>
      <c r="C394" s="106">
        <f>IF($J394="","",INDEX(EV_ID,$J394))</f>
        <v/>
      </c>
      <c r="D394" s="106">
        <f>IF($J394="","",INDEX(EV_Class,$J394))</f>
        <v/>
      </c>
      <c r="E394" s="106">
        <f>IF($J394="","",INDEX(EV_Type,$J394))</f>
        <v/>
      </c>
      <c r="F394" s="106">
        <f>IF($J394="","",INDEX(EV_Cum,$J394))</f>
        <v/>
      </c>
      <c r="G394" s="106">
        <f>IF($J394="","",INDEX(LevelLabels,MATCH(F394,LevelValues,1)))</f>
        <v/>
      </c>
      <c r="H394" s="106">
        <f>IF($J394="","",IFERROR(INDEX(Stu_ContactReq,MATCH(C394,Stu_ID,0)),""))</f>
        <v/>
      </c>
      <c r="I394" s="107">
        <f>IF($J394="","",IFERROR(INDEX(Stu_Notes,MATCH(C394,Stu_ID,0)),""))</f>
        <v/>
      </c>
      <c r="J394" s="40">
        <f>IF(389&gt;$B$3,"",IFERROR(MATCH(389-1,EV_Seq,1)+1,1))</f>
        <v/>
      </c>
    </row>
    <row r="395">
      <c r="A395" s="105">
        <f>IF($J395="","",INDEX(EV_Date,$J395))</f>
        <v/>
      </c>
      <c r="B395" s="78">
        <f>IF($J395="","",INDEX(EV_Name,$J395))</f>
        <v/>
      </c>
      <c r="C395" s="106">
        <f>IF($J395="","",INDEX(EV_ID,$J395))</f>
        <v/>
      </c>
      <c r="D395" s="106">
        <f>IF($J395="","",INDEX(EV_Class,$J395))</f>
        <v/>
      </c>
      <c r="E395" s="106">
        <f>IF($J395="","",INDEX(EV_Type,$J395))</f>
        <v/>
      </c>
      <c r="F395" s="106">
        <f>IF($J395="","",INDEX(EV_Cum,$J395))</f>
        <v/>
      </c>
      <c r="G395" s="106">
        <f>IF($J395="","",INDEX(LevelLabels,MATCH(F395,LevelValues,1)))</f>
        <v/>
      </c>
      <c r="H395" s="106">
        <f>IF($J395="","",IFERROR(INDEX(Stu_ContactReq,MATCH(C395,Stu_ID,0)),""))</f>
        <v/>
      </c>
      <c r="I395" s="107">
        <f>IF($J395="","",IFERROR(INDEX(Stu_Notes,MATCH(C395,Stu_ID,0)),""))</f>
        <v/>
      </c>
      <c r="J395" s="40">
        <f>IF(390&gt;$B$3,"",IFERROR(MATCH(390-1,EV_Seq,1)+1,1))</f>
        <v/>
      </c>
    </row>
    <row r="396">
      <c r="A396" s="105">
        <f>IF($J396="","",INDEX(EV_Date,$J396))</f>
        <v/>
      </c>
      <c r="B396" s="78">
        <f>IF($J396="","",INDEX(EV_Name,$J396))</f>
        <v/>
      </c>
      <c r="C396" s="106">
        <f>IF($J396="","",INDEX(EV_ID,$J396))</f>
        <v/>
      </c>
      <c r="D396" s="106">
        <f>IF($J396="","",INDEX(EV_Class,$J396))</f>
        <v/>
      </c>
      <c r="E396" s="106">
        <f>IF($J396="","",INDEX(EV_Type,$J396))</f>
        <v/>
      </c>
      <c r="F396" s="106">
        <f>IF($J396="","",INDEX(EV_Cum,$J396))</f>
        <v/>
      </c>
      <c r="G396" s="106">
        <f>IF($J396="","",INDEX(LevelLabels,MATCH(F396,LevelValues,1)))</f>
        <v/>
      </c>
      <c r="H396" s="106">
        <f>IF($J396="","",IFERROR(INDEX(Stu_ContactReq,MATCH(C396,Stu_ID,0)),""))</f>
        <v/>
      </c>
      <c r="I396" s="107">
        <f>IF($J396="","",IFERROR(INDEX(Stu_Notes,MATCH(C396,Stu_ID,0)),""))</f>
        <v/>
      </c>
      <c r="J396" s="40">
        <f>IF(391&gt;$B$3,"",IFERROR(MATCH(391-1,EV_Seq,1)+1,1))</f>
        <v/>
      </c>
    </row>
    <row r="397">
      <c r="A397" s="105">
        <f>IF($J397="","",INDEX(EV_Date,$J397))</f>
        <v/>
      </c>
      <c r="B397" s="78">
        <f>IF($J397="","",INDEX(EV_Name,$J397))</f>
        <v/>
      </c>
      <c r="C397" s="106">
        <f>IF($J397="","",INDEX(EV_ID,$J397))</f>
        <v/>
      </c>
      <c r="D397" s="106">
        <f>IF($J397="","",INDEX(EV_Class,$J397))</f>
        <v/>
      </c>
      <c r="E397" s="106">
        <f>IF($J397="","",INDEX(EV_Type,$J397))</f>
        <v/>
      </c>
      <c r="F397" s="106">
        <f>IF($J397="","",INDEX(EV_Cum,$J397))</f>
        <v/>
      </c>
      <c r="G397" s="106">
        <f>IF($J397="","",INDEX(LevelLabels,MATCH(F397,LevelValues,1)))</f>
        <v/>
      </c>
      <c r="H397" s="106">
        <f>IF($J397="","",IFERROR(INDEX(Stu_ContactReq,MATCH(C397,Stu_ID,0)),""))</f>
        <v/>
      </c>
      <c r="I397" s="107">
        <f>IF($J397="","",IFERROR(INDEX(Stu_Notes,MATCH(C397,Stu_ID,0)),""))</f>
        <v/>
      </c>
      <c r="J397" s="40">
        <f>IF(392&gt;$B$3,"",IFERROR(MATCH(392-1,EV_Seq,1)+1,1))</f>
        <v/>
      </c>
    </row>
    <row r="398">
      <c r="A398" s="105">
        <f>IF($J398="","",INDEX(EV_Date,$J398))</f>
        <v/>
      </c>
      <c r="B398" s="78">
        <f>IF($J398="","",INDEX(EV_Name,$J398))</f>
        <v/>
      </c>
      <c r="C398" s="106">
        <f>IF($J398="","",INDEX(EV_ID,$J398))</f>
        <v/>
      </c>
      <c r="D398" s="106">
        <f>IF($J398="","",INDEX(EV_Class,$J398))</f>
        <v/>
      </c>
      <c r="E398" s="106">
        <f>IF($J398="","",INDEX(EV_Type,$J398))</f>
        <v/>
      </c>
      <c r="F398" s="106">
        <f>IF($J398="","",INDEX(EV_Cum,$J398))</f>
        <v/>
      </c>
      <c r="G398" s="106">
        <f>IF($J398="","",INDEX(LevelLabels,MATCH(F398,LevelValues,1)))</f>
        <v/>
      </c>
      <c r="H398" s="106">
        <f>IF($J398="","",IFERROR(INDEX(Stu_ContactReq,MATCH(C398,Stu_ID,0)),""))</f>
        <v/>
      </c>
      <c r="I398" s="107">
        <f>IF($J398="","",IFERROR(INDEX(Stu_Notes,MATCH(C398,Stu_ID,0)),""))</f>
        <v/>
      </c>
      <c r="J398" s="40">
        <f>IF(393&gt;$B$3,"",IFERROR(MATCH(393-1,EV_Seq,1)+1,1))</f>
        <v/>
      </c>
    </row>
    <row r="399">
      <c r="A399" s="105">
        <f>IF($J399="","",INDEX(EV_Date,$J399))</f>
        <v/>
      </c>
      <c r="B399" s="78">
        <f>IF($J399="","",INDEX(EV_Name,$J399))</f>
        <v/>
      </c>
      <c r="C399" s="106">
        <f>IF($J399="","",INDEX(EV_ID,$J399))</f>
        <v/>
      </c>
      <c r="D399" s="106">
        <f>IF($J399="","",INDEX(EV_Class,$J399))</f>
        <v/>
      </c>
      <c r="E399" s="106">
        <f>IF($J399="","",INDEX(EV_Type,$J399))</f>
        <v/>
      </c>
      <c r="F399" s="106">
        <f>IF($J399="","",INDEX(EV_Cum,$J399))</f>
        <v/>
      </c>
      <c r="G399" s="106">
        <f>IF($J399="","",INDEX(LevelLabels,MATCH(F399,LevelValues,1)))</f>
        <v/>
      </c>
      <c r="H399" s="106">
        <f>IF($J399="","",IFERROR(INDEX(Stu_ContactReq,MATCH(C399,Stu_ID,0)),""))</f>
        <v/>
      </c>
      <c r="I399" s="107">
        <f>IF($J399="","",IFERROR(INDEX(Stu_Notes,MATCH(C399,Stu_ID,0)),""))</f>
        <v/>
      </c>
      <c r="J399" s="40">
        <f>IF(394&gt;$B$3,"",IFERROR(MATCH(394-1,EV_Seq,1)+1,1))</f>
        <v/>
      </c>
    </row>
    <row r="400">
      <c r="A400" s="105">
        <f>IF($J400="","",INDEX(EV_Date,$J400))</f>
        <v/>
      </c>
      <c r="B400" s="78">
        <f>IF($J400="","",INDEX(EV_Name,$J400))</f>
        <v/>
      </c>
      <c r="C400" s="106">
        <f>IF($J400="","",INDEX(EV_ID,$J400))</f>
        <v/>
      </c>
      <c r="D400" s="106">
        <f>IF($J400="","",INDEX(EV_Class,$J400))</f>
        <v/>
      </c>
      <c r="E400" s="106">
        <f>IF($J400="","",INDEX(EV_Type,$J400))</f>
        <v/>
      </c>
      <c r="F400" s="106">
        <f>IF($J400="","",INDEX(EV_Cum,$J400))</f>
        <v/>
      </c>
      <c r="G400" s="106">
        <f>IF($J400="","",INDEX(LevelLabels,MATCH(F400,LevelValues,1)))</f>
        <v/>
      </c>
      <c r="H400" s="106">
        <f>IF($J400="","",IFERROR(INDEX(Stu_ContactReq,MATCH(C400,Stu_ID,0)),""))</f>
        <v/>
      </c>
      <c r="I400" s="107">
        <f>IF($J400="","",IFERROR(INDEX(Stu_Notes,MATCH(C400,Stu_ID,0)),""))</f>
        <v/>
      </c>
      <c r="J400" s="40">
        <f>IF(395&gt;$B$3,"",IFERROR(MATCH(395-1,EV_Seq,1)+1,1))</f>
        <v/>
      </c>
    </row>
    <row r="401">
      <c r="A401" s="105">
        <f>IF($J401="","",INDEX(EV_Date,$J401))</f>
        <v/>
      </c>
      <c r="B401" s="78">
        <f>IF($J401="","",INDEX(EV_Name,$J401))</f>
        <v/>
      </c>
      <c r="C401" s="106">
        <f>IF($J401="","",INDEX(EV_ID,$J401))</f>
        <v/>
      </c>
      <c r="D401" s="106">
        <f>IF($J401="","",INDEX(EV_Class,$J401))</f>
        <v/>
      </c>
      <c r="E401" s="106">
        <f>IF($J401="","",INDEX(EV_Type,$J401))</f>
        <v/>
      </c>
      <c r="F401" s="106">
        <f>IF($J401="","",INDEX(EV_Cum,$J401))</f>
        <v/>
      </c>
      <c r="G401" s="106">
        <f>IF($J401="","",INDEX(LevelLabels,MATCH(F401,LevelValues,1)))</f>
        <v/>
      </c>
      <c r="H401" s="106">
        <f>IF($J401="","",IFERROR(INDEX(Stu_ContactReq,MATCH(C401,Stu_ID,0)),""))</f>
        <v/>
      </c>
      <c r="I401" s="107">
        <f>IF($J401="","",IFERROR(INDEX(Stu_Notes,MATCH(C401,Stu_ID,0)),""))</f>
        <v/>
      </c>
      <c r="J401" s="40">
        <f>IF(396&gt;$B$3,"",IFERROR(MATCH(396-1,EV_Seq,1)+1,1))</f>
        <v/>
      </c>
    </row>
    <row r="402">
      <c r="A402" s="105">
        <f>IF($J402="","",INDEX(EV_Date,$J402))</f>
        <v/>
      </c>
      <c r="B402" s="78">
        <f>IF($J402="","",INDEX(EV_Name,$J402))</f>
        <v/>
      </c>
      <c r="C402" s="106">
        <f>IF($J402="","",INDEX(EV_ID,$J402))</f>
        <v/>
      </c>
      <c r="D402" s="106">
        <f>IF($J402="","",INDEX(EV_Class,$J402))</f>
        <v/>
      </c>
      <c r="E402" s="106">
        <f>IF($J402="","",INDEX(EV_Type,$J402))</f>
        <v/>
      </c>
      <c r="F402" s="106">
        <f>IF($J402="","",INDEX(EV_Cum,$J402))</f>
        <v/>
      </c>
      <c r="G402" s="106">
        <f>IF($J402="","",INDEX(LevelLabels,MATCH(F402,LevelValues,1)))</f>
        <v/>
      </c>
      <c r="H402" s="106">
        <f>IF($J402="","",IFERROR(INDEX(Stu_ContactReq,MATCH(C402,Stu_ID,0)),""))</f>
        <v/>
      </c>
      <c r="I402" s="107">
        <f>IF($J402="","",IFERROR(INDEX(Stu_Notes,MATCH(C402,Stu_ID,0)),""))</f>
        <v/>
      </c>
      <c r="J402" s="40">
        <f>IF(397&gt;$B$3,"",IFERROR(MATCH(397-1,EV_Seq,1)+1,1))</f>
        <v/>
      </c>
    </row>
    <row r="403">
      <c r="A403" s="105">
        <f>IF($J403="","",INDEX(EV_Date,$J403))</f>
        <v/>
      </c>
      <c r="B403" s="78">
        <f>IF($J403="","",INDEX(EV_Name,$J403))</f>
        <v/>
      </c>
      <c r="C403" s="106">
        <f>IF($J403="","",INDEX(EV_ID,$J403))</f>
        <v/>
      </c>
      <c r="D403" s="106">
        <f>IF($J403="","",INDEX(EV_Class,$J403))</f>
        <v/>
      </c>
      <c r="E403" s="106">
        <f>IF($J403="","",INDEX(EV_Type,$J403))</f>
        <v/>
      </c>
      <c r="F403" s="106">
        <f>IF($J403="","",INDEX(EV_Cum,$J403))</f>
        <v/>
      </c>
      <c r="G403" s="106">
        <f>IF($J403="","",INDEX(LevelLabels,MATCH(F403,LevelValues,1)))</f>
        <v/>
      </c>
      <c r="H403" s="106">
        <f>IF($J403="","",IFERROR(INDEX(Stu_ContactReq,MATCH(C403,Stu_ID,0)),""))</f>
        <v/>
      </c>
      <c r="I403" s="107">
        <f>IF($J403="","",IFERROR(INDEX(Stu_Notes,MATCH(C403,Stu_ID,0)),""))</f>
        <v/>
      </c>
      <c r="J403" s="40">
        <f>IF(398&gt;$B$3,"",IFERROR(MATCH(398-1,EV_Seq,1)+1,1))</f>
        <v/>
      </c>
    </row>
    <row r="404">
      <c r="A404" s="105">
        <f>IF($J404="","",INDEX(EV_Date,$J404))</f>
        <v/>
      </c>
      <c r="B404" s="78">
        <f>IF($J404="","",INDEX(EV_Name,$J404))</f>
        <v/>
      </c>
      <c r="C404" s="106">
        <f>IF($J404="","",INDEX(EV_ID,$J404))</f>
        <v/>
      </c>
      <c r="D404" s="106">
        <f>IF($J404="","",INDEX(EV_Class,$J404))</f>
        <v/>
      </c>
      <c r="E404" s="106">
        <f>IF($J404="","",INDEX(EV_Type,$J404))</f>
        <v/>
      </c>
      <c r="F404" s="106">
        <f>IF($J404="","",INDEX(EV_Cum,$J404))</f>
        <v/>
      </c>
      <c r="G404" s="106">
        <f>IF($J404="","",INDEX(LevelLabels,MATCH(F404,LevelValues,1)))</f>
        <v/>
      </c>
      <c r="H404" s="106">
        <f>IF($J404="","",IFERROR(INDEX(Stu_ContactReq,MATCH(C404,Stu_ID,0)),""))</f>
        <v/>
      </c>
      <c r="I404" s="107">
        <f>IF($J404="","",IFERROR(INDEX(Stu_Notes,MATCH(C404,Stu_ID,0)),""))</f>
        <v/>
      </c>
      <c r="J404" s="40">
        <f>IF(399&gt;$B$3,"",IFERROR(MATCH(399-1,EV_Seq,1)+1,1))</f>
        <v/>
      </c>
    </row>
    <row r="405">
      <c r="A405" s="105">
        <f>IF($J405="","",INDEX(EV_Date,$J405))</f>
        <v/>
      </c>
      <c r="B405" s="78">
        <f>IF($J405="","",INDEX(EV_Name,$J405))</f>
        <v/>
      </c>
      <c r="C405" s="106">
        <f>IF($J405="","",INDEX(EV_ID,$J405))</f>
        <v/>
      </c>
      <c r="D405" s="106">
        <f>IF($J405="","",INDEX(EV_Class,$J405))</f>
        <v/>
      </c>
      <c r="E405" s="106">
        <f>IF($J405="","",INDEX(EV_Type,$J405))</f>
        <v/>
      </c>
      <c r="F405" s="106">
        <f>IF($J405="","",INDEX(EV_Cum,$J405))</f>
        <v/>
      </c>
      <c r="G405" s="106">
        <f>IF($J405="","",INDEX(LevelLabels,MATCH(F405,LevelValues,1)))</f>
        <v/>
      </c>
      <c r="H405" s="106">
        <f>IF($J405="","",IFERROR(INDEX(Stu_ContactReq,MATCH(C405,Stu_ID,0)),""))</f>
        <v/>
      </c>
      <c r="I405" s="107">
        <f>IF($J405="","",IFERROR(INDEX(Stu_Notes,MATCH(C405,Stu_ID,0)),""))</f>
        <v/>
      </c>
      <c r="J405" s="40">
        <f>IF(400&gt;$B$3,"",IFERROR(MATCH(400-1,EV_Seq,1)+1,1))</f>
        <v/>
      </c>
    </row>
    <row r="406">
      <c r="A406" s="105">
        <f>IF($J406="","",INDEX(EV_Date,$J406))</f>
        <v/>
      </c>
      <c r="B406" s="78">
        <f>IF($J406="","",INDEX(EV_Name,$J406))</f>
        <v/>
      </c>
      <c r="C406" s="106">
        <f>IF($J406="","",INDEX(EV_ID,$J406))</f>
        <v/>
      </c>
      <c r="D406" s="106">
        <f>IF($J406="","",INDEX(EV_Class,$J406))</f>
        <v/>
      </c>
      <c r="E406" s="106">
        <f>IF($J406="","",INDEX(EV_Type,$J406))</f>
        <v/>
      </c>
      <c r="F406" s="106">
        <f>IF($J406="","",INDEX(EV_Cum,$J406))</f>
        <v/>
      </c>
      <c r="G406" s="106">
        <f>IF($J406="","",INDEX(LevelLabels,MATCH(F406,LevelValues,1)))</f>
        <v/>
      </c>
      <c r="H406" s="106">
        <f>IF($J406="","",IFERROR(INDEX(Stu_ContactReq,MATCH(C406,Stu_ID,0)),""))</f>
        <v/>
      </c>
      <c r="I406" s="107">
        <f>IF($J406="","",IFERROR(INDEX(Stu_Notes,MATCH(C406,Stu_ID,0)),""))</f>
        <v/>
      </c>
      <c r="J406" s="40">
        <f>IF(401&gt;$B$3,"",IFERROR(MATCH(401-1,EV_Seq,1)+1,1))</f>
        <v/>
      </c>
    </row>
    <row r="407">
      <c r="A407" s="105">
        <f>IF($J407="","",INDEX(EV_Date,$J407))</f>
        <v/>
      </c>
      <c r="B407" s="78">
        <f>IF($J407="","",INDEX(EV_Name,$J407))</f>
        <v/>
      </c>
      <c r="C407" s="106">
        <f>IF($J407="","",INDEX(EV_ID,$J407))</f>
        <v/>
      </c>
      <c r="D407" s="106">
        <f>IF($J407="","",INDEX(EV_Class,$J407))</f>
        <v/>
      </c>
      <c r="E407" s="106">
        <f>IF($J407="","",INDEX(EV_Type,$J407))</f>
        <v/>
      </c>
      <c r="F407" s="106">
        <f>IF($J407="","",INDEX(EV_Cum,$J407))</f>
        <v/>
      </c>
      <c r="G407" s="106">
        <f>IF($J407="","",INDEX(LevelLabels,MATCH(F407,LevelValues,1)))</f>
        <v/>
      </c>
      <c r="H407" s="106">
        <f>IF($J407="","",IFERROR(INDEX(Stu_ContactReq,MATCH(C407,Stu_ID,0)),""))</f>
        <v/>
      </c>
      <c r="I407" s="107">
        <f>IF($J407="","",IFERROR(INDEX(Stu_Notes,MATCH(C407,Stu_ID,0)),""))</f>
        <v/>
      </c>
      <c r="J407" s="40">
        <f>IF(402&gt;$B$3,"",IFERROR(MATCH(402-1,EV_Seq,1)+1,1))</f>
        <v/>
      </c>
    </row>
    <row r="408">
      <c r="A408" s="105">
        <f>IF($J408="","",INDEX(EV_Date,$J408))</f>
        <v/>
      </c>
      <c r="B408" s="78">
        <f>IF($J408="","",INDEX(EV_Name,$J408))</f>
        <v/>
      </c>
      <c r="C408" s="106">
        <f>IF($J408="","",INDEX(EV_ID,$J408))</f>
        <v/>
      </c>
      <c r="D408" s="106">
        <f>IF($J408="","",INDEX(EV_Class,$J408))</f>
        <v/>
      </c>
      <c r="E408" s="106">
        <f>IF($J408="","",INDEX(EV_Type,$J408))</f>
        <v/>
      </c>
      <c r="F408" s="106">
        <f>IF($J408="","",INDEX(EV_Cum,$J408))</f>
        <v/>
      </c>
      <c r="G408" s="106">
        <f>IF($J408="","",INDEX(LevelLabels,MATCH(F408,LevelValues,1)))</f>
        <v/>
      </c>
      <c r="H408" s="106">
        <f>IF($J408="","",IFERROR(INDEX(Stu_ContactReq,MATCH(C408,Stu_ID,0)),""))</f>
        <v/>
      </c>
      <c r="I408" s="107">
        <f>IF($J408="","",IFERROR(INDEX(Stu_Notes,MATCH(C408,Stu_ID,0)),""))</f>
        <v/>
      </c>
      <c r="J408" s="40">
        <f>IF(403&gt;$B$3,"",IFERROR(MATCH(403-1,EV_Seq,1)+1,1))</f>
        <v/>
      </c>
    </row>
    <row r="409">
      <c r="A409" s="105">
        <f>IF($J409="","",INDEX(EV_Date,$J409))</f>
        <v/>
      </c>
      <c r="B409" s="78">
        <f>IF($J409="","",INDEX(EV_Name,$J409))</f>
        <v/>
      </c>
      <c r="C409" s="106">
        <f>IF($J409="","",INDEX(EV_ID,$J409))</f>
        <v/>
      </c>
      <c r="D409" s="106">
        <f>IF($J409="","",INDEX(EV_Class,$J409))</f>
        <v/>
      </c>
      <c r="E409" s="106">
        <f>IF($J409="","",INDEX(EV_Type,$J409))</f>
        <v/>
      </c>
      <c r="F409" s="106">
        <f>IF($J409="","",INDEX(EV_Cum,$J409))</f>
        <v/>
      </c>
      <c r="G409" s="106">
        <f>IF($J409="","",INDEX(LevelLabels,MATCH(F409,LevelValues,1)))</f>
        <v/>
      </c>
      <c r="H409" s="106">
        <f>IF($J409="","",IFERROR(INDEX(Stu_ContactReq,MATCH(C409,Stu_ID,0)),""))</f>
        <v/>
      </c>
      <c r="I409" s="107">
        <f>IF($J409="","",IFERROR(INDEX(Stu_Notes,MATCH(C409,Stu_ID,0)),""))</f>
        <v/>
      </c>
      <c r="J409" s="40">
        <f>IF(404&gt;$B$3,"",IFERROR(MATCH(404-1,EV_Seq,1)+1,1))</f>
        <v/>
      </c>
    </row>
    <row r="410">
      <c r="A410" s="105">
        <f>IF($J410="","",INDEX(EV_Date,$J410))</f>
        <v/>
      </c>
      <c r="B410" s="78">
        <f>IF($J410="","",INDEX(EV_Name,$J410))</f>
        <v/>
      </c>
      <c r="C410" s="106">
        <f>IF($J410="","",INDEX(EV_ID,$J410))</f>
        <v/>
      </c>
      <c r="D410" s="106">
        <f>IF($J410="","",INDEX(EV_Class,$J410))</f>
        <v/>
      </c>
      <c r="E410" s="106">
        <f>IF($J410="","",INDEX(EV_Type,$J410))</f>
        <v/>
      </c>
      <c r="F410" s="106">
        <f>IF($J410="","",INDEX(EV_Cum,$J410))</f>
        <v/>
      </c>
      <c r="G410" s="106">
        <f>IF($J410="","",INDEX(LevelLabels,MATCH(F410,LevelValues,1)))</f>
        <v/>
      </c>
      <c r="H410" s="106">
        <f>IF($J410="","",IFERROR(INDEX(Stu_ContactReq,MATCH(C410,Stu_ID,0)),""))</f>
        <v/>
      </c>
      <c r="I410" s="107">
        <f>IF($J410="","",IFERROR(INDEX(Stu_Notes,MATCH(C410,Stu_ID,0)),""))</f>
        <v/>
      </c>
      <c r="J410" s="40">
        <f>IF(405&gt;$B$3,"",IFERROR(MATCH(405-1,EV_Seq,1)+1,1))</f>
        <v/>
      </c>
    </row>
    <row r="411">
      <c r="A411" s="105">
        <f>IF($J411="","",INDEX(EV_Date,$J411))</f>
        <v/>
      </c>
      <c r="B411" s="78">
        <f>IF($J411="","",INDEX(EV_Name,$J411))</f>
        <v/>
      </c>
      <c r="C411" s="106">
        <f>IF($J411="","",INDEX(EV_ID,$J411))</f>
        <v/>
      </c>
      <c r="D411" s="106">
        <f>IF($J411="","",INDEX(EV_Class,$J411))</f>
        <v/>
      </c>
      <c r="E411" s="106">
        <f>IF($J411="","",INDEX(EV_Type,$J411))</f>
        <v/>
      </c>
      <c r="F411" s="106">
        <f>IF($J411="","",INDEX(EV_Cum,$J411))</f>
        <v/>
      </c>
      <c r="G411" s="106">
        <f>IF($J411="","",INDEX(LevelLabels,MATCH(F411,LevelValues,1)))</f>
        <v/>
      </c>
      <c r="H411" s="106">
        <f>IF($J411="","",IFERROR(INDEX(Stu_ContactReq,MATCH(C411,Stu_ID,0)),""))</f>
        <v/>
      </c>
      <c r="I411" s="107">
        <f>IF($J411="","",IFERROR(INDEX(Stu_Notes,MATCH(C411,Stu_ID,0)),""))</f>
        <v/>
      </c>
      <c r="J411" s="40">
        <f>IF(406&gt;$B$3,"",IFERROR(MATCH(406-1,EV_Seq,1)+1,1))</f>
        <v/>
      </c>
    </row>
    <row r="412">
      <c r="A412" s="105">
        <f>IF($J412="","",INDEX(EV_Date,$J412))</f>
        <v/>
      </c>
      <c r="B412" s="78">
        <f>IF($J412="","",INDEX(EV_Name,$J412))</f>
        <v/>
      </c>
      <c r="C412" s="106">
        <f>IF($J412="","",INDEX(EV_ID,$J412))</f>
        <v/>
      </c>
      <c r="D412" s="106">
        <f>IF($J412="","",INDEX(EV_Class,$J412))</f>
        <v/>
      </c>
      <c r="E412" s="106">
        <f>IF($J412="","",INDEX(EV_Type,$J412))</f>
        <v/>
      </c>
      <c r="F412" s="106">
        <f>IF($J412="","",INDEX(EV_Cum,$J412))</f>
        <v/>
      </c>
      <c r="G412" s="106">
        <f>IF($J412="","",INDEX(LevelLabels,MATCH(F412,LevelValues,1)))</f>
        <v/>
      </c>
      <c r="H412" s="106">
        <f>IF($J412="","",IFERROR(INDEX(Stu_ContactReq,MATCH(C412,Stu_ID,0)),""))</f>
        <v/>
      </c>
      <c r="I412" s="107">
        <f>IF($J412="","",IFERROR(INDEX(Stu_Notes,MATCH(C412,Stu_ID,0)),""))</f>
        <v/>
      </c>
      <c r="J412" s="40">
        <f>IF(407&gt;$B$3,"",IFERROR(MATCH(407-1,EV_Seq,1)+1,1))</f>
        <v/>
      </c>
    </row>
    <row r="413">
      <c r="A413" s="105">
        <f>IF($J413="","",INDEX(EV_Date,$J413))</f>
        <v/>
      </c>
      <c r="B413" s="78">
        <f>IF($J413="","",INDEX(EV_Name,$J413))</f>
        <v/>
      </c>
      <c r="C413" s="106">
        <f>IF($J413="","",INDEX(EV_ID,$J413))</f>
        <v/>
      </c>
      <c r="D413" s="106">
        <f>IF($J413="","",INDEX(EV_Class,$J413))</f>
        <v/>
      </c>
      <c r="E413" s="106">
        <f>IF($J413="","",INDEX(EV_Type,$J413))</f>
        <v/>
      </c>
      <c r="F413" s="106">
        <f>IF($J413="","",INDEX(EV_Cum,$J413))</f>
        <v/>
      </c>
      <c r="G413" s="106">
        <f>IF($J413="","",INDEX(LevelLabels,MATCH(F413,LevelValues,1)))</f>
        <v/>
      </c>
      <c r="H413" s="106">
        <f>IF($J413="","",IFERROR(INDEX(Stu_ContactReq,MATCH(C413,Stu_ID,0)),""))</f>
        <v/>
      </c>
      <c r="I413" s="107">
        <f>IF($J413="","",IFERROR(INDEX(Stu_Notes,MATCH(C413,Stu_ID,0)),""))</f>
        <v/>
      </c>
      <c r="J413" s="40">
        <f>IF(408&gt;$B$3,"",IFERROR(MATCH(408-1,EV_Seq,1)+1,1))</f>
        <v/>
      </c>
    </row>
    <row r="414">
      <c r="A414" s="105">
        <f>IF($J414="","",INDEX(EV_Date,$J414))</f>
        <v/>
      </c>
      <c r="B414" s="78">
        <f>IF($J414="","",INDEX(EV_Name,$J414))</f>
        <v/>
      </c>
      <c r="C414" s="106">
        <f>IF($J414="","",INDEX(EV_ID,$J414))</f>
        <v/>
      </c>
      <c r="D414" s="106">
        <f>IF($J414="","",INDEX(EV_Class,$J414))</f>
        <v/>
      </c>
      <c r="E414" s="106">
        <f>IF($J414="","",INDEX(EV_Type,$J414))</f>
        <v/>
      </c>
      <c r="F414" s="106">
        <f>IF($J414="","",INDEX(EV_Cum,$J414))</f>
        <v/>
      </c>
      <c r="G414" s="106">
        <f>IF($J414="","",INDEX(LevelLabels,MATCH(F414,LevelValues,1)))</f>
        <v/>
      </c>
      <c r="H414" s="106">
        <f>IF($J414="","",IFERROR(INDEX(Stu_ContactReq,MATCH(C414,Stu_ID,0)),""))</f>
        <v/>
      </c>
      <c r="I414" s="107">
        <f>IF($J414="","",IFERROR(INDEX(Stu_Notes,MATCH(C414,Stu_ID,0)),""))</f>
        <v/>
      </c>
      <c r="J414" s="40">
        <f>IF(409&gt;$B$3,"",IFERROR(MATCH(409-1,EV_Seq,1)+1,1))</f>
        <v/>
      </c>
    </row>
    <row r="415">
      <c r="A415" s="105">
        <f>IF($J415="","",INDEX(EV_Date,$J415))</f>
        <v/>
      </c>
      <c r="B415" s="78">
        <f>IF($J415="","",INDEX(EV_Name,$J415))</f>
        <v/>
      </c>
      <c r="C415" s="106">
        <f>IF($J415="","",INDEX(EV_ID,$J415))</f>
        <v/>
      </c>
      <c r="D415" s="106">
        <f>IF($J415="","",INDEX(EV_Class,$J415))</f>
        <v/>
      </c>
      <c r="E415" s="106">
        <f>IF($J415="","",INDEX(EV_Type,$J415))</f>
        <v/>
      </c>
      <c r="F415" s="106">
        <f>IF($J415="","",INDEX(EV_Cum,$J415))</f>
        <v/>
      </c>
      <c r="G415" s="106">
        <f>IF($J415="","",INDEX(LevelLabels,MATCH(F415,LevelValues,1)))</f>
        <v/>
      </c>
      <c r="H415" s="106">
        <f>IF($J415="","",IFERROR(INDEX(Stu_ContactReq,MATCH(C415,Stu_ID,0)),""))</f>
        <v/>
      </c>
      <c r="I415" s="107">
        <f>IF($J415="","",IFERROR(INDEX(Stu_Notes,MATCH(C415,Stu_ID,0)),""))</f>
        <v/>
      </c>
      <c r="J415" s="40">
        <f>IF(410&gt;$B$3,"",IFERROR(MATCH(410-1,EV_Seq,1)+1,1))</f>
        <v/>
      </c>
    </row>
    <row r="416">
      <c r="A416" s="105">
        <f>IF($J416="","",INDEX(EV_Date,$J416))</f>
        <v/>
      </c>
      <c r="B416" s="78">
        <f>IF($J416="","",INDEX(EV_Name,$J416))</f>
        <v/>
      </c>
      <c r="C416" s="106">
        <f>IF($J416="","",INDEX(EV_ID,$J416))</f>
        <v/>
      </c>
      <c r="D416" s="106">
        <f>IF($J416="","",INDEX(EV_Class,$J416))</f>
        <v/>
      </c>
      <c r="E416" s="106">
        <f>IF($J416="","",INDEX(EV_Type,$J416))</f>
        <v/>
      </c>
      <c r="F416" s="106">
        <f>IF($J416="","",INDEX(EV_Cum,$J416))</f>
        <v/>
      </c>
      <c r="G416" s="106">
        <f>IF($J416="","",INDEX(LevelLabels,MATCH(F416,LevelValues,1)))</f>
        <v/>
      </c>
      <c r="H416" s="106">
        <f>IF($J416="","",IFERROR(INDEX(Stu_ContactReq,MATCH(C416,Stu_ID,0)),""))</f>
        <v/>
      </c>
      <c r="I416" s="107">
        <f>IF($J416="","",IFERROR(INDEX(Stu_Notes,MATCH(C416,Stu_ID,0)),""))</f>
        <v/>
      </c>
      <c r="J416" s="40">
        <f>IF(411&gt;$B$3,"",IFERROR(MATCH(411-1,EV_Seq,1)+1,1))</f>
        <v/>
      </c>
    </row>
    <row r="417">
      <c r="A417" s="105">
        <f>IF($J417="","",INDEX(EV_Date,$J417))</f>
        <v/>
      </c>
      <c r="B417" s="78">
        <f>IF($J417="","",INDEX(EV_Name,$J417))</f>
        <v/>
      </c>
      <c r="C417" s="106">
        <f>IF($J417="","",INDEX(EV_ID,$J417))</f>
        <v/>
      </c>
      <c r="D417" s="106">
        <f>IF($J417="","",INDEX(EV_Class,$J417))</f>
        <v/>
      </c>
      <c r="E417" s="106">
        <f>IF($J417="","",INDEX(EV_Type,$J417))</f>
        <v/>
      </c>
      <c r="F417" s="106">
        <f>IF($J417="","",INDEX(EV_Cum,$J417))</f>
        <v/>
      </c>
      <c r="G417" s="106">
        <f>IF($J417="","",INDEX(LevelLabels,MATCH(F417,LevelValues,1)))</f>
        <v/>
      </c>
      <c r="H417" s="106">
        <f>IF($J417="","",IFERROR(INDEX(Stu_ContactReq,MATCH(C417,Stu_ID,0)),""))</f>
        <v/>
      </c>
      <c r="I417" s="107">
        <f>IF($J417="","",IFERROR(INDEX(Stu_Notes,MATCH(C417,Stu_ID,0)),""))</f>
        <v/>
      </c>
      <c r="J417" s="40">
        <f>IF(412&gt;$B$3,"",IFERROR(MATCH(412-1,EV_Seq,1)+1,1))</f>
        <v/>
      </c>
    </row>
    <row r="418">
      <c r="A418" s="105">
        <f>IF($J418="","",INDEX(EV_Date,$J418))</f>
        <v/>
      </c>
      <c r="B418" s="78">
        <f>IF($J418="","",INDEX(EV_Name,$J418))</f>
        <v/>
      </c>
      <c r="C418" s="106">
        <f>IF($J418="","",INDEX(EV_ID,$J418))</f>
        <v/>
      </c>
      <c r="D418" s="106">
        <f>IF($J418="","",INDEX(EV_Class,$J418))</f>
        <v/>
      </c>
      <c r="E418" s="106">
        <f>IF($J418="","",INDEX(EV_Type,$J418))</f>
        <v/>
      </c>
      <c r="F418" s="106">
        <f>IF($J418="","",INDEX(EV_Cum,$J418))</f>
        <v/>
      </c>
      <c r="G418" s="106">
        <f>IF($J418="","",INDEX(LevelLabels,MATCH(F418,LevelValues,1)))</f>
        <v/>
      </c>
      <c r="H418" s="106">
        <f>IF($J418="","",IFERROR(INDEX(Stu_ContactReq,MATCH(C418,Stu_ID,0)),""))</f>
        <v/>
      </c>
      <c r="I418" s="107">
        <f>IF($J418="","",IFERROR(INDEX(Stu_Notes,MATCH(C418,Stu_ID,0)),""))</f>
        <v/>
      </c>
      <c r="J418" s="40">
        <f>IF(413&gt;$B$3,"",IFERROR(MATCH(413-1,EV_Seq,1)+1,1))</f>
        <v/>
      </c>
    </row>
    <row r="419">
      <c r="A419" s="105">
        <f>IF($J419="","",INDEX(EV_Date,$J419))</f>
        <v/>
      </c>
      <c r="B419" s="78">
        <f>IF($J419="","",INDEX(EV_Name,$J419))</f>
        <v/>
      </c>
      <c r="C419" s="106">
        <f>IF($J419="","",INDEX(EV_ID,$J419))</f>
        <v/>
      </c>
      <c r="D419" s="106">
        <f>IF($J419="","",INDEX(EV_Class,$J419))</f>
        <v/>
      </c>
      <c r="E419" s="106">
        <f>IF($J419="","",INDEX(EV_Type,$J419))</f>
        <v/>
      </c>
      <c r="F419" s="106">
        <f>IF($J419="","",INDEX(EV_Cum,$J419))</f>
        <v/>
      </c>
      <c r="G419" s="106">
        <f>IF($J419="","",INDEX(LevelLabels,MATCH(F419,LevelValues,1)))</f>
        <v/>
      </c>
      <c r="H419" s="106">
        <f>IF($J419="","",IFERROR(INDEX(Stu_ContactReq,MATCH(C419,Stu_ID,0)),""))</f>
        <v/>
      </c>
      <c r="I419" s="107">
        <f>IF($J419="","",IFERROR(INDEX(Stu_Notes,MATCH(C419,Stu_ID,0)),""))</f>
        <v/>
      </c>
      <c r="J419" s="40">
        <f>IF(414&gt;$B$3,"",IFERROR(MATCH(414-1,EV_Seq,1)+1,1))</f>
        <v/>
      </c>
    </row>
    <row r="420">
      <c r="A420" s="105">
        <f>IF($J420="","",INDEX(EV_Date,$J420))</f>
        <v/>
      </c>
      <c r="B420" s="78">
        <f>IF($J420="","",INDEX(EV_Name,$J420))</f>
        <v/>
      </c>
      <c r="C420" s="106">
        <f>IF($J420="","",INDEX(EV_ID,$J420))</f>
        <v/>
      </c>
      <c r="D420" s="106">
        <f>IF($J420="","",INDEX(EV_Class,$J420))</f>
        <v/>
      </c>
      <c r="E420" s="106">
        <f>IF($J420="","",INDEX(EV_Type,$J420))</f>
        <v/>
      </c>
      <c r="F420" s="106">
        <f>IF($J420="","",INDEX(EV_Cum,$J420))</f>
        <v/>
      </c>
      <c r="G420" s="106">
        <f>IF($J420="","",INDEX(LevelLabels,MATCH(F420,LevelValues,1)))</f>
        <v/>
      </c>
      <c r="H420" s="106">
        <f>IF($J420="","",IFERROR(INDEX(Stu_ContactReq,MATCH(C420,Stu_ID,0)),""))</f>
        <v/>
      </c>
      <c r="I420" s="107">
        <f>IF($J420="","",IFERROR(INDEX(Stu_Notes,MATCH(C420,Stu_ID,0)),""))</f>
        <v/>
      </c>
      <c r="J420" s="40">
        <f>IF(415&gt;$B$3,"",IFERROR(MATCH(415-1,EV_Seq,1)+1,1))</f>
        <v/>
      </c>
    </row>
    <row r="421">
      <c r="A421" s="105">
        <f>IF($J421="","",INDEX(EV_Date,$J421))</f>
        <v/>
      </c>
      <c r="B421" s="78">
        <f>IF($J421="","",INDEX(EV_Name,$J421))</f>
        <v/>
      </c>
      <c r="C421" s="106">
        <f>IF($J421="","",INDEX(EV_ID,$J421))</f>
        <v/>
      </c>
      <c r="D421" s="106">
        <f>IF($J421="","",INDEX(EV_Class,$J421))</f>
        <v/>
      </c>
      <c r="E421" s="106">
        <f>IF($J421="","",INDEX(EV_Type,$J421))</f>
        <v/>
      </c>
      <c r="F421" s="106">
        <f>IF($J421="","",INDEX(EV_Cum,$J421))</f>
        <v/>
      </c>
      <c r="G421" s="106">
        <f>IF($J421="","",INDEX(LevelLabels,MATCH(F421,LevelValues,1)))</f>
        <v/>
      </c>
      <c r="H421" s="106">
        <f>IF($J421="","",IFERROR(INDEX(Stu_ContactReq,MATCH(C421,Stu_ID,0)),""))</f>
        <v/>
      </c>
      <c r="I421" s="107">
        <f>IF($J421="","",IFERROR(INDEX(Stu_Notes,MATCH(C421,Stu_ID,0)),""))</f>
        <v/>
      </c>
      <c r="J421" s="40">
        <f>IF(416&gt;$B$3,"",IFERROR(MATCH(416-1,EV_Seq,1)+1,1))</f>
        <v/>
      </c>
    </row>
    <row r="422">
      <c r="A422" s="105">
        <f>IF($J422="","",INDEX(EV_Date,$J422))</f>
        <v/>
      </c>
      <c r="B422" s="78">
        <f>IF($J422="","",INDEX(EV_Name,$J422))</f>
        <v/>
      </c>
      <c r="C422" s="106">
        <f>IF($J422="","",INDEX(EV_ID,$J422))</f>
        <v/>
      </c>
      <c r="D422" s="106">
        <f>IF($J422="","",INDEX(EV_Class,$J422))</f>
        <v/>
      </c>
      <c r="E422" s="106">
        <f>IF($J422="","",INDEX(EV_Type,$J422))</f>
        <v/>
      </c>
      <c r="F422" s="106">
        <f>IF($J422="","",INDEX(EV_Cum,$J422))</f>
        <v/>
      </c>
      <c r="G422" s="106">
        <f>IF($J422="","",INDEX(LevelLabels,MATCH(F422,LevelValues,1)))</f>
        <v/>
      </c>
      <c r="H422" s="106">
        <f>IF($J422="","",IFERROR(INDEX(Stu_ContactReq,MATCH(C422,Stu_ID,0)),""))</f>
        <v/>
      </c>
      <c r="I422" s="107">
        <f>IF($J422="","",IFERROR(INDEX(Stu_Notes,MATCH(C422,Stu_ID,0)),""))</f>
        <v/>
      </c>
      <c r="J422" s="40">
        <f>IF(417&gt;$B$3,"",IFERROR(MATCH(417-1,EV_Seq,1)+1,1))</f>
        <v/>
      </c>
    </row>
    <row r="423">
      <c r="A423" s="105">
        <f>IF($J423="","",INDEX(EV_Date,$J423))</f>
        <v/>
      </c>
      <c r="B423" s="78">
        <f>IF($J423="","",INDEX(EV_Name,$J423))</f>
        <v/>
      </c>
      <c r="C423" s="106">
        <f>IF($J423="","",INDEX(EV_ID,$J423))</f>
        <v/>
      </c>
      <c r="D423" s="106">
        <f>IF($J423="","",INDEX(EV_Class,$J423))</f>
        <v/>
      </c>
      <c r="E423" s="106">
        <f>IF($J423="","",INDEX(EV_Type,$J423))</f>
        <v/>
      </c>
      <c r="F423" s="106">
        <f>IF($J423="","",INDEX(EV_Cum,$J423))</f>
        <v/>
      </c>
      <c r="G423" s="106">
        <f>IF($J423="","",INDEX(LevelLabels,MATCH(F423,LevelValues,1)))</f>
        <v/>
      </c>
      <c r="H423" s="106">
        <f>IF($J423="","",IFERROR(INDEX(Stu_ContactReq,MATCH(C423,Stu_ID,0)),""))</f>
        <v/>
      </c>
      <c r="I423" s="107">
        <f>IF($J423="","",IFERROR(INDEX(Stu_Notes,MATCH(C423,Stu_ID,0)),""))</f>
        <v/>
      </c>
      <c r="J423" s="40">
        <f>IF(418&gt;$B$3,"",IFERROR(MATCH(418-1,EV_Seq,1)+1,1))</f>
        <v/>
      </c>
    </row>
    <row r="424">
      <c r="A424" s="105">
        <f>IF($J424="","",INDEX(EV_Date,$J424))</f>
        <v/>
      </c>
      <c r="B424" s="78">
        <f>IF($J424="","",INDEX(EV_Name,$J424))</f>
        <v/>
      </c>
      <c r="C424" s="106">
        <f>IF($J424="","",INDEX(EV_ID,$J424))</f>
        <v/>
      </c>
      <c r="D424" s="106">
        <f>IF($J424="","",INDEX(EV_Class,$J424))</f>
        <v/>
      </c>
      <c r="E424" s="106">
        <f>IF($J424="","",INDEX(EV_Type,$J424))</f>
        <v/>
      </c>
      <c r="F424" s="106">
        <f>IF($J424="","",INDEX(EV_Cum,$J424))</f>
        <v/>
      </c>
      <c r="G424" s="106">
        <f>IF($J424="","",INDEX(LevelLabels,MATCH(F424,LevelValues,1)))</f>
        <v/>
      </c>
      <c r="H424" s="106">
        <f>IF($J424="","",IFERROR(INDEX(Stu_ContactReq,MATCH(C424,Stu_ID,0)),""))</f>
        <v/>
      </c>
      <c r="I424" s="107">
        <f>IF($J424="","",IFERROR(INDEX(Stu_Notes,MATCH(C424,Stu_ID,0)),""))</f>
        <v/>
      </c>
      <c r="J424" s="40">
        <f>IF(419&gt;$B$3,"",IFERROR(MATCH(419-1,EV_Seq,1)+1,1))</f>
        <v/>
      </c>
    </row>
    <row r="425">
      <c r="A425" s="105">
        <f>IF($J425="","",INDEX(EV_Date,$J425))</f>
        <v/>
      </c>
      <c r="B425" s="78">
        <f>IF($J425="","",INDEX(EV_Name,$J425))</f>
        <v/>
      </c>
      <c r="C425" s="106">
        <f>IF($J425="","",INDEX(EV_ID,$J425))</f>
        <v/>
      </c>
      <c r="D425" s="106">
        <f>IF($J425="","",INDEX(EV_Class,$J425))</f>
        <v/>
      </c>
      <c r="E425" s="106">
        <f>IF($J425="","",INDEX(EV_Type,$J425))</f>
        <v/>
      </c>
      <c r="F425" s="106">
        <f>IF($J425="","",INDEX(EV_Cum,$J425))</f>
        <v/>
      </c>
      <c r="G425" s="106">
        <f>IF($J425="","",INDEX(LevelLabels,MATCH(F425,LevelValues,1)))</f>
        <v/>
      </c>
      <c r="H425" s="106">
        <f>IF($J425="","",IFERROR(INDEX(Stu_ContactReq,MATCH(C425,Stu_ID,0)),""))</f>
        <v/>
      </c>
      <c r="I425" s="107">
        <f>IF($J425="","",IFERROR(INDEX(Stu_Notes,MATCH(C425,Stu_ID,0)),""))</f>
        <v/>
      </c>
      <c r="J425" s="40">
        <f>IF(420&gt;$B$3,"",IFERROR(MATCH(420-1,EV_Seq,1)+1,1))</f>
        <v/>
      </c>
    </row>
    <row r="426">
      <c r="A426" s="105">
        <f>IF($J426="","",INDEX(EV_Date,$J426))</f>
        <v/>
      </c>
      <c r="B426" s="78">
        <f>IF($J426="","",INDEX(EV_Name,$J426))</f>
        <v/>
      </c>
      <c r="C426" s="106">
        <f>IF($J426="","",INDEX(EV_ID,$J426))</f>
        <v/>
      </c>
      <c r="D426" s="106">
        <f>IF($J426="","",INDEX(EV_Class,$J426))</f>
        <v/>
      </c>
      <c r="E426" s="106">
        <f>IF($J426="","",INDEX(EV_Type,$J426))</f>
        <v/>
      </c>
      <c r="F426" s="106">
        <f>IF($J426="","",INDEX(EV_Cum,$J426))</f>
        <v/>
      </c>
      <c r="G426" s="106">
        <f>IF($J426="","",INDEX(LevelLabels,MATCH(F426,LevelValues,1)))</f>
        <v/>
      </c>
      <c r="H426" s="106">
        <f>IF($J426="","",IFERROR(INDEX(Stu_ContactReq,MATCH(C426,Stu_ID,0)),""))</f>
        <v/>
      </c>
      <c r="I426" s="107">
        <f>IF($J426="","",IFERROR(INDEX(Stu_Notes,MATCH(C426,Stu_ID,0)),""))</f>
        <v/>
      </c>
      <c r="J426" s="40">
        <f>IF(421&gt;$B$3,"",IFERROR(MATCH(421-1,EV_Seq,1)+1,1))</f>
        <v/>
      </c>
    </row>
    <row r="427">
      <c r="A427" s="105">
        <f>IF($J427="","",INDEX(EV_Date,$J427))</f>
        <v/>
      </c>
      <c r="B427" s="78">
        <f>IF($J427="","",INDEX(EV_Name,$J427))</f>
        <v/>
      </c>
      <c r="C427" s="106">
        <f>IF($J427="","",INDEX(EV_ID,$J427))</f>
        <v/>
      </c>
      <c r="D427" s="106">
        <f>IF($J427="","",INDEX(EV_Class,$J427))</f>
        <v/>
      </c>
      <c r="E427" s="106">
        <f>IF($J427="","",INDEX(EV_Type,$J427))</f>
        <v/>
      </c>
      <c r="F427" s="106">
        <f>IF($J427="","",INDEX(EV_Cum,$J427))</f>
        <v/>
      </c>
      <c r="G427" s="106">
        <f>IF($J427="","",INDEX(LevelLabels,MATCH(F427,LevelValues,1)))</f>
        <v/>
      </c>
      <c r="H427" s="106">
        <f>IF($J427="","",IFERROR(INDEX(Stu_ContactReq,MATCH(C427,Stu_ID,0)),""))</f>
        <v/>
      </c>
      <c r="I427" s="107">
        <f>IF($J427="","",IFERROR(INDEX(Stu_Notes,MATCH(C427,Stu_ID,0)),""))</f>
        <v/>
      </c>
      <c r="J427" s="40">
        <f>IF(422&gt;$B$3,"",IFERROR(MATCH(422-1,EV_Seq,1)+1,1))</f>
        <v/>
      </c>
    </row>
    <row r="428">
      <c r="A428" s="105">
        <f>IF($J428="","",INDEX(EV_Date,$J428))</f>
        <v/>
      </c>
      <c r="B428" s="78">
        <f>IF($J428="","",INDEX(EV_Name,$J428))</f>
        <v/>
      </c>
      <c r="C428" s="106">
        <f>IF($J428="","",INDEX(EV_ID,$J428))</f>
        <v/>
      </c>
      <c r="D428" s="106">
        <f>IF($J428="","",INDEX(EV_Class,$J428))</f>
        <v/>
      </c>
      <c r="E428" s="106">
        <f>IF($J428="","",INDEX(EV_Type,$J428))</f>
        <v/>
      </c>
      <c r="F428" s="106">
        <f>IF($J428="","",INDEX(EV_Cum,$J428))</f>
        <v/>
      </c>
      <c r="G428" s="106">
        <f>IF($J428="","",INDEX(LevelLabels,MATCH(F428,LevelValues,1)))</f>
        <v/>
      </c>
      <c r="H428" s="106">
        <f>IF($J428="","",IFERROR(INDEX(Stu_ContactReq,MATCH(C428,Stu_ID,0)),""))</f>
        <v/>
      </c>
      <c r="I428" s="107">
        <f>IF($J428="","",IFERROR(INDEX(Stu_Notes,MATCH(C428,Stu_ID,0)),""))</f>
        <v/>
      </c>
      <c r="J428" s="40">
        <f>IF(423&gt;$B$3,"",IFERROR(MATCH(423-1,EV_Seq,1)+1,1))</f>
        <v/>
      </c>
    </row>
    <row r="429">
      <c r="A429" s="105">
        <f>IF($J429="","",INDEX(EV_Date,$J429))</f>
        <v/>
      </c>
      <c r="B429" s="78">
        <f>IF($J429="","",INDEX(EV_Name,$J429))</f>
        <v/>
      </c>
      <c r="C429" s="106">
        <f>IF($J429="","",INDEX(EV_ID,$J429))</f>
        <v/>
      </c>
      <c r="D429" s="106">
        <f>IF($J429="","",INDEX(EV_Class,$J429))</f>
        <v/>
      </c>
      <c r="E429" s="106">
        <f>IF($J429="","",INDEX(EV_Type,$J429))</f>
        <v/>
      </c>
      <c r="F429" s="106">
        <f>IF($J429="","",INDEX(EV_Cum,$J429))</f>
        <v/>
      </c>
      <c r="G429" s="106">
        <f>IF($J429="","",INDEX(LevelLabels,MATCH(F429,LevelValues,1)))</f>
        <v/>
      </c>
      <c r="H429" s="106">
        <f>IF($J429="","",IFERROR(INDEX(Stu_ContactReq,MATCH(C429,Stu_ID,0)),""))</f>
        <v/>
      </c>
      <c r="I429" s="107">
        <f>IF($J429="","",IFERROR(INDEX(Stu_Notes,MATCH(C429,Stu_ID,0)),""))</f>
        <v/>
      </c>
      <c r="J429" s="40">
        <f>IF(424&gt;$B$3,"",IFERROR(MATCH(424-1,EV_Seq,1)+1,1))</f>
        <v/>
      </c>
    </row>
    <row r="430">
      <c r="A430" s="105">
        <f>IF($J430="","",INDEX(EV_Date,$J430))</f>
        <v/>
      </c>
      <c r="B430" s="78">
        <f>IF($J430="","",INDEX(EV_Name,$J430))</f>
        <v/>
      </c>
      <c r="C430" s="106">
        <f>IF($J430="","",INDEX(EV_ID,$J430))</f>
        <v/>
      </c>
      <c r="D430" s="106">
        <f>IF($J430="","",INDEX(EV_Class,$J430))</f>
        <v/>
      </c>
      <c r="E430" s="106">
        <f>IF($J430="","",INDEX(EV_Type,$J430))</f>
        <v/>
      </c>
      <c r="F430" s="106">
        <f>IF($J430="","",INDEX(EV_Cum,$J430))</f>
        <v/>
      </c>
      <c r="G430" s="106">
        <f>IF($J430="","",INDEX(LevelLabels,MATCH(F430,LevelValues,1)))</f>
        <v/>
      </c>
      <c r="H430" s="106">
        <f>IF($J430="","",IFERROR(INDEX(Stu_ContactReq,MATCH(C430,Stu_ID,0)),""))</f>
        <v/>
      </c>
      <c r="I430" s="107">
        <f>IF($J430="","",IFERROR(INDEX(Stu_Notes,MATCH(C430,Stu_ID,0)),""))</f>
        <v/>
      </c>
      <c r="J430" s="40">
        <f>IF(425&gt;$B$3,"",IFERROR(MATCH(425-1,EV_Seq,1)+1,1))</f>
        <v/>
      </c>
    </row>
    <row r="431">
      <c r="A431" s="105">
        <f>IF($J431="","",INDEX(EV_Date,$J431))</f>
        <v/>
      </c>
      <c r="B431" s="78">
        <f>IF($J431="","",INDEX(EV_Name,$J431))</f>
        <v/>
      </c>
      <c r="C431" s="106">
        <f>IF($J431="","",INDEX(EV_ID,$J431))</f>
        <v/>
      </c>
      <c r="D431" s="106">
        <f>IF($J431="","",INDEX(EV_Class,$J431))</f>
        <v/>
      </c>
      <c r="E431" s="106">
        <f>IF($J431="","",INDEX(EV_Type,$J431))</f>
        <v/>
      </c>
      <c r="F431" s="106">
        <f>IF($J431="","",INDEX(EV_Cum,$J431))</f>
        <v/>
      </c>
      <c r="G431" s="106">
        <f>IF($J431="","",INDEX(LevelLabels,MATCH(F431,LevelValues,1)))</f>
        <v/>
      </c>
      <c r="H431" s="106">
        <f>IF($J431="","",IFERROR(INDEX(Stu_ContactReq,MATCH(C431,Stu_ID,0)),""))</f>
        <v/>
      </c>
      <c r="I431" s="107">
        <f>IF($J431="","",IFERROR(INDEX(Stu_Notes,MATCH(C431,Stu_ID,0)),""))</f>
        <v/>
      </c>
      <c r="J431" s="40">
        <f>IF(426&gt;$B$3,"",IFERROR(MATCH(426-1,EV_Seq,1)+1,1))</f>
        <v/>
      </c>
    </row>
    <row r="432">
      <c r="A432" s="105">
        <f>IF($J432="","",INDEX(EV_Date,$J432))</f>
        <v/>
      </c>
      <c r="B432" s="78">
        <f>IF($J432="","",INDEX(EV_Name,$J432))</f>
        <v/>
      </c>
      <c r="C432" s="106">
        <f>IF($J432="","",INDEX(EV_ID,$J432))</f>
        <v/>
      </c>
      <c r="D432" s="106">
        <f>IF($J432="","",INDEX(EV_Class,$J432))</f>
        <v/>
      </c>
      <c r="E432" s="106">
        <f>IF($J432="","",INDEX(EV_Type,$J432))</f>
        <v/>
      </c>
      <c r="F432" s="106">
        <f>IF($J432="","",INDEX(EV_Cum,$J432))</f>
        <v/>
      </c>
      <c r="G432" s="106">
        <f>IF($J432="","",INDEX(LevelLabels,MATCH(F432,LevelValues,1)))</f>
        <v/>
      </c>
      <c r="H432" s="106">
        <f>IF($J432="","",IFERROR(INDEX(Stu_ContactReq,MATCH(C432,Stu_ID,0)),""))</f>
        <v/>
      </c>
      <c r="I432" s="107">
        <f>IF($J432="","",IFERROR(INDEX(Stu_Notes,MATCH(C432,Stu_ID,0)),""))</f>
        <v/>
      </c>
      <c r="J432" s="40">
        <f>IF(427&gt;$B$3,"",IFERROR(MATCH(427-1,EV_Seq,1)+1,1))</f>
        <v/>
      </c>
    </row>
    <row r="433">
      <c r="A433" s="105">
        <f>IF($J433="","",INDEX(EV_Date,$J433))</f>
        <v/>
      </c>
      <c r="B433" s="78">
        <f>IF($J433="","",INDEX(EV_Name,$J433))</f>
        <v/>
      </c>
      <c r="C433" s="106">
        <f>IF($J433="","",INDEX(EV_ID,$J433))</f>
        <v/>
      </c>
      <c r="D433" s="106">
        <f>IF($J433="","",INDEX(EV_Class,$J433))</f>
        <v/>
      </c>
      <c r="E433" s="106">
        <f>IF($J433="","",INDEX(EV_Type,$J433))</f>
        <v/>
      </c>
      <c r="F433" s="106">
        <f>IF($J433="","",INDEX(EV_Cum,$J433))</f>
        <v/>
      </c>
      <c r="G433" s="106">
        <f>IF($J433="","",INDEX(LevelLabels,MATCH(F433,LevelValues,1)))</f>
        <v/>
      </c>
      <c r="H433" s="106">
        <f>IF($J433="","",IFERROR(INDEX(Stu_ContactReq,MATCH(C433,Stu_ID,0)),""))</f>
        <v/>
      </c>
      <c r="I433" s="107">
        <f>IF($J433="","",IFERROR(INDEX(Stu_Notes,MATCH(C433,Stu_ID,0)),""))</f>
        <v/>
      </c>
      <c r="J433" s="40">
        <f>IF(428&gt;$B$3,"",IFERROR(MATCH(428-1,EV_Seq,1)+1,1))</f>
        <v/>
      </c>
    </row>
    <row r="434">
      <c r="A434" s="105">
        <f>IF($J434="","",INDEX(EV_Date,$J434))</f>
        <v/>
      </c>
      <c r="B434" s="78">
        <f>IF($J434="","",INDEX(EV_Name,$J434))</f>
        <v/>
      </c>
      <c r="C434" s="106">
        <f>IF($J434="","",INDEX(EV_ID,$J434))</f>
        <v/>
      </c>
      <c r="D434" s="106">
        <f>IF($J434="","",INDEX(EV_Class,$J434))</f>
        <v/>
      </c>
      <c r="E434" s="106">
        <f>IF($J434="","",INDEX(EV_Type,$J434))</f>
        <v/>
      </c>
      <c r="F434" s="106">
        <f>IF($J434="","",INDEX(EV_Cum,$J434))</f>
        <v/>
      </c>
      <c r="G434" s="106">
        <f>IF($J434="","",INDEX(LevelLabels,MATCH(F434,LevelValues,1)))</f>
        <v/>
      </c>
      <c r="H434" s="106">
        <f>IF($J434="","",IFERROR(INDEX(Stu_ContactReq,MATCH(C434,Stu_ID,0)),""))</f>
        <v/>
      </c>
      <c r="I434" s="107">
        <f>IF($J434="","",IFERROR(INDEX(Stu_Notes,MATCH(C434,Stu_ID,0)),""))</f>
        <v/>
      </c>
      <c r="J434" s="40">
        <f>IF(429&gt;$B$3,"",IFERROR(MATCH(429-1,EV_Seq,1)+1,1))</f>
        <v/>
      </c>
    </row>
    <row r="435">
      <c r="A435" s="105">
        <f>IF($J435="","",INDEX(EV_Date,$J435))</f>
        <v/>
      </c>
      <c r="B435" s="78">
        <f>IF($J435="","",INDEX(EV_Name,$J435))</f>
        <v/>
      </c>
      <c r="C435" s="106">
        <f>IF($J435="","",INDEX(EV_ID,$J435))</f>
        <v/>
      </c>
      <c r="D435" s="106">
        <f>IF($J435="","",INDEX(EV_Class,$J435))</f>
        <v/>
      </c>
      <c r="E435" s="106">
        <f>IF($J435="","",INDEX(EV_Type,$J435))</f>
        <v/>
      </c>
      <c r="F435" s="106">
        <f>IF($J435="","",INDEX(EV_Cum,$J435))</f>
        <v/>
      </c>
      <c r="G435" s="106">
        <f>IF($J435="","",INDEX(LevelLabels,MATCH(F435,LevelValues,1)))</f>
        <v/>
      </c>
      <c r="H435" s="106">
        <f>IF($J435="","",IFERROR(INDEX(Stu_ContactReq,MATCH(C435,Stu_ID,0)),""))</f>
        <v/>
      </c>
      <c r="I435" s="107">
        <f>IF($J435="","",IFERROR(INDEX(Stu_Notes,MATCH(C435,Stu_ID,0)),""))</f>
        <v/>
      </c>
      <c r="J435" s="40">
        <f>IF(430&gt;$B$3,"",IFERROR(MATCH(430-1,EV_Seq,1)+1,1))</f>
        <v/>
      </c>
    </row>
    <row r="436">
      <c r="A436" s="105">
        <f>IF($J436="","",INDEX(EV_Date,$J436))</f>
        <v/>
      </c>
      <c r="B436" s="78">
        <f>IF($J436="","",INDEX(EV_Name,$J436))</f>
        <v/>
      </c>
      <c r="C436" s="106">
        <f>IF($J436="","",INDEX(EV_ID,$J436))</f>
        <v/>
      </c>
      <c r="D436" s="106">
        <f>IF($J436="","",INDEX(EV_Class,$J436))</f>
        <v/>
      </c>
      <c r="E436" s="106">
        <f>IF($J436="","",INDEX(EV_Type,$J436))</f>
        <v/>
      </c>
      <c r="F436" s="106">
        <f>IF($J436="","",INDEX(EV_Cum,$J436))</f>
        <v/>
      </c>
      <c r="G436" s="106">
        <f>IF($J436="","",INDEX(LevelLabels,MATCH(F436,LevelValues,1)))</f>
        <v/>
      </c>
      <c r="H436" s="106">
        <f>IF($J436="","",IFERROR(INDEX(Stu_ContactReq,MATCH(C436,Stu_ID,0)),""))</f>
        <v/>
      </c>
      <c r="I436" s="107">
        <f>IF($J436="","",IFERROR(INDEX(Stu_Notes,MATCH(C436,Stu_ID,0)),""))</f>
        <v/>
      </c>
      <c r="J436" s="40">
        <f>IF(431&gt;$B$3,"",IFERROR(MATCH(431-1,EV_Seq,1)+1,1))</f>
        <v/>
      </c>
    </row>
    <row r="437">
      <c r="A437" s="105">
        <f>IF($J437="","",INDEX(EV_Date,$J437))</f>
        <v/>
      </c>
      <c r="B437" s="78">
        <f>IF($J437="","",INDEX(EV_Name,$J437))</f>
        <v/>
      </c>
      <c r="C437" s="106">
        <f>IF($J437="","",INDEX(EV_ID,$J437))</f>
        <v/>
      </c>
      <c r="D437" s="106">
        <f>IF($J437="","",INDEX(EV_Class,$J437))</f>
        <v/>
      </c>
      <c r="E437" s="106">
        <f>IF($J437="","",INDEX(EV_Type,$J437))</f>
        <v/>
      </c>
      <c r="F437" s="106">
        <f>IF($J437="","",INDEX(EV_Cum,$J437))</f>
        <v/>
      </c>
      <c r="G437" s="106">
        <f>IF($J437="","",INDEX(LevelLabels,MATCH(F437,LevelValues,1)))</f>
        <v/>
      </c>
      <c r="H437" s="106">
        <f>IF($J437="","",IFERROR(INDEX(Stu_ContactReq,MATCH(C437,Stu_ID,0)),""))</f>
        <v/>
      </c>
      <c r="I437" s="107">
        <f>IF($J437="","",IFERROR(INDEX(Stu_Notes,MATCH(C437,Stu_ID,0)),""))</f>
        <v/>
      </c>
      <c r="J437" s="40">
        <f>IF(432&gt;$B$3,"",IFERROR(MATCH(432-1,EV_Seq,1)+1,1))</f>
        <v/>
      </c>
    </row>
    <row r="438">
      <c r="A438" s="105">
        <f>IF($J438="","",INDEX(EV_Date,$J438))</f>
        <v/>
      </c>
      <c r="B438" s="78">
        <f>IF($J438="","",INDEX(EV_Name,$J438))</f>
        <v/>
      </c>
      <c r="C438" s="106">
        <f>IF($J438="","",INDEX(EV_ID,$J438))</f>
        <v/>
      </c>
      <c r="D438" s="106">
        <f>IF($J438="","",INDEX(EV_Class,$J438))</f>
        <v/>
      </c>
      <c r="E438" s="106">
        <f>IF($J438="","",INDEX(EV_Type,$J438))</f>
        <v/>
      </c>
      <c r="F438" s="106">
        <f>IF($J438="","",INDEX(EV_Cum,$J438))</f>
        <v/>
      </c>
      <c r="G438" s="106">
        <f>IF($J438="","",INDEX(LevelLabels,MATCH(F438,LevelValues,1)))</f>
        <v/>
      </c>
      <c r="H438" s="106">
        <f>IF($J438="","",IFERROR(INDEX(Stu_ContactReq,MATCH(C438,Stu_ID,0)),""))</f>
        <v/>
      </c>
      <c r="I438" s="107">
        <f>IF($J438="","",IFERROR(INDEX(Stu_Notes,MATCH(C438,Stu_ID,0)),""))</f>
        <v/>
      </c>
      <c r="J438" s="40">
        <f>IF(433&gt;$B$3,"",IFERROR(MATCH(433-1,EV_Seq,1)+1,1))</f>
        <v/>
      </c>
    </row>
    <row r="439">
      <c r="A439" s="105">
        <f>IF($J439="","",INDEX(EV_Date,$J439))</f>
        <v/>
      </c>
      <c r="B439" s="78">
        <f>IF($J439="","",INDEX(EV_Name,$J439))</f>
        <v/>
      </c>
      <c r="C439" s="106">
        <f>IF($J439="","",INDEX(EV_ID,$J439))</f>
        <v/>
      </c>
      <c r="D439" s="106">
        <f>IF($J439="","",INDEX(EV_Class,$J439))</f>
        <v/>
      </c>
      <c r="E439" s="106">
        <f>IF($J439="","",INDEX(EV_Type,$J439))</f>
        <v/>
      </c>
      <c r="F439" s="106">
        <f>IF($J439="","",INDEX(EV_Cum,$J439))</f>
        <v/>
      </c>
      <c r="G439" s="106">
        <f>IF($J439="","",INDEX(LevelLabels,MATCH(F439,LevelValues,1)))</f>
        <v/>
      </c>
      <c r="H439" s="106">
        <f>IF($J439="","",IFERROR(INDEX(Stu_ContactReq,MATCH(C439,Stu_ID,0)),""))</f>
        <v/>
      </c>
      <c r="I439" s="107">
        <f>IF($J439="","",IFERROR(INDEX(Stu_Notes,MATCH(C439,Stu_ID,0)),""))</f>
        <v/>
      </c>
      <c r="J439" s="40">
        <f>IF(434&gt;$B$3,"",IFERROR(MATCH(434-1,EV_Seq,1)+1,1))</f>
        <v/>
      </c>
    </row>
    <row r="440">
      <c r="A440" s="105">
        <f>IF($J440="","",INDEX(EV_Date,$J440))</f>
        <v/>
      </c>
      <c r="B440" s="78">
        <f>IF($J440="","",INDEX(EV_Name,$J440))</f>
        <v/>
      </c>
      <c r="C440" s="106">
        <f>IF($J440="","",INDEX(EV_ID,$J440))</f>
        <v/>
      </c>
      <c r="D440" s="106">
        <f>IF($J440="","",INDEX(EV_Class,$J440))</f>
        <v/>
      </c>
      <c r="E440" s="106">
        <f>IF($J440="","",INDEX(EV_Type,$J440))</f>
        <v/>
      </c>
      <c r="F440" s="106">
        <f>IF($J440="","",INDEX(EV_Cum,$J440))</f>
        <v/>
      </c>
      <c r="G440" s="106">
        <f>IF($J440="","",INDEX(LevelLabels,MATCH(F440,LevelValues,1)))</f>
        <v/>
      </c>
      <c r="H440" s="106">
        <f>IF($J440="","",IFERROR(INDEX(Stu_ContactReq,MATCH(C440,Stu_ID,0)),""))</f>
        <v/>
      </c>
      <c r="I440" s="107">
        <f>IF($J440="","",IFERROR(INDEX(Stu_Notes,MATCH(C440,Stu_ID,0)),""))</f>
        <v/>
      </c>
      <c r="J440" s="40">
        <f>IF(435&gt;$B$3,"",IFERROR(MATCH(435-1,EV_Seq,1)+1,1))</f>
        <v/>
      </c>
    </row>
    <row r="441">
      <c r="A441" s="105">
        <f>IF($J441="","",INDEX(EV_Date,$J441))</f>
        <v/>
      </c>
      <c r="B441" s="78">
        <f>IF($J441="","",INDEX(EV_Name,$J441))</f>
        <v/>
      </c>
      <c r="C441" s="106">
        <f>IF($J441="","",INDEX(EV_ID,$J441))</f>
        <v/>
      </c>
      <c r="D441" s="106">
        <f>IF($J441="","",INDEX(EV_Class,$J441))</f>
        <v/>
      </c>
      <c r="E441" s="106">
        <f>IF($J441="","",INDEX(EV_Type,$J441))</f>
        <v/>
      </c>
      <c r="F441" s="106">
        <f>IF($J441="","",INDEX(EV_Cum,$J441))</f>
        <v/>
      </c>
      <c r="G441" s="106">
        <f>IF($J441="","",INDEX(LevelLabels,MATCH(F441,LevelValues,1)))</f>
        <v/>
      </c>
      <c r="H441" s="106">
        <f>IF($J441="","",IFERROR(INDEX(Stu_ContactReq,MATCH(C441,Stu_ID,0)),""))</f>
        <v/>
      </c>
      <c r="I441" s="107">
        <f>IF($J441="","",IFERROR(INDEX(Stu_Notes,MATCH(C441,Stu_ID,0)),""))</f>
        <v/>
      </c>
      <c r="J441" s="40">
        <f>IF(436&gt;$B$3,"",IFERROR(MATCH(436-1,EV_Seq,1)+1,1))</f>
        <v/>
      </c>
    </row>
    <row r="442">
      <c r="A442" s="105">
        <f>IF($J442="","",INDEX(EV_Date,$J442))</f>
        <v/>
      </c>
      <c r="B442" s="78">
        <f>IF($J442="","",INDEX(EV_Name,$J442))</f>
        <v/>
      </c>
      <c r="C442" s="106">
        <f>IF($J442="","",INDEX(EV_ID,$J442))</f>
        <v/>
      </c>
      <c r="D442" s="106">
        <f>IF($J442="","",INDEX(EV_Class,$J442))</f>
        <v/>
      </c>
      <c r="E442" s="106">
        <f>IF($J442="","",INDEX(EV_Type,$J442))</f>
        <v/>
      </c>
      <c r="F442" s="106">
        <f>IF($J442="","",INDEX(EV_Cum,$J442))</f>
        <v/>
      </c>
      <c r="G442" s="106">
        <f>IF($J442="","",INDEX(LevelLabels,MATCH(F442,LevelValues,1)))</f>
        <v/>
      </c>
      <c r="H442" s="106">
        <f>IF($J442="","",IFERROR(INDEX(Stu_ContactReq,MATCH(C442,Stu_ID,0)),""))</f>
        <v/>
      </c>
      <c r="I442" s="107">
        <f>IF($J442="","",IFERROR(INDEX(Stu_Notes,MATCH(C442,Stu_ID,0)),""))</f>
        <v/>
      </c>
      <c r="J442" s="40">
        <f>IF(437&gt;$B$3,"",IFERROR(MATCH(437-1,EV_Seq,1)+1,1))</f>
        <v/>
      </c>
    </row>
    <row r="443">
      <c r="A443" s="105">
        <f>IF($J443="","",INDEX(EV_Date,$J443))</f>
        <v/>
      </c>
      <c r="B443" s="78">
        <f>IF($J443="","",INDEX(EV_Name,$J443))</f>
        <v/>
      </c>
      <c r="C443" s="106">
        <f>IF($J443="","",INDEX(EV_ID,$J443))</f>
        <v/>
      </c>
      <c r="D443" s="106">
        <f>IF($J443="","",INDEX(EV_Class,$J443))</f>
        <v/>
      </c>
      <c r="E443" s="106">
        <f>IF($J443="","",INDEX(EV_Type,$J443))</f>
        <v/>
      </c>
      <c r="F443" s="106">
        <f>IF($J443="","",INDEX(EV_Cum,$J443))</f>
        <v/>
      </c>
      <c r="G443" s="106">
        <f>IF($J443="","",INDEX(LevelLabels,MATCH(F443,LevelValues,1)))</f>
        <v/>
      </c>
      <c r="H443" s="106">
        <f>IF($J443="","",IFERROR(INDEX(Stu_ContactReq,MATCH(C443,Stu_ID,0)),""))</f>
        <v/>
      </c>
      <c r="I443" s="107">
        <f>IF($J443="","",IFERROR(INDEX(Stu_Notes,MATCH(C443,Stu_ID,0)),""))</f>
        <v/>
      </c>
      <c r="J443" s="40">
        <f>IF(438&gt;$B$3,"",IFERROR(MATCH(438-1,EV_Seq,1)+1,1))</f>
        <v/>
      </c>
    </row>
    <row r="444">
      <c r="A444" s="105">
        <f>IF($J444="","",INDEX(EV_Date,$J444))</f>
        <v/>
      </c>
      <c r="B444" s="78">
        <f>IF($J444="","",INDEX(EV_Name,$J444))</f>
        <v/>
      </c>
      <c r="C444" s="106">
        <f>IF($J444="","",INDEX(EV_ID,$J444))</f>
        <v/>
      </c>
      <c r="D444" s="106">
        <f>IF($J444="","",INDEX(EV_Class,$J444))</f>
        <v/>
      </c>
      <c r="E444" s="106">
        <f>IF($J444="","",INDEX(EV_Type,$J444))</f>
        <v/>
      </c>
      <c r="F444" s="106">
        <f>IF($J444="","",INDEX(EV_Cum,$J444))</f>
        <v/>
      </c>
      <c r="G444" s="106">
        <f>IF($J444="","",INDEX(LevelLabels,MATCH(F444,LevelValues,1)))</f>
        <v/>
      </c>
      <c r="H444" s="106">
        <f>IF($J444="","",IFERROR(INDEX(Stu_ContactReq,MATCH(C444,Stu_ID,0)),""))</f>
        <v/>
      </c>
      <c r="I444" s="107">
        <f>IF($J444="","",IFERROR(INDEX(Stu_Notes,MATCH(C444,Stu_ID,0)),""))</f>
        <v/>
      </c>
      <c r="J444" s="40">
        <f>IF(439&gt;$B$3,"",IFERROR(MATCH(439-1,EV_Seq,1)+1,1))</f>
        <v/>
      </c>
    </row>
    <row r="445">
      <c r="A445" s="105">
        <f>IF($J445="","",INDEX(EV_Date,$J445))</f>
        <v/>
      </c>
      <c r="B445" s="78">
        <f>IF($J445="","",INDEX(EV_Name,$J445))</f>
        <v/>
      </c>
      <c r="C445" s="106">
        <f>IF($J445="","",INDEX(EV_ID,$J445))</f>
        <v/>
      </c>
      <c r="D445" s="106">
        <f>IF($J445="","",INDEX(EV_Class,$J445))</f>
        <v/>
      </c>
      <c r="E445" s="106">
        <f>IF($J445="","",INDEX(EV_Type,$J445))</f>
        <v/>
      </c>
      <c r="F445" s="106">
        <f>IF($J445="","",INDEX(EV_Cum,$J445))</f>
        <v/>
      </c>
      <c r="G445" s="106">
        <f>IF($J445="","",INDEX(LevelLabels,MATCH(F445,LevelValues,1)))</f>
        <v/>
      </c>
      <c r="H445" s="106">
        <f>IF($J445="","",IFERROR(INDEX(Stu_ContactReq,MATCH(C445,Stu_ID,0)),""))</f>
        <v/>
      </c>
      <c r="I445" s="107">
        <f>IF($J445="","",IFERROR(INDEX(Stu_Notes,MATCH(C445,Stu_ID,0)),""))</f>
        <v/>
      </c>
      <c r="J445" s="40">
        <f>IF(440&gt;$B$3,"",IFERROR(MATCH(440-1,EV_Seq,1)+1,1))</f>
        <v/>
      </c>
    </row>
    <row r="446">
      <c r="A446" s="105">
        <f>IF($J446="","",INDEX(EV_Date,$J446))</f>
        <v/>
      </c>
      <c r="B446" s="78">
        <f>IF($J446="","",INDEX(EV_Name,$J446))</f>
        <v/>
      </c>
      <c r="C446" s="106">
        <f>IF($J446="","",INDEX(EV_ID,$J446))</f>
        <v/>
      </c>
      <c r="D446" s="106">
        <f>IF($J446="","",INDEX(EV_Class,$J446))</f>
        <v/>
      </c>
      <c r="E446" s="106">
        <f>IF($J446="","",INDEX(EV_Type,$J446))</f>
        <v/>
      </c>
      <c r="F446" s="106">
        <f>IF($J446="","",INDEX(EV_Cum,$J446))</f>
        <v/>
      </c>
      <c r="G446" s="106">
        <f>IF($J446="","",INDEX(LevelLabels,MATCH(F446,LevelValues,1)))</f>
        <v/>
      </c>
      <c r="H446" s="106">
        <f>IF($J446="","",IFERROR(INDEX(Stu_ContactReq,MATCH(C446,Stu_ID,0)),""))</f>
        <v/>
      </c>
      <c r="I446" s="107">
        <f>IF($J446="","",IFERROR(INDEX(Stu_Notes,MATCH(C446,Stu_ID,0)),""))</f>
        <v/>
      </c>
      <c r="J446" s="40">
        <f>IF(441&gt;$B$3,"",IFERROR(MATCH(441-1,EV_Seq,1)+1,1))</f>
        <v/>
      </c>
    </row>
    <row r="447">
      <c r="A447" s="105">
        <f>IF($J447="","",INDEX(EV_Date,$J447))</f>
        <v/>
      </c>
      <c r="B447" s="78">
        <f>IF($J447="","",INDEX(EV_Name,$J447))</f>
        <v/>
      </c>
      <c r="C447" s="106">
        <f>IF($J447="","",INDEX(EV_ID,$J447))</f>
        <v/>
      </c>
      <c r="D447" s="106">
        <f>IF($J447="","",INDEX(EV_Class,$J447))</f>
        <v/>
      </c>
      <c r="E447" s="106">
        <f>IF($J447="","",INDEX(EV_Type,$J447))</f>
        <v/>
      </c>
      <c r="F447" s="106">
        <f>IF($J447="","",INDEX(EV_Cum,$J447))</f>
        <v/>
      </c>
      <c r="G447" s="106">
        <f>IF($J447="","",INDEX(LevelLabels,MATCH(F447,LevelValues,1)))</f>
        <v/>
      </c>
      <c r="H447" s="106">
        <f>IF($J447="","",IFERROR(INDEX(Stu_ContactReq,MATCH(C447,Stu_ID,0)),""))</f>
        <v/>
      </c>
      <c r="I447" s="107">
        <f>IF($J447="","",IFERROR(INDEX(Stu_Notes,MATCH(C447,Stu_ID,0)),""))</f>
        <v/>
      </c>
      <c r="J447" s="40">
        <f>IF(442&gt;$B$3,"",IFERROR(MATCH(442-1,EV_Seq,1)+1,1))</f>
        <v/>
      </c>
    </row>
    <row r="448">
      <c r="A448" s="105">
        <f>IF($J448="","",INDEX(EV_Date,$J448))</f>
        <v/>
      </c>
      <c r="B448" s="78">
        <f>IF($J448="","",INDEX(EV_Name,$J448))</f>
        <v/>
      </c>
      <c r="C448" s="106">
        <f>IF($J448="","",INDEX(EV_ID,$J448))</f>
        <v/>
      </c>
      <c r="D448" s="106">
        <f>IF($J448="","",INDEX(EV_Class,$J448))</f>
        <v/>
      </c>
      <c r="E448" s="106">
        <f>IF($J448="","",INDEX(EV_Type,$J448))</f>
        <v/>
      </c>
      <c r="F448" s="106">
        <f>IF($J448="","",INDEX(EV_Cum,$J448))</f>
        <v/>
      </c>
      <c r="G448" s="106">
        <f>IF($J448="","",INDEX(LevelLabels,MATCH(F448,LevelValues,1)))</f>
        <v/>
      </c>
      <c r="H448" s="106">
        <f>IF($J448="","",IFERROR(INDEX(Stu_ContactReq,MATCH(C448,Stu_ID,0)),""))</f>
        <v/>
      </c>
      <c r="I448" s="107">
        <f>IF($J448="","",IFERROR(INDEX(Stu_Notes,MATCH(C448,Stu_ID,0)),""))</f>
        <v/>
      </c>
      <c r="J448" s="40">
        <f>IF(443&gt;$B$3,"",IFERROR(MATCH(443-1,EV_Seq,1)+1,1))</f>
        <v/>
      </c>
    </row>
    <row r="449">
      <c r="A449" s="105">
        <f>IF($J449="","",INDEX(EV_Date,$J449))</f>
        <v/>
      </c>
      <c r="B449" s="78">
        <f>IF($J449="","",INDEX(EV_Name,$J449))</f>
        <v/>
      </c>
      <c r="C449" s="106">
        <f>IF($J449="","",INDEX(EV_ID,$J449))</f>
        <v/>
      </c>
      <c r="D449" s="106">
        <f>IF($J449="","",INDEX(EV_Class,$J449))</f>
        <v/>
      </c>
      <c r="E449" s="106">
        <f>IF($J449="","",INDEX(EV_Type,$J449))</f>
        <v/>
      </c>
      <c r="F449" s="106">
        <f>IF($J449="","",INDEX(EV_Cum,$J449))</f>
        <v/>
      </c>
      <c r="G449" s="106">
        <f>IF($J449="","",INDEX(LevelLabels,MATCH(F449,LevelValues,1)))</f>
        <v/>
      </c>
      <c r="H449" s="106">
        <f>IF($J449="","",IFERROR(INDEX(Stu_ContactReq,MATCH(C449,Stu_ID,0)),""))</f>
        <v/>
      </c>
      <c r="I449" s="107">
        <f>IF($J449="","",IFERROR(INDEX(Stu_Notes,MATCH(C449,Stu_ID,0)),""))</f>
        <v/>
      </c>
      <c r="J449" s="40">
        <f>IF(444&gt;$B$3,"",IFERROR(MATCH(444-1,EV_Seq,1)+1,1))</f>
        <v/>
      </c>
    </row>
    <row r="450">
      <c r="A450" s="105">
        <f>IF($J450="","",INDEX(EV_Date,$J450))</f>
        <v/>
      </c>
      <c r="B450" s="78">
        <f>IF($J450="","",INDEX(EV_Name,$J450))</f>
        <v/>
      </c>
      <c r="C450" s="106">
        <f>IF($J450="","",INDEX(EV_ID,$J450))</f>
        <v/>
      </c>
      <c r="D450" s="106">
        <f>IF($J450="","",INDEX(EV_Class,$J450))</f>
        <v/>
      </c>
      <c r="E450" s="106">
        <f>IF($J450="","",INDEX(EV_Type,$J450))</f>
        <v/>
      </c>
      <c r="F450" s="106">
        <f>IF($J450="","",INDEX(EV_Cum,$J450))</f>
        <v/>
      </c>
      <c r="G450" s="106">
        <f>IF($J450="","",INDEX(LevelLabels,MATCH(F450,LevelValues,1)))</f>
        <v/>
      </c>
      <c r="H450" s="106">
        <f>IF($J450="","",IFERROR(INDEX(Stu_ContactReq,MATCH(C450,Stu_ID,0)),""))</f>
        <v/>
      </c>
      <c r="I450" s="107">
        <f>IF($J450="","",IFERROR(INDEX(Stu_Notes,MATCH(C450,Stu_ID,0)),""))</f>
        <v/>
      </c>
      <c r="J450" s="40">
        <f>IF(445&gt;$B$3,"",IFERROR(MATCH(445-1,EV_Seq,1)+1,1))</f>
        <v/>
      </c>
    </row>
    <row r="451">
      <c r="A451" s="105">
        <f>IF($J451="","",INDEX(EV_Date,$J451))</f>
        <v/>
      </c>
      <c r="B451" s="78">
        <f>IF($J451="","",INDEX(EV_Name,$J451))</f>
        <v/>
      </c>
      <c r="C451" s="106">
        <f>IF($J451="","",INDEX(EV_ID,$J451))</f>
        <v/>
      </c>
      <c r="D451" s="106">
        <f>IF($J451="","",INDEX(EV_Class,$J451))</f>
        <v/>
      </c>
      <c r="E451" s="106">
        <f>IF($J451="","",INDEX(EV_Type,$J451))</f>
        <v/>
      </c>
      <c r="F451" s="106">
        <f>IF($J451="","",INDEX(EV_Cum,$J451))</f>
        <v/>
      </c>
      <c r="G451" s="106">
        <f>IF($J451="","",INDEX(LevelLabels,MATCH(F451,LevelValues,1)))</f>
        <v/>
      </c>
      <c r="H451" s="106">
        <f>IF($J451="","",IFERROR(INDEX(Stu_ContactReq,MATCH(C451,Stu_ID,0)),""))</f>
        <v/>
      </c>
      <c r="I451" s="107">
        <f>IF($J451="","",IFERROR(INDEX(Stu_Notes,MATCH(C451,Stu_ID,0)),""))</f>
        <v/>
      </c>
      <c r="J451" s="40">
        <f>IF(446&gt;$B$3,"",IFERROR(MATCH(446-1,EV_Seq,1)+1,1))</f>
        <v/>
      </c>
    </row>
    <row r="452">
      <c r="A452" s="105">
        <f>IF($J452="","",INDEX(EV_Date,$J452))</f>
        <v/>
      </c>
      <c r="B452" s="78">
        <f>IF($J452="","",INDEX(EV_Name,$J452))</f>
        <v/>
      </c>
      <c r="C452" s="106">
        <f>IF($J452="","",INDEX(EV_ID,$J452))</f>
        <v/>
      </c>
      <c r="D452" s="106">
        <f>IF($J452="","",INDEX(EV_Class,$J452))</f>
        <v/>
      </c>
      <c r="E452" s="106">
        <f>IF($J452="","",INDEX(EV_Type,$J452))</f>
        <v/>
      </c>
      <c r="F452" s="106">
        <f>IF($J452="","",INDEX(EV_Cum,$J452))</f>
        <v/>
      </c>
      <c r="G452" s="106">
        <f>IF($J452="","",INDEX(LevelLabels,MATCH(F452,LevelValues,1)))</f>
        <v/>
      </c>
      <c r="H452" s="106">
        <f>IF($J452="","",IFERROR(INDEX(Stu_ContactReq,MATCH(C452,Stu_ID,0)),""))</f>
        <v/>
      </c>
      <c r="I452" s="107">
        <f>IF($J452="","",IFERROR(INDEX(Stu_Notes,MATCH(C452,Stu_ID,0)),""))</f>
        <v/>
      </c>
      <c r="J452" s="40">
        <f>IF(447&gt;$B$3,"",IFERROR(MATCH(447-1,EV_Seq,1)+1,1))</f>
        <v/>
      </c>
    </row>
    <row r="453">
      <c r="A453" s="105">
        <f>IF($J453="","",INDEX(EV_Date,$J453))</f>
        <v/>
      </c>
      <c r="B453" s="78">
        <f>IF($J453="","",INDEX(EV_Name,$J453))</f>
        <v/>
      </c>
      <c r="C453" s="106">
        <f>IF($J453="","",INDEX(EV_ID,$J453))</f>
        <v/>
      </c>
      <c r="D453" s="106">
        <f>IF($J453="","",INDEX(EV_Class,$J453))</f>
        <v/>
      </c>
      <c r="E453" s="106">
        <f>IF($J453="","",INDEX(EV_Type,$J453))</f>
        <v/>
      </c>
      <c r="F453" s="106">
        <f>IF($J453="","",INDEX(EV_Cum,$J453))</f>
        <v/>
      </c>
      <c r="G453" s="106">
        <f>IF($J453="","",INDEX(LevelLabels,MATCH(F453,LevelValues,1)))</f>
        <v/>
      </c>
      <c r="H453" s="106">
        <f>IF($J453="","",IFERROR(INDEX(Stu_ContactReq,MATCH(C453,Stu_ID,0)),""))</f>
        <v/>
      </c>
      <c r="I453" s="107">
        <f>IF($J453="","",IFERROR(INDEX(Stu_Notes,MATCH(C453,Stu_ID,0)),""))</f>
        <v/>
      </c>
      <c r="J453" s="40">
        <f>IF(448&gt;$B$3,"",IFERROR(MATCH(448-1,EV_Seq,1)+1,1))</f>
        <v/>
      </c>
    </row>
    <row r="454">
      <c r="A454" s="105">
        <f>IF($J454="","",INDEX(EV_Date,$J454))</f>
        <v/>
      </c>
      <c r="B454" s="78">
        <f>IF($J454="","",INDEX(EV_Name,$J454))</f>
        <v/>
      </c>
      <c r="C454" s="106">
        <f>IF($J454="","",INDEX(EV_ID,$J454))</f>
        <v/>
      </c>
      <c r="D454" s="106">
        <f>IF($J454="","",INDEX(EV_Class,$J454))</f>
        <v/>
      </c>
      <c r="E454" s="106">
        <f>IF($J454="","",INDEX(EV_Type,$J454))</f>
        <v/>
      </c>
      <c r="F454" s="106">
        <f>IF($J454="","",INDEX(EV_Cum,$J454))</f>
        <v/>
      </c>
      <c r="G454" s="106">
        <f>IF($J454="","",INDEX(LevelLabels,MATCH(F454,LevelValues,1)))</f>
        <v/>
      </c>
      <c r="H454" s="106">
        <f>IF($J454="","",IFERROR(INDEX(Stu_ContactReq,MATCH(C454,Stu_ID,0)),""))</f>
        <v/>
      </c>
      <c r="I454" s="107">
        <f>IF($J454="","",IFERROR(INDEX(Stu_Notes,MATCH(C454,Stu_ID,0)),""))</f>
        <v/>
      </c>
      <c r="J454" s="40">
        <f>IF(449&gt;$B$3,"",IFERROR(MATCH(449-1,EV_Seq,1)+1,1))</f>
        <v/>
      </c>
    </row>
    <row r="455">
      <c r="A455" s="105">
        <f>IF($J455="","",INDEX(EV_Date,$J455))</f>
        <v/>
      </c>
      <c r="B455" s="78">
        <f>IF($J455="","",INDEX(EV_Name,$J455))</f>
        <v/>
      </c>
      <c r="C455" s="106">
        <f>IF($J455="","",INDEX(EV_ID,$J455))</f>
        <v/>
      </c>
      <c r="D455" s="106">
        <f>IF($J455="","",INDEX(EV_Class,$J455))</f>
        <v/>
      </c>
      <c r="E455" s="106">
        <f>IF($J455="","",INDEX(EV_Type,$J455))</f>
        <v/>
      </c>
      <c r="F455" s="106">
        <f>IF($J455="","",INDEX(EV_Cum,$J455))</f>
        <v/>
      </c>
      <c r="G455" s="106">
        <f>IF($J455="","",INDEX(LevelLabels,MATCH(F455,LevelValues,1)))</f>
        <v/>
      </c>
      <c r="H455" s="106">
        <f>IF($J455="","",IFERROR(INDEX(Stu_ContactReq,MATCH(C455,Stu_ID,0)),""))</f>
        <v/>
      </c>
      <c r="I455" s="107">
        <f>IF($J455="","",IFERROR(INDEX(Stu_Notes,MATCH(C455,Stu_ID,0)),""))</f>
        <v/>
      </c>
      <c r="J455" s="40">
        <f>IF(450&gt;$B$3,"",IFERROR(MATCH(450-1,EV_Seq,1)+1,1))</f>
        <v/>
      </c>
    </row>
    <row r="456">
      <c r="A456" s="105">
        <f>IF($J456="","",INDEX(EV_Date,$J456))</f>
        <v/>
      </c>
      <c r="B456" s="78">
        <f>IF($J456="","",INDEX(EV_Name,$J456))</f>
        <v/>
      </c>
      <c r="C456" s="106">
        <f>IF($J456="","",INDEX(EV_ID,$J456))</f>
        <v/>
      </c>
      <c r="D456" s="106">
        <f>IF($J456="","",INDEX(EV_Class,$J456))</f>
        <v/>
      </c>
      <c r="E456" s="106">
        <f>IF($J456="","",INDEX(EV_Type,$J456))</f>
        <v/>
      </c>
      <c r="F456" s="106">
        <f>IF($J456="","",INDEX(EV_Cum,$J456))</f>
        <v/>
      </c>
      <c r="G456" s="106">
        <f>IF($J456="","",INDEX(LevelLabels,MATCH(F456,LevelValues,1)))</f>
        <v/>
      </c>
      <c r="H456" s="106">
        <f>IF($J456="","",IFERROR(INDEX(Stu_ContactReq,MATCH(C456,Stu_ID,0)),""))</f>
        <v/>
      </c>
      <c r="I456" s="107">
        <f>IF($J456="","",IFERROR(INDEX(Stu_Notes,MATCH(C456,Stu_ID,0)),""))</f>
        <v/>
      </c>
      <c r="J456" s="40">
        <f>IF(451&gt;$B$3,"",IFERROR(MATCH(451-1,EV_Seq,1)+1,1))</f>
        <v/>
      </c>
    </row>
    <row r="457">
      <c r="A457" s="105">
        <f>IF($J457="","",INDEX(EV_Date,$J457))</f>
        <v/>
      </c>
      <c r="B457" s="78">
        <f>IF($J457="","",INDEX(EV_Name,$J457))</f>
        <v/>
      </c>
      <c r="C457" s="106">
        <f>IF($J457="","",INDEX(EV_ID,$J457))</f>
        <v/>
      </c>
      <c r="D457" s="106">
        <f>IF($J457="","",INDEX(EV_Class,$J457))</f>
        <v/>
      </c>
      <c r="E457" s="106">
        <f>IF($J457="","",INDEX(EV_Type,$J457))</f>
        <v/>
      </c>
      <c r="F457" s="106">
        <f>IF($J457="","",INDEX(EV_Cum,$J457))</f>
        <v/>
      </c>
      <c r="G457" s="106">
        <f>IF($J457="","",INDEX(LevelLabels,MATCH(F457,LevelValues,1)))</f>
        <v/>
      </c>
      <c r="H457" s="106">
        <f>IF($J457="","",IFERROR(INDEX(Stu_ContactReq,MATCH(C457,Stu_ID,0)),""))</f>
        <v/>
      </c>
      <c r="I457" s="107">
        <f>IF($J457="","",IFERROR(INDEX(Stu_Notes,MATCH(C457,Stu_ID,0)),""))</f>
        <v/>
      </c>
      <c r="J457" s="40">
        <f>IF(452&gt;$B$3,"",IFERROR(MATCH(452-1,EV_Seq,1)+1,1))</f>
        <v/>
      </c>
    </row>
    <row r="458">
      <c r="A458" s="105">
        <f>IF($J458="","",INDEX(EV_Date,$J458))</f>
        <v/>
      </c>
      <c r="B458" s="78">
        <f>IF($J458="","",INDEX(EV_Name,$J458))</f>
        <v/>
      </c>
      <c r="C458" s="106">
        <f>IF($J458="","",INDEX(EV_ID,$J458))</f>
        <v/>
      </c>
      <c r="D458" s="106">
        <f>IF($J458="","",INDEX(EV_Class,$J458))</f>
        <v/>
      </c>
      <c r="E458" s="106">
        <f>IF($J458="","",INDEX(EV_Type,$J458))</f>
        <v/>
      </c>
      <c r="F458" s="106">
        <f>IF($J458="","",INDEX(EV_Cum,$J458))</f>
        <v/>
      </c>
      <c r="G458" s="106">
        <f>IF($J458="","",INDEX(LevelLabels,MATCH(F458,LevelValues,1)))</f>
        <v/>
      </c>
      <c r="H458" s="106">
        <f>IF($J458="","",IFERROR(INDEX(Stu_ContactReq,MATCH(C458,Stu_ID,0)),""))</f>
        <v/>
      </c>
      <c r="I458" s="107">
        <f>IF($J458="","",IFERROR(INDEX(Stu_Notes,MATCH(C458,Stu_ID,0)),""))</f>
        <v/>
      </c>
      <c r="J458" s="40">
        <f>IF(453&gt;$B$3,"",IFERROR(MATCH(453-1,EV_Seq,1)+1,1))</f>
        <v/>
      </c>
    </row>
    <row r="459">
      <c r="A459" s="105">
        <f>IF($J459="","",INDEX(EV_Date,$J459))</f>
        <v/>
      </c>
      <c r="B459" s="78">
        <f>IF($J459="","",INDEX(EV_Name,$J459))</f>
        <v/>
      </c>
      <c r="C459" s="106">
        <f>IF($J459="","",INDEX(EV_ID,$J459))</f>
        <v/>
      </c>
      <c r="D459" s="106">
        <f>IF($J459="","",INDEX(EV_Class,$J459))</f>
        <v/>
      </c>
      <c r="E459" s="106">
        <f>IF($J459="","",INDEX(EV_Type,$J459))</f>
        <v/>
      </c>
      <c r="F459" s="106">
        <f>IF($J459="","",INDEX(EV_Cum,$J459))</f>
        <v/>
      </c>
      <c r="G459" s="106">
        <f>IF($J459="","",INDEX(LevelLabels,MATCH(F459,LevelValues,1)))</f>
        <v/>
      </c>
      <c r="H459" s="106">
        <f>IF($J459="","",IFERROR(INDEX(Stu_ContactReq,MATCH(C459,Stu_ID,0)),""))</f>
        <v/>
      </c>
      <c r="I459" s="107">
        <f>IF($J459="","",IFERROR(INDEX(Stu_Notes,MATCH(C459,Stu_ID,0)),""))</f>
        <v/>
      </c>
      <c r="J459" s="40">
        <f>IF(454&gt;$B$3,"",IFERROR(MATCH(454-1,EV_Seq,1)+1,1))</f>
        <v/>
      </c>
    </row>
    <row r="460">
      <c r="A460" s="105">
        <f>IF($J460="","",INDEX(EV_Date,$J460))</f>
        <v/>
      </c>
      <c r="B460" s="78">
        <f>IF($J460="","",INDEX(EV_Name,$J460))</f>
        <v/>
      </c>
      <c r="C460" s="106">
        <f>IF($J460="","",INDEX(EV_ID,$J460))</f>
        <v/>
      </c>
      <c r="D460" s="106">
        <f>IF($J460="","",INDEX(EV_Class,$J460))</f>
        <v/>
      </c>
      <c r="E460" s="106">
        <f>IF($J460="","",INDEX(EV_Type,$J460))</f>
        <v/>
      </c>
      <c r="F460" s="106">
        <f>IF($J460="","",INDEX(EV_Cum,$J460))</f>
        <v/>
      </c>
      <c r="G460" s="106">
        <f>IF($J460="","",INDEX(LevelLabels,MATCH(F460,LevelValues,1)))</f>
        <v/>
      </c>
      <c r="H460" s="106">
        <f>IF($J460="","",IFERROR(INDEX(Stu_ContactReq,MATCH(C460,Stu_ID,0)),""))</f>
        <v/>
      </c>
      <c r="I460" s="107">
        <f>IF($J460="","",IFERROR(INDEX(Stu_Notes,MATCH(C460,Stu_ID,0)),""))</f>
        <v/>
      </c>
      <c r="J460" s="40">
        <f>IF(455&gt;$B$3,"",IFERROR(MATCH(455-1,EV_Seq,1)+1,1))</f>
        <v/>
      </c>
    </row>
    <row r="461">
      <c r="A461" s="105">
        <f>IF($J461="","",INDEX(EV_Date,$J461))</f>
        <v/>
      </c>
      <c r="B461" s="78">
        <f>IF($J461="","",INDEX(EV_Name,$J461))</f>
        <v/>
      </c>
      <c r="C461" s="106">
        <f>IF($J461="","",INDEX(EV_ID,$J461))</f>
        <v/>
      </c>
      <c r="D461" s="106">
        <f>IF($J461="","",INDEX(EV_Class,$J461))</f>
        <v/>
      </c>
      <c r="E461" s="106">
        <f>IF($J461="","",INDEX(EV_Type,$J461))</f>
        <v/>
      </c>
      <c r="F461" s="106">
        <f>IF($J461="","",INDEX(EV_Cum,$J461))</f>
        <v/>
      </c>
      <c r="G461" s="106">
        <f>IF($J461="","",INDEX(LevelLabels,MATCH(F461,LevelValues,1)))</f>
        <v/>
      </c>
      <c r="H461" s="106">
        <f>IF($J461="","",IFERROR(INDEX(Stu_ContactReq,MATCH(C461,Stu_ID,0)),""))</f>
        <v/>
      </c>
      <c r="I461" s="107">
        <f>IF($J461="","",IFERROR(INDEX(Stu_Notes,MATCH(C461,Stu_ID,0)),""))</f>
        <v/>
      </c>
      <c r="J461" s="40">
        <f>IF(456&gt;$B$3,"",IFERROR(MATCH(456-1,EV_Seq,1)+1,1))</f>
        <v/>
      </c>
    </row>
    <row r="462">
      <c r="A462" s="105">
        <f>IF($J462="","",INDEX(EV_Date,$J462))</f>
        <v/>
      </c>
      <c r="B462" s="78">
        <f>IF($J462="","",INDEX(EV_Name,$J462))</f>
        <v/>
      </c>
      <c r="C462" s="106">
        <f>IF($J462="","",INDEX(EV_ID,$J462))</f>
        <v/>
      </c>
      <c r="D462" s="106">
        <f>IF($J462="","",INDEX(EV_Class,$J462))</f>
        <v/>
      </c>
      <c r="E462" s="106">
        <f>IF($J462="","",INDEX(EV_Type,$J462))</f>
        <v/>
      </c>
      <c r="F462" s="106">
        <f>IF($J462="","",INDEX(EV_Cum,$J462))</f>
        <v/>
      </c>
      <c r="G462" s="106">
        <f>IF($J462="","",INDEX(LevelLabels,MATCH(F462,LevelValues,1)))</f>
        <v/>
      </c>
      <c r="H462" s="106">
        <f>IF($J462="","",IFERROR(INDEX(Stu_ContactReq,MATCH(C462,Stu_ID,0)),""))</f>
        <v/>
      </c>
      <c r="I462" s="107">
        <f>IF($J462="","",IFERROR(INDEX(Stu_Notes,MATCH(C462,Stu_ID,0)),""))</f>
        <v/>
      </c>
      <c r="J462" s="40">
        <f>IF(457&gt;$B$3,"",IFERROR(MATCH(457-1,EV_Seq,1)+1,1))</f>
        <v/>
      </c>
    </row>
    <row r="463">
      <c r="A463" s="105">
        <f>IF($J463="","",INDEX(EV_Date,$J463))</f>
        <v/>
      </c>
      <c r="B463" s="78">
        <f>IF($J463="","",INDEX(EV_Name,$J463))</f>
        <v/>
      </c>
      <c r="C463" s="106">
        <f>IF($J463="","",INDEX(EV_ID,$J463))</f>
        <v/>
      </c>
      <c r="D463" s="106">
        <f>IF($J463="","",INDEX(EV_Class,$J463))</f>
        <v/>
      </c>
      <c r="E463" s="106">
        <f>IF($J463="","",INDEX(EV_Type,$J463))</f>
        <v/>
      </c>
      <c r="F463" s="106">
        <f>IF($J463="","",INDEX(EV_Cum,$J463))</f>
        <v/>
      </c>
      <c r="G463" s="106">
        <f>IF($J463="","",INDEX(LevelLabels,MATCH(F463,LevelValues,1)))</f>
        <v/>
      </c>
      <c r="H463" s="106">
        <f>IF($J463="","",IFERROR(INDEX(Stu_ContactReq,MATCH(C463,Stu_ID,0)),""))</f>
        <v/>
      </c>
      <c r="I463" s="107">
        <f>IF($J463="","",IFERROR(INDEX(Stu_Notes,MATCH(C463,Stu_ID,0)),""))</f>
        <v/>
      </c>
      <c r="J463" s="40">
        <f>IF(458&gt;$B$3,"",IFERROR(MATCH(458-1,EV_Seq,1)+1,1))</f>
        <v/>
      </c>
    </row>
    <row r="464">
      <c r="A464" s="105">
        <f>IF($J464="","",INDEX(EV_Date,$J464))</f>
        <v/>
      </c>
      <c r="B464" s="78">
        <f>IF($J464="","",INDEX(EV_Name,$J464))</f>
        <v/>
      </c>
      <c r="C464" s="106">
        <f>IF($J464="","",INDEX(EV_ID,$J464))</f>
        <v/>
      </c>
      <c r="D464" s="106">
        <f>IF($J464="","",INDEX(EV_Class,$J464))</f>
        <v/>
      </c>
      <c r="E464" s="106">
        <f>IF($J464="","",INDEX(EV_Type,$J464))</f>
        <v/>
      </c>
      <c r="F464" s="106">
        <f>IF($J464="","",INDEX(EV_Cum,$J464))</f>
        <v/>
      </c>
      <c r="G464" s="106">
        <f>IF($J464="","",INDEX(LevelLabels,MATCH(F464,LevelValues,1)))</f>
        <v/>
      </c>
      <c r="H464" s="106">
        <f>IF($J464="","",IFERROR(INDEX(Stu_ContactReq,MATCH(C464,Stu_ID,0)),""))</f>
        <v/>
      </c>
      <c r="I464" s="107">
        <f>IF($J464="","",IFERROR(INDEX(Stu_Notes,MATCH(C464,Stu_ID,0)),""))</f>
        <v/>
      </c>
      <c r="J464" s="40">
        <f>IF(459&gt;$B$3,"",IFERROR(MATCH(459-1,EV_Seq,1)+1,1))</f>
        <v/>
      </c>
    </row>
    <row r="465">
      <c r="A465" s="105">
        <f>IF($J465="","",INDEX(EV_Date,$J465))</f>
        <v/>
      </c>
      <c r="B465" s="78">
        <f>IF($J465="","",INDEX(EV_Name,$J465))</f>
        <v/>
      </c>
      <c r="C465" s="106">
        <f>IF($J465="","",INDEX(EV_ID,$J465))</f>
        <v/>
      </c>
      <c r="D465" s="106">
        <f>IF($J465="","",INDEX(EV_Class,$J465))</f>
        <v/>
      </c>
      <c r="E465" s="106">
        <f>IF($J465="","",INDEX(EV_Type,$J465))</f>
        <v/>
      </c>
      <c r="F465" s="106">
        <f>IF($J465="","",INDEX(EV_Cum,$J465))</f>
        <v/>
      </c>
      <c r="G465" s="106">
        <f>IF($J465="","",INDEX(LevelLabels,MATCH(F465,LevelValues,1)))</f>
        <v/>
      </c>
      <c r="H465" s="106">
        <f>IF($J465="","",IFERROR(INDEX(Stu_ContactReq,MATCH(C465,Stu_ID,0)),""))</f>
        <v/>
      </c>
      <c r="I465" s="107">
        <f>IF($J465="","",IFERROR(INDEX(Stu_Notes,MATCH(C465,Stu_ID,0)),""))</f>
        <v/>
      </c>
      <c r="J465" s="40">
        <f>IF(460&gt;$B$3,"",IFERROR(MATCH(460-1,EV_Seq,1)+1,1))</f>
        <v/>
      </c>
    </row>
    <row r="466">
      <c r="A466" s="105">
        <f>IF($J466="","",INDEX(EV_Date,$J466))</f>
        <v/>
      </c>
      <c r="B466" s="78">
        <f>IF($J466="","",INDEX(EV_Name,$J466))</f>
        <v/>
      </c>
      <c r="C466" s="106">
        <f>IF($J466="","",INDEX(EV_ID,$J466))</f>
        <v/>
      </c>
      <c r="D466" s="106">
        <f>IF($J466="","",INDEX(EV_Class,$J466))</f>
        <v/>
      </c>
      <c r="E466" s="106">
        <f>IF($J466="","",INDEX(EV_Type,$J466))</f>
        <v/>
      </c>
      <c r="F466" s="106">
        <f>IF($J466="","",INDEX(EV_Cum,$J466))</f>
        <v/>
      </c>
      <c r="G466" s="106">
        <f>IF($J466="","",INDEX(LevelLabels,MATCH(F466,LevelValues,1)))</f>
        <v/>
      </c>
      <c r="H466" s="106">
        <f>IF($J466="","",IFERROR(INDEX(Stu_ContactReq,MATCH(C466,Stu_ID,0)),""))</f>
        <v/>
      </c>
      <c r="I466" s="107">
        <f>IF($J466="","",IFERROR(INDEX(Stu_Notes,MATCH(C466,Stu_ID,0)),""))</f>
        <v/>
      </c>
      <c r="J466" s="40">
        <f>IF(461&gt;$B$3,"",IFERROR(MATCH(461-1,EV_Seq,1)+1,1))</f>
        <v/>
      </c>
    </row>
    <row r="467">
      <c r="A467" s="105">
        <f>IF($J467="","",INDEX(EV_Date,$J467))</f>
        <v/>
      </c>
      <c r="B467" s="78">
        <f>IF($J467="","",INDEX(EV_Name,$J467))</f>
        <v/>
      </c>
      <c r="C467" s="106">
        <f>IF($J467="","",INDEX(EV_ID,$J467))</f>
        <v/>
      </c>
      <c r="D467" s="106">
        <f>IF($J467="","",INDEX(EV_Class,$J467))</f>
        <v/>
      </c>
      <c r="E467" s="106">
        <f>IF($J467="","",INDEX(EV_Type,$J467))</f>
        <v/>
      </c>
      <c r="F467" s="106">
        <f>IF($J467="","",INDEX(EV_Cum,$J467))</f>
        <v/>
      </c>
      <c r="G467" s="106">
        <f>IF($J467="","",INDEX(LevelLabels,MATCH(F467,LevelValues,1)))</f>
        <v/>
      </c>
      <c r="H467" s="106">
        <f>IF($J467="","",IFERROR(INDEX(Stu_ContactReq,MATCH(C467,Stu_ID,0)),""))</f>
        <v/>
      </c>
      <c r="I467" s="107">
        <f>IF($J467="","",IFERROR(INDEX(Stu_Notes,MATCH(C467,Stu_ID,0)),""))</f>
        <v/>
      </c>
      <c r="J467" s="40">
        <f>IF(462&gt;$B$3,"",IFERROR(MATCH(462-1,EV_Seq,1)+1,1))</f>
        <v/>
      </c>
    </row>
    <row r="468">
      <c r="A468" s="105">
        <f>IF($J468="","",INDEX(EV_Date,$J468))</f>
        <v/>
      </c>
      <c r="B468" s="78">
        <f>IF($J468="","",INDEX(EV_Name,$J468))</f>
        <v/>
      </c>
      <c r="C468" s="106">
        <f>IF($J468="","",INDEX(EV_ID,$J468))</f>
        <v/>
      </c>
      <c r="D468" s="106">
        <f>IF($J468="","",INDEX(EV_Class,$J468))</f>
        <v/>
      </c>
      <c r="E468" s="106">
        <f>IF($J468="","",INDEX(EV_Type,$J468))</f>
        <v/>
      </c>
      <c r="F468" s="106">
        <f>IF($J468="","",INDEX(EV_Cum,$J468))</f>
        <v/>
      </c>
      <c r="G468" s="106">
        <f>IF($J468="","",INDEX(LevelLabels,MATCH(F468,LevelValues,1)))</f>
        <v/>
      </c>
      <c r="H468" s="106">
        <f>IF($J468="","",IFERROR(INDEX(Stu_ContactReq,MATCH(C468,Stu_ID,0)),""))</f>
        <v/>
      </c>
      <c r="I468" s="107">
        <f>IF($J468="","",IFERROR(INDEX(Stu_Notes,MATCH(C468,Stu_ID,0)),""))</f>
        <v/>
      </c>
      <c r="J468" s="40">
        <f>IF(463&gt;$B$3,"",IFERROR(MATCH(463-1,EV_Seq,1)+1,1))</f>
        <v/>
      </c>
    </row>
    <row r="469">
      <c r="A469" s="105">
        <f>IF($J469="","",INDEX(EV_Date,$J469))</f>
        <v/>
      </c>
      <c r="B469" s="78">
        <f>IF($J469="","",INDEX(EV_Name,$J469))</f>
        <v/>
      </c>
      <c r="C469" s="106">
        <f>IF($J469="","",INDEX(EV_ID,$J469))</f>
        <v/>
      </c>
      <c r="D469" s="106">
        <f>IF($J469="","",INDEX(EV_Class,$J469))</f>
        <v/>
      </c>
      <c r="E469" s="106">
        <f>IF($J469="","",INDEX(EV_Type,$J469))</f>
        <v/>
      </c>
      <c r="F469" s="106">
        <f>IF($J469="","",INDEX(EV_Cum,$J469))</f>
        <v/>
      </c>
      <c r="G469" s="106">
        <f>IF($J469="","",INDEX(LevelLabels,MATCH(F469,LevelValues,1)))</f>
        <v/>
      </c>
      <c r="H469" s="106">
        <f>IF($J469="","",IFERROR(INDEX(Stu_ContactReq,MATCH(C469,Stu_ID,0)),""))</f>
        <v/>
      </c>
      <c r="I469" s="107">
        <f>IF($J469="","",IFERROR(INDEX(Stu_Notes,MATCH(C469,Stu_ID,0)),""))</f>
        <v/>
      </c>
      <c r="J469" s="40">
        <f>IF(464&gt;$B$3,"",IFERROR(MATCH(464-1,EV_Seq,1)+1,1))</f>
        <v/>
      </c>
    </row>
    <row r="470">
      <c r="A470" s="105">
        <f>IF($J470="","",INDEX(EV_Date,$J470))</f>
        <v/>
      </c>
      <c r="B470" s="78">
        <f>IF($J470="","",INDEX(EV_Name,$J470))</f>
        <v/>
      </c>
      <c r="C470" s="106">
        <f>IF($J470="","",INDEX(EV_ID,$J470))</f>
        <v/>
      </c>
      <c r="D470" s="106">
        <f>IF($J470="","",INDEX(EV_Class,$J470))</f>
        <v/>
      </c>
      <c r="E470" s="106">
        <f>IF($J470="","",INDEX(EV_Type,$J470))</f>
        <v/>
      </c>
      <c r="F470" s="106">
        <f>IF($J470="","",INDEX(EV_Cum,$J470))</f>
        <v/>
      </c>
      <c r="G470" s="106">
        <f>IF($J470="","",INDEX(LevelLabels,MATCH(F470,LevelValues,1)))</f>
        <v/>
      </c>
      <c r="H470" s="106">
        <f>IF($J470="","",IFERROR(INDEX(Stu_ContactReq,MATCH(C470,Stu_ID,0)),""))</f>
        <v/>
      </c>
      <c r="I470" s="107">
        <f>IF($J470="","",IFERROR(INDEX(Stu_Notes,MATCH(C470,Stu_ID,0)),""))</f>
        <v/>
      </c>
      <c r="J470" s="40">
        <f>IF(465&gt;$B$3,"",IFERROR(MATCH(465-1,EV_Seq,1)+1,1))</f>
        <v/>
      </c>
    </row>
    <row r="471">
      <c r="A471" s="105">
        <f>IF($J471="","",INDEX(EV_Date,$J471))</f>
        <v/>
      </c>
      <c r="B471" s="78">
        <f>IF($J471="","",INDEX(EV_Name,$J471))</f>
        <v/>
      </c>
      <c r="C471" s="106">
        <f>IF($J471="","",INDEX(EV_ID,$J471))</f>
        <v/>
      </c>
      <c r="D471" s="106">
        <f>IF($J471="","",INDEX(EV_Class,$J471))</f>
        <v/>
      </c>
      <c r="E471" s="106">
        <f>IF($J471="","",INDEX(EV_Type,$J471))</f>
        <v/>
      </c>
      <c r="F471" s="106">
        <f>IF($J471="","",INDEX(EV_Cum,$J471))</f>
        <v/>
      </c>
      <c r="G471" s="106">
        <f>IF($J471="","",INDEX(LevelLabels,MATCH(F471,LevelValues,1)))</f>
        <v/>
      </c>
      <c r="H471" s="106">
        <f>IF($J471="","",IFERROR(INDEX(Stu_ContactReq,MATCH(C471,Stu_ID,0)),""))</f>
        <v/>
      </c>
      <c r="I471" s="107">
        <f>IF($J471="","",IFERROR(INDEX(Stu_Notes,MATCH(C471,Stu_ID,0)),""))</f>
        <v/>
      </c>
      <c r="J471" s="40">
        <f>IF(466&gt;$B$3,"",IFERROR(MATCH(466-1,EV_Seq,1)+1,1))</f>
        <v/>
      </c>
    </row>
    <row r="472">
      <c r="A472" s="105">
        <f>IF($J472="","",INDEX(EV_Date,$J472))</f>
        <v/>
      </c>
      <c r="B472" s="78">
        <f>IF($J472="","",INDEX(EV_Name,$J472))</f>
        <v/>
      </c>
      <c r="C472" s="106">
        <f>IF($J472="","",INDEX(EV_ID,$J472))</f>
        <v/>
      </c>
      <c r="D472" s="106">
        <f>IF($J472="","",INDEX(EV_Class,$J472))</f>
        <v/>
      </c>
      <c r="E472" s="106">
        <f>IF($J472="","",INDEX(EV_Type,$J472))</f>
        <v/>
      </c>
      <c r="F472" s="106">
        <f>IF($J472="","",INDEX(EV_Cum,$J472))</f>
        <v/>
      </c>
      <c r="G472" s="106">
        <f>IF($J472="","",INDEX(LevelLabels,MATCH(F472,LevelValues,1)))</f>
        <v/>
      </c>
      <c r="H472" s="106">
        <f>IF($J472="","",IFERROR(INDEX(Stu_ContactReq,MATCH(C472,Stu_ID,0)),""))</f>
        <v/>
      </c>
      <c r="I472" s="107">
        <f>IF($J472="","",IFERROR(INDEX(Stu_Notes,MATCH(C472,Stu_ID,0)),""))</f>
        <v/>
      </c>
      <c r="J472" s="40">
        <f>IF(467&gt;$B$3,"",IFERROR(MATCH(467-1,EV_Seq,1)+1,1))</f>
        <v/>
      </c>
    </row>
    <row r="473">
      <c r="A473" s="105">
        <f>IF($J473="","",INDEX(EV_Date,$J473))</f>
        <v/>
      </c>
      <c r="B473" s="78">
        <f>IF($J473="","",INDEX(EV_Name,$J473))</f>
        <v/>
      </c>
      <c r="C473" s="106">
        <f>IF($J473="","",INDEX(EV_ID,$J473))</f>
        <v/>
      </c>
      <c r="D473" s="106">
        <f>IF($J473="","",INDEX(EV_Class,$J473))</f>
        <v/>
      </c>
      <c r="E473" s="106">
        <f>IF($J473="","",INDEX(EV_Type,$J473))</f>
        <v/>
      </c>
      <c r="F473" s="106">
        <f>IF($J473="","",INDEX(EV_Cum,$J473))</f>
        <v/>
      </c>
      <c r="G473" s="106">
        <f>IF($J473="","",INDEX(LevelLabels,MATCH(F473,LevelValues,1)))</f>
        <v/>
      </c>
      <c r="H473" s="106">
        <f>IF($J473="","",IFERROR(INDEX(Stu_ContactReq,MATCH(C473,Stu_ID,0)),""))</f>
        <v/>
      </c>
      <c r="I473" s="107">
        <f>IF($J473="","",IFERROR(INDEX(Stu_Notes,MATCH(C473,Stu_ID,0)),""))</f>
        <v/>
      </c>
      <c r="J473" s="40">
        <f>IF(468&gt;$B$3,"",IFERROR(MATCH(468-1,EV_Seq,1)+1,1))</f>
        <v/>
      </c>
    </row>
    <row r="474">
      <c r="A474" s="105">
        <f>IF($J474="","",INDEX(EV_Date,$J474))</f>
        <v/>
      </c>
      <c r="B474" s="78">
        <f>IF($J474="","",INDEX(EV_Name,$J474))</f>
        <v/>
      </c>
      <c r="C474" s="106">
        <f>IF($J474="","",INDEX(EV_ID,$J474))</f>
        <v/>
      </c>
      <c r="D474" s="106">
        <f>IF($J474="","",INDEX(EV_Class,$J474))</f>
        <v/>
      </c>
      <c r="E474" s="106">
        <f>IF($J474="","",INDEX(EV_Type,$J474))</f>
        <v/>
      </c>
      <c r="F474" s="106">
        <f>IF($J474="","",INDEX(EV_Cum,$J474))</f>
        <v/>
      </c>
      <c r="G474" s="106">
        <f>IF($J474="","",INDEX(LevelLabels,MATCH(F474,LevelValues,1)))</f>
        <v/>
      </c>
      <c r="H474" s="106">
        <f>IF($J474="","",IFERROR(INDEX(Stu_ContactReq,MATCH(C474,Stu_ID,0)),""))</f>
        <v/>
      </c>
      <c r="I474" s="107">
        <f>IF($J474="","",IFERROR(INDEX(Stu_Notes,MATCH(C474,Stu_ID,0)),""))</f>
        <v/>
      </c>
      <c r="J474" s="40">
        <f>IF(469&gt;$B$3,"",IFERROR(MATCH(469-1,EV_Seq,1)+1,1))</f>
        <v/>
      </c>
    </row>
    <row r="475">
      <c r="A475" s="105">
        <f>IF($J475="","",INDEX(EV_Date,$J475))</f>
        <v/>
      </c>
      <c r="B475" s="78">
        <f>IF($J475="","",INDEX(EV_Name,$J475))</f>
        <v/>
      </c>
      <c r="C475" s="106">
        <f>IF($J475="","",INDEX(EV_ID,$J475))</f>
        <v/>
      </c>
      <c r="D475" s="106">
        <f>IF($J475="","",INDEX(EV_Class,$J475))</f>
        <v/>
      </c>
      <c r="E475" s="106">
        <f>IF($J475="","",INDEX(EV_Type,$J475))</f>
        <v/>
      </c>
      <c r="F475" s="106">
        <f>IF($J475="","",INDEX(EV_Cum,$J475))</f>
        <v/>
      </c>
      <c r="G475" s="106">
        <f>IF($J475="","",INDEX(LevelLabels,MATCH(F475,LevelValues,1)))</f>
        <v/>
      </c>
      <c r="H475" s="106">
        <f>IF($J475="","",IFERROR(INDEX(Stu_ContactReq,MATCH(C475,Stu_ID,0)),""))</f>
        <v/>
      </c>
      <c r="I475" s="107">
        <f>IF($J475="","",IFERROR(INDEX(Stu_Notes,MATCH(C475,Stu_ID,0)),""))</f>
        <v/>
      </c>
      <c r="J475" s="40">
        <f>IF(470&gt;$B$3,"",IFERROR(MATCH(470-1,EV_Seq,1)+1,1))</f>
        <v/>
      </c>
    </row>
    <row r="476">
      <c r="A476" s="105">
        <f>IF($J476="","",INDEX(EV_Date,$J476))</f>
        <v/>
      </c>
      <c r="B476" s="78">
        <f>IF($J476="","",INDEX(EV_Name,$J476))</f>
        <v/>
      </c>
      <c r="C476" s="106">
        <f>IF($J476="","",INDEX(EV_ID,$J476))</f>
        <v/>
      </c>
      <c r="D476" s="106">
        <f>IF($J476="","",INDEX(EV_Class,$J476))</f>
        <v/>
      </c>
      <c r="E476" s="106">
        <f>IF($J476="","",INDEX(EV_Type,$J476))</f>
        <v/>
      </c>
      <c r="F476" s="106">
        <f>IF($J476="","",INDEX(EV_Cum,$J476))</f>
        <v/>
      </c>
      <c r="G476" s="106">
        <f>IF($J476="","",INDEX(LevelLabels,MATCH(F476,LevelValues,1)))</f>
        <v/>
      </c>
      <c r="H476" s="106">
        <f>IF($J476="","",IFERROR(INDEX(Stu_ContactReq,MATCH(C476,Stu_ID,0)),""))</f>
        <v/>
      </c>
      <c r="I476" s="107">
        <f>IF($J476="","",IFERROR(INDEX(Stu_Notes,MATCH(C476,Stu_ID,0)),""))</f>
        <v/>
      </c>
      <c r="J476" s="40">
        <f>IF(471&gt;$B$3,"",IFERROR(MATCH(471-1,EV_Seq,1)+1,1))</f>
        <v/>
      </c>
    </row>
    <row r="477">
      <c r="A477" s="105">
        <f>IF($J477="","",INDEX(EV_Date,$J477))</f>
        <v/>
      </c>
      <c r="B477" s="78">
        <f>IF($J477="","",INDEX(EV_Name,$J477))</f>
        <v/>
      </c>
      <c r="C477" s="106">
        <f>IF($J477="","",INDEX(EV_ID,$J477))</f>
        <v/>
      </c>
      <c r="D477" s="106">
        <f>IF($J477="","",INDEX(EV_Class,$J477))</f>
        <v/>
      </c>
      <c r="E477" s="106">
        <f>IF($J477="","",INDEX(EV_Type,$J477))</f>
        <v/>
      </c>
      <c r="F477" s="106">
        <f>IF($J477="","",INDEX(EV_Cum,$J477))</f>
        <v/>
      </c>
      <c r="G477" s="106">
        <f>IF($J477="","",INDEX(LevelLabels,MATCH(F477,LevelValues,1)))</f>
        <v/>
      </c>
      <c r="H477" s="106">
        <f>IF($J477="","",IFERROR(INDEX(Stu_ContactReq,MATCH(C477,Stu_ID,0)),""))</f>
        <v/>
      </c>
      <c r="I477" s="107">
        <f>IF($J477="","",IFERROR(INDEX(Stu_Notes,MATCH(C477,Stu_ID,0)),""))</f>
        <v/>
      </c>
      <c r="J477" s="40">
        <f>IF(472&gt;$B$3,"",IFERROR(MATCH(472-1,EV_Seq,1)+1,1))</f>
        <v/>
      </c>
    </row>
    <row r="478">
      <c r="A478" s="105">
        <f>IF($J478="","",INDEX(EV_Date,$J478))</f>
        <v/>
      </c>
      <c r="B478" s="78">
        <f>IF($J478="","",INDEX(EV_Name,$J478))</f>
        <v/>
      </c>
      <c r="C478" s="106">
        <f>IF($J478="","",INDEX(EV_ID,$J478))</f>
        <v/>
      </c>
      <c r="D478" s="106">
        <f>IF($J478="","",INDEX(EV_Class,$J478))</f>
        <v/>
      </c>
      <c r="E478" s="106">
        <f>IF($J478="","",INDEX(EV_Type,$J478))</f>
        <v/>
      </c>
      <c r="F478" s="106">
        <f>IF($J478="","",INDEX(EV_Cum,$J478))</f>
        <v/>
      </c>
      <c r="G478" s="106">
        <f>IF($J478="","",INDEX(LevelLabels,MATCH(F478,LevelValues,1)))</f>
        <v/>
      </c>
      <c r="H478" s="106">
        <f>IF($J478="","",IFERROR(INDEX(Stu_ContactReq,MATCH(C478,Stu_ID,0)),""))</f>
        <v/>
      </c>
      <c r="I478" s="107">
        <f>IF($J478="","",IFERROR(INDEX(Stu_Notes,MATCH(C478,Stu_ID,0)),""))</f>
        <v/>
      </c>
      <c r="J478" s="40">
        <f>IF(473&gt;$B$3,"",IFERROR(MATCH(473-1,EV_Seq,1)+1,1))</f>
        <v/>
      </c>
    </row>
    <row r="479">
      <c r="A479" s="105">
        <f>IF($J479="","",INDEX(EV_Date,$J479))</f>
        <v/>
      </c>
      <c r="B479" s="78">
        <f>IF($J479="","",INDEX(EV_Name,$J479))</f>
        <v/>
      </c>
      <c r="C479" s="106">
        <f>IF($J479="","",INDEX(EV_ID,$J479))</f>
        <v/>
      </c>
      <c r="D479" s="106">
        <f>IF($J479="","",INDEX(EV_Class,$J479))</f>
        <v/>
      </c>
      <c r="E479" s="106">
        <f>IF($J479="","",INDEX(EV_Type,$J479))</f>
        <v/>
      </c>
      <c r="F479" s="106">
        <f>IF($J479="","",INDEX(EV_Cum,$J479))</f>
        <v/>
      </c>
      <c r="G479" s="106">
        <f>IF($J479="","",INDEX(LevelLabels,MATCH(F479,LevelValues,1)))</f>
        <v/>
      </c>
      <c r="H479" s="106">
        <f>IF($J479="","",IFERROR(INDEX(Stu_ContactReq,MATCH(C479,Stu_ID,0)),""))</f>
        <v/>
      </c>
      <c r="I479" s="107">
        <f>IF($J479="","",IFERROR(INDEX(Stu_Notes,MATCH(C479,Stu_ID,0)),""))</f>
        <v/>
      </c>
      <c r="J479" s="40">
        <f>IF(474&gt;$B$3,"",IFERROR(MATCH(474-1,EV_Seq,1)+1,1))</f>
        <v/>
      </c>
    </row>
    <row r="480">
      <c r="A480" s="105">
        <f>IF($J480="","",INDEX(EV_Date,$J480))</f>
        <v/>
      </c>
      <c r="B480" s="78">
        <f>IF($J480="","",INDEX(EV_Name,$J480))</f>
        <v/>
      </c>
      <c r="C480" s="106">
        <f>IF($J480="","",INDEX(EV_ID,$J480))</f>
        <v/>
      </c>
      <c r="D480" s="106">
        <f>IF($J480="","",INDEX(EV_Class,$J480))</f>
        <v/>
      </c>
      <c r="E480" s="106">
        <f>IF($J480="","",INDEX(EV_Type,$J480))</f>
        <v/>
      </c>
      <c r="F480" s="106">
        <f>IF($J480="","",INDEX(EV_Cum,$J480))</f>
        <v/>
      </c>
      <c r="G480" s="106">
        <f>IF($J480="","",INDEX(LevelLabels,MATCH(F480,LevelValues,1)))</f>
        <v/>
      </c>
      <c r="H480" s="106">
        <f>IF($J480="","",IFERROR(INDEX(Stu_ContactReq,MATCH(C480,Stu_ID,0)),""))</f>
        <v/>
      </c>
      <c r="I480" s="107">
        <f>IF($J480="","",IFERROR(INDEX(Stu_Notes,MATCH(C480,Stu_ID,0)),""))</f>
        <v/>
      </c>
      <c r="J480" s="40">
        <f>IF(475&gt;$B$3,"",IFERROR(MATCH(475-1,EV_Seq,1)+1,1))</f>
        <v/>
      </c>
    </row>
    <row r="481">
      <c r="A481" s="105">
        <f>IF($J481="","",INDEX(EV_Date,$J481))</f>
        <v/>
      </c>
      <c r="B481" s="78">
        <f>IF($J481="","",INDEX(EV_Name,$J481))</f>
        <v/>
      </c>
      <c r="C481" s="106">
        <f>IF($J481="","",INDEX(EV_ID,$J481))</f>
        <v/>
      </c>
      <c r="D481" s="106">
        <f>IF($J481="","",INDEX(EV_Class,$J481))</f>
        <v/>
      </c>
      <c r="E481" s="106">
        <f>IF($J481="","",INDEX(EV_Type,$J481))</f>
        <v/>
      </c>
      <c r="F481" s="106">
        <f>IF($J481="","",INDEX(EV_Cum,$J481))</f>
        <v/>
      </c>
      <c r="G481" s="106">
        <f>IF($J481="","",INDEX(LevelLabels,MATCH(F481,LevelValues,1)))</f>
        <v/>
      </c>
      <c r="H481" s="106">
        <f>IF($J481="","",IFERROR(INDEX(Stu_ContactReq,MATCH(C481,Stu_ID,0)),""))</f>
        <v/>
      </c>
      <c r="I481" s="107">
        <f>IF($J481="","",IFERROR(INDEX(Stu_Notes,MATCH(C481,Stu_ID,0)),""))</f>
        <v/>
      </c>
      <c r="J481" s="40">
        <f>IF(476&gt;$B$3,"",IFERROR(MATCH(476-1,EV_Seq,1)+1,1))</f>
        <v/>
      </c>
    </row>
    <row r="482">
      <c r="A482" s="105">
        <f>IF($J482="","",INDEX(EV_Date,$J482))</f>
        <v/>
      </c>
      <c r="B482" s="78">
        <f>IF($J482="","",INDEX(EV_Name,$J482))</f>
        <v/>
      </c>
      <c r="C482" s="106">
        <f>IF($J482="","",INDEX(EV_ID,$J482))</f>
        <v/>
      </c>
      <c r="D482" s="106">
        <f>IF($J482="","",INDEX(EV_Class,$J482))</f>
        <v/>
      </c>
      <c r="E482" s="106">
        <f>IF($J482="","",INDEX(EV_Type,$J482))</f>
        <v/>
      </c>
      <c r="F482" s="106">
        <f>IF($J482="","",INDEX(EV_Cum,$J482))</f>
        <v/>
      </c>
      <c r="G482" s="106">
        <f>IF($J482="","",INDEX(LevelLabels,MATCH(F482,LevelValues,1)))</f>
        <v/>
      </c>
      <c r="H482" s="106">
        <f>IF($J482="","",IFERROR(INDEX(Stu_ContactReq,MATCH(C482,Stu_ID,0)),""))</f>
        <v/>
      </c>
      <c r="I482" s="107">
        <f>IF($J482="","",IFERROR(INDEX(Stu_Notes,MATCH(C482,Stu_ID,0)),""))</f>
        <v/>
      </c>
      <c r="J482" s="40">
        <f>IF(477&gt;$B$3,"",IFERROR(MATCH(477-1,EV_Seq,1)+1,1))</f>
        <v/>
      </c>
    </row>
    <row r="483">
      <c r="A483" s="105">
        <f>IF($J483="","",INDEX(EV_Date,$J483))</f>
        <v/>
      </c>
      <c r="B483" s="78">
        <f>IF($J483="","",INDEX(EV_Name,$J483))</f>
        <v/>
      </c>
      <c r="C483" s="106">
        <f>IF($J483="","",INDEX(EV_ID,$J483))</f>
        <v/>
      </c>
      <c r="D483" s="106">
        <f>IF($J483="","",INDEX(EV_Class,$J483))</f>
        <v/>
      </c>
      <c r="E483" s="106">
        <f>IF($J483="","",INDEX(EV_Type,$J483))</f>
        <v/>
      </c>
      <c r="F483" s="106">
        <f>IF($J483="","",INDEX(EV_Cum,$J483))</f>
        <v/>
      </c>
      <c r="G483" s="106">
        <f>IF($J483="","",INDEX(LevelLabels,MATCH(F483,LevelValues,1)))</f>
        <v/>
      </c>
      <c r="H483" s="106">
        <f>IF($J483="","",IFERROR(INDEX(Stu_ContactReq,MATCH(C483,Stu_ID,0)),""))</f>
        <v/>
      </c>
      <c r="I483" s="107">
        <f>IF($J483="","",IFERROR(INDEX(Stu_Notes,MATCH(C483,Stu_ID,0)),""))</f>
        <v/>
      </c>
      <c r="J483" s="40">
        <f>IF(478&gt;$B$3,"",IFERROR(MATCH(478-1,EV_Seq,1)+1,1))</f>
        <v/>
      </c>
    </row>
    <row r="484">
      <c r="A484" s="105">
        <f>IF($J484="","",INDEX(EV_Date,$J484))</f>
        <v/>
      </c>
      <c r="B484" s="78">
        <f>IF($J484="","",INDEX(EV_Name,$J484))</f>
        <v/>
      </c>
      <c r="C484" s="106">
        <f>IF($J484="","",INDEX(EV_ID,$J484))</f>
        <v/>
      </c>
      <c r="D484" s="106">
        <f>IF($J484="","",INDEX(EV_Class,$J484))</f>
        <v/>
      </c>
      <c r="E484" s="106">
        <f>IF($J484="","",INDEX(EV_Type,$J484))</f>
        <v/>
      </c>
      <c r="F484" s="106">
        <f>IF($J484="","",INDEX(EV_Cum,$J484))</f>
        <v/>
      </c>
      <c r="G484" s="106">
        <f>IF($J484="","",INDEX(LevelLabels,MATCH(F484,LevelValues,1)))</f>
        <v/>
      </c>
      <c r="H484" s="106">
        <f>IF($J484="","",IFERROR(INDEX(Stu_ContactReq,MATCH(C484,Stu_ID,0)),""))</f>
        <v/>
      </c>
      <c r="I484" s="107">
        <f>IF($J484="","",IFERROR(INDEX(Stu_Notes,MATCH(C484,Stu_ID,0)),""))</f>
        <v/>
      </c>
      <c r="J484" s="40">
        <f>IF(479&gt;$B$3,"",IFERROR(MATCH(479-1,EV_Seq,1)+1,1))</f>
        <v/>
      </c>
    </row>
    <row r="485">
      <c r="A485" s="105">
        <f>IF($J485="","",INDEX(EV_Date,$J485))</f>
        <v/>
      </c>
      <c r="B485" s="78">
        <f>IF($J485="","",INDEX(EV_Name,$J485))</f>
        <v/>
      </c>
      <c r="C485" s="106">
        <f>IF($J485="","",INDEX(EV_ID,$J485))</f>
        <v/>
      </c>
      <c r="D485" s="106">
        <f>IF($J485="","",INDEX(EV_Class,$J485))</f>
        <v/>
      </c>
      <c r="E485" s="106">
        <f>IF($J485="","",INDEX(EV_Type,$J485))</f>
        <v/>
      </c>
      <c r="F485" s="106">
        <f>IF($J485="","",INDEX(EV_Cum,$J485))</f>
        <v/>
      </c>
      <c r="G485" s="106">
        <f>IF($J485="","",INDEX(LevelLabels,MATCH(F485,LevelValues,1)))</f>
        <v/>
      </c>
      <c r="H485" s="106">
        <f>IF($J485="","",IFERROR(INDEX(Stu_ContactReq,MATCH(C485,Stu_ID,0)),""))</f>
        <v/>
      </c>
      <c r="I485" s="107">
        <f>IF($J485="","",IFERROR(INDEX(Stu_Notes,MATCH(C485,Stu_ID,0)),""))</f>
        <v/>
      </c>
      <c r="J485" s="40">
        <f>IF(480&gt;$B$3,"",IFERROR(MATCH(480-1,EV_Seq,1)+1,1))</f>
        <v/>
      </c>
    </row>
    <row r="486">
      <c r="A486" s="105">
        <f>IF($J486="","",INDEX(EV_Date,$J486))</f>
        <v/>
      </c>
      <c r="B486" s="78">
        <f>IF($J486="","",INDEX(EV_Name,$J486))</f>
        <v/>
      </c>
      <c r="C486" s="106">
        <f>IF($J486="","",INDEX(EV_ID,$J486))</f>
        <v/>
      </c>
      <c r="D486" s="106">
        <f>IF($J486="","",INDEX(EV_Class,$J486))</f>
        <v/>
      </c>
      <c r="E486" s="106">
        <f>IF($J486="","",INDEX(EV_Type,$J486))</f>
        <v/>
      </c>
      <c r="F486" s="106">
        <f>IF($J486="","",INDEX(EV_Cum,$J486))</f>
        <v/>
      </c>
      <c r="G486" s="106">
        <f>IF($J486="","",INDEX(LevelLabels,MATCH(F486,LevelValues,1)))</f>
        <v/>
      </c>
      <c r="H486" s="106">
        <f>IF($J486="","",IFERROR(INDEX(Stu_ContactReq,MATCH(C486,Stu_ID,0)),""))</f>
        <v/>
      </c>
      <c r="I486" s="107">
        <f>IF($J486="","",IFERROR(INDEX(Stu_Notes,MATCH(C486,Stu_ID,0)),""))</f>
        <v/>
      </c>
      <c r="J486" s="40">
        <f>IF(481&gt;$B$3,"",IFERROR(MATCH(481-1,EV_Seq,1)+1,1))</f>
        <v/>
      </c>
    </row>
    <row r="487">
      <c r="A487" s="105">
        <f>IF($J487="","",INDEX(EV_Date,$J487))</f>
        <v/>
      </c>
      <c r="B487" s="78">
        <f>IF($J487="","",INDEX(EV_Name,$J487))</f>
        <v/>
      </c>
      <c r="C487" s="106">
        <f>IF($J487="","",INDEX(EV_ID,$J487))</f>
        <v/>
      </c>
      <c r="D487" s="106">
        <f>IF($J487="","",INDEX(EV_Class,$J487))</f>
        <v/>
      </c>
      <c r="E487" s="106">
        <f>IF($J487="","",INDEX(EV_Type,$J487))</f>
        <v/>
      </c>
      <c r="F487" s="106">
        <f>IF($J487="","",INDEX(EV_Cum,$J487))</f>
        <v/>
      </c>
      <c r="G487" s="106">
        <f>IF($J487="","",INDEX(LevelLabels,MATCH(F487,LevelValues,1)))</f>
        <v/>
      </c>
      <c r="H487" s="106">
        <f>IF($J487="","",IFERROR(INDEX(Stu_ContactReq,MATCH(C487,Stu_ID,0)),""))</f>
        <v/>
      </c>
      <c r="I487" s="107">
        <f>IF($J487="","",IFERROR(INDEX(Stu_Notes,MATCH(C487,Stu_ID,0)),""))</f>
        <v/>
      </c>
      <c r="J487" s="40">
        <f>IF(482&gt;$B$3,"",IFERROR(MATCH(482-1,EV_Seq,1)+1,1))</f>
        <v/>
      </c>
    </row>
    <row r="488">
      <c r="A488" s="105">
        <f>IF($J488="","",INDEX(EV_Date,$J488))</f>
        <v/>
      </c>
      <c r="B488" s="78">
        <f>IF($J488="","",INDEX(EV_Name,$J488))</f>
        <v/>
      </c>
      <c r="C488" s="106">
        <f>IF($J488="","",INDEX(EV_ID,$J488))</f>
        <v/>
      </c>
      <c r="D488" s="106">
        <f>IF($J488="","",INDEX(EV_Class,$J488))</f>
        <v/>
      </c>
      <c r="E488" s="106">
        <f>IF($J488="","",INDEX(EV_Type,$J488))</f>
        <v/>
      </c>
      <c r="F488" s="106">
        <f>IF($J488="","",INDEX(EV_Cum,$J488))</f>
        <v/>
      </c>
      <c r="G488" s="106">
        <f>IF($J488="","",INDEX(LevelLabels,MATCH(F488,LevelValues,1)))</f>
        <v/>
      </c>
      <c r="H488" s="106">
        <f>IF($J488="","",IFERROR(INDEX(Stu_ContactReq,MATCH(C488,Stu_ID,0)),""))</f>
        <v/>
      </c>
      <c r="I488" s="107">
        <f>IF($J488="","",IFERROR(INDEX(Stu_Notes,MATCH(C488,Stu_ID,0)),""))</f>
        <v/>
      </c>
      <c r="J488" s="40">
        <f>IF(483&gt;$B$3,"",IFERROR(MATCH(483-1,EV_Seq,1)+1,1))</f>
        <v/>
      </c>
    </row>
    <row r="489">
      <c r="A489" s="105">
        <f>IF($J489="","",INDEX(EV_Date,$J489))</f>
        <v/>
      </c>
      <c r="B489" s="78">
        <f>IF($J489="","",INDEX(EV_Name,$J489))</f>
        <v/>
      </c>
      <c r="C489" s="106">
        <f>IF($J489="","",INDEX(EV_ID,$J489))</f>
        <v/>
      </c>
      <c r="D489" s="106">
        <f>IF($J489="","",INDEX(EV_Class,$J489))</f>
        <v/>
      </c>
      <c r="E489" s="106">
        <f>IF($J489="","",INDEX(EV_Type,$J489))</f>
        <v/>
      </c>
      <c r="F489" s="106">
        <f>IF($J489="","",INDEX(EV_Cum,$J489))</f>
        <v/>
      </c>
      <c r="G489" s="106">
        <f>IF($J489="","",INDEX(LevelLabels,MATCH(F489,LevelValues,1)))</f>
        <v/>
      </c>
      <c r="H489" s="106">
        <f>IF($J489="","",IFERROR(INDEX(Stu_ContactReq,MATCH(C489,Stu_ID,0)),""))</f>
        <v/>
      </c>
      <c r="I489" s="107">
        <f>IF($J489="","",IFERROR(INDEX(Stu_Notes,MATCH(C489,Stu_ID,0)),""))</f>
        <v/>
      </c>
      <c r="J489" s="40">
        <f>IF(484&gt;$B$3,"",IFERROR(MATCH(484-1,EV_Seq,1)+1,1))</f>
        <v/>
      </c>
    </row>
    <row r="490">
      <c r="A490" s="105">
        <f>IF($J490="","",INDEX(EV_Date,$J490))</f>
        <v/>
      </c>
      <c r="B490" s="78">
        <f>IF($J490="","",INDEX(EV_Name,$J490))</f>
        <v/>
      </c>
      <c r="C490" s="106">
        <f>IF($J490="","",INDEX(EV_ID,$J490))</f>
        <v/>
      </c>
      <c r="D490" s="106">
        <f>IF($J490="","",INDEX(EV_Class,$J490))</f>
        <v/>
      </c>
      <c r="E490" s="106">
        <f>IF($J490="","",INDEX(EV_Type,$J490))</f>
        <v/>
      </c>
      <c r="F490" s="106">
        <f>IF($J490="","",INDEX(EV_Cum,$J490))</f>
        <v/>
      </c>
      <c r="G490" s="106">
        <f>IF($J490="","",INDEX(LevelLabels,MATCH(F490,LevelValues,1)))</f>
        <v/>
      </c>
      <c r="H490" s="106">
        <f>IF($J490="","",IFERROR(INDEX(Stu_ContactReq,MATCH(C490,Stu_ID,0)),""))</f>
        <v/>
      </c>
      <c r="I490" s="107">
        <f>IF($J490="","",IFERROR(INDEX(Stu_Notes,MATCH(C490,Stu_ID,0)),""))</f>
        <v/>
      </c>
      <c r="J490" s="40">
        <f>IF(485&gt;$B$3,"",IFERROR(MATCH(485-1,EV_Seq,1)+1,1))</f>
        <v/>
      </c>
    </row>
    <row r="491">
      <c r="A491" s="105">
        <f>IF($J491="","",INDEX(EV_Date,$J491))</f>
        <v/>
      </c>
      <c r="B491" s="78">
        <f>IF($J491="","",INDEX(EV_Name,$J491))</f>
        <v/>
      </c>
      <c r="C491" s="106">
        <f>IF($J491="","",INDEX(EV_ID,$J491))</f>
        <v/>
      </c>
      <c r="D491" s="106">
        <f>IF($J491="","",INDEX(EV_Class,$J491))</f>
        <v/>
      </c>
      <c r="E491" s="106">
        <f>IF($J491="","",INDEX(EV_Type,$J491))</f>
        <v/>
      </c>
      <c r="F491" s="106">
        <f>IF($J491="","",INDEX(EV_Cum,$J491))</f>
        <v/>
      </c>
      <c r="G491" s="106">
        <f>IF($J491="","",INDEX(LevelLabels,MATCH(F491,LevelValues,1)))</f>
        <v/>
      </c>
      <c r="H491" s="106">
        <f>IF($J491="","",IFERROR(INDEX(Stu_ContactReq,MATCH(C491,Stu_ID,0)),""))</f>
        <v/>
      </c>
      <c r="I491" s="107">
        <f>IF($J491="","",IFERROR(INDEX(Stu_Notes,MATCH(C491,Stu_ID,0)),""))</f>
        <v/>
      </c>
      <c r="J491" s="40">
        <f>IF(486&gt;$B$3,"",IFERROR(MATCH(486-1,EV_Seq,1)+1,1))</f>
        <v/>
      </c>
    </row>
    <row r="492">
      <c r="A492" s="105">
        <f>IF($J492="","",INDEX(EV_Date,$J492))</f>
        <v/>
      </c>
      <c r="B492" s="78">
        <f>IF($J492="","",INDEX(EV_Name,$J492))</f>
        <v/>
      </c>
      <c r="C492" s="106">
        <f>IF($J492="","",INDEX(EV_ID,$J492))</f>
        <v/>
      </c>
      <c r="D492" s="106">
        <f>IF($J492="","",INDEX(EV_Class,$J492))</f>
        <v/>
      </c>
      <c r="E492" s="106">
        <f>IF($J492="","",INDEX(EV_Type,$J492))</f>
        <v/>
      </c>
      <c r="F492" s="106">
        <f>IF($J492="","",INDEX(EV_Cum,$J492))</f>
        <v/>
      </c>
      <c r="G492" s="106">
        <f>IF($J492="","",INDEX(LevelLabels,MATCH(F492,LevelValues,1)))</f>
        <v/>
      </c>
      <c r="H492" s="106">
        <f>IF($J492="","",IFERROR(INDEX(Stu_ContactReq,MATCH(C492,Stu_ID,0)),""))</f>
        <v/>
      </c>
      <c r="I492" s="107">
        <f>IF($J492="","",IFERROR(INDEX(Stu_Notes,MATCH(C492,Stu_ID,0)),""))</f>
        <v/>
      </c>
      <c r="J492" s="40">
        <f>IF(487&gt;$B$3,"",IFERROR(MATCH(487-1,EV_Seq,1)+1,1))</f>
        <v/>
      </c>
    </row>
    <row r="493">
      <c r="A493" s="105">
        <f>IF($J493="","",INDEX(EV_Date,$J493))</f>
        <v/>
      </c>
      <c r="B493" s="78">
        <f>IF($J493="","",INDEX(EV_Name,$J493))</f>
        <v/>
      </c>
      <c r="C493" s="106">
        <f>IF($J493="","",INDEX(EV_ID,$J493))</f>
        <v/>
      </c>
      <c r="D493" s="106">
        <f>IF($J493="","",INDEX(EV_Class,$J493))</f>
        <v/>
      </c>
      <c r="E493" s="106">
        <f>IF($J493="","",INDEX(EV_Type,$J493))</f>
        <v/>
      </c>
      <c r="F493" s="106">
        <f>IF($J493="","",INDEX(EV_Cum,$J493))</f>
        <v/>
      </c>
      <c r="G493" s="106">
        <f>IF($J493="","",INDEX(LevelLabels,MATCH(F493,LevelValues,1)))</f>
        <v/>
      </c>
      <c r="H493" s="106">
        <f>IF($J493="","",IFERROR(INDEX(Stu_ContactReq,MATCH(C493,Stu_ID,0)),""))</f>
        <v/>
      </c>
      <c r="I493" s="107">
        <f>IF($J493="","",IFERROR(INDEX(Stu_Notes,MATCH(C493,Stu_ID,0)),""))</f>
        <v/>
      </c>
      <c r="J493" s="40">
        <f>IF(488&gt;$B$3,"",IFERROR(MATCH(488-1,EV_Seq,1)+1,1))</f>
        <v/>
      </c>
    </row>
    <row r="494">
      <c r="A494" s="105">
        <f>IF($J494="","",INDEX(EV_Date,$J494))</f>
        <v/>
      </c>
      <c r="B494" s="78">
        <f>IF($J494="","",INDEX(EV_Name,$J494))</f>
        <v/>
      </c>
      <c r="C494" s="106">
        <f>IF($J494="","",INDEX(EV_ID,$J494))</f>
        <v/>
      </c>
      <c r="D494" s="106">
        <f>IF($J494="","",INDEX(EV_Class,$J494))</f>
        <v/>
      </c>
      <c r="E494" s="106">
        <f>IF($J494="","",INDEX(EV_Type,$J494))</f>
        <v/>
      </c>
      <c r="F494" s="106">
        <f>IF($J494="","",INDEX(EV_Cum,$J494))</f>
        <v/>
      </c>
      <c r="G494" s="106">
        <f>IF($J494="","",INDEX(LevelLabels,MATCH(F494,LevelValues,1)))</f>
        <v/>
      </c>
      <c r="H494" s="106">
        <f>IF($J494="","",IFERROR(INDEX(Stu_ContactReq,MATCH(C494,Stu_ID,0)),""))</f>
        <v/>
      </c>
      <c r="I494" s="107">
        <f>IF($J494="","",IFERROR(INDEX(Stu_Notes,MATCH(C494,Stu_ID,0)),""))</f>
        <v/>
      </c>
      <c r="J494" s="40">
        <f>IF(489&gt;$B$3,"",IFERROR(MATCH(489-1,EV_Seq,1)+1,1))</f>
        <v/>
      </c>
    </row>
    <row r="495">
      <c r="A495" s="105">
        <f>IF($J495="","",INDEX(EV_Date,$J495))</f>
        <v/>
      </c>
      <c r="B495" s="78">
        <f>IF($J495="","",INDEX(EV_Name,$J495))</f>
        <v/>
      </c>
      <c r="C495" s="106">
        <f>IF($J495="","",INDEX(EV_ID,$J495))</f>
        <v/>
      </c>
      <c r="D495" s="106">
        <f>IF($J495="","",INDEX(EV_Class,$J495))</f>
        <v/>
      </c>
      <c r="E495" s="106">
        <f>IF($J495="","",INDEX(EV_Type,$J495))</f>
        <v/>
      </c>
      <c r="F495" s="106">
        <f>IF($J495="","",INDEX(EV_Cum,$J495))</f>
        <v/>
      </c>
      <c r="G495" s="106">
        <f>IF($J495="","",INDEX(LevelLabels,MATCH(F495,LevelValues,1)))</f>
        <v/>
      </c>
      <c r="H495" s="106">
        <f>IF($J495="","",IFERROR(INDEX(Stu_ContactReq,MATCH(C495,Stu_ID,0)),""))</f>
        <v/>
      </c>
      <c r="I495" s="107">
        <f>IF($J495="","",IFERROR(INDEX(Stu_Notes,MATCH(C495,Stu_ID,0)),""))</f>
        <v/>
      </c>
      <c r="J495" s="40">
        <f>IF(490&gt;$B$3,"",IFERROR(MATCH(490-1,EV_Seq,1)+1,1))</f>
        <v/>
      </c>
    </row>
    <row r="496">
      <c r="A496" s="105">
        <f>IF($J496="","",INDEX(EV_Date,$J496))</f>
        <v/>
      </c>
      <c r="B496" s="78">
        <f>IF($J496="","",INDEX(EV_Name,$J496))</f>
        <v/>
      </c>
      <c r="C496" s="106">
        <f>IF($J496="","",INDEX(EV_ID,$J496))</f>
        <v/>
      </c>
      <c r="D496" s="106">
        <f>IF($J496="","",INDEX(EV_Class,$J496))</f>
        <v/>
      </c>
      <c r="E496" s="106">
        <f>IF($J496="","",INDEX(EV_Type,$J496))</f>
        <v/>
      </c>
      <c r="F496" s="106">
        <f>IF($J496="","",INDEX(EV_Cum,$J496))</f>
        <v/>
      </c>
      <c r="G496" s="106">
        <f>IF($J496="","",INDEX(LevelLabels,MATCH(F496,LevelValues,1)))</f>
        <v/>
      </c>
      <c r="H496" s="106">
        <f>IF($J496="","",IFERROR(INDEX(Stu_ContactReq,MATCH(C496,Stu_ID,0)),""))</f>
        <v/>
      </c>
      <c r="I496" s="107">
        <f>IF($J496="","",IFERROR(INDEX(Stu_Notes,MATCH(C496,Stu_ID,0)),""))</f>
        <v/>
      </c>
      <c r="J496" s="40">
        <f>IF(491&gt;$B$3,"",IFERROR(MATCH(491-1,EV_Seq,1)+1,1))</f>
        <v/>
      </c>
    </row>
    <row r="497">
      <c r="A497" s="105">
        <f>IF($J497="","",INDEX(EV_Date,$J497))</f>
        <v/>
      </c>
      <c r="B497" s="78">
        <f>IF($J497="","",INDEX(EV_Name,$J497))</f>
        <v/>
      </c>
      <c r="C497" s="106">
        <f>IF($J497="","",INDEX(EV_ID,$J497))</f>
        <v/>
      </c>
      <c r="D497" s="106">
        <f>IF($J497="","",INDEX(EV_Class,$J497))</f>
        <v/>
      </c>
      <c r="E497" s="106">
        <f>IF($J497="","",INDEX(EV_Type,$J497))</f>
        <v/>
      </c>
      <c r="F497" s="106">
        <f>IF($J497="","",INDEX(EV_Cum,$J497))</f>
        <v/>
      </c>
      <c r="G497" s="106">
        <f>IF($J497="","",INDEX(LevelLabels,MATCH(F497,LevelValues,1)))</f>
        <v/>
      </c>
      <c r="H497" s="106">
        <f>IF($J497="","",IFERROR(INDEX(Stu_ContactReq,MATCH(C497,Stu_ID,0)),""))</f>
        <v/>
      </c>
      <c r="I497" s="107">
        <f>IF($J497="","",IFERROR(INDEX(Stu_Notes,MATCH(C497,Stu_ID,0)),""))</f>
        <v/>
      </c>
      <c r="J497" s="40">
        <f>IF(492&gt;$B$3,"",IFERROR(MATCH(492-1,EV_Seq,1)+1,1))</f>
        <v/>
      </c>
    </row>
    <row r="498">
      <c r="A498" s="105">
        <f>IF($J498="","",INDEX(EV_Date,$J498))</f>
        <v/>
      </c>
      <c r="B498" s="78">
        <f>IF($J498="","",INDEX(EV_Name,$J498))</f>
        <v/>
      </c>
      <c r="C498" s="106">
        <f>IF($J498="","",INDEX(EV_ID,$J498))</f>
        <v/>
      </c>
      <c r="D498" s="106">
        <f>IF($J498="","",INDEX(EV_Class,$J498))</f>
        <v/>
      </c>
      <c r="E498" s="106">
        <f>IF($J498="","",INDEX(EV_Type,$J498))</f>
        <v/>
      </c>
      <c r="F498" s="106">
        <f>IF($J498="","",INDEX(EV_Cum,$J498))</f>
        <v/>
      </c>
      <c r="G498" s="106">
        <f>IF($J498="","",INDEX(LevelLabels,MATCH(F498,LevelValues,1)))</f>
        <v/>
      </c>
      <c r="H498" s="106">
        <f>IF($J498="","",IFERROR(INDEX(Stu_ContactReq,MATCH(C498,Stu_ID,0)),""))</f>
        <v/>
      </c>
      <c r="I498" s="107">
        <f>IF($J498="","",IFERROR(INDEX(Stu_Notes,MATCH(C498,Stu_ID,0)),""))</f>
        <v/>
      </c>
      <c r="J498" s="40">
        <f>IF(493&gt;$B$3,"",IFERROR(MATCH(493-1,EV_Seq,1)+1,1))</f>
        <v/>
      </c>
    </row>
    <row r="499">
      <c r="A499" s="105">
        <f>IF($J499="","",INDEX(EV_Date,$J499))</f>
        <v/>
      </c>
      <c r="B499" s="78">
        <f>IF($J499="","",INDEX(EV_Name,$J499))</f>
        <v/>
      </c>
      <c r="C499" s="106">
        <f>IF($J499="","",INDEX(EV_ID,$J499))</f>
        <v/>
      </c>
      <c r="D499" s="106">
        <f>IF($J499="","",INDEX(EV_Class,$J499))</f>
        <v/>
      </c>
      <c r="E499" s="106">
        <f>IF($J499="","",INDEX(EV_Type,$J499))</f>
        <v/>
      </c>
      <c r="F499" s="106">
        <f>IF($J499="","",INDEX(EV_Cum,$J499))</f>
        <v/>
      </c>
      <c r="G499" s="106">
        <f>IF($J499="","",INDEX(LevelLabels,MATCH(F499,LevelValues,1)))</f>
        <v/>
      </c>
      <c r="H499" s="106">
        <f>IF($J499="","",IFERROR(INDEX(Stu_ContactReq,MATCH(C499,Stu_ID,0)),""))</f>
        <v/>
      </c>
      <c r="I499" s="107">
        <f>IF($J499="","",IFERROR(INDEX(Stu_Notes,MATCH(C499,Stu_ID,0)),""))</f>
        <v/>
      </c>
      <c r="J499" s="40">
        <f>IF(494&gt;$B$3,"",IFERROR(MATCH(494-1,EV_Seq,1)+1,1))</f>
        <v/>
      </c>
    </row>
    <row r="500">
      <c r="A500" s="105">
        <f>IF($J500="","",INDEX(EV_Date,$J500))</f>
        <v/>
      </c>
      <c r="B500" s="78">
        <f>IF($J500="","",INDEX(EV_Name,$J500))</f>
        <v/>
      </c>
      <c r="C500" s="106">
        <f>IF($J500="","",INDEX(EV_ID,$J500))</f>
        <v/>
      </c>
      <c r="D500" s="106">
        <f>IF($J500="","",INDEX(EV_Class,$J500))</f>
        <v/>
      </c>
      <c r="E500" s="106">
        <f>IF($J500="","",INDEX(EV_Type,$J500))</f>
        <v/>
      </c>
      <c r="F500" s="106">
        <f>IF($J500="","",INDEX(EV_Cum,$J500))</f>
        <v/>
      </c>
      <c r="G500" s="106">
        <f>IF($J500="","",INDEX(LevelLabels,MATCH(F500,LevelValues,1)))</f>
        <v/>
      </c>
      <c r="H500" s="106">
        <f>IF($J500="","",IFERROR(INDEX(Stu_ContactReq,MATCH(C500,Stu_ID,0)),""))</f>
        <v/>
      </c>
      <c r="I500" s="107">
        <f>IF($J500="","",IFERROR(INDEX(Stu_Notes,MATCH(C500,Stu_ID,0)),""))</f>
        <v/>
      </c>
      <c r="J500" s="40">
        <f>IF(495&gt;$B$3,"",IFERROR(MATCH(495-1,EV_Seq,1)+1,1))</f>
        <v/>
      </c>
    </row>
    <row r="501">
      <c r="A501" s="105">
        <f>IF($J501="","",INDEX(EV_Date,$J501))</f>
        <v/>
      </c>
      <c r="B501" s="78">
        <f>IF($J501="","",INDEX(EV_Name,$J501))</f>
        <v/>
      </c>
      <c r="C501" s="106">
        <f>IF($J501="","",INDEX(EV_ID,$J501))</f>
        <v/>
      </c>
      <c r="D501" s="106">
        <f>IF($J501="","",INDEX(EV_Class,$J501))</f>
        <v/>
      </c>
      <c r="E501" s="106">
        <f>IF($J501="","",INDEX(EV_Type,$J501))</f>
        <v/>
      </c>
      <c r="F501" s="106">
        <f>IF($J501="","",INDEX(EV_Cum,$J501))</f>
        <v/>
      </c>
      <c r="G501" s="106">
        <f>IF($J501="","",INDEX(LevelLabels,MATCH(F501,LevelValues,1)))</f>
        <v/>
      </c>
      <c r="H501" s="106">
        <f>IF($J501="","",IFERROR(INDEX(Stu_ContactReq,MATCH(C501,Stu_ID,0)),""))</f>
        <v/>
      </c>
      <c r="I501" s="107">
        <f>IF($J501="","",IFERROR(INDEX(Stu_Notes,MATCH(C501,Stu_ID,0)),""))</f>
        <v/>
      </c>
      <c r="J501" s="40">
        <f>IF(496&gt;$B$3,"",IFERROR(MATCH(496-1,EV_Seq,1)+1,1))</f>
        <v/>
      </c>
    </row>
    <row r="502">
      <c r="A502" s="105">
        <f>IF($J502="","",INDEX(EV_Date,$J502))</f>
        <v/>
      </c>
      <c r="B502" s="78">
        <f>IF($J502="","",INDEX(EV_Name,$J502))</f>
        <v/>
      </c>
      <c r="C502" s="106">
        <f>IF($J502="","",INDEX(EV_ID,$J502))</f>
        <v/>
      </c>
      <c r="D502" s="106">
        <f>IF($J502="","",INDEX(EV_Class,$J502))</f>
        <v/>
      </c>
      <c r="E502" s="106">
        <f>IF($J502="","",INDEX(EV_Type,$J502))</f>
        <v/>
      </c>
      <c r="F502" s="106">
        <f>IF($J502="","",INDEX(EV_Cum,$J502))</f>
        <v/>
      </c>
      <c r="G502" s="106">
        <f>IF($J502="","",INDEX(LevelLabels,MATCH(F502,LevelValues,1)))</f>
        <v/>
      </c>
      <c r="H502" s="106">
        <f>IF($J502="","",IFERROR(INDEX(Stu_ContactReq,MATCH(C502,Stu_ID,0)),""))</f>
        <v/>
      </c>
      <c r="I502" s="107">
        <f>IF($J502="","",IFERROR(INDEX(Stu_Notes,MATCH(C502,Stu_ID,0)),""))</f>
        <v/>
      </c>
      <c r="J502" s="40">
        <f>IF(497&gt;$B$3,"",IFERROR(MATCH(497-1,EV_Seq,1)+1,1))</f>
        <v/>
      </c>
    </row>
    <row r="503">
      <c r="A503" s="105">
        <f>IF($J503="","",INDEX(EV_Date,$J503))</f>
        <v/>
      </c>
      <c r="B503" s="78">
        <f>IF($J503="","",INDEX(EV_Name,$J503))</f>
        <v/>
      </c>
      <c r="C503" s="106">
        <f>IF($J503="","",INDEX(EV_ID,$J503))</f>
        <v/>
      </c>
      <c r="D503" s="106">
        <f>IF($J503="","",INDEX(EV_Class,$J503))</f>
        <v/>
      </c>
      <c r="E503" s="106">
        <f>IF($J503="","",INDEX(EV_Type,$J503))</f>
        <v/>
      </c>
      <c r="F503" s="106">
        <f>IF($J503="","",INDEX(EV_Cum,$J503))</f>
        <v/>
      </c>
      <c r="G503" s="106">
        <f>IF($J503="","",INDEX(LevelLabels,MATCH(F503,LevelValues,1)))</f>
        <v/>
      </c>
      <c r="H503" s="106">
        <f>IF($J503="","",IFERROR(INDEX(Stu_ContactReq,MATCH(C503,Stu_ID,0)),""))</f>
        <v/>
      </c>
      <c r="I503" s="107">
        <f>IF($J503="","",IFERROR(INDEX(Stu_Notes,MATCH(C503,Stu_ID,0)),""))</f>
        <v/>
      </c>
      <c r="J503" s="40">
        <f>IF(498&gt;$B$3,"",IFERROR(MATCH(498-1,EV_Seq,1)+1,1))</f>
        <v/>
      </c>
    </row>
    <row r="504">
      <c r="A504" s="105">
        <f>IF($J504="","",INDEX(EV_Date,$J504))</f>
        <v/>
      </c>
      <c r="B504" s="78">
        <f>IF($J504="","",INDEX(EV_Name,$J504))</f>
        <v/>
      </c>
      <c r="C504" s="106">
        <f>IF($J504="","",INDEX(EV_ID,$J504))</f>
        <v/>
      </c>
      <c r="D504" s="106">
        <f>IF($J504="","",INDEX(EV_Class,$J504))</f>
        <v/>
      </c>
      <c r="E504" s="106">
        <f>IF($J504="","",INDEX(EV_Type,$J504))</f>
        <v/>
      </c>
      <c r="F504" s="106">
        <f>IF($J504="","",INDEX(EV_Cum,$J504))</f>
        <v/>
      </c>
      <c r="G504" s="106">
        <f>IF($J504="","",INDEX(LevelLabels,MATCH(F504,LevelValues,1)))</f>
        <v/>
      </c>
      <c r="H504" s="106">
        <f>IF($J504="","",IFERROR(INDEX(Stu_ContactReq,MATCH(C504,Stu_ID,0)),""))</f>
        <v/>
      </c>
      <c r="I504" s="107">
        <f>IF($J504="","",IFERROR(INDEX(Stu_Notes,MATCH(C504,Stu_ID,0)),""))</f>
        <v/>
      </c>
      <c r="J504" s="40">
        <f>IF(499&gt;$B$3,"",IFERROR(MATCH(499-1,EV_Seq,1)+1,1))</f>
        <v/>
      </c>
    </row>
    <row r="505">
      <c r="A505" s="105">
        <f>IF($J505="","",INDEX(EV_Date,$J505))</f>
        <v/>
      </c>
      <c r="B505" s="78">
        <f>IF($J505="","",INDEX(EV_Name,$J505))</f>
        <v/>
      </c>
      <c r="C505" s="106">
        <f>IF($J505="","",INDEX(EV_ID,$J505))</f>
        <v/>
      </c>
      <c r="D505" s="106">
        <f>IF($J505="","",INDEX(EV_Class,$J505))</f>
        <v/>
      </c>
      <c r="E505" s="106">
        <f>IF($J505="","",INDEX(EV_Type,$J505))</f>
        <v/>
      </c>
      <c r="F505" s="106">
        <f>IF($J505="","",INDEX(EV_Cum,$J505))</f>
        <v/>
      </c>
      <c r="G505" s="106">
        <f>IF($J505="","",INDEX(LevelLabels,MATCH(F505,LevelValues,1)))</f>
        <v/>
      </c>
      <c r="H505" s="106">
        <f>IF($J505="","",IFERROR(INDEX(Stu_ContactReq,MATCH(C505,Stu_ID,0)),""))</f>
        <v/>
      </c>
      <c r="I505" s="107">
        <f>IF($J505="","",IFERROR(INDEX(Stu_Notes,MATCH(C505,Stu_ID,0)),""))</f>
        <v/>
      </c>
      <c r="J505" s="40">
        <f>IF(500&gt;$B$3,"",IFERROR(MATCH(500-1,EV_Seq,1)+1,1))</f>
        <v/>
      </c>
    </row>
    <row r="506">
      <c r="A506" s="105">
        <f>IF($J506="","",INDEX(EV_Date,$J506))</f>
        <v/>
      </c>
      <c r="B506" s="78">
        <f>IF($J506="","",INDEX(EV_Name,$J506))</f>
        <v/>
      </c>
      <c r="C506" s="106">
        <f>IF($J506="","",INDEX(EV_ID,$J506))</f>
        <v/>
      </c>
      <c r="D506" s="106">
        <f>IF($J506="","",INDEX(EV_Class,$J506))</f>
        <v/>
      </c>
      <c r="E506" s="106">
        <f>IF($J506="","",INDEX(EV_Type,$J506))</f>
        <v/>
      </c>
      <c r="F506" s="106">
        <f>IF($J506="","",INDEX(EV_Cum,$J506))</f>
        <v/>
      </c>
      <c r="G506" s="106">
        <f>IF($J506="","",INDEX(LevelLabels,MATCH(F506,LevelValues,1)))</f>
        <v/>
      </c>
      <c r="H506" s="106">
        <f>IF($J506="","",IFERROR(INDEX(Stu_ContactReq,MATCH(C506,Stu_ID,0)),""))</f>
        <v/>
      </c>
      <c r="I506" s="107">
        <f>IF($J506="","",IFERROR(INDEX(Stu_Notes,MATCH(C506,Stu_ID,0)),""))</f>
        <v/>
      </c>
      <c r="J506" s="40">
        <f>IF(501&gt;$B$3,"",IFERROR(MATCH(501-1,EV_Seq,1)+1,1))</f>
        <v/>
      </c>
    </row>
    <row r="507">
      <c r="A507" s="105">
        <f>IF($J507="","",INDEX(EV_Date,$J507))</f>
        <v/>
      </c>
      <c r="B507" s="78">
        <f>IF($J507="","",INDEX(EV_Name,$J507))</f>
        <v/>
      </c>
      <c r="C507" s="106">
        <f>IF($J507="","",INDEX(EV_ID,$J507))</f>
        <v/>
      </c>
      <c r="D507" s="106">
        <f>IF($J507="","",INDEX(EV_Class,$J507))</f>
        <v/>
      </c>
      <c r="E507" s="106">
        <f>IF($J507="","",INDEX(EV_Type,$J507))</f>
        <v/>
      </c>
      <c r="F507" s="106">
        <f>IF($J507="","",INDEX(EV_Cum,$J507))</f>
        <v/>
      </c>
      <c r="G507" s="106">
        <f>IF($J507="","",INDEX(LevelLabels,MATCH(F507,LevelValues,1)))</f>
        <v/>
      </c>
      <c r="H507" s="106">
        <f>IF($J507="","",IFERROR(INDEX(Stu_ContactReq,MATCH(C507,Stu_ID,0)),""))</f>
        <v/>
      </c>
      <c r="I507" s="107">
        <f>IF($J507="","",IFERROR(INDEX(Stu_Notes,MATCH(C507,Stu_ID,0)),""))</f>
        <v/>
      </c>
      <c r="J507" s="40">
        <f>IF(502&gt;$B$3,"",IFERROR(MATCH(502-1,EV_Seq,1)+1,1))</f>
        <v/>
      </c>
    </row>
    <row r="508">
      <c r="A508" s="105">
        <f>IF($J508="","",INDEX(EV_Date,$J508))</f>
        <v/>
      </c>
      <c r="B508" s="78">
        <f>IF($J508="","",INDEX(EV_Name,$J508))</f>
        <v/>
      </c>
      <c r="C508" s="106">
        <f>IF($J508="","",INDEX(EV_ID,$J508))</f>
        <v/>
      </c>
      <c r="D508" s="106">
        <f>IF($J508="","",INDEX(EV_Class,$J508))</f>
        <v/>
      </c>
      <c r="E508" s="106">
        <f>IF($J508="","",INDEX(EV_Type,$J508))</f>
        <v/>
      </c>
      <c r="F508" s="106">
        <f>IF($J508="","",INDEX(EV_Cum,$J508))</f>
        <v/>
      </c>
      <c r="G508" s="106">
        <f>IF($J508="","",INDEX(LevelLabels,MATCH(F508,LevelValues,1)))</f>
        <v/>
      </c>
      <c r="H508" s="106">
        <f>IF($J508="","",IFERROR(INDEX(Stu_ContactReq,MATCH(C508,Stu_ID,0)),""))</f>
        <v/>
      </c>
      <c r="I508" s="107">
        <f>IF($J508="","",IFERROR(INDEX(Stu_Notes,MATCH(C508,Stu_ID,0)),""))</f>
        <v/>
      </c>
      <c r="J508" s="40">
        <f>IF(503&gt;$B$3,"",IFERROR(MATCH(503-1,EV_Seq,1)+1,1))</f>
        <v/>
      </c>
    </row>
    <row r="509">
      <c r="A509" s="105">
        <f>IF($J509="","",INDEX(EV_Date,$J509))</f>
        <v/>
      </c>
      <c r="B509" s="78">
        <f>IF($J509="","",INDEX(EV_Name,$J509))</f>
        <v/>
      </c>
      <c r="C509" s="106">
        <f>IF($J509="","",INDEX(EV_ID,$J509))</f>
        <v/>
      </c>
      <c r="D509" s="106">
        <f>IF($J509="","",INDEX(EV_Class,$J509))</f>
        <v/>
      </c>
      <c r="E509" s="106">
        <f>IF($J509="","",INDEX(EV_Type,$J509))</f>
        <v/>
      </c>
      <c r="F509" s="106">
        <f>IF($J509="","",INDEX(EV_Cum,$J509))</f>
        <v/>
      </c>
      <c r="G509" s="106">
        <f>IF($J509="","",INDEX(LevelLabels,MATCH(F509,LevelValues,1)))</f>
        <v/>
      </c>
      <c r="H509" s="106">
        <f>IF($J509="","",IFERROR(INDEX(Stu_ContactReq,MATCH(C509,Stu_ID,0)),""))</f>
        <v/>
      </c>
      <c r="I509" s="107">
        <f>IF($J509="","",IFERROR(INDEX(Stu_Notes,MATCH(C509,Stu_ID,0)),""))</f>
        <v/>
      </c>
      <c r="J509" s="40">
        <f>IF(504&gt;$B$3,"",IFERROR(MATCH(504-1,EV_Seq,1)+1,1))</f>
        <v/>
      </c>
    </row>
    <row r="510">
      <c r="A510" s="105">
        <f>IF($J510="","",INDEX(EV_Date,$J510))</f>
        <v/>
      </c>
      <c r="B510" s="78">
        <f>IF($J510="","",INDEX(EV_Name,$J510))</f>
        <v/>
      </c>
      <c r="C510" s="106">
        <f>IF($J510="","",INDEX(EV_ID,$J510))</f>
        <v/>
      </c>
      <c r="D510" s="106">
        <f>IF($J510="","",INDEX(EV_Class,$J510))</f>
        <v/>
      </c>
      <c r="E510" s="106">
        <f>IF($J510="","",INDEX(EV_Type,$J510))</f>
        <v/>
      </c>
      <c r="F510" s="106">
        <f>IF($J510="","",INDEX(EV_Cum,$J510))</f>
        <v/>
      </c>
      <c r="G510" s="106">
        <f>IF($J510="","",INDEX(LevelLabels,MATCH(F510,LevelValues,1)))</f>
        <v/>
      </c>
      <c r="H510" s="106">
        <f>IF($J510="","",IFERROR(INDEX(Stu_ContactReq,MATCH(C510,Stu_ID,0)),""))</f>
        <v/>
      </c>
      <c r="I510" s="107">
        <f>IF($J510="","",IFERROR(INDEX(Stu_Notes,MATCH(C510,Stu_ID,0)),""))</f>
        <v/>
      </c>
      <c r="J510" s="40">
        <f>IF(505&gt;$B$3,"",IFERROR(MATCH(505-1,EV_Seq,1)+1,1))</f>
        <v/>
      </c>
    </row>
    <row r="511">
      <c r="A511" s="105">
        <f>IF($J511="","",INDEX(EV_Date,$J511))</f>
        <v/>
      </c>
      <c r="B511" s="78">
        <f>IF($J511="","",INDEX(EV_Name,$J511))</f>
        <v/>
      </c>
      <c r="C511" s="106">
        <f>IF($J511="","",INDEX(EV_ID,$J511))</f>
        <v/>
      </c>
      <c r="D511" s="106">
        <f>IF($J511="","",INDEX(EV_Class,$J511))</f>
        <v/>
      </c>
      <c r="E511" s="106">
        <f>IF($J511="","",INDEX(EV_Type,$J511))</f>
        <v/>
      </c>
      <c r="F511" s="106">
        <f>IF($J511="","",INDEX(EV_Cum,$J511))</f>
        <v/>
      </c>
      <c r="G511" s="106">
        <f>IF($J511="","",INDEX(LevelLabels,MATCH(F511,LevelValues,1)))</f>
        <v/>
      </c>
      <c r="H511" s="106">
        <f>IF($J511="","",IFERROR(INDEX(Stu_ContactReq,MATCH(C511,Stu_ID,0)),""))</f>
        <v/>
      </c>
      <c r="I511" s="107">
        <f>IF($J511="","",IFERROR(INDEX(Stu_Notes,MATCH(C511,Stu_ID,0)),""))</f>
        <v/>
      </c>
      <c r="J511" s="40">
        <f>IF(506&gt;$B$3,"",IFERROR(MATCH(506-1,EV_Seq,1)+1,1))</f>
        <v/>
      </c>
    </row>
    <row r="512">
      <c r="A512" s="105">
        <f>IF($J512="","",INDEX(EV_Date,$J512))</f>
        <v/>
      </c>
      <c r="B512" s="78">
        <f>IF($J512="","",INDEX(EV_Name,$J512))</f>
        <v/>
      </c>
      <c r="C512" s="106">
        <f>IF($J512="","",INDEX(EV_ID,$J512))</f>
        <v/>
      </c>
      <c r="D512" s="106">
        <f>IF($J512="","",INDEX(EV_Class,$J512))</f>
        <v/>
      </c>
      <c r="E512" s="106">
        <f>IF($J512="","",INDEX(EV_Type,$J512))</f>
        <v/>
      </c>
      <c r="F512" s="106">
        <f>IF($J512="","",INDEX(EV_Cum,$J512))</f>
        <v/>
      </c>
      <c r="G512" s="106">
        <f>IF($J512="","",INDEX(LevelLabels,MATCH(F512,LevelValues,1)))</f>
        <v/>
      </c>
      <c r="H512" s="106">
        <f>IF($J512="","",IFERROR(INDEX(Stu_ContactReq,MATCH(C512,Stu_ID,0)),""))</f>
        <v/>
      </c>
      <c r="I512" s="107">
        <f>IF($J512="","",IFERROR(INDEX(Stu_Notes,MATCH(C512,Stu_ID,0)),""))</f>
        <v/>
      </c>
      <c r="J512" s="40">
        <f>IF(507&gt;$B$3,"",IFERROR(MATCH(507-1,EV_Seq,1)+1,1))</f>
        <v/>
      </c>
    </row>
    <row r="513">
      <c r="A513" s="105">
        <f>IF($J513="","",INDEX(EV_Date,$J513))</f>
        <v/>
      </c>
      <c r="B513" s="78">
        <f>IF($J513="","",INDEX(EV_Name,$J513))</f>
        <v/>
      </c>
      <c r="C513" s="106">
        <f>IF($J513="","",INDEX(EV_ID,$J513))</f>
        <v/>
      </c>
      <c r="D513" s="106">
        <f>IF($J513="","",INDEX(EV_Class,$J513))</f>
        <v/>
      </c>
      <c r="E513" s="106">
        <f>IF($J513="","",INDEX(EV_Type,$J513))</f>
        <v/>
      </c>
      <c r="F513" s="106">
        <f>IF($J513="","",INDEX(EV_Cum,$J513))</f>
        <v/>
      </c>
      <c r="G513" s="106">
        <f>IF($J513="","",INDEX(LevelLabels,MATCH(F513,LevelValues,1)))</f>
        <v/>
      </c>
      <c r="H513" s="106">
        <f>IF($J513="","",IFERROR(INDEX(Stu_ContactReq,MATCH(C513,Stu_ID,0)),""))</f>
        <v/>
      </c>
      <c r="I513" s="107">
        <f>IF($J513="","",IFERROR(INDEX(Stu_Notes,MATCH(C513,Stu_ID,0)),""))</f>
        <v/>
      </c>
      <c r="J513" s="40">
        <f>IF(508&gt;$B$3,"",IFERROR(MATCH(508-1,EV_Seq,1)+1,1))</f>
        <v/>
      </c>
    </row>
    <row r="514">
      <c r="A514" s="105">
        <f>IF($J514="","",INDEX(EV_Date,$J514))</f>
        <v/>
      </c>
      <c r="B514" s="78">
        <f>IF($J514="","",INDEX(EV_Name,$J514))</f>
        <v/>
      </c>
      <c r="C514" s="106">
        <f>IF($J514="","",INDEX(EV_ID,$J514))</f>
        <v/>
      </c>
      <c r="D514" s="106">
        <f>IF($J514="","",INDEX(EV_Class,$J514))</f>
        <v/>
      </c>
      <c r="E514" s="106">
        <f>IF($J514="","",INDEX(EV_Type,$J514))</f>
        <v/>
      </c>
      <c r="F514" s="106">
        <f>IF($J514="","",INDEX(EV_Cum,$J514))</f>
        <v/>
      </c>
      <c r="G514" s="106">
        <f>IF($J514="","",INDEX(LevelLabels,MATCH(F514,LevelValues,1)))</f>
        <v/>
      </c>
      <c r="H514" s="106">
        <f>IF($J514="","",IFERROR(INDEX(Stu_ContactReq,MATCH(C514,Stu_ID,0)),""))</f>
        <v/>
      </c>
      <c r="I514" s="107">
        <f>IF($J514="","",IFERROR(INDEX(Stu_Notes,MATCH(C514,Stu_ID,0)),""))</f>
        <v/>
      </c>
      <c r="J514" s="40">
        <f>IF(509&gt;$B$3,"",IFERROR(MATCH(509-1,EV_Seq,1)+1,1))</f>
        <v/>
      </c>
    </row>
    <row r="515">
      <c r="A515" s="105">
        <f>IF($J515="","",INDEX(EV_Date,$J515))</f>
        <v/>
      </c>
      <c r="B515" s="78">
        <f>IF($J515="","",INDEX(EV_Name,$J515))</f>
        <v/>
      </c>
      <c r="C515" s="106">
        <f>IF($J515="","",INDEX(EV_ID,$J515))</f>
        <v/>
      </c>
      <c r="D515" s="106">
        <f>IF($J515="","",INDEX(EV_Class,$J515))</f>
        <v/>
      </c>
      <c r="E515" s="106">
        <f>IF($J515="","",INDEX(EV_Type,$J515))</f>
        <v/>
      </c>
      <c r="F515" s="106">
        <f>IF($J515="","",INDEX(EV_Cum,$J515))</f>
        <v/>
      </c>
      <c r="G515" s="106">
        <f>IF($J515="","",INDEX(LevelLabels,MATCH(F515,LevelValues,1)))</f>
        <v/>
      </c>
      <c r="H515" s="106">
        <f>IF($J515="","",IFERROR(INDEX(Stu_ContactReq,MATCH(C515,Stu_ID,0)),""))</f>
        <v/>
      </c>
      <c r="I515" s="107">
        <f>IF($J515="","",IFERROR(INDEX(Stu_Notes,MATCH(C515,Stu_ID,0)),""))</f>
        <v/>
      </c>
      <c r="J515" s="40">
        <f>IF(510&gt;$B$3,"",IFERROR(MATCH(510-1,EV_Seq,1)+1,1))</f>
        <v/>
      </c>
    </row>
    <row r="516">
      <c r="A516" s="105">
        <f>IF($J516="","",INDEX(EV_Date,$J516))</f>
        <v/>
      </c>
      <c r="B516" s="78">
        <f>IF($J516="","",INDEX(EV_Name,$J516))</f>
        <v/>
      </c>
      <c r="C516" s="106">
        <f>IF($J516="","",INDEX(EV_ID,$J516))</f>
        <v/>
      </c>
      <c r="D516" s="106">
        <f>IF($J516="","",INDEX(EV_Class,$J516))</f>
        <v/>
      </c>
      <c r="E516" s="106">
        <f>IF($J516="","",INDEX(EV_Type,$J516))</f>
        <v/>
      </c>
      <c r="F516" s="106">
        <f>IF($J516="","",INDEX(EV_Cum,$J516))</f>
        <v/>
      </c>
      <c r="G516" s="106">
        <f>IF($J516="","",INDEX(LevelLabels,MATCH(F516,LevelValues,1)))</f>
        <v/>
      </c>
      <c r="H516" s="106">
        <f>IF($J516="","",IFERROR(INDEX(Stu_ContactReq,MATCH(C516,Stu_ID,0)),""))</f>
        <v/>
      </c>
      <c r="I516" s="107">
        <f>IF($J516="","",IFERROR(INDEX(Stu_Notes,MATCH(C516,Stu_ID,0)),""))</f>
        <v/>
      </c>
      <c r="J516" s="40">
        <f>IF(511&gt;$B$3,"",IFERROR(MATCH(511-1,EV_Seq,1)+1,1))</f>
        <v/>
      </c>
    </row>
    <row r="517">
      <c r="A517" s="105">
        <f>IF($J517="","",INDEX(EV_Date,$J517))</f>
        <v/>
      </c>
      <c r="B517" s="78">
        <f>IF($J517="","",INDEX(EV_Name,$J517))</f>
        <v/>
      </c>
      <c r="C517" s="106">
        <f>IF($J517="","",INDEX(EV_ID,$J517))</f>
        <v/>
      </c>
      <c r="D517" s="106">
        <f>IF($J517="","",INDEX(EV_Class,$J517))</f>
        <v/>
      </c>
      <c r="E517" s="106">
        <f>IF($J517="","",INDEX(EV_Type,$J517))</f>
        <v/>
      </c>
      <c r="F517" s="106">
        <f>IF($J517="","",INDEX(EV_Cum,$J517))</f>
        <v/>
      </c>
      <c r="G517" s="106">
        <f>IF($J517="","",INDEX(LevelLabels,MATCH(F517,LevelValues,1)))</f>
        <v/>
      </c>
      <c r="H517" s="106">
        <f>IF($J517="","",IFERROR(INDEX(Stu_ContactReq,MATCH(C517,Stu_ID,0)),""))</f>
        <v/>
      </c>
      <c r="I517" s="107">
        <f>IF($J517="","",IFERROR(INDEX(Stu_Notes,MATCH(C517,Stu_ID,0)),""))</f>
        <v/>
      </c>
      <c r="J517" s="40">
        <f>IF(512&gt;$B$3,"",IFERROR(MATCH(512-1,EV_Seq,1)+1,1))</f>
        <v/>
      </c>
    </row>
    <row r="518">
      <c r="A518" s="105">
        <f>IF($J518="","",INDEX(EV_Date,$J518))</f>
        <v/>
      </c>
      <c r="B518" s="78">
        <f>IF($J518="","",INDEX(EV_Name,$J518))</f>
        <v/>
      </c>
      <c r="C518" s="106">
        <f>IF($J518="","",INDEX(EV_ID,$J518))</f>
        <v/>
      </c>
      <c r="D518" s="106">
        <f>IF($J518="","",INDEX(EV_Class,$J518))</f>
        <v/>
      </c>
      <c r="E518" s="106">
        <f>IF($J518="","",INDEX(EV_Type,$J518))</f>
        <v/>
      </c>
      <c r="F518" s="106">
        <f>IF($J518="","",INDEX(EV_Cum,$J518))</f>
        <v/>
      </c>
      <c r="G518" s="106">
        <f>IF($J518="","",INDEX(LevelLabels,MATCH(F518,LevelValues,1)))</f>
        <v/>
      </c>
      <c r="H518" s="106">
        <f>IF($J518="","",IFERROR(INDEX(Stu_ContactReq,MATCH(C518,Stu_ID,0)),""))</f>
        <v/>
      </c>
      <c r="I518" s="107">
        <f>IF($J518="","",IFERROR(INDEX(Stu_Notes,MATCH(C518,Stu_ID,0)),""))</f>
        <v/>
      </c>
      <c r="J518" s="40">
        <f>IF(513&gt;$B$3,"",IFERROR(MATCH(513-1,EV_Seq,1)+1,1))</f>
        <v/>
      </c>
    </row>
    <row r="519">
      <c r="A519" s="105">
        <f>IF($J519="","",INDEX(EV_Date,$J519))</f>
        <v/>
      </c>
      <c r="B519" s="78">
        <f>IF($J519="","",INDEX(EV_Name,$J519))</f>
        <v/>
      </c>
      <c r="C519" s="106">
        <f>IF($J519="","",INDEX(EV_ID,$J519))</f>
        <v/>
      </c>
      <c r="D519" s="106">
        <f>IF($J519="","",INDEX(EV_Class,$J519))</f>
        <v/>
      </c>
      <c r="E519" s="106">
        <f>IF($J519="","",INDEX(EV_Type,$J519))</f>
        <v/>
      </c>
      <c r="F519" s="106">
        <f>IF($J519="","",INDEX(EV_Cum,$J519))</f>
        <v/>
      </c>
      <c r="G519" s="106">
        <f>IF($J519="","",INDEX(LevelLabels,MATCH(F519,LevelValues,1)))</f>
        <v/>
      </c>
      <c r="H519" s="106">
        <f>IF($J519="","",IFERROR(INDEX(Stu_ContactReq,MATCH(C519,Stu_ID,0)),""))</f>
        <v/>
      </c>
      <c r="I519" s="107">
        <f>IF($J519="","",IFERROR(INDEX(Stu_Notes,MATCH(C519,Stu_ID,0)),""))</f>
        <v/>
      </c>
      <c r="J519" s="40">
        <f>IF(514&gt;$B$3,"",IFERROR(MATCH(514-1,EV_Seq,1)+1,1))</f>
        <v/>
      </c>
    </row>
    <row r="520">
      <c r="A520" s="105">
        <f>IF($J520="","",INDEX(EV_Date,$J520))</f>
        <v/>
      </c>
      <c r="B520" s="78">
        <f>IF($J520="","",INDEX(EV_Name,$J520))</f>
        <v/>
      </c>
      <c r="C520" s="106">
        <f>IF($J520="","",INDEX(EV_ID,$J520))</f>
        <v/>
      </c>
      <c r="D520" s="106">
        <f>IF($J520="","",INDEX(EV_Class,$J520))</f>
        <v/>
      </c>
      <c r="E520" s="106">
        <f>IF($J520="","",INDEX(EV_Type,$J520))</f>
        <v/>
      </c>
      <c r="F520" s="106">
        <f>IF($J520="","",INDEX(EV_Cum,$J520))</f>
        <v/>
      </c>
      <c r="G520" s="106">
        <f>IF($J520="","",INDEX(LevelLabels,MATCH(F520,LevelValues,1)))</f>
        <v/>
      </c>
      <c r="H520" s="106">
        <f>IF($J520="","",IFERROR(INDEX(Stu_ContactReq,MATCH(C520,Stu_ID,0)),""))</f>
        <v/>
      </c>
      <c r="I520" s="107">
        <f>IF($J520="","",IFERROR(INDEX(Stu_Notes,MATCH(C520,Stu_ID,0)),""))</f>
        <v/>
      </c>
      <c r="J520" s="40">
        <f>IF(515&gt;$B$3,"",IFERROR(MATCH(515-1,EV_Seq,1)+1,1))</f>
        <v/>
      </c>
    </row>
    <row r="521">
      <c r="A521" s="105">
        <f>IF($J521="","",INDEX(EV_Date,$J521))</f>
        <v/>
      </c>
      <c r="B521" s="78">
        <f>IF($J521="","",INDEX(EV_Name,$J521))</f>
        <v/>
      </c>
      <c r="C521" s="106">
        <f>IF($J521="","",INDEX(EV_ID,$J521))</f>
        <v/>
      </c>
      <c r="D521" s="106">
        <f>IF($J521="","",INDEX(EV_Class,$J521))</f>
        <v/>
      </c>
      <c r="E521" s="106">
        <f>IF($J521="","",INDEX(EV_Type,$J521))</f>
        <v/>
      </c>
      <c r="F521" s="106">
        <f>IF($J521="","",INDEX(EV_Cum,$J521))</f>
        <v/>
      </c>
      <c r="G521" s="106">
        <f>IF($J521="","",INDEX(LevelLabels,MATCH(F521,LevelValues,1)))</f>
        <v/>
      </c>
      <c r="H521" s="106">
        <f>IF($J521="","",IFERROR(INDEX(Stu_ContactReq,MATCH(C521,Stu_ID,0)),""))</f>
        <v/>
      </c>
      <c r="I521" s="107">
        <f>IF($J521="","",IFERROR(INDEX(Stu_Notes,MATCH(C521,Stu_ID,0)),""))</f>
        <v/>
      </c>
      <c r="J521" s="40">
        <f>IF(516&gt;$B$3,"",IFERROR(MATCH(516-1,EV_Seq,1)+1,1))</f>
        <v/>
      </c>
    </row>
    <row r="522">
      <c r="A522" s="105">
        <f>IF($J522="","",INDEX(EV_Date,$J522))</f>
        <v/>
      </c>
      <c r="B522" s="78">
        <f>IF($J522="","",INDEX(EV_Name,$J522))</f>
        <v/>
      </c>
      <c r="C522" s="106">
        <f>IF($J522="","",INDEX(EV_ID,$J522))</f>
        <v/>
      </c>
      <c r="D522" s="106">
        <f>IF($J522="","",INDEX(EV_Class,$J522))</f>
        <v/>
      </c>
      <c r="E522" s="106">
        <f>IF($J522="","",INDEX(EV_Type,$J522))</f>
        <v/>
      </c>
      <c r="F522" s="106">
        <f>IF($J522="","",INDEX(EV_Cum,$J522))</f>
        <v/>
      </c>
      <c r="G522" s="106">
        <f>IF($J522="","",INDEX(LevelLabels,MATCH(F522,LevelValues,1)))</f>
        <v/>
      </c>
      <c r="H522" s="106">
        <f>IF($J522="","",IFERROR(INDEX(Stu_ContactReq,MATCH(C522,Stu_ID,0)),""))</f>
        <v/>
      </c>
      <c r="I522" s="107">
        <f>IF($J522="","",IFERROR(INDEX(Stu_Notes,MATCH(C522,Stu_ID,0)),""))</f>
        <v/>
      </c>
      <c r="J522" s="40">
        <f>IF(517&gt;$B$3,"",IFERROR(MATCH(517-1,EV_Seq,1)+1,1))</f>
        <v/>
      </c>
    </row>
    <row r="523">
      <c r="A523" s="105">
        <f>IF($J523="","",INDEX(EV_Date,$J523))</f>
        <v/>
      </c>
      <c r="B523" s="78">
        <f>IF($J523="","",INDEX(EV_Name,$J523))</f>
        <v/>
      </c>
      <c r="C523" s="106">
        <f>IF($J523="","",INDEX(EV_ID,$J523))</f>
        <v/>
      </c>
      <c r="D523" s="106">
        <f>IF($J523="","",INDEX(EV_Class,$J523))</f>
        <v/>
      </c>
      <c r="E523" s="106">
        <f>IF($J523="","",INDEX(EV_Type,$J523))</f>
        <v/>
      </c>
      <c r="F523" s="106">
        <f>IF($J523="","",INDEX(EV_Cum,$J523))</f>
        <v/>
      </c>
      <c r="G523" s="106">
        <f>IF($J523="","",INDEX(LevelLabels,MATCH(F523,LevelValues,1)))</f>
        <v/>
      </c>
      <c r="H523" s="106">
        <f>IF($J523="","",IFERROR(INDEX(Stu_ContactReq,MATCH(C523,Stu_ID,0)),""))</f>
        <v/>
      </c>
      <c r="I523" s="107">
        <f>IF($J523="","",IFERROR(INDEX(Stu_Notes,MATCH(C523,Stu_ID,0)),""))</f>
        <v/>
      </c>
      <c r="J523" s="40">
        <f>IF(518&gt;$B$3,"",IFERROR(MATCH(518-1,EV_Seq,1)+1,1))</f>
        <v/>
      </c>
    </row>
    <row r="524">
      <c r="A524" s="105">
        <f>IF($J524="","",INDEX(EV_Date,$J524))</f>
        <v/>
      </c>
      <c r="B524" s="78">
        <f>IF($J524="","",INDEX(EV_Name,$J524))</f>
        <v/>
      </c>
      <c r="C524" s="106">
        <f>IF($J524="","",INDEX(EV_ID,$J524))</f>
        <v/>
      </c>
      <c r="D524" s="106">
        <f>IF($J524="","",INDEX(EV_Class,$J524))</f>
        <v/>
      </c>
      <c r="E524" s="106">
        <f>IF($J524="","",INDEX(EV_Type,$J524))</f>
        <v/>
      </c>
      <c r="F524" s="106">
        <f>IF($J524="","",INDEX(EV_Cum,$J524))</f>
        <v/>
      </c>
      <c r="G524" s="106">
        <f>IF($J524="","",INDEX(LevelLabels,MATCH(F524,LevelValues,1)))</f>
        <v/>
      </c>
      <c r="H524" s="106">
        <f>IF($J524="","",IFERROR(INDEX(Stu_ContactReq,MATCH(C524,Stu_ID,0)),""))</f>
        <v/>
      </c>
      <c r="I524" s="107">
        <f>IF($J524="","",IFERROR(INDEX(Stu_Notes,MATCH(C524,Stu_ID,0)),""))</f>
        <v/>
      </c>
      <c r="J524" s="40">
        <f>IF(519&gt;$B$3,"",IFERROR(MATCH(519-1,EV_Seq,1)+1,1))</f>
        <v/>
      </c>
    </row>
    <row r="525">
      <c r="A525" s="105">
        <f>IF($J525="","",INDEX(EV_Date,$J525))</f>
        <v/>
      </c>
      <c r="B525" s="78">
        <f>IF($J525="","",INDEX(EV_Name,$J525))</f>
        <v/>
      </c>
      <c r="C525" s="106">
        <f>IF($J525="","",INDEX(EV_ID,$J525))</f>
        <v/>
      </c>
      <c r="D525" s="106">
        <f>IF($J525="","",INDEX(EV_Class,$J525))</f>
        <v/>
      </c>
      <c r="E525" s="106">
        <f>IF($J525="","",INDEX(EV_Type,$J525))</f>
        <v/>
      </c>
      <c r="F525" s="106">
        <f>IF($J525="","",INDEX(EV_Cum,$J525))</f>
        <v/>
      </c>
      <c r="G525" s="106">
        <f>IF($J525="","",INDEX(LevelLabels,MATCH(F525,LevelValues,1)))</f>
        <v/>
      </c>
      <c r="H525" s="106">
        <f>IF($J525="","",IFERROR(INDEX(Stu_ContactReq,MATCH(C525,Stu_ID,0)),""))</f>
        <v/>
      </c>
      <c r="I525" s="107">
        <f>IF($J525="","",IFERROR(INDEX(Stu_Notes,MATCH(C525,Stu_ID,0)),""))</f>
        <v/>
      </c>
      <c r="J525" s="40">
        <f>IF(520&gt;$B$3,"",IFERROR(MATCH(520-1,EV_Seq,1)+1,1))</f>
        <v/>
      </c>
    </row>
    <row r="526">
      <c r="A526" s="105">
        <f>IF($J526="","",INDEX(EV_Date,$J526))</f>
        <v/>
      </c>
      <c r="B526" s="78">
        <f>IF($J526="","",INDEX(EV_Name,$J526))</f>
        <v/>
      </c>
      <c r="C526" s="106">
        <f>IF($J526="","",INDEX(EV_ID,$J526))</f>
        <v/>
      </c>
      <c r="D526" s="106">
        <f>IF($J526="","",INDEX(EV_Class,$J526))</f>
        <v/>
      </c>
      <c r="E526" s="106">
        <f>IF($J526="","",INDEX(EV_Type,$J526))</f>
        <v/>
      </c>
      <c r="F526" s="106">
        <f>IF($J526="","",INDEX(EV_Cum,$J526))</f>
        <v/>
      </c>
      <c r="G526" s="106">
        <f>IF($J526="","",INDEX(LevelLabels,MATCH(F526,LevelValues,1)))</f>
        <v/>
      </c>
      <c r="H526" s="106">
        <f>IF($J526="","",IFERROR(INDEX(Stu_ContactReq,MATCH(C526,Stu_ID,0)),""))</f>
        <v/>
      </c>
      <c r="I526" s="107">
        <f>IF($J526="","",IFERROR(INDEX(Stu_Notes,MATCH(C526,Stu_ID,0)),""))</f>
        <v/>
      </c>
      <c r="J526" s="40">
        <f>IF(521&gt;$B$3,"",IFERROR(MATCH(521-1,EV_Seq,1)+1,1))</f>
        <v/>
      </c>
    </row>
    <row r="527">
      <c r="A527" s="105">
        <f>IF($J527="","",INDEX(EV_Date,$J527))</f>
        <v/>
      </c>
      <c r="B527" s="78">
        <f>IF($J527="","",INDEX(EV_Name,$J527))</f>
        <v/>
      </c>
      <c r="C527" s="106">
        <f>IF($J527="","",INDEX(EV_ID,$J527))</f>
        <v/>
      </c>
      <c r="D527" s="106">
        <f>IF($J527="","",INDEX(EV_Class,$J527))</f>
        <v/>
      </c>
      <c r="E527" s="106">
        <f>IF($J527="","",INDEX(EV_Type,$J527))</f>
        <v/>
      </c>
      <c r="F527" s="106">
        <f>IF($J527="","",INDEX(EV_Cum,$J527))</f>
        <v/>
      </c>
      <c r="G527" s="106">
        <f>IF($J527="","",INDEX(LevelLabels,MATCH(F527,LevelValues,1)))</f>
        <v/>
      </c>
      <c r="H527" s="106">
        <f>IF($J527="","",IFERROR(INDEX(Stu_ContactReq,MATCH(C527,Stu_ID,0)),""))</f>
        <v/>
      </c>
      <c r="I527" s="107">
        <f>IF($J527="","",IFERROR(INDEX(Stu_Notes,MATCH(C527,Stu_ID,0)),""))</f>
        <v/>
      </c>
      <c r="J527" s="40">
        <f>IF(522&gt;$B$3,"",IFERROR(MATCH(522-1,EV_Seq,1)+1,1))</f>
        <v/>
      </c>
    </row>
    <row r="528">
      <c r="A528" s="105">
        <f>IF($J528="","",INDEX(EV_Date,$J528))</f>
        <v/>
      </c>
      <c r="B528" s="78">
        <f>IF($J528="","",INDEX(EV_Name,$J528))</f>
        <v/>
      </c>
      <c r="C528" s="106">
        <f>IF($J528="","",INDEX(EV_ID,$J528))</f>
        <v/>
      </c>
      <c r="D528" s="106">
        <f>IF($J528="","",INDEX(EV_Class,$J528))</f>
        <v/>
      </c>
      <c r="E528" s="106">
        <f>IF($J528="","",INDEX(EV_Type,$J528))</f>
        <v/>
      </c>
      <c r="F528" s="106">
        <f>IF($J528="","",INDEX(EV_Cum,$J528))</f>
        <v/>
      </c>
      <c r="G528" s="106">
        <f>IF($J528="","",INDEX(LevelLabels,MATCH(F528,LevelValues,1)))</f>
        <v/>
      </c>
      <c r="H528" s="106">
        <f>IF($J528="","",IFERROR(INDEX(Stu_ContactReq,MATCH(C528,Stu_ID,0)),""))</f>
        <v/>
      </c>
      <c r="I528" s="107">
        <f>IF($J528="","",IFERROR(INDEX(Stu_Notes,MATCH(C528,Stu_ID,0)),""))</f>
        <v/>
      </c>
      <c r="J528" s="40">
        <f>IF(523&gt;$B$3,"",IFERROR(MATCH(523-1,EV_Seq,1)+1,1))</f>
        <v/>
      </c>
    </row>
    <row r="529">
      <c r="A529" s="105">
        <f>IF($J529="","",INDEX(EV_Date,$J529))</f>
        <v/>
      </c>
      <c r="B529" s="78">
        <f>IF($J529="","",INDEX(EV_Name,$J529))</f>
        <v/>
      </c>
      <c r="C529" s="106">
        <f>IF($J529="","",INDEX(EV_ID,$J529))</f>
        <v/>
      </c>
      <c r="D529" s="106">
        <f>IF($J529="","",INDEX(EV_Class,$J529))</f>
        <v/>
      </c>
      <c r="E529" s="106">
        <f>IF($J529="","",INDEX(EV_Type,$J529))</f>
        <v/>
      </c>
      <c r="F529" s="106">
        <f>IF($J529="","",INDEX(EV_Cum,$J529))</f>
        <v/>
      </c>
      <c r="G529" s="106">
        <f>IF($J529="","",INDEX(LevelLabels,MATCH(F529,LevelValues,1)))</f>
        <v/>
      </c>
      <c r="H529" s="106">
        <f>IF($J529="","",IFERROR(INDEX(Stu_ContactReq,MATCH(C529,Stu_ID,0)),""))</f>
        <v/>
      </c>
      <c r="I529" s="107">
        <f>IF($J529="","",IFERROR(INDEX(Stu_Notes,MATCH(C529,Stu_ID,0)),""))</f>
        <v/>
      </c>
      <c r="J529" s="40">
        <f>IF(524&gt;$B$3,"",IFERROR(MATCH(524-1,EV_Seq,1)+1,1))</f>
        <v/>
      </c>
    </row>
    <row r="530">
      <c r="A530" s="105">
        <f>IF($J530="","",INDEX(EV_Date,$J530))</f>
        <v/>
      </c>
      <c r="B530" s="78">
        <f>IF($J530="","",INDEX(EV_Name,$J530))</f>
        <v/>
      </c>
      <c r="C530" s="106">
        <f>IF($J530="","",INDEX(EV_ID,$J530))</f>
        <v/>
      </c>
      <c r="D530" s="106">
        <f>IF($J530="","",INDEX(EV_Class,$J530))</f>
        <v/>
      </c>
      <c r="E530" s="106">
        <f>IF($J530="","",INDEX(EV_Type,$J530))</f>
        <v/>
      </c>
      <c r="F530" s="106">
        <f>IF($J530="","",INDEX(EV_Cum,$J530))</f>
        <v/>
      </c>
      <c r="G530" s="106">
        <f>IF($J530="","",INDEX(LevelLabels,MATCH(F530,LevelValues,1)))</f>
        <v/>
      </c>
      <c r="H530" s="106">
        <f>IF($J530="","",IFERROR(INDEX(Stu_ContactReq,MATCH(C530,Stu_ID,0)),""))</f>
        <v/>
      </c>
      <c r="I530" s="107">
        <f>IF($J530="","",IFERROR(INDEX(Stu_Notes,MATCH(C530,Stu_ID,0)),""))</f>
        <v/>
      </c>
      <c r="J530" s="40">
        <f>IF(525&gt;$B$3,"",IFERROR(MATCH(525-1,EV_Seq,1)+1,1))</f>
        <v/>
      </c>
    </row>
    <row r="531">
      <c r="A531" s="105">
        <f>IF($J531="","",INDEX(EV_Date,$J531))</f>
        <v/>
      </c>
      <c r="B531" s="78">
        <f>IF($J531="","",INDEX(EV_Name,$J531))</f>
        <v/>
      </c>
      <c r="C531" s="106">
        <f>IF($J531="","",INDEX(EV_ID,$J531))</f>
        <v/>
      </c>
      <c r="D531" s="106">
        <f>IF($J531="","",INDEX(EV_Class,$J531))</f>
        <v/>
      </c>
      <c r="E531" s="106">
        <f>IF($J531="","",INDEX(EV_Type,$J531))</f>
        <v/>
      </c>
      <c r="F531" s="106">
        <f>IF($J531="","",INDEX(EV_Cum,$J531))</f>
        <v/>
      </c>
      <c r="G531" s="106">
        <f>IF($J531="","",INDEX(LevelLabels,MATCH(F531,LevelValues,1)))</f>
        <v/>
      </c>
      <c r="H531" s="106">
        <f>IF($J531="","",IFERROR(INDEX(Stu_ContactReq,MATCH(C531,Stu_ID,0)),""))</f>
        <v/>
      </c>
      <c r="I531" s="107">
        <f>IF($J531="","",IFERROR(INDEX(Stu_Notes,MATCH(C531,Stu_ID,0)),""))</f>
        <v/>
      </c>
      <c r="J531" s="40">
        <f>IF(526&gt;$B$3,"",IFERROR(MATCH(526-1,EV_Seq,1)+1,1))</f>
        <v/>
      </c>
    </row>
    <row r="532">
      <c r="A532" s="105">
        <f>IF($J532="","",INDEX(EV_Date,$J532))</f>
        <v/>
      </c>
      <c r="B532" s="78">
        <f>IF($J532="","",INDEX(EV_Name,$J532))</f>
        <v/>
      </c>
      <c r="C532" s="106">
        <f>IF($J532="","",INDEX(EV_ID,$J532))</f>
        <v/>
      </c>
      <c r="D532" s="106">
        <f>IF($J532="","",INDEX(EV_Class,$J532))</f>
        <v/>
      </c>
      <c r="E532" s="106">
        <f>IF($J532="","",INDEX(EV_Type,$J532))</f>
        <v/>
      </c>
      <c r="F532" s="106">
        <f>IF($J532="","",INDEX(EV_Cum,$J532))</f>
        <v/>
      </c>
      <c r="G532" s="106">
        <f>IF($J532="","",INDEX(LevelLabels,MATCH(F532,LevelValues,1)))</f>
        <v/>
      </c>
      <c r="H532" s="106">
        <f>IF($J532="","",IFERROR(INDEX(Stu_ContactReq,MATCH(C532,Stu_ID,0)),""))</f>
        <v/>
      </c>
      <c r="I532" s="107">
        <f>IF($J532="","",IFERROR(INDEX(Stu_Notes,MATCH(C532,Stu_ID,0)),""))</f>
        <v/>
      </c>
      <c r="J532" s="40">
        <f>IF(527&gt;$B$3,"",IFERROR(MATCH(527-1,EV_Seq,1)+1,1))</f>
        <v/>
      </c>
    </row>
    <row r="533">
      <c r="A533" s="105">
        <f>IF($J533="","",INDEX(EV_Date,$J533))</f>
        <v/>
      </c>
      <c r="B533" s="78">
        <f>IF($J533="","",INDEX(EV_Name,$J533))</f>
        <v/>
      </c>
      <c r="C533" s="106">
        <f>IF($J533="","",INDEX(EV_ID,$J533))</f>
        <v/>
      </c>
      <c r="D533" s="106">
        <f>IF($J533="","",INDEX(EV_Class,$J533))</f>
        <v/>
      </c>
      <c r="E533" s="106">
        <f>IF($J533="","",INDEX(EV_Type,$J533))</f>
        <v/>
      </c>
      <c r="F533" s="106">
        <f>IF($J533="","",INDEX(EV_Cum,$J533))</f>
        <v/>
      </c>
      <c r="G533" s="106">
        <f>IF($J533="","",INDEX(LevelLabels,MATCH(F533,LevelValues,1)))</f>
        <v/>
      </c>
      <c r="H533" s="106">
        <f>IF($J533="","",IFERROR(INDEX(Stu_ContactReq,MATCH(C533,Stu_ID,0)),""))</f>
        <v/>
      </c>
      <c r="I533" s="107">
        <f>IF($J533="","",IFERROR(INDEX(Stu_Notes,MATCH(C533,Stu_ID,0)),""))</f>
        <v/>
      </c>
      <c r="J533" s="40">
        <f>IF(528&gt;$B$3,"",IFERROR(MATCH(528-1,EV_Seq,1)+1,1))</f>
        <v/>
      </c>
    </row>
    <row r="534">
      <c r="A534" s="105">
        <f>IF($J534="","",INDEX(EV_Date,$J534))</f>
        <v/>
      </c>
      <c r="B534" s="78">
        <f>IF($J534="","",INDEX(EV_Name,$J534))</f>
        <v/>
      </c>
      <c r="C534" s="106">
        <f>IF($J534="","",INDEX(EV_ID,$J534))</f>
        <v/>
      </c>
      <c r="D534" s="106">
        <f>IF($J534="","",INDEX(EV_Class,$J534))</f>
        <v/>
      </c>
      <c r="E534" s="106">
        <f>IF($J534="","",INDEX(EV_Type,$J534))</f>
        <v/>
      </c>
      <c r="F534" s="106">
        <f>IF($J534="","",INDEX(EV_Cum,$J534))</f>
        <v/>
      </c>
      <c r="G534" s="106">
        <f>IF($J534="","",INDEX(LevelLabels,MATCH(F534,LevelValues,1)))</f>
        <v/>
      </c>
      <c r="H534" s="106">
        <f>IF($J534="","",IFERROR(INDEX(Stu_ContactReq,MATCH(C534,Stu_ID,0)),""))</f>
        <v/>
      </c>
      <c r="I534" s="107">
        <f>IF($J534="","",IFERROR(INDEX(Stu_Notes,MATCH(C534,Stu_ID,0)),""))</f>
        <v/>
      </c>
      <c r="J534" s="40">
        <f>IF(529&gt;$B$3,"",IFERROR(MATCH(529-1,EV_Seq,1)+1,1))</f>
        <v/>
      </c>
    </row>
    <row r="535">
      <c r="A535" s="105">
        <f>IF($J535="","",INDEX(EV_Date,$J535))</f>
        <v/>
      </c>
      <c r="B535" s="78">
        <f>IF($J535="","",INDEX(EV_Name,$J535))</f>
        <v/>
      </c>
      <c r="C535" s="106">
        <f>IF($J535="","",INDEX(EV_ID,$J535))</f>
        <v/>
      </c>
      <c r="D535" s="106">
        <f>IF($J535="","",INDEX(EV_Class,$J535))</f>
        <v/>
      </c>
      <c r="E535" s="106">
        <f>IF($J535="","",INDEX(EV_Type,$J535))</f>
        <v/>
      </c>
      <c r="F535" s="106">
        <f>IF($J535="","",INDEX(EV_Cum,$J535))</f>
        <v/>
      </c>
      <c r="G535" s="106">
        <f>IF($J535="","",INDEX(LevelLabels,MATCH(F535,LevelValues,1)))</f>
        <v/>
      </c>
      <c r="H535" s="106">
        <f>IF($J535="","",IFERROR(INDEX(Stu_ContactReq,MATCH(C535,Stu_ID,0)),""))</f>
        <v/>
      </c>
      <c r="I535" s="107">
        <f>IF($J535="","",IFERROR(INDEX(Stu_Notes,MATCH(C535,Stu_ID,0)),""))</f>
        <v/>
      </c>
      <c r="J535" s="40">
        <f>IF(530&gt;$B$3,"",IFERROR(MATCH(530-1,EV_Seq,1)+1,1))</f>
        <v/>
      </c>
    </row>
    <row r="536">
      <c r="A536" s="105">
        <f>IF($J536="","",INDEX(EV_Date,$J536))</f>
        <v/>
      </c>
      <c r="B536" s="78">
        <f>IF($J536="","",INDEX(EV_Name,$J536))</f>
        <v/>
      </c>
      <c r="C536" s="106">
        <f>IF($J536="","",INDEX(EV_ID,$J536))</f>
        <v/>
      </c>
      <c r="D536" s="106">
        <f>IF($J536="","",INDEX(EV_Class,$J536))</f>
        <v/>
      </c>
      <c r="E536" s="106">
        <f>IF($J536="","",INDEX(EV_Type,$J536))</f>
        <v/>
      </c>
      <c r="F536" s="106">
        <f>IF($J536="","",INDEX(EV_Cum,$J536))</f>
        <v/>
      </c>
      <c r="G536" s="106">
        <f>IF($J536="","",INDEX(LevelLabels,MATCH(F536,LevelValues,1)))</f>
        <v/>
      </c>
      <c r="H536" s="106">
        <f>IF($J536="","",IFERROR(INDEX(Stu_ContactReq,MATCH(C536,Stu_ID,0)),""))</f>
        <v/>
      </c>
      <c r="I536" s="107">
        <f>IF($J536="","",IFERROR(INDEX(Stu_Notes,MATCH(C536,Stu_ID,0)),""))</f>
        <v/>
      </c>
      <c r="J536" s="40">
        <f>IF(531&gt;$B$3,"",IFERROR(MATCH(531-1,EV_Seq,1)+1,1))</f>
        <v/>
      </c>
    </row>
    <row r="537">
      <c r="A537" s="105">
        <f>IF($J537="","",INDEX(EV_Date,$J537))</f>
        <v/>
      </c>
      <c r="B537" s="78">
        <f>IF($J537="","",INDEX(EV_Name,$J537))</f>
        <v/>
      </c>
      <c r="C537" s="106">
        <f>IF($J537="","",INDEX(EV_ID,$J537))</f>
        <v/>
      </c>
      <c r="D537" s="106">
        <f>IF($J537="","",INDEX(EV_Class,$J537))</f>
        <v/>
      </c>
      <c r="E537" s="106">
        <f>IF($J537="","",INDEX(EV_Type,$J537))</f>
        <v/>
      </c>
      <c r="F537" s="106">
        <f>IF($J537="","",INDEX(EV_Cum,$J537))</f>
        <v/>
      </c>
      <c r="G537" s="106">
        <f>IF($J537="","",INDEX(LevelLabels,MATCH(F537,LevelValues,1)))</f>
        <v/>
      </c>
      <c r="H537" s="106">
        <f>IF($J537="","",IFERROR(INDEX(Stu_ContactReq,MATCH(C537,Stu_ID,0)),""))</f>
        <v/>
      </c>
      <c r="I537" s="107">
        <f>IF($J537="","",IFERROR(INDEX(Stu_Notes,MATCH(C537,Stu_ID,0)),""))</f>
        <v/>
      </c>
      <c r="J537" s="40">
        <f>IF(532&gt;$B$3,"",IFERROR(MATCH(532-1,EV_Seq,1)+1,1))</f>
        <v/>
      </c>
    </row>
    <row r="538">
      <c r="A538" s="105">
        <f>IF($J538="","",INDEX(EV_Date,$J538))</f>
        <v/>
      </c>
      <c r="B538" s="78">
        <f>IF($J538="","",INDEX(EV_Name,$J538))</f>
        <v/>
      </c>
      <c r="C538" s="106">
        <f>IF($J538="","",INDEX(EV_ID,$J538))</f>
        <v/>
      </c>
      <c r="D538" s="106">
        <f>IF($J538="","",INDEX(EV_Class,$J538))</f>
        <v/>
      </c>
      <c r="E538" s="106">
        <f>IF($J538="","",INDEX(EV_Type,$J538))</f>
        <v/>
      </c>
      <c r="F538" s="106">
        <f>IF($J538="","",INDEX(EV_Cum,$J538))</f>
        <v/>
      </c>
      <c r="G538" s="106">
        <f>IF($J538="","",INDEX(LevelLabels,MATCH(F538,LevelValues,1)))</f>
        <v/>
      </c>
      <c r="H538" s="106">
        <f>IF($J538="","",IFERROR(INDEX(Stu_ContactReq,MATCH(C538,Stu_ID,0)),""))</f>
        <v/>
      </c>
      <c r="I538" s="107">
        <f>IF($J538="","",IFERROR(INDEX(Stu_Notes,MATCH(C538,Stu_ID,0)),""))</f>
        <v/>
      </c>
      <c r="J538" s="40">
        <f>IF(533&gt;$B$3,"",IFERROR(MATCH(533-1,EV_Seq,1)+1,1))</f>
        <v/>
      </c>
    </row>
    <row r="539">
      <c r="A539" s="105">
        <f>IF($J539="","",INDEX(EV_Date,$J539))</f>
        <v/>
      </c>
      <c r="B539" s="78">
        <f>IF($J539="","",INDEX(EV_Name,$J539))</f>
        <v/>
      </c>
      <c r="C539" s="106">
        <f>IF($J539="","",INDEX(EV_ID,$J539))</f>
        <v/>
      </c>
      <c r="D539" s="106">
        <f>IF($J539="","",INDEX(EV_Class,$J539))</f>
        <v/>
      </c>
      <c r="E539" s="106">
        <f>IF($J539="","",INDEX(EV_Type,$J539))</f>
        <v/>
      </c>
      <c r="F539" s="106">
        <f>IF($J539="","",INDEX(EV_Cum,$J539))</f>
        <v/>
      </c>
      <c r="G539" s="106">
        <f>IF($J539="","",INDEX(LevelLabels,MATCH(F539,LevelValues,1)))</f>
        <v/>
      </c>
      <c r="H539" s="106">
        <f>IF($J539="","",IFERROR(INDEX(Stu_ContactReq,MATCH(C539,Stu_ID,0)),""))</f>
        <v/>
      </c>
      <c r="I539" s="107">
        <f>IF($J539="","",IFERROR(INDEX(Stu_Notes,MATCH(C539,Stu_ID,0)),""))</f>
        <v/>
      </c>
      <c r="J539" s="40">
        <f>IF(534&gt;$B$3,"",IFERROR(MATCH(534-1,EV_Seq,1)+1,1))</f>
        <v/>
      </c>
    </row>
    <row r="540">
      <c r="A540" s="105">
        <f>IF($J540="","",INDEX(EV_Date,$J540))</f>
        <v/>
      </c>
      <c r="B540" s="78">
        <f>IF($J540="","",INDEX(EV_Name,$J540))</f>
        <v/>
      </c>
      <c r="C540" s="106">
        <f>IF($J540="","",INDEX(EV_ID,$J540))</f>
        <v/>
      </c>
      <c r="D540" s="106">
        <f>IF($J540="","",INDEX(EV_Class,$J540))</f>
        <v/>
      </c>
      <c r="E540" s="106">
        <f>IF($J540="","",INDEX(EV_Type,$J540))</f>
        <v/>
      </c>
      <c r="F540" s="106">
        <f>IF($J540="","",INDEX(EV_Cum,$J540))</f>
        <v/>
      </c>
      <c r="G540" s="106">
        <f>IF($J540="","",INDEX(LevelLabels,MATCH(F540,LevelValues,1)))</f>
        <v/>
      </c>
      <c r="H540" s="106">
        <f>IF($J540="","",IFERROR(INDEX(Stu_ContactReq,MATCH(C540,Stu_ID,0)),""))</f>
        <v/>
      </c>
      <c r="I540" s="107">
        <f>IF($J540="","",IFERROR(INDEX(Stu_Notes,MATCH(C540,Stu_ID,0)),""))</f>
        <v/>
      </c>
      <c r="J540" s="40">
        <f>IF(535&gt;$B$3,"",IFERROR(MATCH(535-1,EV_Seq,1)+1,1))</f>
        <v/>
      </c>
    </row>
    <row r="541">
      <c r="A541" s="105">
        <f>IF($J541="","",INDEX(EV_Date,$J541))</f>
        <v/>
      </c>
      <c r="B541" s="78">
        <f>IF($J541="","",INDEX(EV_Name,$J541))</f>
        <v/>
      </c>
      <c r="C541" s="106">
        <f>IF($J541="","",INDEX(EV_ID,$J541))</f>
        <v/>
      </c>
      <c r="D541" s="106">
        <f>IF($J541="","",INDEX(EV_Class,$J541))</f>
        <v/>
      </c>
      <c r="E541" s="106">
        <f>IF($J541="","",INDEX(EV_Type,$J541))</f>
        <v/>
      </c>
      <c r="F541" s="106">
        <f>IF($J541="","",INDEX(EV_Cum,$J541))</f>
        <v/>
      </c>
      <c r="G541" s="106">
        <f>IF($J541="","",INDEX(LevelLabels,MATCH(F541,LevelValues,1)))</f>
        <v/>
      </c>
      <c r="H541" s="106">
        <f>IF($J541="","",IFERROR(INDEX(Stu_ContactReq,MATCH(C541,Stu_ID,0)),""))</f>
        <v/>
      </c>
      <c r="I541" s="107">
        <f>IF($J541="","",IFERROR(INDEX(Stu_Notes,MATCH(C541,Stu_ID,0)),""))</f>
        <v/>
      </c>
      <c r="J541" s="40">
        <f>IF(536&gt;$B$3,"",IFERROR(MATCH(536-1,EV_Seq,1)+1,1))</f>
        <v/>
      </c>
    </row>
    <row r="542">
      <c r="A542" s="105">
        <f>IF($J542="","",INDEX(EV_Date,$J542))</f>
        <v/>
      </c>
      <c r="B542" s="78">
        <f>IF($J542="","",INDEX(EV_Name,$J542))</f>
        <v/>
      </c>
      <c r="C542" s="106">
        <f>IF($J542="","",INDEX(EV_ID,$J542))</f>
        <v/>
      </c>
      <c r="D542" s="106">
        <f>IF($J542="","",INDEX(EV_Class,$J542))</f>
        <v/>
      </c>
      <c r="E542" s="106">
        <f>IF($J542="","",INDEX(EV_Type,$J542))</f>
        <v/>
      </c>
      <c r="F542" s="106">
        <f>IF($J542="","",INDEX(EV_Cum,$J542))</f>
        <v/>
      </c>
      <c r="G542" s="106">
        <f>IF($J542="","",INDEX(LevelLabels,MATCH(F542,LevelValues,1)))</f>
        <v/>
      </c>
      <c r="H542" s="106">
        <f>IF($J542="","",IFERROR(INDEX(Stu_ContactReq,MATCH(C542,Stu_ID,0)),""))</f>
        <v/>
      </c>
      <c r="I542" s="107">
        <f>IF($J542="","",IFERROR(INDEX(Stu_Notes,MATCH(C542,Stu_ID,0)),""))</f>
        <v/>
      </c>
      <c r="J542" s="40">
        <f>IF(537&gt;$B$3,"",IFERROR(MATCH(537-1,EV_Seq,1)+1,1))</f>
        <v/>
      </c>
    </row>
    <row r="543">
      <c r="A543" s="105">
        <f>IF($J543="","",INDEX(EV_Date,$J543))</f>
        <v/>
      </c>
      <c r="B543" s="78">
        <f>IF($J543="","",INDEX(EV_Name,$J543))</f>
        <v/>
      </c>
      <c r="C543" s="106">
        <f>IF($J543="","",INDEX(EV_ID,$J543))</f>
        <v/>
      </c>
      <c r="D543" s="106">
        <f>IF($J543="","",INDEX(EV_Class,$J543))</f>
        <v/>
      </c>
      <c r="E543" s="106">
        <f>IF($J543="","",INDEX(EV_Type,$J543))</f>
        <v/>
      </c>
      <c r="F543" s="106">
        <f>IF($J543="","",INDEX(EV_Cum,$J543))</f>
        <v/>
      </c>
      <c r="G543" s="106">
        <f>IF($J543="","",INDEX(LevelLabels,MATCH(F543,LevelValues,1)))</f>
        <v/>
      </c>
      <c r="H543" s="106">
        <f>IF($J543="","",IFERROR(INDEX(Stu_ContactReq,MATCH(C543,Stu_ID,0)),""))</f>
        <v/>
      </c>
      <c r="I543" s="107">
        <f>IF($J543="","",IFERROR(INDEX(Stu_Notes,MATCH(C543,Stu_ID,0)),""))</f>
        <v/>
      </c>
      <c r="J543" s="40">
        <f>IF(538&gt;$B$3,"",IFERROR(MATCH(538-1,EV_Seq,1)+1,1))</f>
        <v/>
      </c>
    </row>
    <row r="544">
      <c r="A544" s="105">
        <f>IF($J544="","",INDEX(EV_Date,$J544))</f>
        <v/>
      </c>
      <c r="B544" s="78">
        <f>IF($J544="","",INDEX(EV_Name,$J544))</f>
        <v/>
      </c>
      <c r="C544" s="106">
        <f>IF($J544="","",INDEX(EV_ID,$J544))</f>
        <v/>
      </c>
      <c r="D544" s="106">
        <f>IF($J544="","",INDEX(EV_Class,$J544))</f>
        <v/>
      </c>
      <c r="E544" s="106">
        <f>IF($J544="","",INDEX(EV_Type,$J544))</f>
        <v/>
      </c>
      <c r="F544" s="106">
        <f>IF($J544="","",INDEX(EV_Cum,$J544))</f>
        <v/>
      </c>
      <c r="G544" s="106">
        <f>IF($J544="","",INDEX(LevelLabels,MATCH(F544,LevelValues,1)))</f>
        <v/>
      </c>
      <c r="H544" s="106">
        <f>IF($J544="","",IFERROR(INDEX(Stu_ContactReq,MATCH(C544,Stu_ID,0)),""))</f>
        <v/>
      </c>
      <c r="I544" s="107">
        <f>IF($J544="","",IFERROR(INDEX(Stu_Notes,MATCH(C544,Stu_ID,0)),""))</f>
        <v/>
      </c>
      <c r="J544" s="40">
        <f>IF(539&gt;$B$3,"",IFERROR(MATCH(539-1,EV_Seq,1)+1,1))</f>
        <v/>
      </c>
    </row>
    <row r="545">
      <c r="A545" s="105">
        <f>IF($J545="","",INDEX(EV_Date,$J545))</f>
        <v/>
      </c>
      <c r="B545" s="78">
        <f>IF($J545="","",INDEX(EV_Name,$J545))</f>
        <v/>
      </c>
      <c r="C545" s="106">
        <f>IF($J545="","",INDEX(EV_ID,$J545))</f>
        <v/>
      </c>
      <c r="D545" s="106">
        <f>IF($J545="","",INDEX(EV_Class,$J545))</f>
        <v/>
      </c>
      <c r="E545" s="106">
        <f>IF($J545="","",INDEX(EV_Type,$J545))</f>
        <v/>
      </c>
      <c r="F545" s="106">
        <f>IF($J545="","",INDEX(EV_Cum,$J545))</f>
        <v/>
      </c>
      <c r="G545" s="106">
        <f>IF($J545="","",INDEX(LevelLabels,MATCH(F545,LevelValues,1)))</f>
        <v/>
      </c>
      <c r="H545" s="106">
        <f>IF($J545="","",IFERROR(INDEX(Stu_ContactReq,MATCH(C545,Stu_ID,0)),""))</f>
        <v/>
      </c>
      <c r="I545" s="107">
        <f>IF($J545="","",IFERROR(INDEX(Stu_Notes,MATCH(C545,Stu_ID,0)),""))</f>
        <v/>
      </c>
      <c r="J545" s="40">
        <f>IF(540&gt;$B$3,"",IFERROR(MATCH(540-1,EV_Seq,1)+1,1))</f>
        <v/>
      </c>
    </row>
    <row r="546">
      <c r="A546" s="105">
        <f>IF($J546="","",INDEX(EV_Date,$J546))</f>
        <v/>
      </c>
      <c r="B546" s="78">
        <f>IF($J546="","",INDEX(EV_Name,$J546))</f>
        <v/>
      </c>
      <c r="C546" s="106">
        <f>IF($J546="","",INDEX(EV_ID,$J546))</f>
        <v/>
      </c>
      <c r="D546" s="106">
        <f>IF($J546="","",INDEX(EV_Class,$J546))</f>
        <v/>
      </c>
      <c r="E546" s="106">
        <f>IF($J546="","",INDEX(EV_Type,$J546))</f>
        <v/>
      </c>
      <c r="F546" s="106">
        <f>IF($J546="","",INDEX(EV_Cum,$J546))</f>
        <v/>
      </c>
      <c r="G546" s="106">
        <f>IF($J546="","",INDEX(LevelLabels,MATCH(F546,LevelValues,1)))</f>
        <v/>
      </c>
      <c r="H546" s="106">
        <f>IF($J546="","",IFERROR(INDEX(Stu_ContactReq,MATCH(C546,Stu_ID,0)),""))</f>
        <v/>
      </c>
      <c r="I546" s="107">
        <f>IF($J546="","",IFERROR(INDEX(Stu_Notes,MATCH(C546,Stu_ID,0)),""))</f>
        <v/>
      </c>
      <c r="J546" s="40">
        <f>IF(541&gt;$B$3,"",IFERROR(MATCH(541-1,EV_Seq,1)+1,1))</f>
        <v/>
      </c>
    </row>
    <row r="547">
      <c r="A547" s="105">
        <f>IF($J547="","",INDEX(EV_Date,$J547))</f>
        <v/>
      </c>
      <c r="B547" s="78">
        <f>IF($J547="","",INDEX(EV_Name,$J547))</f>
        <v/>
      </c>
      <c r="C547" s="106">
        <f>IF($J547="","",INDEX(EV_ID,$J547))</f>
        <v/>
      </c>
      <c r="D547" s="106">
        <f>IF($J547="","",INDEX(EV_Class,$J547))</f>
        <v/>
      </c>
      <c r="E547" s="106">
        <f>IF($J547="","",INDEX(EV_Type,$J547))</f>
        <v/>
      </c>
      <c r="F547" s="106">
        <f>IF($J547="","",INDEX(EV_Cum,$J547))</f>
        <v/>
      </c>
      <c r="G547" s="106">
        <f>IF($J547="","",INDEX(LevelLabels,MATCH(F547,LevelValues,1)))</f>
        <v/>
      </c>
      <c r="H547" s="106">
        <f>IF($J547="","",IFERROR(INDEX(Stu_ContactReq,MATCH(C547,Stu_ID,0)),""))</f>
        <v/>
      </c>
      <c r="I547" s="107">
        <f>IF($J547="","",IFERROR(INDEX(Stu_Notes,MATCH(C547,Stu_ID,0)),""))</f>
        <v/>
      </c>
      <c r="J547" s="40">
        <f>IF(542&gt;$B$3,"",IFERROR(MATCH(542-1,EV_Seq,1)+1,1))</f>
        <v/>
      </c>
    </row>
    <row r="548">
      <c r="A548" s="105">
        <f>IF($J548="","",INDEX(EV_Date,$J548))</f>
        <v/>
      </c>
      <c r="B548" s="78">
        <f>IF($J548="","",INDEX(EV_Name,$J548))</f>
        <v/>
      </c>
      <c r="C548" s="106">
        <f>IF($J548="","",INDEX(EV_ID,$J548))</f>
        <v/>
      </c>
      <c r="D548" s="106">
        <f>IF($J548="","",INDEX(EV_Class,$J548))</f>
        <v/>
      </c>
      <c r="E548" s="106">
        <f>IF($J548="","",INDEX(EV_Type,$J548))</f>
        <v/>
      </c>
      <c r="F548" s="106">
        <f>IF($J548="","",INDEX(EV_Cum,$J548))</f>
        <v/>
      </c>
      <c r="G548" s="106">
        <f>IF($J548="","",INDEX(LevelLabels,MATCH(F548,LevelValues,1)))</f>
        <v/>
      </c>
      <c r="H548" s="106">
        <f>IF($J548="","",IFERROR(INDEX(Stu_ContactReq,MATCH(C548,Stu_ID,0)),""))</f>
        <v/>
      </c>
      <c r="I548" s="107">
        <f>IF($J548="","",IFERROR(INDEX(Stu_Notes,MATCH(C548,Stu_ID,0)),""))</f>
        <v/>
      </c>
      <c r="J548" s="40">
        <f>IF(543&gt;$B$3,"",IFERROR(MATCH(543-1,EV_Seq,1)+1,1))</f>
        <v/>
      </c>
    </row>
    <row r="549">
      <c r="A549" s="105">
        <f>IF($J549="","",INDEX(EV_Date,$J549))</f>
        <v/>
      </c>
      <c r="B549" s="78">
        <f>IF($J549="","",INDEX(EV_Name,$J549))</f>
        <v/>
      </c>
      <c r="C549" s="106">
        <f>IF($J549="","",INDEX(EV_ID,$J549))</f>
        <v/>
      </c>
      <c r="D549" s="106">
        <f>IF($J549="","",INDEX(EV_Class,$J549))</f>
        <v/>
      </c>
      <c r="E549" s="106">
        <f>IF($J549="","",INDEX(EV_Type,$J549))</f>
        <v/>
      </c>
      <c r="F549" s="106">
        <f>IF($J549="","",INDEX(EV_Cum,$J549))</f>
        <v/>
      </c>
      <c r="G549" s="106">
        <f>IF($J549="","",INDEX(LevelLabels,MATCH(F549,LevelValues,1)))</f>
        <v/>
      </c>
      <c r="H549" s="106">
        <f>IF($J549="","",IFERROR(INDEX(Stu_ContactReq,MATCH(C549,Stu_ID,0)),""))</f>
        <v/>
      </c>
      <c r="I549" s="107">
        <f>IF($J549="","",IFERROR(INDEX(Stu_Notes,MATCH(C549,Stu_ID,0)),""))</f>
        <v/>
      </c>
      <c r="J549" s="40">
        <f>IF(544&gt;$B$3,"",IFERROR(MATCH(544-1,EV_Seq,1)+1,1))</f>
        <v/>
      </c>
    </row>
    <row r="550">
      <c r="A550" s="105">
        <f>IF($J550="","",INDEX(EV_Date,$J550))</f>
        <v/>
      </c>
      <c r="B550" s="78">
        <f>IF($J550="","",INDEX(EV_Name,$J550))</f>
        <v/>
      </c>
      <c r="C550" s="106">
        <f>IF($J550="","",INDEX(EV_ID,$J550))</f>
        <v/>
      </c>
      <c r="D550" s="106">
        <f>IF($J550="","",INDEX(EV_Class,$J550))</f>
        <v/>
      </c>
      <c r="E550" s="106">
        <f>IF($J550="","",INDEX(EV_Type,$J550))</f>
        <v/>
      </c>
      <c r="F550" s="106">
        <f>IF($J550="","",INDEX(EV_Cum,$J550))</f>
        <v/>
      </c>
      <c r="G550" s="106">
        <f>IF($J550="","",INDEX(LevelLabels,MATCH(F550,LevelValues,1)))</f>
        <v/>
      </c>
      <c r="H550" s="106">
        <f>IF($J550="","",IFERROR(INDEX(Stu_ContactReq,MATCH(C550,Stu_ID,0)),""))</f>
        <v/>
      </c>
      <c r="I550" s="107">
        <f>IF($J550="","",IFERROR(INDEX(Stu_Notes,MATCH(C550,Stu_ID,0)),""))</f>
        <v/>
      </c>
      <c r="J550" s="40">
        <f>IF(545&gt;$B$3,"",IFERROR(MATCH(545-1,EV_Seq,1)+1,1))</f>
        <v/>
      </c>
    </row>
    <row r="551">
      <c r="A551" s="105">
        <f>IF($J551="","",INDEX(EV_Date,$J551))</f>
        <v/>
      </c>
      <c r="B551" s="78">
        <f>IF($J551="","",INDEX(EV_Name,$J551))</f>
        <v/>
      </c>
      <c r="C551" s="106">
        <f>IF($J551="","",INDEX(EV_ID,$J551))</f>
        <v/>
      </c>
      <c r="D551" s="106">
        <f>IF($J551="","",INDEX(EV_Class,$J551))</f>
        <v/>
      </c>
      <c r="E551" s="106">
        <f>IF($J551="","",INDEX(EV_Type,$J551))</f>
        <v/>
      </c>
      <c r="F551" s="106">
        <f>IF($J551="","",INDEX(EV_Cum,$J551))</f>
        <v/>
      </c>
      <c r="G551" s="106">
        <f>IF($J551="","",INDEX(LevelLabels,MATCH(F551,LevelValues,1)))</f>
        <v/>
      </c>
      <c r="H551" s="106">
        <f>IF($J551="","",IFERROR(INDEX(Stu_ContactReq,MATCH(C551,Stu_ID,0)),""))</f>
        <v/>
      </c>
      <c r="I551" s="107">
        <f>IF($J551="","",IFERROR(INDEX(Stu_Notes,MATCH(C551,Stu_ID,0)),""))</f>
        <v/>
      </c>
      <c r="J551" s="40">
        <f>IF(546&gt;$B$3,"",IFERROR(MATCH(546-1,EV_Seq,1)+1,1))</f>
        <v/>
      </c>
    </row>
    <row r="552">
      <c r="A552" s="105">
        <f>IF($J552="","",INDEX(EV_Date,$J552))</f>
        <v/>
      </c>
      <c r="B552" s="78">
        <f>IF($J552="","",INDEX(EV_Name,$J552))</f>
        <v/>
      </c>
      <c r="C552" s="106">
        <f>IF($J552="","",INDEX(EV_ID,$J552))</f>
        <v/>
      </c>
      <c r="D552" s="106">
        <f>IF($J552="","",INDEX(EV_Class,$J552))</f>
        <v/>
      </c>
      <c r="E552" s="106">
        <f>IF($J552="","",INDEX(EV_Type,$J552))</f>
        <v/>
      </c>
      <c r="F552" s="106">
        <f>IF($J552="","",INDEX(EV_Cum,$J552))</f>
        <v/>
      </c>
      <c r="G552" s="106">
        <f>IF($J552="","",INDEX(LevelLabels,MATCH(F552,LevelValues,1)))</f>
        <v/>
      </c>
      <c r="H552" s="106">
        <f>IF($J552="","",IFERROR(INDEX(Stu_ContactReq,MATCH(C552,Stu_ID,0)),""))</f>
        <v/>
      </c>
      <c r="I552" s="107">
        <f>IF($J552="","",IFERROR(INDEX(Stu_Notes,MATCH(C552,Stu_ID,0)),""))</f>
        <v/>
      </c>
      <c r="J552" s="40">
        <f>IF(547&gt;$B$3,"",IFERROR(MATCH(547-1,EV_Seq,1)+1,1))</f>
        <v/>
      </c>
    </row>
    <row r="553">
      <c r="A553" s="105">
        <f>IF($J553="","",INDEX(EV_Date,$J553))</f>
        <v/>
      </c>
      <c r="B553" s="78">
        <f>IF($J553="","",INDEX(EV_Name,$J553))</f>
        <v/>
      </c>
      <c r="C553" s="106">
        <f>IF($J553="","",INDEX(EV_ID,$J553))</f>
        <v/>
      </c>
      <c r="D553" s="106">
        <f>IF($J553="","",INDEX(EV_Class,$J553))</f>
        <v/>
      </c>
      <c r="E553" s="106">
        <f>IF($J553="","",INDEX(EV_Type,$J553))</f>
        <v/>
      </c>
      <c r="F553" s="106">
        <f>IF($J553="","",INDEX(EV_Cum,$J553))</f>
        <v/>
      </c>
      <c r="G553" s="106">
        <f>IF($J553="","",INDEX(LevelLabels,MATCH(F553,LevelValues,1)))</f>
        <v/>
      </c>
      <c r="H553" s="106">
        <f>IF($J553="","",IFERROR(INDEX(Stu_ContactReq,MATCH(C553,Stu_ID,0)),""))</f>
        <v/>
      </c>
      <c r="I553" s="107">
        <f>IF($J553="","",IFERROR(INDEX(Stu_Notes,MATCH(C553,Stu_ID,0)),""))</f>
        <v/>
      </c>
      <c r="J553" s="40">
        <f>IF(548&gt;$B$3,"",IFERROR(MATCH(548-1,EV_Seq,1)+1,1))</f>
        <v/>
      </c>
    </row>
    <row r="554">
      <c r="A554" s="105">
        <f>IF($J554="","",INDEX(EV_Date,$J554))</f>
        <v/>
      </c>
      <c r="B554" s="78">
        <f>IF($J554="","",INDEX(EV_Name,$J554))</f>
        <v/>
      </c>
      <c r="C554" s="106">
        <f>IF($J554="","",INDEX(EV_ID,$J554))</f>
        <v/>
      </c>
      <c r="D554" s="106">
        <f>IF($J554="","",INDEX(EV_Class,$J554))</f>
        <v/>
      </c>
      <c r="E554" s="106">
        <f>IF($J554="","",INDEX(EV_Type,$J554))</f>
        <v/>
      </c>
      <c r="F554" s="106">
        <f>IF($J554="","",INDEX(EV_Cum,$J554))</f>
        <v/>
      </c>
      <c r="G554" s="106">
        <f>IF($J554="","",INDEX(LevelLabels,MATCH(F554,LevelValues,1)))</f>
        <v/>
      </c>
      <c r="H554" s="106">
        <f>IF($J554="","",IFERROR(INDEX(Stu_ContactReq,MATCH(C554,Stu_ID,0)),""))</f>
        <v/>
      </c>
      <c r="I554" s="107">
        <f>IF($J554="","",IFERROR(INDEX(Stu_Notes,MATCH(C554,Stu_ID,0)),""))</f>
        <v/>
      </c>
      <c r="J554" s="40">
        <f>IF(549&gt;$B$3,"",IFERROR(MATCH(549-1,EV_Seq,1)+1,1))</f>
        <v/>
      </c>
    </row>
    <row r="555">
      <c r="A555" s="105">
        <f>IF($J555="","",INDEX(EV_Date,$J555))</f>
        <v/>
      </c>
      <c r="B555" s="78">
        <f>IF($J555="","",INDEX(EV_Name,$J555))</f>
        <v/>
      </c>
      <c r="C555" s="106">
        <f>IF($J555="","",INDEX(EV_ID,$J555))</f>
        <v/>
      </c>
      <c r="D555" s="106">
        <f>IF($J555="","",INDEX(EV_Class,$J555))</f>
        <v/>
      </c>
      <c r="E555" s="106">
        <f>IF($J555="","",INDEX(EV_Type,$J555))</f>
        <v/>
      </c>
      <c r="F555" s="106">
        <f>IF($J555="","",INDEX(EV_Cum,$J555))</f>
        <v/>
      </c>
      <c r="G555" s="106">
        <f>IF($J555="","",INDEX(LevelLabels,MATCH(F555,LevelValues,1)))</f>
        <v/>
      </c>
      <c r="H555" s="106">
        <f>IF($J555="","",IFERROR(INDEX(Stu_ContactReq,MATCH(C555,Stu_ID,0)),""))</f>
        <v/>
      </c>
      <c r="I555" s="107">
        <f>IF($J555="","",IFERROR(INDEX(Stu_Notes,MATCH(C555,Stu_ID,0)),""))</f>
        <v/>
      </c>
      <c r="J555" s="40">
        <f>IF(550&gt;$B$3,"",IFERROR(MATCH(550-1,EV_Seq,1)+1,1))</f>
        <v/>
      </c>
    </row>
    <row r="556">
      <c r="A556" s="105">
        <f>IF($J556="","",INDEX(EV_Date,$J556))</f>
        <v/>
      </c>
      <c r="B556" s="78">
        <f>IF($J556="","",INDEX(EV_Name,$J556))</f>
        <v/>
      </c>
      <c r="C556" s="106">
        <f>IF($J556="","",INDEX(EV_ID,$J556))</f>
        <v/>
      </c>
      <c r="D556" s="106">
        <f>IF($J556="","",INDEX(EV_Class,$J556))</f>
        <v/>
      </c>
      <c r="E556" s="106">
        <f>IF($J556="","",INDEX(EV_Type,$J556))</f>
        <v/>
      </c>
      <c r="F556" s="106">
        <f>IF($J556="","",INDEX(EV_Cum,$J556))</f>
        <v/>
      </c>
      <c r="G556" s="106">
        <f>IF($J556="","",INDEX(LevelLabels,MATCH(F556,LevelValues,1)))</f>
        <v/>
      </c>
      <c r="H556" s="106">
        <f>IF($J556="","",IFERROR(INDEX(Stu_ContactReq,MATCH(C556,Stu_ID,0)),""))</f>
        <v/>
      </c>
      <c r="I556" s="107">
        <f>IF($J556="","",IFERROR(INDEX(Stu_Notes,MATCH(C556,Stu_ID,0)),""))</f>
        <v/>
      </c>
      <c r="J556" s="40">
        <f>IF(551&gt;$B$3,"",IFERROR(MATCH(551-1,EV_Seq,1)+1,1))</f>
        <v/>
      </c>
    </row>
    <row r="557">
      <c r="A557" s="105">
        <f>IF($J557="","",INDEX(EV_Date,$J557))</f>
        <v/>
      </c>
      <c r="B557" s="78">
        <f>IF($J557="","",INDEX(EV_Name,$J557))</f>
        <v/>
      </c>
      <c r="C557" s="106">
        <f>IF($J557="","",INDEX(EV_ID,$J557))</f>
        <v/>
      </c>
      <c r="D557" s="106">
        <f>IF($J557="","",INDEX(EV_Class,$J557))</f>
        <v/>
      </c>
      <c r="E557" s="106">
        <f>IF($J557="","",INDEX(EV_Type,$J557))</f>
        <v/>
      </c>
      <c r="F557" s="106">
        <f>IF($J557="","",INDEX(EV_Cum,$J557))</f>
        <v/>
      </c>
      <c r="G557" s="106">
        <f>IF($J557="","",INDEX(LevelLabels,MATCH(F557,LevelValues,1)))</f>
        <v/>
      </c>
      <c r="H557" s="106">
        <f>IF($J557="","",IFERROR(INDEX(Stu_ContactReq,MATCH(C557,Stu_ID,0)),""))</f>
        <v/>
      </c>
      <c r="I557" s="107">
        <f>IF($J557="","",IFERROR(INDEX(Stu_Notes,MATCH(C557,Stu_ID,0)),""))</f>
        <v/>
      </c>
      <c r="J557" s="40">
        <f>IF(552&gt;$B$3,"",IFERROR(MATCH(552-1,EV_Seq,1)+1,1))</f>
        <v/>
      </c>
    </row>
    <row r="558">
      <c r="A558" s="105">
        <f>IF($J558="","",INDEX(EV_Date,$J558))</f>
        <v/>
      </c>
      <c r="B558" s="78">
        <f>IF($J558="","",INDEX(EV_Name,$J558))</f>
        <v/>
      </c>
      <c r="C558" s="106">
        <f>IF($J558="","",INDEX(EV_ID,$J558))</f>
        <v/>
      </c>
      <c r="D558" s="106">
        <f>IF($J558="","",INDEX(EV_Class,$J558))</f>
        <v/>
      </c>
      <c r="E558" s="106">
        <f>IF($J558="","",INDEX(EV_Type,$J558))</f>
        <v/>
      </c>
      <c r="F558" s="106">
        <f>IF($J558="","",INDEX(EV_Cum,$J558))</f>
        <v/>
      </c>
      <c r="G558" s="106">
        <f>IF($J558="","",INDEX(LevelLabels,MATCH(F558,LevelValues,1)))</f>
        <v/>
      </c>
      <c r="H558" s="106">
        <f>IF($J558="","",IFERROR(INDEX(Stu_ContactReq,MATCH(C558,Stu_ID,0)),""))</f>
        <v/>
      </c>
      <c r="I558" s="107">
        <f>IF($J558="","",IFERROR(INDEX(Stu_Notes,MATCH(C558,Stu_ID,0)),""))</f>
        <v/>
      </c>
      <c r="J558" s="40">
        <f>IF(553&gt;$B$3,"",IFERROR(MATCH(553-1,EV_Seq,1)+1,1))</f>
        <v/>
      </c>
    </row>
    <row r="559">
      <c r="A559" s="105">
        <f>IF($J559="","",INDEX(EV_Date,$J559))</f>
        <v/>
      </c>
      <c r="B559" s="78">
        <f>IF($J559="","",INDEX(EV_Name,$J559))</f>
        <v/>
      </c>
      <c r="C559" s="106">
        <f>IF($J559="","",INDEX(EV_ID,$J559))</f>
        <v/>
      </c>
      <c r="D559" s="106">
        <f>IF($J559="","",INDEX(EV_Class,$J559))</f>
        <v/>
      </c>
      <c r="E559" s="106">
        <f>IF($J559="","",INDEX(EV_Type,$J559))</f>
        <v/>
      </c>
      <c r="F559" s="106">
        <f>IF($J559="","",INDEX(EV_Cum,$J559))</f>
        <v/>
      </c>
      <c r="G559" s="106">
        <f>IF($J559="","",INDEX(LevelLabels,MATCH(F559,LevelValues,1)))</f>
        <v/>
      </c>
      <c r="H559" s="106">
        <f>IF($J559="","",IFERROR(INDEX(Stu_ContactReq,MATCH(C559,Stu_ID,0)),""))</f>
        <v/>
      </c>
      <c r="I559" s="107">
        <f>IF($J559="","",IFERROR(INDEX(Stu_Notes,MATCH(C559,Stu_ID,0)),""))</f>
        <v/>
      </c>
      <c r="J559" s="40">
        <f>IF(554&gt;$B$3,"",IFERROR(MATCH(554-1,EV_Seq,1)+1,1))</f>
        <v/>
      </c>
    </row>
    <row r="560">
      <c r="A560" s="105">
        <f>IF($J560="","",INDEX(EV_Date,$J560))</f>
        <v/>
      </c>
      <c r="B560" s="78">
        <f>IF($J560="","",INDEX(EV_Name,$J560))</f>
        <v/>
      </c>
      <c r="C560" s="106">
        <f>IF($J560="","",INDEX(EV_ID,$J560))</f>
        <v/>
      </c>
      <c r="D560" s="106">
        <f>IF($J560="","",INDEX(EV_Class,$J560))</f>
        <v/>
      </c>
      <c r="E560" s="106">
        <f>IF($J560="","",INDEX(EV_Type,$J560))</f>
        <v/>
      </c>
      <c r="F560" s="106">
        <f>IF($J560="","",INDEX(EV_Cum,$J560))</f>
        <v/>
      </c>
      <c r="G560" s="106">
        <f>IF($J560="","",INDEX(LevelLabels,MATCH(F560,LevelValues,1)))</f>
        <v/>
      </c>
      <c r="H560" s="106">
        <f>IF($J560="","",IFERROR(INDEX(Stu_ContactReq,MATCH(C560,Stu_ID,0)),""))</f>
        <v/>
      </c>
      <c r="I560" s="107">
        <f>IF($J560="","",IFERROR(INDEX(Stu_Notes,MATCH(C560,Stu_ID,0)),""))</f>
        <v/>
      </c>
      <c r="J560" s="40">
        <f>IF(555&gt;$B$3,"",IFERROR(MATCH(555-1,EV_Seq,1)+1,1))</f>
        <v/>
      </c>
    </row>
    <row r="561">
      <c r="A561" s="105">
        <f>IF($J561="","",INDEX(EV_Date,$J561))</f>
        <v/>
      </c>
      <c r="B561" s="78">
        <f>IF($J561="","",INDEX(EV_Name,$J561))</f>
        <v/>
      </c>
      <c r="C561" s="106">
        <f>IF($J561="","",INDEX(EV_ID,$J561))</f>
        <v/>
      </c>
      <c r="D561" s="106">
        <f>IF($J561="","",INDEX(EV_Class,$J561))</f>
        <v/>
      </c>
      <c r="E561" s="106">
        <f>IF($J561="","",INDEX(EV_Type,$J561))</f>
        <v/>
      </c>
      <c r="F561" s="106">
        <f>IF($J561="","",INDEX(EV_Cum,$J561))</f>
        <v/>
      </c>
      <c r="G561" s="106">
        <f>IF($J561="","",INDEX(LevelLabels,MATCH(F561,LevelValues,1)))</f>
        <v/>
      </c>
      <c r="H561" s="106">
        <f>IF($J561="","",IFERROR(INDEX(Stu_ContactReq,MATCH(C561,Stu_ID,0)),""))</f>
        <v/>
      </c>
      <c r="I561" s="107">
        <f>IF($J561="","",IFERROR(INDEX(Stu_Notes,MATCH(C561,Stu_ID,0)),""))</f>
        <v/>
      </c>
      <c r="J561" s="40">
        <f>IF(556&gt;$B$3,"",IFERROR(MATCH(556-1,EV_Seq,1)+1,1))</f>
        <v/>
      </c>
    </row>
    <row r="562">
      <c r="A562" s="105">
        <f>IF($J562="","",INDEX(EV_Date,$J562))</f>
        <v/>
      </c>
      <c r="B562" s="78">
        <f>IF($J562="","",INDEX(EV_Name,$J562))</f>
        <v/>
      </c>
      <c r="C562" s="106">
        <f>IF($J562="","",INDEX(EV_ID,$J562))</f>
        <v/>
      </c>
      <c r="D562" s="106">
        <f>IF($J562="","",INDEX(EV_Class,$J562))</f>
        <v/>
      </c>
      <c r="E562" s="106">
        <f>IF($J562="","",INDEX(EV_Type,$J562))</f>
        <v/>
      </c>
      <c r="F562" s="106">
        <f>IF($J562="","",INDEX(EV_Cum,$J562))</f>
        <v/>
      </c>
      <c r="G562" s="106">
        <f>IF($J562="","",INDEX(LevelLabels,MATCH(F562,LevelValues,1)))</f>
        <v/>
      </c>
      <c r="H562" s="106">
        <f>IF($J562="","",IFERROR(INDEX(Stu_ContactReq,MATCH(C562,Stu_ID,0)),""))</f>
        <v/>
      </c>
      <c r="I562" s="107">
        <f>IF($J562="","",IFERROR(INDEX(Stu_Notes,MATCH(C562,Stu_ID,0)),""))</f>
        <v/>
      </c>
      <c r="J562" s="40">
        <f>IF(557&gt;$B$3,"",IFERROR(MATCH(557-1,EV_Seq,1)+1,1))</f>
        <v/>
      </c>
    </row>
    <row r="563">
      <c r="A563" s="105">
        <f>IF($J563="","",INDEX(EV_Date,$J563))</f>
        <v/>
      </c>
      <c r="B563" s="78">
        <f>IF($J563="","",INDEX(EV_Name,$J563))</f>
        <v/>
      </c>
      <c r="C563" s="106">
        <f>IF($J563="","",INDEX(EV_ID,$J563))</f>
        <v/>
      </c>
      <c r="D563" s="106">
        <f>IF($J563="","",INDEX(EV_Class,$J563))</f>
        <v/>
      </c>
      <c r="E563" s="106">
        <f>IF($J563="","",INDEX(EV_Type,$J563))</f>
        <v/>
      </c>
      <c r="F563" s="106">
        <f>IF($J563="","",INDEX(EV_Cum,$J563))</f>
        <v/>
      </c>
      <c r="G563" s="106">
        <f>IF($J563="","",INDEX(LevelLabels,MATCH(F563,LevelValues,1)))</f>
        <v/>
      </c>
      <c r="H563" s="106">
        <f>IF($J563="","",IFERROR(INDEX(Stu_ContactReq,MATCH(C563,Stu_ID,0)),""))</f>
        <v/>
      </c>
      <c r="I563" s="107">
        <f>IF($J563="","",IFERROR(INDEX(Stu_Notes,MATCH(C563,Stu_ID,0)),""))</f>
        <v/>
      </c>
      <c r="J563" s="40">
        <f>IF(558&gt;$B$3,"",IFERROR(MATCH(558-1,EV_Seq,1)+1,1))</f>
        <v/>
      </c>
    </row>
    <row r="564">
      <c r="A564" s="105">
        <f>IF($J564="","",INDEX(EV_Date,$J564))</f>
        <v/>
      </c>
      <c r="B564" s="78">
        <f>IF($J564="","",INDEX(EV_Name,$J564))</f>
        <v/>
      </c>
      <c r="C564" s="106">
        <f>IF($J564="","",INDEX(EV_ID,$J564))</f>
        <v/>
      </c>
      <c r="D564" s="106">
        <f>IF($J564="","",INDEX(EV_Class,$J564))</f>
        <v/>
      </c>
      <c r="E564" s="106">
        <f>IF($J564="","",INDEX(EV_Type,$J564))</f>
        <v/>
      </c>
      <c r="F564" s="106">
        <f>IF($J564="","",INDEX(EV_Cum,$J564))</f>
        <v/>
      </c>
      <c r="G564" s="106">
        <f>IF($J564="","",INDEX(LevelLabels,MATCH(F564,LevelValues,1)))</f>
        <v/>
      </c>
      <c r="H564" s="106">
        <f>IF($J564="","",IFERROR(INDEX(Stu_ContactReq,MATCH(C564,Stu_ID,0)),""))</f>
        <v/>
      </c>
      <c r="I564" s="107">
        <f>IF($J564="","",IFERROR(INDEX(Stu_Notes,MATCH(C564,Stu_ID,0)),""))</f>
        <v/>
      </c>
      <c r="J564" s="40">
        <f>IF(559&gt;$B$3,"",IFERROR(MATCH(559-1,EV_Seq,1)+1,1))</f>
        <v/>
      </c>
    </row>
    <row r="565">
      <c r="A565" s="105">
        <f>IF($J565="","",INDEX(EV_Date,$J565))</f>
        <v/>
      </c>
      <c r="B565" s="78">
        <f>IF($J565="","",INDEX(EV_Name,$J565))</f>
        <v/>
      </c>
      <c r="C565" s="106">
        <f>IF($J565="","",INDEX(EV_ID,$J565))</f>
        <v/>
      </c>
      <c r="D565" s="106">
        <f>IF($J565="","",INDEX(EV_Class,$J565))</f>
        <v/>
      </c>
      <c r="E565" s="106">
        <f>IF($J565="","",INDEX(EV_Type,$J565))</f>
        <v/>
      </c>
      <c r="F565" s="106">
        <f>IF($J565="","",INDEX(EV_Cum,$J565))</f>
        <v/>
      </c>
      <c r="G565" s="106">
        <f>IF($J565="","",INDEX(LevelLabels,MATCH(F565,LevelValues,1)))</f>
        <v/>
      </c>
      <c r="H565" s="106">
        <f>IF($J565="","",IFERROR(INDEX(Stu_ContactReq,MATCH(C565,Stu_ID,0)),""))</f>
        <v/>
      </c>
      <c r="I565" s="107">
        <f>IF($J565="","",IFERROR(INDEX(Stu_Notes,MATCH(C565,Stu_ID,0)),""))</f>
        <v/>
      </c>
      <c r="J565" s="40">
        <f>IF(560&gt;$B$3,"",IFERROR(MATCH(560-1,EV_Seq,1)+1,1))</f>
        <v/>
      </c>
    </row>
    <row r="566">
      <c r="A566" s="105">
        <f>IF($J566="","",INDEX(EV_Date,$J566))</f>
        <v/>
      </c>
      <c r="B566" s="78">
        <f>IF($J566="","",INDEX(EV_Name,$J566))</f>
        <v/>
      </c>
      <c r="C566" s="106">
        <f>IF($J566="","",INDEX(EV_ID,$J566))</f>
        <v/>
      </c>
      <c r="D566" s="106">
        <f>IF($J566="","",INDEX(EV_Class,$J566))</f>
        <v/>
      </c>
      <c r="E566" s="106">
        <f>IF($J566="","",INDEX(EV_Type,$J566))</f>
        <v/>
      </c>
      <c r="F566" s="106">
        <f>IF($J566="","",INDEX(EV_Cum,$J566))</f>
        <v/>
      </c>
      <c r="G566" s="106">
        <f>IF($J566="","",INDEX(LevelLabels,MATCH(F566,LevelValues,1)))</f>
        <v/>
      </c>
      <c r="H566" s="106">
        <f>IF($J566="","",IFERROR(INDEX(Stu_ContactReq,MATCH(C566,Stu_ID,0)),""))</f>
        <v/>
      </c>
      <c r="I566" s="107">
        <f>IF($J566="","",IFERROR(INDEX(Stu_Notes,MATCH(C566,Stu_ID,0)),""))</f>
        <v/>
      </c>
      <c r="J566" s="40">
        <f>IF(561&gt;$B$3,"",IFERROR(MATCH(561-1,EV_Seq,1)+1,1))</f>
        <v/>
      </c>
    </row>
    <row r="567">
      <c r="A567" s="105">
        <f>IF($J567="","",INDEX(EV_Date,$J567))</f>
        <v/>
      </c>
      <c r="B567" s="78">
        <f>IF($J567="","",INDEX(EV_Name,$J567))</f>
        <v/>
      </c>
      <c r="C567" s="106">
        <f>IF($J567="","",INDEX(EV_ID,$J567))</f>
        <v/>
      </c>
      <c r="D567" s="106">
        <f>IF($J567="","",INDEX(EV_Class,$J567))</f>
        <v/>
      </c>
      <c r="E567" s="106">
        <f>IF($J567="","",INDEX(EV_Type,$J567))</f>
        <v/>
      </c>
      <c r="F567" s="106">
        <f>IF($J567="","",INDEX(EV_Cum,$J567))</f>
        <v/>
      </c>
      <c r="G567" s="106">
        <f>IF($J567="","",INDEX(LevelLabels,MATCH(F567,LevelValues,1)))</f>
        <v/>
      </c>
      <c r="H567" s="106">
        <f>IF($J567="","",IFERROR(INDEX(Stu_ContactReq,MATCH(C567,Stu_ID,0)),""))</f>
        <v/>
      </c>
      <c r="I567" s="107">
        <f>IF($J567="","",IFERROR(INDEX(Stu_Notes,MATCH(C567,Stu_ID,0)),""))</f>
        <v/>
      </c>
      <c r="J567" s="40">
        <f>IF(562&gt;$B$3,"",IFERROR(MATCH(562-1,EV_Seq,1)+1,1))</f>
        <v/>
      </c>
    </row>
    <row r="568">
      <c r="A568" s="105">
        <f>IF($J568="","",INDEX(EV_Date,$J568))</f>
        <v/>
      </c>
      <c r="B568" s="78">
        <f>IF($J568="","",INDEX(EV_Name,$J568))</f>
        <v/>
      </c>
      <c r="C568" s="106">
        <f>IF($J568="","",INDEX(EV_ID,$J568))</f>
        <v/>
      </c>
      <c r="D568" s="106">
        <f>IF($J568="","",INDEX(EV_Class,$J568))</f>
        <v/>
      </c>
      <c r="E568" s="106">
        <f>IF($J568="","",INDEX(EV_Type,$J568))</f>
        <v/>
      </c>
      <c r="F568" s="106">
        <f>IF($J568="","",INDEX(EV_Cum,$J568))</f>
        <v/>
      </c>
      <c r="G568" s="106">
        <f>IF($J568="","",INDEX(LevelLabels,MATCH(F568,LevelValues,1)))</f>
        <v/>
      </c>
      <c r="H568" s="106">
        <f>IF($J568="","",IFERROR(INDEX(Stu_ContactReq,MATCH(C568,Stu_ID,0)),""))</f>
        <v/>
      </c>
      <c r="I568" s="107">
        <f>IF($J568="","",IFERROR(INDEX(Stu_Notes,MATCH(C568,Stu_ID,0)),""))</f>
        <v/>
      </c>
      <c r="J568" s="40">
        <f>IF(563&gt;$B$3,"",IFERROR(MATCH(563-1,EV_Seq,1)+1,1))</f>
        <v/>
      </c>
    </row>
    <row r="569">
      <c r="A569" s="105">
        <f>IF($J569="","",INDEX(EV_Date,$J569))</f>
        <v/>
      </c>
      <c r="B569" s="78">
        <f>IF($J569="","",INDEX(EV_Name,$J569))</f>
        <v/>
      </c>
      <c r="C569" s="106">
        <f>IF($J569="","",INDEX(EV_ID,$J569))</f>
        <v/>
      </c>
      <c r="D569" s="106">
        <f>IF($J569="","",INDEX(EV_Class,$J569))</f>
        <v/>
      </c>
      <c r="E569" s="106">
        <f>IF($J569="","",INDEX(EV_Type,$J569))</f>
        <v/>
      </c>
      <c r="F569" s="106">
        <f>IF($J569="","",INDEX(EV_Cum,$J569))</f>
        <v/>
      </c>
      <c r="G569" s="106">
        <f>IF($J569="","",INDEX(LevelLabels,MATCH(F569,LevelValues,1)))</f>
        <v/>
      </c>
      <c r="H569" s="106">
        <f>IF($J569="","",IFERROR(INDEX(Stu_ContactReq,MATCH(C569,Stu_ID,0)),""))</f>
        <v/>
      </c>
      <c r="I569" s="107">
        <f>IF($J569="","",IFERROR(INDEX(Stu_Notes,MATCH(C569,Stu_ID,0)),""))</f>
        <v/>
      </c>
      <c r="J569" s="40">
        <f>IF(564&gt;$B$3,"",IFERROR(MATCH(564-1,EV_Seq,1)+1,1))</f>
        <v/>
      </c>
    </row>
    <row r="570">
      <c r="A570" s="105">
        <f>IF($J570="","",INDEX(EV_Date,$J570))</f>
        <v/>
      </c>
      <c r="B570" s="78">
        <f>IF($J570="","",INDEX(EV_Name,$J570))</f>
        <v/>
      </c>
      <c r="C570" s="106">
        <f>IF($J570="","",INDEX(EV_ID,$J570))</f>
        <v/>
      </c>
      <c r="D570" s="106">
        <f>IF($J570="","",INDEX(EV_Class,$J570))</f>
        <v/>
      </c>
      <c r="E570" s="106">
        <f>IF($J570="","",INDEX(EV_Type,$J570))</f>
        <v/>
      </c>
      <c r="F570" s="106">
        <f>IF($J570="","",INDEX(EV_Cum,$J570))</f>
        <v/>
      </c>
      <c r="G570" s="106">
        <f>IF($J570="","",INDEX(LevelLabels,MATCH(F570,LevelValues,1)))</f>
        <v/>
      </c>
      <c r="H570" s="106">
        <f>IF($J570="","",IFERROR(INDEX(Stu_ContactReq,MATCH(C570,Stu_ID,0)),""))</f>
        <v/>
      </c>
      <c r="I570" s="107">
        <f>IF($J570="","",IFERROR(INDEX(Stu_Notes,MATCH(C570,Stu_ID,0)),""))</f>
        <v/>
      </c>
      <c r="J570" s="40">
        <f>IF(565&gt;$B$3,"",IFERROR(MATCH(565-1,EV_Seq,1)+1,1))</f>
        <v/>
      </c>
    </row>
    <row r="571">
      <c r="A571" s="105">
        <f>IF($J571="","",INDEX(EV_Date,$J571))</f>
        <v/>
      </c>
      <c r="B571" s="78">
        <f>IF($J571="","",INDEX(EV_Name,$J571))</f>
        <v/>
      </c>
      <c r="C571" s="106">
        <f>IF($J571="","",INDEX(EV_ID,$J571))</f>
        <v/>
      </c>
      <c r="D571" s="106">
        <f>IF($J571="","",INDEX(EV_Class,$J571))</f>
        <v/>
      </c>
      <c r="E571" s="106">
        <f>IF($J571="","",INDEX(EV_Type,$J571))</f>
        <v/>
      </c>
      <c r="F571" s="106">
        <f>IF($J571="","",INDEX(EV_Cum,$J571))</f>
        <v/>
      </c>
      <c r="G571" s="106">
        <f>IF($J571="","",INDEX(LevelLabels,MATCH(F571,LevelValues,1)))</f>
        <v/>
      </c>
      <c r="H571" s="106">
        <f>IF($J571="","",IFERROR(INDEX(Stu_ContactReq,MATCH(C571,Stu_ID,0)),""))</f>
        <v/>
      </c>
      <c r="I571" s="107">
        <f>IF($J571="","",IFERROR(INDEX(Stu_Notes,MATCH(C571,Stu_ID,0)),""))</f>
        <v/>
      </c>
      <c r="J571" s="40">
        <f>IF(566&gt;$B$3,"",IFERROR(MATCH(566-1,EV_Seq,1)+1,1))</f>
        <v/>
      </c>
    </row>
    <row r="572">
      <c r="A572" s="105">
        <f>IF($J572="","",INDEX(EV_Date,$J572))</f>
        <v/>
      </c>
      <c r="B572" s="78">
        <f>IF($J572="","",INDEX(EV_Name,$J572))</f>
        <v/>
      </c>
      <c r="C572" s="106">
        <f>IF($J572="","",INDEX(EV_ID,$J572))</f>
        <v/>
      </c>
      <c r="D572" s="106">
        <f>IF($J572="","",INDEX(EV_Class,$J572))</f>
        <v/>
      </c>
      <c r="E572" s="106">
        <f>IF($J572="","",INDEX(EV_Type,$J572))</f>
        <v/>
      </c>
      <c r="F572" s="106">
        <f>IF($J572="","",INDEX(EV_Cum,$J572))</f>
        <v/>
      </c>
      <c r="G572" s="106">
        <f>IF($J572="","",INDEX(LevelLabels,MATCH(F572,LevelValues,1)))</f>
        <v/>
      </c>
      <c r="H572" s="106">
        <f>IF($J572="","",IFERROR(INDEX(Stu_ContactReq,MATCH(C572,Stu_ID,0)),""))</f>
        <v/>
      </c>
      <c r="I572" s="107">
        <f>IF($J572="","",IFERROR(INDEX(Stu_Notes,MATCH(C572,Stu_ID,0)),""))</f>
        <v/>
      </c>
      <c r="J572" s="40">
        <f>IF(567&gt;$B$3,"",IFERROR(MATCH(567-1,EV_Seq,1)+1,1))</f>
        <v/>
      </c>
    </row>
    <row r="573">
      <c r="A573" s="105">
        <f>IF($J573="","",INDEX(EV_Date,$J573))</f>
        <v/>
      </c>
      <c r="B573" s="78">
        <f>IF($J573="","",INDEX(EV_Name,$J573))</f>
        <v/>
      </c>
      <c r="C573" s="106">
        <f>IF($J573="","",INDEX(EV_ID,$J573))</f>
        <v/>
      </c>
      <c r="D573" s="106">
        <f>IF($J573="","",INDEX(EV_Class,$J573))</f>
        <v/>
      </c>
      <c r="E573" s="106">
        <f>IF($J573="","",INDEX(EV_Type,$J573))</f>
        <v/>
      </c>
      <c r="F573" s="106">
        <f>IF($J573="","",INDEX(EV_Cum,$J573))</f>
        <v/>
      </c>
      <c r="G573" s="106">
        <f>IF($J573="","",INDEX(LevelLabels,MATCH(F573,LevelValues,1)))</f>
        <v/>
      </c>
      <c r="H573" s="106">
        <f>IF($J573="","",IFERROR(INDEX(Stu_ContactReq,MATCH(C573,Stu_ID,0)),""))</f>
        <v/>
      </c>
      <c r="I573" s="107">
        <f>IF($J573="","",IFERROR(INDEX(Stu_Notes,MATCH(C573,Stu_ID,0)),""))</f>
        <v/>
      </c>
      <c r="J573" s="40">
        <f>IF(568&gt;$B$3,"",IFERROR(MATCH(568-1,EV_Seq,1)+1,1))</f>
        <v/>
      </c>
    </row>
    <row r="574">
      <c r="A574" s="105">
        <f>IF($J574="","",INDEX(EV_Date,$J574))</f>
        <v/>
      </c>
      <c r="B574" s="78">
        <f>IF($J574="","",INDEX(EV_Name,$J574))</f>
        <v/>
      </c>
      <c r="C574" s="106">
        <f>IF($J574="","",INDEX(EV_ID,$J574))</f>
        <v/>
      </c>
      <c r="D574" s="106">
        <f>IF($J574="","",INDEX(EV_Class,$J574))</f>
        <v/>
      </c>
      <c r="E574" s="106">
        <f>IF($J574="","",INDEX(EV_Type,$J574))</f>
        <v/>
      </c>
      <c r="F574" s="106">
        <f>IF($J574="","",INDEX(EV_Cum,$J574))</f>
        <v/>
      </c>
      <c r="G574" s="106">
        <f>IF($J574="","",INDEX(LevelLabels,MATCH(F574,LevelValues,1)))</f>
        <v/>
      </c>
      <c r="H574" s="106">
        <f>IF($J574="","",IFERROR(INDEX(Stu_ContactReq,MATCH(C574,Stu_ID,0)),""))</f>
        <v/>
      </c>
      <c r="I574" s="107">
        <f>IF($J574="","",IFERROR(INDEX(Stu_Notes,MATCH(C574,Stu_ID,0)),""))</f>
        <v/>
      </c>
      <c r="J574" s="40">
        <f>IF(569&gt;$B$3,"",IFERROR(MATCH(569-1,EV_Seq,1)+1,1))</f>
        <v/>
      </c>
    </row>
    <row r="575">
      <c r="A575" s="105">
        <f>IF($J575="","",INDEX(EV_Date,$J575))</f>
        <v/>
      </c>
      <c r="B575" s="78">
        <f>IF($J575="","",INDEX(EV_Name,$J575))</f>
        <v/>
      </c>
      <c r="C575" s="106">
        <f>IF($J575="","",INDEX(EV_ID,$J575))</f>
        <v/>
      </c>
      <c r="D575" s="106">
        <f>IF($J575="","",INDEX(EV_Class,$J575))</f>
        <v/>
      </c>
      <c r="E575" s="106">
        <f>IF($J575="","",INDEX(EV_Type,$J575))</f>
        <v/>
      </c>
      <c r="F575" s="106">
        <f>IF($J575="","",INDEX(EV_Cum,$J575))</f>
        <v/>
      </c>
      <c r="G575" s="106">
        <f>IF($J575="","",INDEX(LevelLabels,MATCH(F575,LevelValues,1)))</f>
        <v/>
      </c>
      <c r="H575" s="106">
        <f>IF($J575="","",IFERROR(INDEX(Stu_ContactReq,MATCH(C575,Stu_ID,0)),""))</f>
        <v/>
      </c>
      <c r="I575" s="107">
        <f>IF($J575="","",IFERROR(INDEX(Stu_Notes,MATCH(C575,Stu_ID,0)),""))</f>
        <v/>
      </c>
      <c r="J575" s="40">
        <f>IF(570&gt;$B$3,"",IFERROR(MATCH(570-1,EV_Seq,1)+1,1))</f>
        <v/>
      </c>
    </row>
    <row r="576">
      <c r="A576" s="105">
        <f>IF($J576="","",INDEX(EV_Date,$J576))</f>
        <v/>
      </c>
      <c r="B576" s="78">
        <f>IF($J576="","",INDEX(EV_Name,$J576))</f>
        <v/>
      </c>
      <c r="C576" s="106">
        <f>IF($J576="","",INDEX(EV_ID,$J576))</f>
        <v/>
      </c>
      <c r="D576" s="106">
        <f>IF($J576="","",INDEX(EV_Class,$J576))</f>
        <v/>
      </c>
      <c r="E576" s="106">
        <f>IF($J576="","",INDEX(EV_Type,$J576))</f>
        <v/>
      </c>
      <c r="F576" s="106">
        <f>IF($J576="","",INDEX(EV_Cum,$J576))</f>
        <v/>
      </c>
      <c r="G576" s="106">
        <f>IF($J576="","",INDEX(LevelLabels,MATCH(F576,LevelValues,1)))</f>
        <v/>
      </c>
      <c r="H576" s="106">
        <f>IF($J576="","",IFERROR(INDEX(Stu_ContactReq,MATCH(C576,Stu_ID,0)),""))</f>
        <v/>
      </c>
      <c r="I576" s="107">
        <f>IF($J576="","",IFERROR(INDEX(Stu_Notes,MATCH(C576,Stu_ID,0)),""))</f>
        <v/>
      </c>
      <c r="J576" s="40">
        <f>IF(571&gt;$B$3,"",IFERROR(MATCH(571-1,EV_Seq,1)+1,1))</f>
        <v/>
      </c>
    </row>
    <row r="577">
      <c r="A577" s="105">
        <f>IF($J577="","",INDEX(EV_Date,$J577))</f>
        <v/>
      </c>
      <c r="B577" s="78">
        <f>IF($J577="","",INDEX(EV_Name,$J577))</f>
        <v/>
      </c>
      <c r="C577" s="106">
        <f>IF($J577="","",INDEX(EV_ID,$J577))</f>
        <v/>
      </c>
      <c r="D577" s="106">
        <f>IF($J577="","",INDEX(EV_Class,$J577))</f>
        <v/>
      </c>
      <c r="E577" s="106">
        <f>IF($J577="","",INDEX(EV_Type,$J577))</f>
        <v/>
      </c>
      <c r="F577" s="106">
        <f>IF($J577="","",INDEX(EV_Cum,$J577))</f>
        <v/>
      </c>
      <c r="G577" s="106">
        <f>IF($J577="","",INDEX(LevelLabels,MATCH(F577,LevelValues,1)))</f>
        <v/>
      </c>
      <c r="H577" s="106">
        <f>IF($J577="","",IFERROR(INDEX(Stu_ContactReq,MATCH(C577,Stu_ID,0)),""))</f>
        <v/>
      </c>
      <c r="I577" s="107">
        <f>IF($J577="","",IFERROR(INDEX(Stu_Notes,MATCH(C577,Stu_ID,0)),""))</f>
        <v/>
      </c>
      <c r="J577" s="40">
        <f>IF(572&gt;$B$3,"",IFERROR(MATCH(572-1,EV_Seq,1)+1,1))</f>
        <v/>
      </c>
    </row>
    <row r="578">
      <c r="A578" s="105">
        <f>IF($J578="","",INDEX(EV_Date,$J578))</f>
        <v/>
      </c>
      <c r="B578" s="78">
        <f>IF($J578="","",INDEX(EV_Name,$J578))</f>
        <v/>
      </c>
      <c r="C578" s="106">
        <f>IF($J578="","",INDEX(EV_ID,$J578))</f>
        <v/>
      </c>
      <c r="D578" s="106">
        <f>IF($J578="","",INDEX(EV_Class,$J578))</f>
        <v/>
      </c>
      <c r="E578" s="106">
        <f>IF($J578="","",INDEX(EV_Type,$J578))</f>
        <v/>
      </c>
      <c r="F578" s="106">
        <f>IF($J578="","",INDEX(EV_Cum,$J578))</f>
        <v/>
      </c>
      <c r="G578" s="106">
        <f>IF($J578="","",INDEX(LevelLabels,MATCH(F578,LevelValues,1)))</f>
        <v/>
      </c>
      <c r="H578" s="106">
        <f>IF($J578="","",IFERROR(INDEX(Stu_ContactReq,MATCH(C578,Stu_ID,0)),""))</f>
        <v/>
      </c>
      <c r="I578" s="107">
        <f>IF($J578="","",IFERROR(INDEX(Stu_Notes,MATCH(C578,Stu_ID,0)),""))</f>
        <v/>
      </c>
      <c r="J578" s="40">
        <f>IF(573&gt;$B$3,"",IFERROR(MATCH(573-1,EV_Seq,1)+1,1))</f>
        <v/>
      </c>
    </row>
    <row r="579">
      <c r="A579" s="105">
        <f>IF($J579="","",INDEX(EV_Date,$J579))</f>
        <v/>
      </c>
      <c r="B579" s="78">
        <f>IF($J579="","",INDEX(EV_Name,$J579))</f>
        <v/>
      </c>
      <c r="C579" s="106">
        <f>IF($J579="","",INDEX(EV_ID,$J579))</f>
        <v/>
      </c>
      <c r="D579" s="106">
        <f>IF($J579="","",INDEX(EV_Class,$J579))</f>
        <v/>
      </c>
      <c r="E579" s="106">
        <f>IF($J579="","",INDEX(EV_Type,$J579))</f>
        <v/>
      </c>
      <c r="F579" s="106">
        <f>IF($J579="","",INDEX(EV_Cum,$J579))</f>
        <v/>
      </c>
      <c r="G579" s="106">
        <f>IF($J579="","",INDEX(LevelLabels,MATCH(F579,LevelValues,1)))</f>
        <v/>
      </c>
      <c r="H579" s="106">
        <f>IF($J579="","",IFERROR(INDEX(Stu_ContactReq,MATCH(C579,Stu_ID,0)),""))</f>
        <v/>
      </c>
      <c r="I579" s="107">
        <f>IF($J579="","",IFERROR(INDEX(Stu_Notes,MATCH(C579,Stu_ID,0)),""))</f>
        <v/>
      </c>
      <c r="J579" s="40">
        <f>IF(574&gt;$B$3,"",IFERROR(MATCH(574-1,EV_Seq,1)+1,1))</f>
        <v/>
      </c>
    </row>
    <row r="580">
      <c r="A580" s="105">
        <f>IF($J580="","",INDEX(EV_Date,$J580))</f>
        <v/>
      </c>
      <c r="B580" s="78">
        <f>IF($J580="","",INDEX(EV_Name,$J580))</f>
        <v/>
      </c>
      <c r="C580" s="106">
        <f>IF($J580="","",INDEX(EV_ID,$J580))</f>
        <v/>
      </c>
      <c r="D580" s="106">
        <f>IF($J580="","",INDEX(EV_Class,$J580))</f>
        <v/>
      </c>
      <c r="E580" s="106">
        <f>IF($J580="","",INDEX(EV_Type,$J580))</f>
        <v/>
      </c>
      <c r="F580" s="106">
        <f>IF($J580="","",INDEX(EV_Cum,$J580))</f>
        <v/>
      </c>
      <c r="G580" s="106">
        <f>IF($J580="","",INDEX(LevelLabels,MATCH(F580,LevelValues,1)))</f>
        <v/>
      </c>
      <c r="H580" s="106">
        <f>IF($J580="","",IFERROR(INDEX(Stu_ContactReq,MATCH(C580,Stu_ID,0)),""))</f>
        <v/>
      </c>
      <c r="I580" s="107">
        <f>IF($J580="","",IFERROR(INDEX(Stu_Notes,MATCH(C580,Stu_ID,0)),""))</f>
        <v/>
      </c>
      <c r="J580" s="40">
        <f>IF(575&gt;$B$3,"",IFERROR(MATCH(575-1,EV_Seq,1)+1,1))</f>
        <v/>
      </c>
    </row>
    <row r="581">
      <c r="A581" s="105">
        <f>IF($J581="","",INDEX(EV_Date,$J581))</f>
        <v/>
      </c>
      <c r="B581" s="78">
        <f>IF($J581="","",INDEX(EV_Name,$J581))</f>
        <v/>
      </c>
      <c r="C581" s="106">
        <f>IF($J581="","",INDEX(EV_ID,$J581))</f>
        <v/>
      </c>
      <c r="D581" s="106">
        <f>IF($J581="","",INDEX(EV_Class,$J581))</f>
        <v/>
      </c>
      <c r="E581" s="106">
        <f>IF($J581="","",INDEX(EV_Type,$J581))</f>
        <v/>
      </c>
      <c r="F581" s="106">
        <f>IF($J581="","",INDEX(EV_Cum,$J581))</f>
        <v/>
      </c>
      <c r="G581" s="106">
        <f>IF($J581="","",INDEX(LevelLabels,MATCH(F581,LevelValues,1)))</f>
        <v/>
      </c>
      <c r="H581" s="106">
        <f>IF($J581="","",IFERROR(INDEX(Stu_ContactReq,MATCH(C581,Stu_ID,0)),""))</f>
        <v/>
      </c>
      <c r="I581" s="107">
        <f>IF($J581="","",IFERROR(INDEX(Stu_Notes,MATCH(C581,Stu_ID,0)),""))</f>
        <v/>
      </c>
      <c r="J581" s="40">
        <f>IF(576&gt;$B$3,"",IFERROR(MATCH(576-1,EV_Seq,1)+1,1))</f>
        <v/>
      </c>
    </row>
    <row r="582">
      <c r="A582" s="105">
        <f>IF($J582="","",INDEX(EV_Date,$J582))</f>
        <v/>
      </c>
      <c r="B582" s="78">
        <f>IF($J582="","",INDEX(EV_Name,$J582))</f>
        <v/>
      </c>
      <c r="C582" s="106">
        <f>IF($J582="","",INDEX(EV_ID,$J582))</f>
        <v/>
      </c>
      <c r="D582" s="106">
        <f>IF($J582="","",INDEX(EV_Class,$J582))</f>
        <v/>
      </c>
      <c r="E582" s="106">
        <f>IF($J582="","",INDEX(EV_Type,$J582))</f>
        <v/>
      </c>
      <c r="F582" s="106">
        <f>IF($J582="","",INDEX(EV_Cum,$J582))</f>
        <v/>
      </c>
      <c r="G582" s="106">
        <f>IF($J582="","",INDEX(LevelLabels,MATCH(F582,LevelValues,1)))</f>
        <v/>
      </c>
      <c r="H582" s="106">
        <f>IF($J582="","",IFERROR(INDEX(Stu_ContactReq,MATCH(C582,Stu_ID,0)),""))</f>
        <v/>
      </c>
      <c r="I582" s="107">
        <f>IF($J582="","",IFERROR(INDEX(Stu_Notes,MATCH(C582,Stu_ID,0)),""))</f>
        <v/>
      </c>
      <c r="J582" s="40">
        <f>IF(577&gt;$B$3,"",IFERROR(MATCH(577-1,EV_Seq,1)+1,1))</f>
        <v/>
      </c>
    </row>
    <row r="583">
      <c r="A583" s="105">
        <f>IF($J583="","",INDEX(EV_Date,$J583))</f>
        <v/>
      </c>
      <c r="B583" s="78">
        <f>IF($J583="","",INDEX(EV_Name,$J583))</f>
        <v/>
      </c>
      <c r="C583" s="106">
        <f>IF($J583="","",INDEX(EV_ID,$J583))</f>
        <v/>
      </c>
      <c r="D583" s="106">
        <f>IF($J583="","",INDEX(EV_Class,$J583))</f>
        <v/>
      </c>
      <c r="E583" s="106">
        <f>IF($J583="","",INDEX(EV_Type,$J583))</f>
        <v/>
      </c>
      <c r="F583" s="106">
        <f>IF($J583="","",INDEX(EV_Cum,$J583))</f>
        <v/>
      </c>
      <c r="G583" s="106">
        <f>IF($J583="","",INDEX(LevelLabels,MATCH(F583,LevelValues,1)))</f>
        <v/>
      </c>
      <c r="H583" s="106">
        <f>IF($J583="","",IFERROR(INDEX(Stu_ContactReq,MATCH(C583,Stu_ID,0)),""))</f>
        <v/>
      </c>
      <c r="I583" s="107">
        <f>IF($J583="","",IFERROR(INDEX(Stu_Notes,MATCH(C583,Stu_ID,0)),""))</f>
        <v/>
      </c>
      <c r="J583" s="40">
        <f>IF(578&gt;$B$3,"",IFERROR(MATCH(578-1,EV_Seq,1)+1,1))</f>
        <v/>
      </c>
    </row>
    <row r="584">
      <c r="A584" s="105">
        <f>IF($J584="","",INDEX(EV_Date,$J584))</f>
        <v/>
      </c>
      <c r="B584" s="78">
        <f>IF($J584="","",INDEX(EV_Name,$J584))</f>
        <v/>
      </c>
      <c r="C584" s="106">
        <f>IF($J584="","",INDEX(EV_ID,$J584))</f>
        <v/>
      </c>
      <c r="D584" s="106">
        <f>IF($J584="","",INDEX(EV_Class,$J584))</f>
        <v/>
      </c>
      <c r="E584" s="106">
        <f>IF($J584="","",INDEX(EV_Type,$J584))</f>
        <v/>
      </c>
      <c r="F584" s="106">
        <f>IF($J584="","",INDEX(EV_Cum,$J584))</f>
        <v/>
      </c>
      <c r="G584" s="106">
        <f>IF($J584="","",INDEX(LevelLabels,MATCH(F584,LevelValues,1)))</f>
        <v/>
      </c>
      <c r="H584" s="106">
        <f>IF($J584="","",IFERROR(INDEX(Stu_ContactReq,MATCH(C584,Stu_ID,0)),""))</f>
        <v/>
      </c>
      <c r="I584" s="107">
        <f>IF($J584="","",IFERROR(INDEX(Stu_Notes,MATCH(C584,Stu_ID,0)),""))</f>
        <v/>
      </c>
      <c r="J584" s="40">
        <f>IF(579&gt;$B$3,"",IFERROR(MATCH(579-1,EV_Seq,1)+1,1))</f>
        <v/>
      </c>
    </row>
    <row r="585">
      <c r="A585" s="105">
        <f>IF($J585="","",INDEX(EV_Date,$J585))</f>
        <v/>
      </c>
      <c r="B585" s="78">
        <f>IF($J585="","",INDEX(EV_Name,$J585))</f>
        <v/>
      </c>
      <c r="C585" s="106">
        <f>IF($J585="","",INDEX(EV_ID,$J585))</f>
        <v/>
      </c>
      <c r="D585" s="106">
        <f>IF($J585="","",INDEX(EV_Class,$J585))</f>
        <v/>
      </c>
      <c r="E585" s="106">
        <f>IF($J585="","",INDEX(EV_Type,$J585))</f>
        <v/>
      </c>
      <c r="F585" s="106">
        <f>IF($J585="","",INDEX(EV_Cum,$J585))</f>
        <v/>
      </c>
      <c r="G585" s="106">
        <f>IF($J585="","",INDEX(LevelLabels,MATCH(F585,LevelValues,1)))</f>
        <v/>
      </c>
      <c r="H585" s="106">
        <f>IF($J585="","",IFERROR(INDEX(Stu_ContactReq,MATCH(C585,Stu_ID,0)),""))</f>
        <v/>
      </c>
      <c r="I585" s="107">
        <f>IF($J585="","",IFERROR(INDEX(Stu_Notes,MATCH(C585,Stu_ID,0)),""))</f>
        <v/>
      </c>
      <c r="J585" s="40">
        <f>IF(580&gt;$B$3,"",IFERROR(MATCH(580-1,EV_Seq,1)+1,1))</f>
        <v/>
      </c>
    </row>
    <row r="586">
      <c r="A586" s="105">
        <f>IF($J586="","",INDEX(EV_Date,$J586))</f>
        <v/>
      </c>
      <c r="B586" s="78">
        <f>IF($J586="","",INDEX(EV_Name,$J586))</f>
        <v/>
      </c>
      <c r="C586" s="106">
        <f>IF($J586="","",INDEX(EV_ID,$J586))</f>
        <v/>
      </c>
      <c r="D586" s="106">
        <f>IF($J586="","",INDEX(EV_Class,$J586))</f>
        <v/>
      </c>
      <c r="E586" s="106">
        <f>IF($J586="","",INDEX(EV_Type,$J586))</f>
        <v/>
      </c>
      <c r="F586" s="106">
        <f>IF($J586="","",INDEX(EV_Cum,$J586))</f>
        <v/>
      </c>
      <c r="G586" s="106">
        <f>IF($J586="","",INDEX(LevelLabels,MATCH(F586,LevelValues,1)))</f>
        <v/>
      </c>
      <c r="H586" s="106">
        <f>IF($J586="","",IFERROR(INDEX(Stu_ContactReq,MATCH(C586,Stu_ID,0)),""))</f>
        <v/>
      </c>
      <c r="I586" s="107">
        <f>IF($J586="","",IFERROR(INDEX(Stu_Notes,MATCH(C586,Stu_ID,0)),""))</f>
        <v/>
      </c>
      <c r="J586" s="40">
        <f>IF(581&gt;$B$3,"",IFERROR(MATCH(581-1,EV_Seq,1)+1,1))</f>
        <v/>
      </c>
    </row>
    <row r="587">
      <c r="A587" s="105">
        <f>IF($J587="","",INDEX(EV_Date,$J587))</f>
        <v/>
      </c>
      <c r="B587" s="78">
        <f>IF($J587="","",INDEX(EV_Name,$J587))</f>
        <v/>
      </c>
      <c r="C587" s="106">
        <f>IF($J587="","",INDEX(EV_ID,$J587))</f>
        <v/>
      </c>
      <c r="D587" s="106">
        <f>IF($J587="","",INDEX(EV_Class,$J587))</f>
        <v/>
      </c>
      <c r="E587" s="106">
        <f>IF($J587="","",INDEX(EV_Type,$J587))</f>
        <v/>
      </c>
      <c r="F587" s="106">
        <f>IF($J587="","",INDEX(EV_Cum,$J587))</f>
        <v/>
      </c>
      <c r="G587" s="106">
        <f>IF($J587="","",INDEX(LevelLabels,MATCH(F587,LevelValues,1)))</f>
        <v/>
      </c>
      <c r="H587" s="106">
        <f>IF($J587="","",IFERROR(INDEX(Stu_ContactReq,MATCH(C587,Stu_ID,0)),""))</f>
        <v/>
      </c>
      <c r="I587" s="107">
        <f>IF($J587="","",IFERROR(INDEX(Stu_Notes,MATCH(C587,Stu_ID,0)),""))</f>
        <v/>
      </c>
      <c r="J587" s="40">
        <f>IF(582&gt;$B$3,"",IFERROR(MATCH(582-1,EV_Seq,1)+1,1))</f>
        <v/>
      </c>
    </row>
    <row r="588">
      <c r="A588" s="105">
        <f>IF($J588="","",INDEX(EV_Date,$J588))</f>
        <v/>
      </c>
      <c r="B588" s="78">
        <f>IF($J588="","",INDEX(EV_Name,$J588))</f>
        <v/>
      </c>
      <c r="C588" s="106">
        <f>IF($J588="","",INDEX(EV_ID,$J588))</f>
        <v/>
      </c>
      <c r="D588" s="106">
        <f>IF($J588="","",INDEX(EV_Class,$J588))</f>
        <v/>
      </c>
      <c r="E588" s="106">
        <f>IF($J588="","",INDEX(EV_Type,$J588))</f>
        <v/>
      </c>
      <c r="F588" s="106">
        <f>IF($J588="","",INDEX(EV_Cum,$J588))</f>
        <v/>
      </c>
      <c r="G588" s="106">
        <f>IF($J588="","",INDEX(LevelLabels,MATCH(F588,LevelValues,1)))</f>
        <v/>
      </c>
      <c r="H588" s="106">
        <f>IF($J588="","",IFERROR(INDEX(Stu_ContactReq,MATCH(C588,Stu_ID,0)),""))</f>
        <v/>
      </c>
      <c r="I588" s="107">
        <f>IF($J588="","",IFERROR(INDEX(Stu_Notes,MATCH(C588,Stu_ID,0)),""))</f>
        <v/>
      </c>
      <c r="J588" s="40">
        <f>IF(583&gt;$B$3,"",IFERROR(MATCH(583-1,EV_Seq,1)+1,1))</f>
        <v/>
      </c>
    </row>
    <row r="589">
      <c r="A589" s="105">
        <f>IF($J589="","",INDEX(EV_Date,$J589))</f>
        <v/>
      </c>
      <c r="B589" s="78">
        <f>IF($J589="","",INDEX(EV_Name,$J589))</f>
        <v/>
      </c>
      <c r="C589" s="106">
        <f>IF($J589="","",INDEX(EV_ID,$J589))</f>
        <v/>
      </c>
      <c r="D589" s="106">
        <f>IF($J589="","",INDEX(EV_Class,$J589))</f>
        <v/>
      </c>
      <c r="E589" s="106">
        <f>IF($J589="","",INDEX(EV_Type,$J589))</f>
        <v/>
      </c>
      <c r="F589" s="106">
        <f>IF($J589="","",INDEX(EV_Cum,$J589))</f>
        <v/>
      </c>
      <c r="G589" s="106">
        <f>IF($J589="","",INDEX(LevelLabels,MATCH(F589,LevelValues,1)))</f>
        <v/>
      </c>
      <c r="H589" s="106">
        <f>IF($J589="","",IFERROR(INDEX(Stu_ContactReq,MATCH(C589,Stu_ID,0)),""))</f>
        <v/>
      </c>
      <c r="I589" s="107">
        <f>IF($J589="","",IFERROR(INDEX(Stu_Notes,MATCH(C589,Stu_ID,0)),""))</f>
        <v/>
      </c>
      <c r="J589" s="40">
        <f>IF(584&gt;$B$3,"",IFERROR(MATCH(584-1,EV_Seq,1)+1,1))</f>
        <v/>
      </c>
    </row>
    <row r="590">
      <c r="A590" s="105">
        <f>IF($J590="","",INDEX(EV_Date,$J590))</f>
        <v/>
      </c>
      <c r="B590" s="78">
        <f>IF($J590="","",INDEX(EV_Name,$J590))</f>
        <v/>
      </c>
      <c r="C590" s="106">
        <f>IF($J590="","",INDEX(EV_ID,$J590))</f>
        <v/>
      </c>
      <c r="D590" s="106">
        <f>IF($J590="","",INDEX(EV_Class,$J590))</f>
        <v/>
      </c>
      <c r="E590" s="106">
        <f>IF($J590="","",INDEX(EV_Type,$J590))</f>
        <v/>
      </c>
      <c r="F590" s="106">
        <f>IF($J590="","",INDEX(EV_Cum,$J590))</f>
        <v/>
      </c>
      <c r="G590" s="106">
        <f>IF($J590="","",INDEX(LevelLabels,MATCH(F590,LevelValues,1)))</f>
        <v/>
      </c>
      <c r="H590" s="106">
        <f>IF($J590="","",IFERROR(INDEX(Stu_ContactReq,MATCH(C590,Stu_ID,0)),""))</f>
        <v/>
      </c>
      <c r="I590" s="107">
        <f>IF($J590="","",IFERROR(INDEX(Stu_Notes,MATCH(C590,Stu_ID,0)),""))</f>
        <v/>
      </c>
      <c r="J590" s="40">
        <f>IF(585&gt;$B$3,"",IFERROR(MATCH(585-1,EV_Seq,1)+1,1))</f>
        <v/>
      </c>
    </row>
    <row r="591">
      <c r="A591" s="105">
        <f>IF($J591="","",INDEX(EV_Date,$J591))</f>
        <v/>
      </c>
      <c r="B591" s="78">
        <f>IF($J591="","",INDEX(EV_Name,$J591))</f>
        <v/>
      </c>
      <c r="C591" s="106">
        <f>IF($J591="","",INDEX(EV_ID,$J591))</f>
        <v/>
      </c>
      <c r="D591" s="106">
        <f>IF($J591="","",INDEX(EV_Class,$J591))</f>
        <v/>
      </c>
      <c r="E591" s="106">
        <f>IF($J591="","",INDEX(EV_Type,$J591))</f>
        <v/>
      </c>
      <c r="F591" s="106">
        <f>IF($J591="","",INDEX(EV_Cum,$J591))</f>
        <v/>
      </c>
      <c r="G591" s="106">
        <f>IF($J591="","",INDEX(LevelLabels,MATCH(F591,LevelValues,1)))</f>
        <v/>
      </c>
      <c r="H591" s="106">
        <f>IF($J591="","",IFERROR(INDEX(Stu_ContactReq,MATCH(C591,Stu_ID,0)),""))</f>
        <v/>
      </c>
      <c r="I591" s="107">
        <f>IF($J591="","",IFERROR(INDEX(Stu_Notes,MATCH(C591,Stu_ID,0)),""))</f>
        <v/>
      </c>
      <c r="J591" s="40">
        <f>IF(586&gt;$B$3,"",IFERROR(MATCH(586-1,EV_Seq,1)+1,1))</f>
        <v/>
      </c>
    </row>
    <row r="592">
      <c r="A592" s="105">
        <f>IF($J592="","",INDEX(EV_Date,$J592))</f>
        <v/>
      </c>
      <c r="B592" s="78">
        <f>IF($J592="","",INDEX(EV_Name,$J592))</f>
        <v/>
      </c>
      <c r="C592" s="106">
        <f>IF($J592="","",INDEX(EV_ID,$J592))</f>
        <v/>
      </c>
      <c r="D592" s="106">
        <f>IF($J592="","",INDEX(EV_Class,$J592))</f>
        <v/>
      </c>
      <c r="E592" s="106">
        <f>IF($J592="","",INDEX(EV_Type,$J592))</f>
        <v/>
      </c>
      <c r="F592" s="106">
        <f>IF($J592="","",INDEX(EV_Cum,$J592))</f>
        <v/>
      </c>
      <c r="G592" s="106">
        <f>IF($J592="","",INDEX(LevelLabels,MATCH(F592,LevelValues,1)))</f>
        <v/>
      </c>
      <c r="H592" s="106">
        <f>IF($J592="","",IFERROR(INDEX(Stu_ContactReq,MATCH(C592,Stu_ID,0)),""))</f>
        <v/>
      </c>
      <c r="I592" s="107">
        <f>IF($J592="","",IFERROR(INDEX(Stu_Notes,MATCH(C592,Stu_ID,0)),""))</f>
        <v/>
      </c>
      <c r="J592" s="40">
        <f>IF(587&gt;$B$3,"",IFERROR(MATCH(587-1,EV_Seq,1)+1,1))</f>
        <v/>
      </c>
    </row>
    <row r="593">
      <c r="A593" s="105">
        <f>IF($J593="","",INDEX(EV_Date,$J593))</f>
        <v/>
      </c>
      <c r="B593" s="78">
        <f>IF($J593="","",INDEX(EV_Name,$J593))</f>
        <v/>
      </c>
      <c r="C593" s="106">
        <f>IF($J593="","",INDEX(EV_ID,$J593))</f>
        <v/>
      </c>
      <c r="D593" s="106">
        <f>IF($J593="","",INDEX(EV_Class,$J593))</f>
        <v/>
      </c>
      <c r="E593" s="106">
        <f>IF($J593="","",INDEX(EV_Type,$J593))</f>
        <v/>
      </c>
      <c r="F593" s="106">
        <f>IF($J593="","",INDEX(EV_Cum,$J593))</f>
        <v/>
      </c>
      <c r="G593" s="106">
        <f>IF($J593="","",INDEX(LevelLabels,MATCH(F593,LevelValues,1)))</f>
        <v/>
      </c>
      <c r="H593" s="106">
        <f>IF($J593="","",IFERROR(INDEX(Stu_ContactReq,MATCH(C593,Stu_ID,0)),""))</f>
        <v/>
      </c>
      <c r="I593" s="107">
        <f>IF($J593="","",IFERROR(INDEX(Stu_Notes,MATCH(C593,Stu_ID,0)),""))</f>
        <v/>
      </c>
      <c r="J593" s="40">
        <f>IF(588&gt;$B$3,"",IFERROR(MATCH(588-1,EV_Seq,1)+1,1))</f>
        <v/>
      </c>
    </row>
    <row r="594">
      <c r="A594" s="105">
        <f>IF($J594="","",INDEX(EV_Date,$J594))</f>
        <v/>
      </c>
      <c r="B594" s="78">
        <f>IF($J594="","",INDEX(EV_Name,$J594))</f>
        <v/>
      </c>
      <c r="C594" s="106">
        <f>IF($J594="","",INDEX(EV_ID,$J594))</f>
        <v/>
      </c>
      <c r="D594" s="106">
        <f>IF($J594="","",INDEX(EV_Class,$J594))</f>
        <v/>
      </c>
      <c r="E594" s="106">
        <f>IF($J594="","",INDEX(EV_Type,$J594))</f>
        <v/>
      </c>
      <c r="F594" s="106">
        <f>IF($J594="","",INDEX(EV_Cum,$J594))</f>
        <v/>
      </c>
      <c r="G594" s="106">
        <f>IF($J594="","",INDEX(LevelLabels,MATCH(F594,LevelValues,1)))</f>
        <v/>
      </c>
      <c r="H594" s="106">
        <f>IF($J594="","",IFERROR(INDEX(Stu_ContactReq,MATCH(C594,Stu_ID,0)),""))</f>
        <v/>
      </c>
      <c r="I594" s="107">
        <f>IF($J594="","",IFERROR(INDEX(Stu_Notes,MATCH(C594,Stu_ID,0)),""))</f>
        <v/>
      </c>
      <c r="J594" s="40">
        <f>IF(589&gt;$B$3,"",IFERROR(MATCH(589-1,EV_Seq,1)+1,1))</f>
        <v/>
      </c>
    </row>
    <row r="595">
      <c r="A595" s="105">
        <f>IF($J595="","",INDEX(EV_Date,$J595))</f>
        <v/>
      </c>
      <c r="B595" s="78">
        <f>IF($J595="","",INDEX(EV_Name,$J595))</f>
        <v/>
      </c>
      <c r="C595" s="106">
        <f>IF($J595="","",INDEX(EV_ID,$J595))</f>
        <v/>
      </c>
      <c r="D595" s="106">
        <f>IF($J595="","",INDEX(EV_Class,$J595))</f>
        <v/>
      </c>
      <c r="E595" s="106">
        <f>IF($J595="","",INDEX(EV_Type,$J595))</f>
        <v/>
      </c>
      <c r="F595" s="106">
        <f>IF($J595="","",INDEX(EV_Cum,$J595))</f>
        <v/>
      </c>
      <c r="G595" s="106">
        <f>IF($J595="","",INDEX(LevelLabels,MATCH(F595,LevelValues,1)))</f>
        <v/>
      </c>
      <c r="H595" s="106">
        <f>IF($J595="","",IFERROR(INDEX(Stu_ContactReq,MATCH(C595,Stu_ID,0)),""))</f>
        <v/>
      </c>
      <c r="I595" s="107">
        <f>IF($J595="","",IFERROR(INDEX(Stu_Notes,MATCH(C595,Stu_ID,0)),""))</f>
        <v/>
      </c>
      <c r="J595" s="40">
        <f>IF(590&gt;$B$3,"",IFERROR(MATCH(590-1,EV_Seq,1)+1,1))</f>
        <v/>
      </c>
    </row>
    <row r="596">
      <c r="A596" s="105">
        <f>IF($J596="","",INDEX(EV_Date,$J596))</f>
        <v/>
      </c>
      <c r="B596" s="78">
        <f>IF($J596="","",INDEX(EV_Name,$J596))</f>
        <v/>
      </c>
      <c r="C596" s="106">
        <f>IF($J596="","",INDEX(EV_ID,$J596))</f>
        <v/>
      </c>
      <c r="D596" s="106">
        <f>IF($J596="","",INDEX(EV_Class,$J596))</f>
        <v/>
      </c>
      <c r="E596" s="106">
        <f>IF($J596="","",INDEX(EV_Type,$J596))</f>
        <v/>
      </c>
      <c r="F596" s="106">
        <f>IF($J596="","",INDEX(EV_Cum,$J596))</f>
        <v/>
      </c>
      <c r="G596" s="106">
        <f>IF($J596="","",INDEX(LevelLabels,MATCH(F596,LevelValues,1)))</f>
        <v/>
      </c>
      <c r="H596" s="106">
        <f>IF($J596="","",IFERROR(INDEX(Stu_ContactReq,MATCH(C596,Stu_ID,0)),""))</f>
        <v/>
      </c>
      <c r="I596" s="107">
        <f>IF($J596="","",IFERROR(INDEX(Stu_Notes,MATCH(C596,Stu_ID,0)),""))</f>
        <v/>
      </c>
      <c r="J596" s="40">
        <f>IF(591&gt;$B$3,"",IFERROR(MATCH(591-1,EV_Seq,1)+1,1))</f>
        <v/>
      </c>
    </row>
    <row r="597">
      <c r="A597" s="105">
        <f>IF($J597="","",INDEX(EV_Date,$J597))</f>
        <v/>
      </c>
      <c r="B597" s="78">
        <f>IF($J597="","",INDEX(EV_Name,$J597))</f>
        <v/>
      </c>
      <c r="C597" s="106">
        <f>IF($J597="","",INDEX(EV_ID,$J597))</f>
        <v/>
      </c>
      <c r="D597" s="106">
        <f>IF($J597="","",INDEX(EV_Class,$J597))</f>
        <v/>
      </c>
      <c r="E597" s="106">
        <f>IF($J597="","",INDEX(EV_Type,$J597))</f>
        <v/>
      </c>
      <c r="F597" s="106">
        <f>IF($J597="","",INDEX(EV_Cum,$J597))</f>
        <v/>
      </c>
      <c r="G597" s="106">
        <f>IF($J597="","",INDEX(LevelLabels,MATCH(F597,LevelValues,1)))</f>
        <v/>
      </c>
      <c r="H597" s="106">
        <f>IF($J597="","",IFERROR(INDEX(Stu_ContactReq,MATCH(C597,Stu_ID,0)),""))</f>
        <v/>
      </c>
      <c r="I597" s="107">
        <f>IF($J597="","",IFERROR(INDEX(Stu_Notes,MATCH(C597,Stu_ID,0)),""))</f>
        <v/>
      </c>
      <c r="J597" s="40">
        <f>IF(592&gt;$B$3,"",IFERROR(MATCH(592-1,EV_Seq,1)+1,1))</f>
        <v/>
      </c>
    </row>
    <row r="598">
      <c r="A598" s="105">
        <f>IF($J598="","",INDEX(EV_Date,$J598))</f>
        <v/>
      </c>
      <c r="B598" s="78">
        <f>IF($J598="","",INDEX(EV_Name,$J598))</f>
        <v/>
      </c>
      <c r="C598" s="106">
        <f>IF($J598="","",INDEX(EV_ID,$J598))</f>
        <v/>
      </c>
      <c r="D598" s="106">
        <f>IF($J598="","",INDEX(EV_Class,$J598))</f>
        <v/>
      </c>
      <c r="E598" s="106">
        <f>IF($J598="","",INDEX(EV_Type,$J598))</f>
        <v/>
      </c>
      <c r="F598" s="106">
        <f>IF($J598="","",INDEX(EV_Cum,$J598))</f>
        <v/>
      </c>
      <c r="G598" s="106">
        <f>IF($J598="","",INDEX(LevelLabels,MATCH(F598,LevelValues,1)))</f>
        <v/>
      </c>
      <c r="H598" s="106">
        <f>IF($J598="","",IFERROR(INDEX(Stu_ContactReq,MATCH(C598,Stu_ID,0)),""))</f>
        <v/>
      </c>
      <c r="I598" s="107">
        <f>IF($J598="","",IFERROR(INDEX(Stu_Notes,MATCH(C598,Stu_ID,0)),""))</f>
        <v/>
      </c>
      <c r="J598" s="40">
        <f>IF(593&gt;$B$3,"",IFERROR(MATCH(593-1,EV_Seq,1)+1,1))</f>
        <v/>
      </c>
    </row>
    <row r="599">
      <c r="A599" s="105">
        <f>IF($J599="","",INDEX(EV_Date,$J599))</f>
        <v/>
      </c>
      <c r="B599" s="78">
        <f>IF($J599="","",INDEX(EV_Name,$J599))</f>
        <v/>
      </c>
      <c r="C599" s="106">
        <f>IF($J599="","",INDEX(EV_ID,$J599))</f>
        <v/>
      </c>
      <c r="D599" s="106">
        <f>IF($J599="","",INDEX(EV_Class,$J599))</f>
        <v/>
      </c>
      <c r="E599" s="106">
        <f>IF($J599="","",INDEX(EV_Type,$J599))</f>
        <v/>
      </c>
      <c r="F599" s="106">
        <f>IF($J599="","",INDEX(EV_Cum,$J599))</f>
        <v/>
      </c>
      <c r="G599" s="106">
        <f>IF($J599="","",INDEX(LevelLabels,MATCH(F599,LevelValues,1)))</f>
        <v/>
      </c>
      <c r="H599" s="106">
        <f>IF($J599="","",IFERROR(INDEX(Stu_ContactReq,MATCH(C599,Stu_ID,0)),""))</f>
        <v/>
      </c>
      <c r="I599" s="107">
        <f>IF($J599="","",IFERROR(INDEX(Stu_Notes,MATCH(C599,Stu_ID,0)),""))</f>
        <v/>
      </c>
      <c r="J599" s="40">
        <f>IF(594&gt;$B$3,"",IFERROR(MATCH(594-1,EV_Seq,1)+1,1))</f>
        <v/>
      </c>
    </row>
    <row r="600">
      <c r="A600" s="105">
        <f>IF($J600="","",INDEX(EV_Date,$J600))</f>
        <v/>
      </c>
      <c r="B600" s="78">
        <f>IF($J600="","",INDEX(EV_Name,$J600))</f>
        <v/>
      </c>
      <c r="C600" s="106">
        <f>IF($J600="","",INDEX(EV_ID,$J600))</f>
        <v/>
      </c>
      <c r="D600" s="106">
        <f>IF($J600="","",INDEX(EV_Class,$J600))</f>
        <v/>
      </c>
      <c r="E600" s="106">
        <f>IF($J600="","",INDEX(EV_Type,$J600))</f>
        <v/>
      </c>
      <c r="F600" s="106">
        <f>IF($J600="","",INDEX(EV_Cum,$J600))</f>
        <v/>
      </c>
      <c r="G600" s="106">
        <f>IF($J600="","",INDEX(LevelLabels,MATCH(F600,LevelValues,1)))</f>
        <v/>
      </c>
      <c r="H600" s="106">
        <f>IF($J600="","",IFERROR(INDEX(Stu_ContactReq,MATCH(C600,Stu_ID,0)),""))</f>
        <v/>
      </c>
      <c r="I600" s="107">
        <f>IF($J600="","",IFERROR(INDEX(Stu_Notes,MATCH(C600,Stu_ID,0)),""))</f>
        <v/>
      </c>
      <c r="J600" s="40">
        <f>IF(595&gt;$B$3,"",IFERROR(MATCH(595-1,EV_Seq,1)+1,1))</f>
        <v/>
      </c>
    </row>
    <row r="601">
      <c r="A601" s="105">
        <f>IF($J601="","",INDEX(EV_Date,$J601))</f>
        <v/>
      </c>
      <c r="B601" s="78">
        <f>IF($J601="","",INDEX(EV_Name,$J601))</f>
        <v/>
      </c>
      <c r="C601" s="106">
        <f>IF($J601="","",INDEX(EV_ID,$J601))</f>
        <v/>
      </c>
      <c r="D601" s="106">
        <f>IF($J601="","",INDEX(EV_Class,$J601))</f>
        <v/>
      </c>
      <c r="E601" s="106">
        <f>IF($J601="","",INDEX(EV_Type,$J601))</f>
        <v/>
      </c>
      <c r="F601" s="106">
        <f>IF($J601="","",INDEX(EV_Cum,$J601))</f>
        <v/>
      </c>
      <c r="G601" s="106">
        <f>IF($J601="","",INDEX(LevelLabels,MATCH(F601,LevelValues,1)))</f>
        <v/>
      </c>
      <c r="H601" s="106">
        <f>IF($J601="","",IFERROR(INDEX(Stu_ContactReq,MATCH(C601,Stu_ID,0)),""))</f>
        <v/>
      </c>
      <c r="I601" s="107">
        <f>IF($J601="","",IFERROR(INDEX(Stu_Notes,MATCH(C601,Stu_ID,0)),""))</f>
        <v/>
      </c>
      <c r="J601" s="40">
        <f>IF(596&gt;$B$3,"",IFERROR(MATCH(596-1,EV_Seq,1)+1,1))</f>
        <v/>
      </c>
    </row>
    <row r="602">
      <c r="A602" s="105">
        <f>IF($J602="","",INDEX(EV_Date,$J602))</f>
        <v/>
      </c>
      <c r="B602" s="78">
        <f>IF($J602="","",INDEX(EV_Name,$J602))</f>
        <v/>
      </c>
      <c r="C602" s="106">
        <f>IF($J602="","",INDEX(EV_ID,$J602))</f>
        <v/>
      </c>
      <c r="D602" s="106">
        <f>IF($J602="","",INDEX(EV_Class,$J602))</f>
        <v/>
      </c>
      <c r="E602" s="106">
        <f>IF($J602="","",INDEX(EV_Type,$J602))</f>
        <v/>
      </c>
      <c r="F602" s="106">
        <f>IF($J602="","",INDEX(EV_Cum,$J602))</f>
        <v/>
      </c>
      <c r="G602" s="106">
        <f>IF($J602="","",INDEX(LevelLabels,MATCH(F602,LevelValues,1)))</f>
        <v/>
      </c>
      <c r="H602" s="106">
        <f>IF($J602="","",IFERROR(INDEX(Stu_ContactReq,MATCH(C602,Stu_ID,0)),""))</f>
        <v/>
      </c>
      <c r="I602" s="107">
        <f>IF($J602="","",IFERROR(INDEX(Stu_Notes,MATCH(C602,Stu_ID,0)),""))</f>
        <v/>
      </c>
      <c r="J602" s="40">
        <f>IF(597&gt;$B$3,"",IFERROR(MATCH(597-1,EV_Seq,1)+1,1))</f>
        <v/>
      </c>
    </row>
    <row r="603">
      <c r="A603" s="105">
        <f>IF($J603="","",INDEX(EV_Date,$J603))</f>
        <v/>
      </c>
      <c r="B603" s="78">
        <f>IF($J603="","",INDEX(EV_Name,$J603))</f>
        <v/>
      </c>
      <c r="C603" s="106">
        <f>IF($J603="","",INDEX(EV_ID,$J603))</f>
        <v/>
      </c>
      <c r="D603" s="106">
        <f>IF($J603="","",INDEX(EV_Class,$J603))</f>
        <v/>
      </c>
      <c r="E603" s="106">
        <f>IF($J603="","",INDEX(EV_Type,$J603))</f>
        <v/>
      </c>
      <c r="F603" s="106">
        <f>IF($J603="","",INDEX(EV_Cum,$J603))</f>
        <v/>
      </c>
      <c r="G603" s="106">
        <f>IF($J603="","",INDEX(LevelLabels,MATCH(F603,LevelValues,1)))</f>
        <v/>
      </c>
      <c r="H603" s="106">
        <f>IF($J603="","",IFERROR(INDEX(Stu_ContactReq,MATCH(C603,Stu_ID,0)),""))</f>
        <v/>
      </c>
      <c r="I603" s="107">
        <f>IF($J603="","",IFERROR(INDEX(Stu_Notes,MATCH(C603,Stu_ID,0)),""))</f>
        <v/>
      </c>
      <c r="J603" s="40">
        <f>IF(598&gt;$B$3,"",IFERROR(MATCH(598-1,EV_Seq,1)+1,1))</f>
        <v/>
      </c>
    </row>
    <row r="604">
      <c r="A604" s="105">
        <f>IF($J604="","",INDEX(EV_Date,$J604))</f>
        <v/>
      </c>
      <c r="B604" s="78">
        <f>IF($J604="","",INDEX(EV_Name,$J604))</f>
        <v/>
      </c>
      <c r="C604" s="106">
        <f>IF($J604="","",INDEX(EV_ID,$J604))</f>
        <v/>
      </c>
      <c r="D604" s="106">
        <f>IF($J604="","",INDEX(EV_Class,$J604))</f>
        <v/>
      </c>
      <c r="E604" s="106">
        <f>IF($J604="","",INDEX(EV_Type,$J604))</f>
        <v/>
      </c>
      <c r="F604" s="106">
        <f>IF($J604="","",INDEX(EV_Cum,$J604))</f>
        <v/>
      </c>
      <c r="G604" s="106">
        <f>IF($J604="","",INDEX(LevelLabels,MATCH(F604,LevelValues,1)))</f>
        <v/>
      </c>
      <c r="H604" s="106">
        <f>IF($J604="","",IFERROR(INDEX(Stu_ContactReq,MATCH(C604,Stu_ID,0)),""))</f>
        <v/>
      </c>
      <c r="I604" s="107">
        <f>IF($J604="","",IFERROR(INDEX(Stu_Notes,MATCH(C604,Stu_ID,0)),""))</f>
        <v/>
      </c>
      <c r="J604" s="40">
        <f>IF(599&gt;$B$3,"",IFERROR(MATCH(599-1,EV_Seq,1)+1,1))</f>
        <v/>
      </c>
    </row>
    <row r="605">
      <c r="A605" s="105">
        <f>IF($J605="","",INDEX(EV_Date,$J605))</f>
        <v/>
      </c>
      <c r="B605" s="78">
        <f>IF($J605="","",INDEX(EV_Name,$J605))</f>
        <v/>
      </c>
      <c r="C605" s="106">
        <f>IF($J605="","",INDEX(EV_ID,$J605))</f>
        <v/>
      </c>
      <c r="D605" s="106">
        <f>IF($J605="","",INDEX(EV_Class,$J605))</f>
        <v/>
      </c>
      <c r="E605" s="106">
        <f>IF($J605="","",INDEX(EV_Type,$J605))</f>
        <v/>
      </c>
      <c r="F605" s="106">
        <f>IF($J605="","",INDEX(EV_Cum,$J605))</f>
        <v/>
      </c>
      <c r="G605" s="106">
        <f>IF($J605="","",INDEX(LevelLabels,MATCH(F605,LevelValues,1)))</f>
        <v/>
      </c>
      <c r="H605" s="106">
        <f>IF($J605="","",IFERROR(INDEX(Stu_ContactReq,MATCH(C605,Stu_ID,0)),""))</f>
        <v/>
      </c>
      <c r="I605" s="107">
        <f>IF($J605="","",IFERROR(INDEX(Stu_Notes,MATCH(C605,Stu_ID,0)),""))</f>
        <v/>
      </c>
      <c r="J605" s="40">
        <f>IF(600&gt;$B$3,"",IFERROR(MATCH(600-1,EV_Seq,1)+1,1))</f>
        <v/>
      </c>
    </row>
    <row r="606">
      <c r="A606" s="105">
        <f>IF($J606="","",INDEX(EV_Date,$J606))</f>
        <v/>
      </c>
      <c r="B606" s="78">
        <f>IF($J606="","",INDEX(EV_Name,$J606))</f>
        <v/>
      </c>
      <c r="C606" s="106">
        <f>IF($J606="","",INDEX(EV_ID,$J606))</f>
        <v/>
      </c>
      <c r="D606" s="106">
        <f>IF($J606="","",INDEX(EV_Class,$J606))</f>
        <v/>
      </c>
      <c r="E606" s="106">
        <f>IF($J606="","",INDEX(EV_Type,$J606))</f>
        <v/>
      </c>
      <c r="F606" s="106">
        <f>IF($J606="","",INDEX(EV_Cum,$J606))</f>
        <v/>
      </c>
      <c r="G606" s="106">
        <f>IF($J606="","",INDEX(LevelLabels,MATCH(F606,LevelValues,1)))</f>
        <v/>
      </c>
      <c r="H606" s="106">
        <f>IF($J606="","",IFERROR(INDEX(Stu_ContactReq,MATCH(C606,Stu_ID,0)),""))</f>
        <v/>
      </c>
      <c r="I606" s="107">
        <f>IF($J606="","",IFERROR(INDEX(Stu_Notes,MATCH(C606,Stu_ID,0)),""))</f>
        <v/>
      </c>
      <c r="J606" s="40">
        <f>IF(601&gt;$B$3,"",IFERROR(MATCH(601-1,EV_Seq,1)+1,1))</f>
        <v/>
      </c>
    </row>
    <row r="607">
      <c r="A607" s="105">
        <f>IF($J607="","",INDEX(EV_Date,$J607))</f>
        <v/>
      </c>
      <c r="B607" s="78">
        <f>IF($J607="","",INDEX(EV_Name,$J607))</f>
        <v/>
      </c>
      <c r="C607" s="106">
        <f>IF($J607="","",INDEX(EV_ID,$J607))</f>
        <v/>
      </c>
      <c r="D607" s="106">
        <f>IF($J607="","",INDEX(EV_Class,$J607))</f>
        <v/>
      </c>
      <c r="E607" s="106">
        <f>IF($J607="","",INDEX(EV_Type,$J607))</f>
        <v/>
      </c>
      <c r="F607" s="106">
        <f>IF($J607="","",INDEX(EV_Cum,$J607))</f>
        <v/>
      </c>
      <c r="G607" s="106">
        <f>IF($J607="","",INDEX(LevelLabels,MATCH(F607,LevelValues,1)))</f>
        <v/>
      </c>
      <c r="H607" s="106">
        <f>IF($J607="","",IFERROR(INDEX(Stu_ContactReq,MATCH(C607,Stu_ID,0)),""))</f>
        <v/>
      </c>
      <c r="I607" s="107">
        <f>IF($J607="","",IFERROR(INDEX(Stu_Notes,MATCH(C607,Stu_ID,0)),""))</f>
        <v/>
      </c>
      <c r="J607" s="40">
        <f>IF(602&gt;$B$3,"",IFERROR(MATCH(602-1,EV_Seq,1)+1,1))</f>
        <v/>
      </c>
    </row>
    <row r="608">
      <c r="A608" s="105">
        <f>IF($J608="","",INDEX(EV_Date,$J608))</f>
        <v/>
      </c>
      <c r="B608" s="78">
        <f>IF($J608="","",INDEX(EV_Name,$J608))</f>
        <v/>
      </c>
      <c r="C608" s="106">
        <f>IF($J608="","",INDEX(EV_ID,$J608))</f>
        <v/>
      </c>
      <c r="D608" s="106">
        <f>IF($J608="","",INDEX(EV_Class,$J608))</f>
        <v/>
      </c>
      <c r="E608" s="106">
        <f>IF($J608="","",INDEX(EV_Type,$J608))</f>
        <v/>
      </c>
      <c r="F608" s="106">
        <f>IF($J608="","",INDEX(EV_Cum,$J608))</f>
        <v/>
      </c>
      <c r="G608" s="106">
        <f>IF($J608="","",INDEX(LevelLabels,MATCH(F608,LevelValues,1)))</f>
        <v/>
      </c>
      <c r="H608" s="106">
        <f>IF($J608="","",IFERROR(INDEX(Stu_ContactReq,MATCH(C608,Stu_ID,0)),""))</f>
        <v/>
      </c>
      <c r="I608" s="107">
        <f>IF($J608="","",IFERROR(INDEX(Stu_Notes,MATCH(C608,Stu_ID,0)),""))</f>
        <v/>
      </c>
      <c r="J608" s="40">
        <f>IF(603&gt;$B$3,"",IFERROR(MATCH(603-1,EV_Seq,1)+1,1))</f>
        <v/>
      </c>
    </row>
    <row r="609">
      <c r="A609" s="105">
        <f>IF($J609="","",INDEX(EV_Date,$J609))</f>
        <v/>
      </c>
      <c r="B609" s="78">
        <f>IF($J609="","",INDEX(EV_Name,$J609))</f>
        <v/>
      </c>
      <c r="C609" s="106">
        <f>IF($J609="","",INDEX(EV_ID,$J609))</f>
        <v/>
      </c>
      <c r="D609" s="106">
        <f>IF($J609="","",INDEX(EV_Class,$J609))</f>
        <v/>
      </c>
      <c r="E609" s="106">
        <f>IF($J609="","",INDEX(EV_Type,$J609))</f>
        <v/>
      </c>
      <c r="F609" s="106">
        <f>IF($J609="","",INDEX(EV_Cum,$J609))</f>
        <v/>
      </c>
      <c r="G609" s="106">
        <f>IF($J609="","",INDEX(LevelLabels,MATCH(F609,LevelValues,1)))</f>
        <v/>
      </c>
      <c r="H609" s="106">
        <f>IF($J609="","",IFERROR(INDEX(Stu_ContactReq,MATCH(C609,Stu_ID,0)),""))</f>
        <v/>
      </c>
      <c r="I609" s="107">
        <f>IF($J609="","",IFERROR(INDEX(Stu_Notes,MATCH(C609,Stu_ID,0)),""))</f>
        <v/>
      </c>
      <c r="J609" s="40">
        <f>IF(604&gt;$B$3,"",IFERROR(MATCH(604-1,EV_Seq,1)+1,1))</f>
        <v/>
      </c>
    </row>
    <row r="610">
      <c r="A610" s="105">
        <f>IF($J610="","",INDEX(EV_Date,$J610))</f>
        <v/>
      </c>
      <c r="B610" s="78">
        <f>IF($J610="","",INDEX(EV_Name,$J610))</f>
        <v/>
      </c>
      <c r="C610" s="106">
        <f>IF($J610="","",INDEX(EV_ID,$J610))</f>
        <v/>
      </c>
      <c r="D610" s="106">
        <f>IF($J610="","",INDEX(EV_Class,$J610))</f>
        <v/>
      </c>
      <c r="E610" s="106">
        <f>IF($J610="","",INDEX(EV_Type,$J610))</f>
        <v/>
      </c>
      <c r="F610" s="106">
        <f>IF($J610="","",INDEX(EV_Cum,$J610))</f>
        <v/>
      </c>
      <c r="G610" s="106">
        <f>IF($J610="","",INDEX(LevelLabels,MATCH(F610,LevelValues,1)))</f>
        <v/>
      </c>
      <c r="H610" s="106">
        <f>IF($J610="","",IFERROR(INDEX(Stu_ContactReq,MATCH(C610,Stu_ID,0)),""))</f>
        <v/>
      </c>
      <c r="I610" s="107">
        <f>IF($J610="","",IFERROR(INDEX(Stu_Notes,MATCH(C610,Stu_ID,0)),""))</f>
        <v/>
      </c>
      <c r="J610" s="40">
        <f>IF(605&gt;$B$3,"",IFERROR(MATCH(605-1,EV_Seq,1)+1,1))</f>
        <v/>
      </c>
    </row>
    <row r="611">
      <c r="A611" s="105">
        <f>IF($J611="","",INDEX(EV_Date,$J611))</f>
        <v/>
      </c>
      <c r="B611" s="78">
        <f>IF($J611="","",INDEX(EV_Name,$J611))</f>
        <v/>
      </c>
      <c r="C611" s="106">
        <f>IF($J611="","",INDEX(EV_ID,$J611))</f>
        <v/>
      </c>
      <c r="D611" s="106">
        <f>IF($J611="","",INDEX(EV_Class,$J611))</f>
        <v/>
      </c>
      <c r="E611" s="106">
        <f>IF($J611="","",INDEX(EV_Type,$J611))</f>
        <v/>
      </c>
      <c r="F611" s="106">
        <f>IF($J611="","",INDEX(EV_Cum,$J611))</f>
        <v/>
      </c>
      <c r="G611" s="106">
        <f>IF($J611="","",INDEX(LevelLabels,MATCH(F611,LevelValues,1)))</f>
        <v/>
      </c>
      <c r="H611" s="106">
        <f>IF($J611="","",IFERROR(INDEX(Stu_ContactReq,MATCH(C611,Stu_ID,0)),""))</f>
        <v/>
      </c>
      <c r="I611" s="107">
        <f>IF($J611="","",IFERROR(INDEX(Stu_Notes,MATCH(C611,Stu_ID,0)),""))</f>
        <v/>
      </c>
      <c r="J611" s="40">
        <f>IF(606&gt;$B$3,"",IFERROR(MATCH(606-1,EV_Seq,1)+1,1))</f>
        <v/>
      </c>
    </row>
    <row r="612">
      <c r="A612" s="105">
        <f>IF($J612="","",INDEX(EV_Date,$J612))</f>
        <v/>
      </c>
      <c r="B612" s="78">
        <f>IF($J612="","",INDEX(EV_Name,$J612))</f>
        <v/>
      </c>
      <c r="C612" s="106">
        <f>IF($J612="","",INDEX(EV_ID,$J612))</f>
        <v/>
      </c>
      <c r="D612" s="106">
        <f>IF($J612="","",INDEX(EV_Class,$J612))</f>
        <v/>
      </c>
      <c r="E612" s="106">
        <f>IF($J612="","",INDEX(EV_Type,$J612))</f>
        <v/>
      </c>
      <c r="F612" s="106">
        <f>IF($J612="","",INDEX(EV_Cum,$J612))</f>
        <v/>
      </c>
      <c r="G612" s="106">
        <f>IF($J612="","",INDEX(LevelLabels,MATCH(F612,LevelValues,1)))</f>
        <v/>
      </c>
      <c r="H612" s="106">
        <f>IF($J612="","",IFERROR(INDEX(Stu_ContactReq,MATCH(C612,Stu_ID,0)),""))</f>
        <v/>
      </c>
      <c r="I612" s="107">
        <f>IF($J612="","",IFERROR(INDEX(Stu_Notes,MATCH(C612,Stu_ID,0)),""))</f>
        <v/>
      </c>
      <c r="J612" s="40">
        <f>IF(607&gt;$B$3,"",IFERROR(MATCH(607-1,EV_Seq,1)+1,1))</f>
        <v/>
      </c>
    </row>
    <row r="613">
      <c r="A613" s="105">
        <f>IF($J613="","",INDEX(EV_Date,$J613))</f>
        <v/>
      </c>
      <c r="B613" s="78">
        <f>IF($J613="","",INDEX(EV_Name,$J613))</f>
        <v/>
      </c>
      <c r="C613" s="106">
        <f>IF($J613="","",INDEX(EV_ID,$J613))</f>
        <v/>
      </c>
      <c r="D613" s="106">
        <f>IF($J613="","",INDEX(EV_Class,$J613))</f>
        <v/>
      </c>
      <c r="E613" s="106">
        <f>IF($J613="","",INDEX(EV_Type,$J613))</f>
        <v/>
      </c>
      <c r="F613" s="106">
        <f>IF($J613="","",INDEX(EV_Cum,$J613))</f>
        <v/>
      </c>
      <c r="G613" s="106">
        <f>IF($J613="","",INDEX(LevelLabels,MATCH(F613,LevelValues,1)))</f>
        <v/>
      </c>
      <c r="H613" s="106">
        <f>IF($J613="","",IFERROR(INDEX(Stu_ContactReq,MATCH(C613,Stu_ID,0)),""))</f>
        <v/>
      </c>
      <c r="I613" s="107">
        <f>IF($J613="","",IFERROR(INDEX(Stu_Notes,MATCH(C613,Stu_ID,0)),""))</f>
        <v/>
      </c>
      <c r="J613" s="40">
        <f>IF(608&gt;$B$3,"",IFERROR(MATCH(608-1,EV_Seq,1)+1,1))</f>
        <v/>
      </c>
    </row>
    <row r="614">
      <c r="A614" s="105">
        <f>IF($J614="","",INDEX(EV_Date,$J614))</f>
        <v/>
      </c>
      <c r="B614" s="78">
        <f>IF($J614="","",INDEX(EV_Name,$J614))</f>
        <v/>
      </c>
      <c r="C614" s="106">
        <f>IF($J614="","",INDEX(EV_ID,$J614))</f>
        <v/>
      </c>
      <c r="D614" s="106">
        <f>IF($J614="","",INDEX(EV_Class,$J614))</f>
        <v/>
      </c>
      <c r="E614" s="106">
        <f>IF($J614="","",INDEX(EV_Type,$J614))</f>
        <v/>
      </c>
      <c r="F614" s="106">
        <f>IF($J614="","",INDEX(EV_Cum,$J614))</f>
        <v/>
      </c>
      <c r="G614" s="106">
        <f>IF($J614="","",INDEX(LevelLabels,MATCH(F614,LevelValues,1)))</f>
        <v/>
      </c>
      <c r="H614" s="106">
        <f>IF($J614="","",IFERROR(INDEX(Stu_ContactReq,MATCH(C614,Stu_ID,0)),""))</f>
        <v/>
      </c>
      <c r="I614" s="107">
        <f>IF($J614="","",IFERROR(INDEX(Stu_Notes,MATCH(C614,Stu_ID,0)),""))</f>
        <v/>
      </c>
      <c r="J614" s="40">
        <f>IF(609&gt;$B$3,"",IFERROR(MATCH(609-1,EV_Seq,1)+1,1))</f>
        <v/>
      </c>
    </row>
    <row r="615">
      <c r="A615" s="105">
        <f>IF($J615="","",INDEX(EV_Date,$J615))</f>
        <v/>
      </c>
      <c r="B615" s="78">
        <f>IF($J615="","",INDEX(EV_Name,$J615))</f>
        <v/>
      </c>
      <c r="C615" s="106">
        <f>IF($J615="","",INDEX(EV_ID,$J615))</f>
        <v/>
      </c>
      <c r="D615" s="106">
        <f>IF($J615="","",INDEX(EV_Class,$J615))</f>
        <v/>
      </c>
      <c r="E615" s="106">
        <f>IF($J615="","",INDEX(EV_Type,$J615))</f>
        <v/>
      </c>
      <c r="F615" s="106">
        <f>IF($J615="","",INDEX(EV_Cum,$J615))</f>
        <v/>
      </c>
      <c r="G615" s="106">
        <f>IF($J615="","",INDEX(LevelLabels,MATCH(F615,LevelValues,1)))</f>
        <v/>
      </c>
      <c r="H615" s="106">
        <f>IF($J615="","",IFERROR(INDEX(Stu_ContactReq,MATCH(C615,Stu_ID,0)),""))</f>
        <v/>
      </c>
      <c r="I615" s="107">
        <f>IF($J615="","",IFERROR(INDEX(Stu_Notes,MATCH(C615,Stu_ID,0)),""))</f>
        <v/>
      </c>
      <c r="J615" s="40">
        <f>IF(610&gt;$B$3,"",IFERROR(MATCH(610-1,EV_Seq,1)+1,1))</f>
        <v/>
      </c>
    </row>
    <row r="616">
      <c r="A616" s="105">
        <f>IF($J616="","",INDEX(EV_Date,$J616))</f>
        <v/>
      </c>
      <c r="B616" s="78">
        <f>IF($J616="","",INDEX(EV_Name,$J616))</f>
        <v/>
      </c>
      <c r="C616" s="106">
        <f>IF($J616="","",INDEX(EV_ID,$J616))</f>
        <v/>
      </c>
      <c r="D616" s="106">
        <f>IF($J616="","",INDEX(EV_Class,$J616))</f>
        <v/>
      </c>
      <c r="E616" s="106">
        <f>IF($J616="","",INDEX(EV_Type,$J616))</f>
        <v/>
      </c>
      <c r="F616" s="106">
        <f>IF($J616="","",INDEX(EV_Cum,$J616))</f>
        <v/>
      </c>
      <c r="G616" s="106">
        <f>IF($J616="","",INDEX(LevelLabels,MATCH(F616,LevelValues,1)))</f>
        <v/>
      </c>
      <c r="H616" s="106">
        <f>IF($J616="","",IFERROR(INDEX(Stu_ContactReq,MATCH(C616,Stu_ID,0)),""))</f>
        <v/>
      </c>
      <c r="I616" s="107">
        <f>IF($J616="","",IFERROR(INDEX(Stu_Notes,MATCH(C616,Stu_ID,0)),""))</f>
        <v/>
      </c>
      <c r="J616" s="40">
        <f>IF(611&gt;$B$3,"",IFERROR(MATCH(611-1,EV_Seq,1)+1,1))</f>
        <v/>
      </c>
    </row>
    <row r="617">
      <c r="A617" s="105">
        <f>IF($J617="","",INDEX(EV_Date,$J617))</f>
        <v/>
      </c>
      <c r="B617" s="78">
        <f>IF($J617="","",INDEX(EV_Name,$J617))</f>
        <v/>
      </c>
      <c r="C617" s="106">
        <f>IF($J617="","",INDEX(EV_ID,$J617))</f>
        <v/>
      </c>
      <c r="D617" s="106">
        <f>IF($J617="","",INDEX(EV_Class,$J617))</f>
        <v/>
      </c>
      <c r="E617" s="106">
        <f>IF($J617="","",INDEX(EV_Type,$J617))</f>
        <v/>
      </c>
      <c r="F617" s="106">
        <f>IF($J617="","",INDEX(EV_Cum,$J617))</f>
        <v/>
      </c>
      <c r="G617" s="106">
        <f>IF($J617="","",INDEX(LevelLabels,MATCH(F617,LevelValues,1)))</f>
        <v/>
      </c>
      <c r="H617" s="106">
        <f>IF($J617="","",IFERROR(INDEX(Stu_ContactReq,MATCH(C617,Stu_ID,0)),""))</f>
        <v/>
      </c>
      <c r="I617" s="107">
        <f>IF($J617="","",IFERROR(INDEX(Stu_Notes,MATCH(C617,Stu_ID,0)),""))</f>
        <v/>
      </c>
      <c r="J617" s="40">
        <f>IF(612&gt;$B$3,"",IFERROR(MATCH(612-1,EV_Seq,1)+1,1))</f>
        <v/>
      </c>
    </row>
    <row r="618">
      <c r="A618" s="105">
        <f>IF($J618="","",INDEX(EV_Date,$J618))</f>
        <v/>
      </c>
      <c r="B618" s="78">
        <f>IF($J618="","",INDEX(EV_Name,$J618))</f>
        <v/>
      </c>
      <c r="C618" s="106">
        <f>IF($J618="","",INDEX(EV_ID,$J618))</f>
        <v/>
      </c>
      <c r="D618" s="106">
        <f>IF($J618="","",INDEX(EV_Class,$J618))</f>
        <v/>
      </c>
      <c r="E618" s="106">
        <f>IF($J618="","",INDEX(EV_Type,$J618))</f>
        <v/>
      </c>
      <c r="F618" s="106">
        <f>IF($J618="","",INDEX(EV_Cum,$J618))</f>
        <v/>
      </c>
      <c r="G618" s="106">
        <f>IF($J618="","",INDEX(LevelLabels,MATCH(F618,LevelValues,1)))</f>
        <v/>
      </c>
      <c r="H618" s="106">
        <f>IF($J618="","",IFERROR(INDEX(Stu_ContactReq,MATCH(C618,Stu_ID,0)),""))</f>
        <v/>
      </c>
      <c r="I618" s="107">
        <f>IF($J618="","",IFERROR(INDEX(Stu_Notes,MATCH(C618,Stu_ID,0)),""))</f>
        <v/>
      </c>
      <c r="J618" s="40">
        <f>IF(613&gt;$B$3,"",IFERROR(MATCH(613-1,EV_Seq,1)+1,1))</f>
        <v/>
      </c>
    </row>
    <row r="619">
      <c r="A619" s="105">
        <f>IF($J619="","",INDEX(EV_Date,$J619))</f>
        <v/>
      </c>
      <c r="B619" s="78">
        <f>IF($J619="","",INDEX(EV_Name,$J619))</f>
        <v/>
      </c>
      <c r="C619" s="106">
        <f>IF($J619="","",INDEX(EV_ID,$J619))</f>
        <v/>
      </c>
      <c r="D619" s="106">
        <f>IF($J619="","",INDEX(EV_Class,$J619))</f>
        <v/>
      </c>
      <c r="E619" s="106">
        <f>IF($J619="","",INDEX(EV_Type,$J619))</f>
        <v/>
      </c>
      <c r="F619" s="106">
        <f>IF($J619="","",INDEX(EV_Cum,$J619))</f>
        <v/>
      </c>
      <c r="G619" s="106">
        <f>IF($J619="","",INDEX(LevelLabels,MATCH(F619,LevelValues,1)))</f>
        <v/>
      </c>
      <c r="H619" s="106">
        <f>IF($J619="","",IFERROR(INDEX(Stu_ContactReq,MATCH(C619,Stu_ID,0)),""))</f>
        <v/>
      </c>
      <c r="I619" s="107">
        <f>IF($J619="","",IFERROR(INDEX(Stu_Notes,MATCH(C619,Stu_ID,0)),""))</f>
        <v/>
      </c>
      <c r="J619" s="40">
        <f>IF(614&gt;$B$3,"",IFERROR(MATCH(614-1,EV_Seq,1)+1,1))</f>
        <v/>
      </c>
    </row>
    <row r="620">
      <c r="A620" s="105">
        <f>IF($J620="","",INDEX(EV_Date,$J620))</f>
        <v/>
      </c>
      <c r="B620" s="78">
        <f>IF($J620="","",INDEX(EV_Name,$J620))</f>
        <v/>
      </c>
      <c r="C620" s="106">
        <f>IF($J620="","",INDEX(EV_ID,$J620))</f>
        <v/>
      </c>
      <c r="D620" s="106">
        <f>IF($J620="","",INDEX(EV_Class,$J620))</f>
        <v/>
      </c>
      <c r="E620" s="106">
        <f>IF($J620="","",INDEX(EV_Type,$J620))</f>
        <v/>
      </c>
      <c r="F620" s="106">
        <f>IF($J620="","",INDEX(EV_Cum,$J620))</f>
        <v/>
      </c>
      <c r="G620" s="106">
        <f>IF($J620="","",INDEX(LevelLabels,MATCH(F620,LevelValues,1)))</f>
        <v/>
      </c>
      <c r="H620" s="106">
        <f>IF($J620="","",IFERROR(INDEX(Stu_ContactReq,MATCH(C620,Stu_ID,0)),""))</f>
        <v/>
      </c>
      <c r="I620" s="107">
        <f>IF($J620="","",IFERROR(INDEX(Stu_Notes,MATCH(C620,Stu_ID,0)),""))</f>
        <v/>
      </c>
      <c r="J620" s="40">
        <f>IF(615&gt;$B$3,"",IFERROR(MATCH(615-1,EV_Seq,1)+1,1))</f>
        <v/>
      </c>
    </row>
    <row r="621">
      <c r="A621" s="105">
        <f>IF($J621="","",INDEX(EV_Date,$J621))</f>
        <v/>
      </c>
      <c r="B621" s="78">
        <f>IF($J621="","",INDEX(EV_Name,$J621))</f>
        <v/>
      </c>
      <c r="C621" s="106">
        <f>IF($J621="","",INDEX(EV_ID,$J621))</f>
        <v/>
      </c>
      <c r="D621" s="106">
        <f>IF($J621="","",INDEX(EV_Class,$J621))</f>
        <v/>
      </c>
      <c r="E621" s="106">
        <f>IF($J621="","",INDEX(EV_Type,$J621))</f>
        <v/>
      </c>
      <c r="F621" s="106">
        <f>IF($J621="","",INDEX(EV_Cum,$J621))</f>
        <v/>
      </c>
      <c r="G621" s="106">
        <f>IF($J621="","",INDEX(LevelLabels,MATCH(F621,LevelValues,1)))</f>
        <v/>
      </c>
      <c r="H621" s="106">
        <f>IF($J621="","",IFERROR(INDEX(Stu_ContactReq,MATCH(C621,Stu_ID,0)),""))</f>
        <v/>
      </c>
      <c r="I621" s="107">
        <f>IF($J621="","",IFERROR(INDEX(Stu_Notes,MATCH(C621,Stu_ID,0)),""))</f>
        <v/>
      </c>
      <c r="J621" s="40">
        <f>IF(616&gt;$B$3,"",IFERROR(MATCH(616-1,EV_Seq,1)+1,1))</f>
        <v/>
      </c>
    </row>
    <row r="622">
      <c r="A622" s="105">
        <f>IF($J622="","",INDEX(EV_Date,$J622))</f>
        <v/>
      </c>
      <c r="B622" s="78">
        <f>IF($J622="","",INDEX(EV_Name,$J622))</f>
        <v/>
      </c>
      <c r="C622" s="106">
        <f>IF($J622="","",INDEX(EV_ID,$J622))</f>
        <v/>
      </c>
      <c r="D622" s="106">
        <f>IF($J622="","",INDEX(EV_Class,$J622))</f>
        <v/>
      </c>
      <c r="E622" s="106">
        <f>IF($J622="","",INDEX(EV_Type,$J622))</f>
        <v/>
      </c>
      <c r="F622" s="106">
        <f>IF($J622="","",INDEX(EV_Cum,$J622))</f>
        <v/>
      </c>
      <c r="G622" s="106">
        <f>IF($J622="","",INDEX(LevelLabels,MATCH(F622,LevelValues,1)))</f>
        <v/>
      </c>
      <c r="H622" s="106">
        <f>IF($J622="","",IFERROR(INDEX(Stu_ContactReq,MATCH(C622,Stu_ID,0)),""))</f>
        <v/>
      </c>
      <c r="I622" s="107">
        <f>IF($J622="","",IFERROR(INDEX(Stu_Notes,MATCH(C622,Stu_ID,0)),""))</f>
        <v/>
      </c>
      <c r="J622" s="40">
        <f>IF(617&gt;$B$3,"",IFERROR(MATCH(617-1,EV_Seq,1)+1,1))</f>
        <v/>
      </c>
    </row>
    <row r="623">
      <c r="A623" s="105">
        <f>IF($J623="","",INDEX(EV_Date,$J623))</f>
        <v/>
      </c>
      <c r="B623" s="78">
        <f>IF($J623="","",INDEX(EV_Name,$J623))</f>
        <v/>
      </c>
      <c r="C623" s="106">
        <f>IF($J623="","",INDEX(EV_ID,$J623))</f>
        <v/>
      </c>
      <c r="D623" s="106">
        <f>IF($J623="","",INDEX(EV_Class,$J623))</f>
        <v/>
      </c>
      <c r="E623" s="106">
        <f>IF($J623="","",INDEX(EV_Type,$J623))</f>
        <v/>
      </c>
      <c r="F623" s="106">
        <f>IF($J623="","",INDEX(EV_Cum,$J623))</f>
        <v/>
      </c>
      <c r="G623" s="106">
        <f>IF($J623="","",INDEX(LevelLabels,MATCH(F623,LevelValues,1)))</f>
        <v/>
      </c>
      <c r="H623" s="106">
        <f>IF($J623="","",IFERROR(INDEX(Stu_ContactReq,MATCH(C623,Stu_ID,0)),""))</f>
        <v/>
      </c>
      <c r="I623" s="107">
        <f>IF($J623="","",IFERROR(INDEX(Stu_Notes,MATCH(C623,Stu_ID,0)),""))</f>
        <v/>
      </c>
      <c r="J623" s="40">
        <f>IF(618&gt;$B$3,"",IFERROR(MATCH(618-1,EV_Seq,1)+1,1))</f>
        <v/>
      </c>
    </row>
    <row r="624">
      <c r="A624" s="105">
        <f>IF($J624="","",INDEX(EV_Date,$J624))</f>
        <v/>
      </c>
      <c r="B624" s="78">
        <f>IF($J624="","",INDEX(EV_Name,$J624))</f>
        <v/>
      </c>
      <c r="C624" s="106">
        <f>IF($J624="","",INDEX(EV_ID,$J624))</f>
        <v/>
      </c>
      <c r="D624" s="106">
        <f>IF($J624="","",INDEX(EV_Class,$J624))</f>
        <v/>
      </c>
      <c r="E624" s="106">
        <f>IF($J624="","",INDEX(EV_Type,$J624))</f>
        <v/>
      </c>
      <c r="F624" s="106">
        <f>IF($J624="","",INDEX(EV_Cum,$J624))</f>
        <v/>
      </c>
      <c r="G624" s="106">
        <f>IF($J624="","",INDEX(LevelLabels,MATCH(F624,LevelValues,1)))</f>
        <v/>
      </c>
      <c r="H624" s="106">
        <f>IF($J624="","",IFERROR(INDEX(Stu_ContactReq,MATCH(C624,Stu_ID,0)),""))</f>
        <v/>
      </c>
      <c r="I624" s="107">
        <f>IF($J624="","",IFERROR(INDEX(Stu_Notes,MATCH(C624,Stu_ID,0)),""))</f>
        <v/>
      </c>
      <c r="J624" s="40">
        <f>IF(619&gt;$B$3,"",IFERROR(MATCH(619-1,EV_Seq,1)+1,1))</f>
        <v/>
      </c>
    </row>
    <row r="625">
      <c r="A625" s="105">
        <f>IF($J625="","",INDEX(EV_Date,$J625))</f>
        <v/>
      </c>
      <c r="B625" s="78">
        <f>IF($J625="","",INDEX(EV_Name,$J625))</f>
        <v/>
      </c>
      <c r="C625" s="106">
        <f>IF($J625="","",INDEX(EV_ID,$J625))</f>
        <v/>
      </c>
      <c r="D625" s="106">
        <f>IF($J625="","",INDEX(EV_Class,$J625))</f>
        <v/>
      </c>
      <c r="E625" s="106">
        <f>IF($J625="","",INDEX(EV_Type,$J625))</f>
        <v/>
      </c>
      <c r="F625" s="106">
        <f>IF($J625="","",INDEX(EV_Cum,$J625))</f>
        <v/>
      </c>
      <c r="G625" s="106">
        <f>IF($J625="","",INDEX(LevelLabels,MATCH(F625,LevelValues,1)))</f>
        <v/>
      </c>
      <c r="H625" s="106">
        <f>IF($J625="","",IFERROR(INDEX(Stu_ContactReq,MATCH(C625,Stu_ID,0)),""))</f>
        <v/>
      </c>
      <c r="I625" s="107">
        <f>IF($J625="","",IFERROR(INDEX(Stu_Notes,MATCH(C625,Stu_ID,0)),""))</f>
        <v/>
      </c>
      <c r="J625" s="40">
        <f>IF(620&gt;$B$3,"",IFERROR(MATCH(620-1,EV_Seq,1)+1,1))</f>
        <v/>
      </c>
    </row>
    <row r="626">
      <c r="A626" s="105">
        <f>IF($J626="","",INDEX(EV_Date,$J626))</f>
        <v/>
      </c>
      <c r="B626" s="78">
        <f>IF($J626="","",INDEX(EV_Name,$J626))</f>
        <v/>
      </c>
      <c r="C626" s="106">
        <f>IF($J626="","",INDEX(EV_ID,$J626))</f>
        <v/>
      </c>
      <c r="D626" s="106">
        <f>IF($J626="","",INDEX(EV_Class,$J626))</f>
        <v/>
      </c>
      <c r="E626" s="106">
        <f>IF($J626="","",INDEX(EV_Type,$J626))</f>
        <v/>
      </c>
      <c r="F626" s="106">
        <f>IF($J626="","",INDEX(EV_Cum,$J626))</f>
        <v/>
      </c>
      <c r="G626" s="106">
        <f>IF($J626="","",INDEX(LevelLabels,MATCH(F626,LevelValues,1)))</f>
        <v/>
      </c>
      <c r="H626" s="106">
        <f>IF($J626="","",IFERROR(INDEX(Stu_ContactReq,MATCH(C626,Stu_ID,0)),""))</f>
        <v/>
      </c>
      <c r="I626" s="107">
        <f>IF($J626="","",IFERROR(INDEX(Stu_Notes,MATCH(C626,Stu_ID,0)),""))</f>
        <v/>
      </c>
      <c r="J626" s="40">
        <f>IF(621&gt;$B$3,"",IFERROR(MATCH(621-1,EV_Seq,1)+1,1))</f>
        <v/>
      </c>
    </row>
    <row r="627">
      <c r="A627" s="105">
        <f>IF($J627="","",INDEX(EV_Date,$J627))</f>
        <v/>
      </c>
      <c r="B627" s="78">
        <f>IF($J627="","",INDEX(EV_Name,$J627))</f>
        <v/>
      </c>
      <c r="C627" s="106">
        <f>IF($J627="","",INDEX(EV_ID,$J627))</f>
        <v/>
      </c>
      <c r="D627" s="106">
        <f>IF($J627="","",INDEX(EV_Class,$J627))</f>
        <v/>
      </c>
      <c r="E627" s="106">
        <f>IF($J627="","",INDEX(EV_Type,$J627))</f>
        <v/>
      </c>
      <c r="F627" s="106">
        <f>IF($J627="","",INDEX(EV_Cum,$J627))</f>
        <v/>
      </c>
      <c r="G627" s="106">
        <f>IF($J627="","",INDEX(LevelLabels,MATCH(F627,LevelValues,1)))</f>
        <v/>
      </c>
      <c r="H627" s="106">
        <f>IF($J627="","",IFERROR(INDEX(Stu_ContactReq,MATCH(C627,Stu_ID,0)),""))</f>
        <v/>
      </c>
      <c r="I627" s="107">
        <f>IF($J627="","",IFERROR(INDEX(Stu_Notes,MATCH(C627,Stu_ID,0)),""))</f>
        <v/>
      </c>
      <c r="J627" s="40">
        <f>IF(622&gt;$B$3,"",IFERROR(MATCH(622-1,EV_Seq,1)+1,1))</f>
        <v/>
      </c>
    </row>
    <row r="628">
      <c r="A628" s="105">
        <f>IF($J628="","",INDEX(EV_Date,$J628))</f>
        <v/>
      </c>
      <c r="B628" s="78">
        <f>IF($J628="","",INDEX(EV_Name,$J628))</f>
        <v/>
      </c>
      <c r="C628" s="106">
        <f>IF($J628="","",INDEX(EV_ID,$J628))</f>
        <v/>
      </c>
      <c r="D628" s="106">
        <f>IF($J628="","",INDEX(EV_Class,$J628))</f>
        <v/>
      </c>
      <c r="E628" s="106">
        <f>IF($J628="","",INDEX(EV_Type,$J628))</f>
        <v/>
      </c>
      <c r="F628" s="106">
        <f>IF($J628="","",INDEX(EV_Cum,$J628))</f>
        <v/>
      </c>
      <c r="G628" s="106">
        <f>IF($J628="","",INDEX(LevelLabels,MATCH(F628,LevelValues,1)))</f>
        <v/>
      </c>
      <c r="H628" s="106">
        <f>IF($J628="","",IFERROR(INDEX(Stu_ContactReq,MATCH(C628,Stu_ID,0)),""))</f>
        <v/>
      </c>
      <c r="I628" s="107">
        <f>IF($J628="","",IFERROR(INDEX(Stu_Notes,MATCH(C628,Stu_ID,0)),""))</f>
        <v/>
      </c>
      <c r="J628" s="40">
        <f>IF(623&gt;$B$3,"",IFERROR(MATCH(623-1,EV_Seq,1)+1,1))</f>
        <v/>
      </c>
    </row>
    <row r="629">
      <c r="A629" s="105">
        <f>IF($J629="","",INDEX(EV_Date,$J629))</f>
        <v/>
      </c>
      <c r="B629" s="78">
        <f>IF($J629="","",INDEX(EV_Name,$J629))</f>
        <v/>
      </c>
      <c r="C629" s="106">
        <f>IF($J629="","",INDEX(EV_ID,$J629))</f>
        <v/>
      </c>
      <c r="D629" s="106">
        <f>IF($J629="","",INDEX(EV_Class,$J629))</f>
        <v/>
      </c>
      <c r="E629" s="106">
        <f>IF($J629="","",INDEX(EV_Type,$J629))</f>
        <v/>
      </c>
      <c r="F629" s="106">
        <f>IF($J629="","",INDEX(EV_Cum,$J629))</f>
        <v/>
      </c>
      <c r="G629" s="106">
        <f>IF($J629="","",INDEX(LevelLabels,MATCH(F629,LevelValues,1)))</f>
        <v/>
      </c>
      <c r="H629" s="106">
        <f>IF($J629="","",IFERROR(INDEX(Stu_ContactReq,MATCH(C629,Stu_ID,0)),""))</f>
        <v/>
      </c>
      <c r="I629" s="107">
        <f>IF($J629="","",IFERROR(INDEX(Stu_Notes,MATCH(C629,Stu_ID,0)),""))</f>
        <v/>
      </c>
      <c r="J629" s="40">
        <f>IF(624&gt;$B$3,"",IFERROR(MATCH(624-1,EV_Seq,1)+1,1))</f>
        <v/>
      </c>
    </row>
    <row r="630">
      <c r="A630" s="105">
        <f>IF($J630="","",INDEX(EV_Date,$J630))</f>
        <v/>
      </c>
      <c r="B630" s="78">
        <f>IF($J630="","",INDEX(EV_Name,$J630))</f>
        <v/>
      </c>
      <c r="C630" s="106">
        <f>IF($J630="","",INDEX(EV_ID,$J630))</f>
        <v/>
      </c>
      <c r="D630" s="106">
        <f>IF($J630="","",INDEX(EV_Class,$J630))</f>
        <v/>
      </c>
      <c r="E630" s="106">
        <f>IF($J630="","",INDEX(EV_Type,$J630))</f>
        <v/>
      </c>
      <c r="F630" s="106">
        <f>IF($J630="","",INDEX(EV_Cum,$J630))</f>
        <v/>
      </c>
      <c r="G630" s="106">
        <f>IF($J630="","",INDEX(LevelLabels,MATCH(F630,LevelValues,1)))</f>
        <v/>
      </c>
      <c r="H630" s="106">
        <f>IF($J630="","",IFERROR(INDEX(Stu_ContactReq,MATCH(C630,Stu_ID,0)),""))</f>
        <v/>
      </c>
      <c r="I630" s="107">
        <f>IF($J630="","",IFERROR(INDEX(Stu_Notes,MATCH(C630,Stu_ID,0)),""))</f>
        <v/>
      </c>
      <c r="J630" s="40">
        <f>IF(625&gt;$B$3,"",IFERROR(MATCH(625-1,EV_Seq,1)+1,1))</f>
        <v/>
      </c>
    </row>
    <row r="631">
      <c r="A631" s="105">
        <f>IF($J631="","",INDEX(EV_Date,$J631))</f>
        <v/>
      </c>
      <c r="B631" s="78">
        <f>IF($J631="","",INDEX(EV_Name,$J631))</f>
        <v/>
      </c>
      <c r="C631" s="106">
        <f>IF($J631="","",INDEX(EV_ID,$J631))</f>
        <v/>
      </c>
      <c r="D631" s="106">
        <f>IF($J631="","",INDEX(EV_Class,$J631))</f>
        <v/>
      </c>
      <c r="E631" s="106">
        <f>IF($J631="","",INDEX(EV_Type,$J631))</f>
        <v/>
      </c>
      <c r="F631" s="106">
        <f>IF($J631="","",INDEX(EV_Cum,$J631))</f>
        <v/>
      </c>
      <c r="G631" s="106">
        <f>IF($J631="","",INDEX(LevelLabels,MATCH(F631,LevelValues,1)))</f>
        <v/>
      </c>
      <c r="H631" s="106">
        <f>IF($J631="","",IFERROR(INDEX(Stu_ContactReq,MATCH(C631,Stu_ID,0)),""))</f>
        <v/>
      </c>
      <c r="I631" s="107">
        <f>IF($J631="","",IFERROR(INDEX(Stu_Notes,MATCH(C631,Stu_ID,0)),""))</f>
        <v/>
      </c>
      <c r="J631" s="40">
        <f>IF(626&gt;$B$3,"",IFERROR(MATCH(626-1,EV_Seq,1)+1,1))</f>
        <v/>
      </c>
    </row>
    <row r="632">
      <c r="A632" s="105">
        <f>IF($J632="","",INDEX(EV_Date,$J632))</f>
        <v/>
      </c>
      <c r="B632" s="78">
        <f>IF($J632="","",INDEX(EV_Name,$J632))</f>
        <v/>
      </c>
      <c r="C632" s="106">
        <f>IF($J632="","",INDEX(EV_ID,$J632))</f>
        <v/>
      </c>
      <c r="D632" s="106">
        <f>IF($J632="","",INDEX(EV_Class,$J632))</f>
        <v/>
      </c>
      <c r="E632" s="106">
        <f>IF($J632="","",INDEX(EV_Type,$J632))</f>
        <v/>
      </c>
      <c r="F632" s="106">
        <f>IF($J632="","",INDEX(EV_Cum,$J632))</f>
        <v/>
      </c>
      <c r="G632" s="106">
        <f>IF($J632="","",INDEX(LevelLabels,MATCH(F632,LevelValues,1)))</f>
        <v/>
      </c>
      <c r="H632" s="106">
        <f>IF($J632="","",IFERROR(INDEX(Stu_ContactReq,MATCH(C632,Stu_ID,0)),""))</f>
        <v/>
      </c>
      <c r="I632" s="107">
        <f>IF($J632="","",IFERROR(INDEX(Stu_Notes,MATCH(C632,Stu_ID,0)),""))</f>
        <v/>
      </c>
      <c r="J632" s="40">
        <f>IF(627&gt;$B$3,"",IFERROR(MATCH(627-1,EV_Seq,1)+1,1))</f>
        <v/>
      </c>
    </row>
    <row r="633">
      <c r="A633" s="105">
        <f>IF($J633="","",INDEX(EV_Date,$J633))</f>
        <v/>
      </c>
      <c r="B633" s="78">
        <f>IF($J633="","",INDEX(EV_Name,$J633))</f>
        <v/>
      </c>
      <c r="C633" s="106">
        <f>IF($J633="","",INDEX(EV_ID,$J633))</f>
        <v/>
      </c>
      <c r="D633" s="106">
        <f>IF($J633="","",INDEX(EV_Class,$J633))</f>
        <v/>
      </c>
      <c r="E633" s="106">
        <f>IF($J633="","",INDEX(EV_Type,$J633))</f>
        <v/>
      </c>
      <c r="F633" s="106">
        <f>IF($J633="","",INDEX(EV_Cum,$J633))</f>
        <v/>
      </c>
      <c r="G633" s="106">
        <f>IF($J633="","",INDEX(LevelLabels,MATCH(F633,LevelValues,1)))</f>
        <v/>
      </c>
      <c r="H633" s="106">
        <f>IF($J633="","",IFERROR(INDEX(Stu_ContactReq,MATCH(C633,Stu_ID,0)),""))</f>
        <v/>
      </c>
      <c r="I633" s="107">
        <f>IF($J633="","",IFERROR(INDEX(Stu_Notes,MATCH(C633,Stu_ID,0)),""))</f>
        <v/>
      </c>
      <c r="J633" s="40">
        <f>IF(628&gt;$B$3,"",IFERROR(MATCH(628-1,EV_Seq,1)+1,1))</f>
        <v/>
      </c>
    </row>
    <row r="634">
      <c r="A634" s="105">
        <f>IF($J634="","",INDEX(EV_Date,$J634))</f>
        <v/>
      </c>
      <c r="B634" s="78">
        <f>IF($J634="","",INDEX(EV_Name,$J634))</f>
        <v/>
      </c>
      <c r="C634" s="106">
        <f>IF($J634="","",INDEX(EV_ID,$J634))</f>
        <v/>
      </c>
      <c r="D634" s="106">
        <f>IF($J634="","",INDEX(EV_Class,$J634))</f>
        <v/>
      </c>
      <c r="E634" s="106">
        <f>IF($J634="","",INDEX(EV_Type,$J634))</f>
        <v/>
      </c>
      <c r="F634" s="106">
        <f>IF($J634="","",INDEX(EV_Cum,$J634))</f>
        <v/>
      </c>
      <c r="G634" s="106">
        <f>IF($J634="","",INDEX(LevelLabels,MATCH(F634,LevelValues,1)))</f>
        <v/>
      </c>
      <c r="H634" s="106">
        <f>IF($J634="","",IFERROR(INDEX(Stu_ContactReq,MATCH(C634,Stu_ID,0)),""))</f>
        <v/>
      </c>
      <c r="I634" s="107">
        <f>IF($J634="","",IFERROR(INDEX(Stu_Notes,MATCH(C634,Stu_ID,0)),""))</f>
        <v/>
      </c>
      <c r="J634" s="40">
        <f>IF(629&gt;$B$3,"",IFERROR(MATCH(629-1,EV_Seq,1)+1,1))</f>
        <v/>
      </c>
    </row>
    <row r="635">
      <c r="A635" s="105">
        <f>IF($J635="","",INDEX(EV_Date,$J635))</f>
        <v/>
      </c>
      <c r="B635" s="78">
        <f>IF($J635="","",INDEX(EV_Name,$J635))</f>
        <v/>
      </c>
      <c r="C635" s="106">
        <f>IF($J635="","",INDEX(EV_ID,$J635))</f>
        <v/>
      </c>
      <c r="D635" s="106">
        <f>IF($J635="","",INDEX(EV_Class,$J635))</f>
        <v/>
      </c>
      <c r="E635" s="106">
        <f>IF($J635="","",INDEX(EV_Type,$J635))</f>
        <v/>
      </c>
      <c r="F635" s="106">
        <f>IF($J635="","",INDEX(EV_Cum,$J635))</f>
        <v/>
      </c>
      <c r="G635" s="106">
        <f>IF($J635="","",INDEX(LevelLabels,MATCH(F635,LevelValues,1)))</f>
        <v/>
      </c>
      <c r="H635" s="106">
        <f>IF($J635="","",IFERROR(INDEX(Stu_ContactReq,MATCH(C635,Stu_ID,0)),""))</f>
        <v/>
      </c>
      <c r="I635" s="107">
        <f>IF($J635="","",IFERROR(INDEX(Stu_Notes,MATCH(C635,Stu_ID,0)),""))</f>
        <v/>
      </c>
      <c r="J635" s="40">
        <f>IF(630&gt;$B$3,"",IFERROR(MATCH(630-1,EV_Seq,1)+1,1))</f>
        <v/>
      </c>
    </row>
    <row r="636">
      <c r="A636" s="105">
        <f>IF($J636="","",INDEX(EV_Date,$J636))</f>
        <v/>
      </c>
      <c r="B636" s="78">
        <f>IF($J636="","",INDEX(EV_Name,$J636))</f>
        <v/>
      </c>
      <c r="C636" s="106">
        <f>IF($J636="","",INDEX(EV_ID,$J636))</f>
        <v/>
      </c>
      <c r="D636" s="106">
        <f>IF($J636="","",INDEX(EV_Class,$J636))</f>
        <v/>
      </c>
      <c r="E636" s="106">
        <f>IF($J636="","",INDEX(EV_Type,$J636))</f>
        <v/>
      </c>
      <c r="F636" s="106">
        <f>IF($J636="","",INDEX(EV_Cum,$J636))</f>
        <v/>
      </c>
      <c r="G636" s="106">
        <f>IF($J636="","",INDEX(LevelLabels,MATCH(F636,LevelValues,1)))</f>
        <v/>
      </c>
      <c r="H636" s="106">
        <f>IF($J636="","",IFERROR(INDEX(Stu_ContactReq,MATCH(C636,Stu_ID,0)),""))</f>
        <v/>
      </c>
      <c r="I636" s="107">
        <f>IF($J636="","",IFERROR(INDEX(Stu_Notes,MATCH(C636,Stu_ID,0)),""))</f>
        <v/>
      </c>
      <c r="J636" s="40">
        <f>IF(631&gt;$B$3,"",IFERROR(MATCH(631-1,EV_Seq,1)+1,1))</f>
        <v/>
      </c>
    </row>
    <row r="637">
      <c r="A637" s="105">
        <f>IF($J637="","",INDEX(EV_Date,$J637))</f>
        <v/>
      </c>
      <c r="B637" s="78">
        <f>IF($J637="","",INDEX(EV_Name,$J637))</f>
        <v/>
      </c>
      <c r="C637" s="106">
        <f>IF($J637="","",INDEX(EV_ID,$J637))</f>
        <v/>
      </c>
      <c r="D637" s="106">
        <f>IF($J637="","",INDEX(EV_Class,$J637))</f>
        <v/>
      </c>
      <c r="E637" s="106">
        <f>IF($J637="","",INDEX(EV_Type,$J637))</f>
        <v/>
      </c>
      <c r="F637" s="106">
        <f>IF($J637="","",INDEX(EV_Cum,$J637))</f>
        <v/>
      </c>
      <c r="G637" s="106">
        <f>IF($J637="","",INDEX(LevelLabels,MATCH(F637,LevelValues,1)))</f>
        <v/>
      </c>
      <c r="H637" s="106">
        <f>IF($J637="","",IFERROR(INDEX(Stu_ContactReq,MATCH(C637,Stu_ID,0)),""))</f>
        <v/>
      </c>
      <c r="I637" s="107">
        <f>IF($J637="","",IFERROR(INDEX(Stu_Notes,MATCH(C637,Stu_ID,0)),""))</f>
        <v/>
      </c>
      <c r="J637" s="40">
        <f>IF(632&gt;$B$3,"",IFERROR(MATCH(632-1,EV_Seq,1)+1,1))</f>
        <v/>
      </c>
    </row>
    <row r="638">
      <c r="A638" s="105">
        <f>IF($J638="","",INDEX(EV_Date,$J638))</f>
        <v/>
      </c>
      <c r="B638" s="78">
        <f>IF($J638="","",INDEX(EV_Name,$J638))</f>
        <v/>
      </c>
      <c r="C638" s="106">
        <f>IF($J638="","",INDEX(EV_ID,$J638))</f>
        <v/>
      </c>
      <c r="D638" s="106">
        <f>IF($J638="","",INDEX(EV_Class,$J638))</f>
        <v/>
      </c>
      <c r="E638" s="106">
        <f>IF($J638="","",INDEX(EV_Type,$J638))</f>
        <v/>
      </c>
      <c r="F638" s="106">
        <f>IF($J638="","",INDEX(EV_Cum,$J638))</f>
        <v/>
      </c>
      <c r="G638" s="106">
        <f>IF($J638="","",INDEX(LevelLabels,MATCH(F638,LevelValues,1)))</f>
        <v/>
      </c>
      <c r="H638" s="106">
        <f>IF($J638="","",IFERROR(INDEX(Stu_ContactReq,MATCH(C638,Stu_ID,0)),""))</f>
        <v/>
      </c>
      <c r="I638" s="107">
        <f>IF($J638="","",IFERROR(INDEX(Stu_Notes,MATCH(C638,Stu_ID,0)),""))</f>
        <v/>
      </c>
      <c r="J638" s="40">
        <f>IF(633&gt;$B$3,"",IFERROR(MATCH(633-1,EV_Seq,1)+1,1))</f>
        <v/>
      </c>
    </row>
    <row r="639">
      <c r="A639" s="105">
        <f>IF($J639="","",INDEX(EV_Date,$J639))</f>
        <v/>
      </c>
      <c r="B639" s="78">
        <f>IF($J639="","",INDEX(EV_Name,$J639))</f>
        <v/>
      </c>
      <c r="C639" s="106">
        <f>IF($J639="","",INDEX(EV_ID,$J639))</f>
        <v/>
      </c>
      <c r="D639" s="106">
        <f>IF($J639="","",INDEX(EV_Class,$J639))</f>
        <v/>
      </c>
      <c r="E639" s="106">
        <f>IF($J639="","",INDEX(EV_Type,$J639))</f>
        <v/>
      </c>
      <c r="F639" s="106">
        <f>IF($J639="","",INDEX(EV_Cum,$J639))</f>
        <v/>
      </c>
      <c r="G639" s="106">
        <f>IF($J639="","",INDEX(LevelLabels,MATCH(F639,LevelValues,1)))</f>
        <v/>
      </c>
      <c r="H639" s="106">
        <f>IF($J639="","",IFERROR(INDEX(Stu_ContactReq,MATCH(C639,Stu_ID,0)),""))</f>
        <v/>
      </c>
      <c r="I639" s="107">
        <f>IF($J639="","",IFERROR(INDEX(Stu_Notes,MATCH(C639,Stu_ID,0)),""))</f>
        <v/>
      </c>
      <c r="J639" s="40">
        <f>IF(634&gt;$B$3,"",IFERROR(MATCH(634-1,EV_Seq,1)+1,1))</f>
        <v/>
      </c>
    </row>
    <row r="640">
      <c r="A640" s="105">
        <f>IF($J640="","",INDEX(EV_Date,$J640))</f>
        <v/>
      </c>
      <c r="B640" s="78">
        <f>IF($J640="","",INDEX(EV_Name,$J640))</f>
        <v/>
      </c>
      <c r="C640" s="106">
        <f>IF($J640="","",INDEX(EV_ID,$J640))</f>
        <v/>
      </c>
      <c r="D640" s="106">
        <f>IF($J640="","",INDEX(EV_Class,$J640))</f>
        <v/>
      </c>
      <c r="E640" s="106">
        <f>IF($J640="","",INDEX(EV_Type,$J640))</f>
        <v/>
      </c>
      <c r="F640" s="106">
        <f>IF($J640="","",INDEX(EV_Cum,$J640))</f>
        <v/>
      </c>
      <c r="G640" s="106">
        <f>IF($J640="","",INDEX(LevelLabels,MATCH(F640,LevelValues,1)))</f>
        <v/>
      </c>
      <c r="H640" s="106">
        <f>IF($J640="","",IFERROR(INDEX(Stu_ContactReq,MATCH(C640,Stu_ID,0)),""))</f>
        <v/>
      </c>
      <c r="I640" s="107">
        <f>IF($J640="","",IFERROR(INDEX(Stu_Notes,MATCH(C640,Stu_ID,0)),""))</f>
        <v/>
      </c>
      <c r="J640" s="40">
        <f>IF(635&gt;$B$3,"",IFERROR(MATCH(635-1,EV_Seq,1)+1,1))</f>
        <v/>
      </c>
    </row>
    <row r="641">
      <c r="A641" s="105">
        <f>IF($J641="","",INDEX(EV_Date,$J641))</f>
        <v/>
      </c>
      <c r="B641" s="78">
        <f>IF($J641="","",INDEX(EV_Name,$J641))</f>
        <v/>
      </c>
      <c r="C641" s="106">
        <f>IF($J641="","",INDEX(EV_ID,$J641))</f>
        <v/>
      </c>
      <c r="D641" s="106">
        <f>IF($J641="","",INDEX(EV_Class,$J641))</f>
        <v/>
      </c>
      <c r="E641" s="106">
        <f>IF($J641="","",INDEX(EV_Type,$J641))</f>
        <v/>
      </c>
      <c r="F641" s="106">
        <f>IF($J641="","",INDEX(EV_Cum,$J641))</f>
        <v/>
      </c>
      <c r="G641" s="106">
        <f>IF($J641="","",INDEX(LevelLabels,MATCH(F641,LevelValues,1)))</f>
        <v/>
      </c>
      <c r="H641" s="106">
        <f>IF($J641="","",IFERROR(INDEX(Stu_ContactReq,MATCH(C641,Stu_ID,0)),""))</f>
        <v/>
      </c>
      <c r="I641" s="107">
        <f>IF($J641="","",IFERROR(INDEX(Stu_Notes,MATCH(C641,Stu_ID,0)),""))</f>
        <v/>
      </c>
      <c r="J641" s="40">
        <f>IF(636&gt;$B$3,"",IFERROR(MATCH(636-1,EV_Seq,1)+1,1))</f>
        <v/>
      </c>
    </row>
    <row r="642">
      <c r="A642" s="105">
        <f>IF($J642="","",INDEX(EV_Date,$J642))</f>
        <v/>
      </c>
      <c r="B642" s="78">
        <f>IF($J642="","",INDEX(EV_Name,$J642))</f>
        <v/>
      </c>
      <c r="C642" s="106">
        <f>IF($J642="","",INDEX(EV_ID,$J642))</f>
        <v/>
      </c>
      <c r="D642" s="106">
        <f>IF($J642="","",INDEX(EV_Class,$J642))</f>
        <v/>
      </c>
      <c r="E642" s="106">
        <f>IF($J642="","",INDEX(EV_Type,$J642))</f>
        <v/>
      </c>
      <c r="F642" s="106">
        <f>IF($J642="","",INDEX(EV_Cum,$J642))</f>
        <v/>
      </c>
      <c r="G642" s="106">
        <f>IF($J642="","",INDEX(LevelLabels,MATCH(F642,LevelValues,1)))</f>
        <v/>
      </c>
      <c r="H642" s="106">
        <f>IF($J642="","",IFERROR(INDEX(Stu_ContactReq,MATCH(C642,Stu_ID,0)),""))</f>
        <v/>
      </c>
      <c r="I642" s="107">
        <f>IF($J642="","",IFERROR(INDEX(Stu_Notes,MATCH(C642,Stu_ID,0)),""))</f>
        <v/>
      </c>
      <c r="J642" s="40">
        <f>IF(637&gt;$B$3,"",IFERROR(MATCH(637-1,EV_Seq,1)+1,1))</f>
        <v/>
      </c>
    </row>
    <row r="643">
      <c r="A643" s="105">
        <f>IF($J643="","",INDEX(EV_Date,$J643))</f>
        <v/>
      </c>
      <c r="B643" s="78">
        <f>IF($J643="","",INDEX(EV_Name,$J643))</f>
        <v/>
      </c>
      <c r="C643" s="106">
        <f>IF($J643="","",INDEX(EV_ID,$J643))</f>
        <v/>
      </c>
      <c r="D643" s="106">
        <f>IF($J643="","",INDEX(EV_Class,$J643))</f>
        <v/>
      </c>
      <c r="E643" s="106">
        <f>IF($J643="","",INDEX(EV_Type,$J643))</f>
        <v/>
      </c>
      <c r="F643" s="106">
        <f>IF($J643="","",INDEX(EV_Cum,$J643))</f>
        <v/>
      </c>
      <c r="G643" s="106">
        <f>IF($J643="","",INDEX(LevelLabels,MATCH(F643,LevelValues,1)))</f>
        <v/>
      </c>
      <c r="H643" s="106">
        <f>IF($J643="","",IFERROR(INDEX(Stu_ContactReq,MATCH(C643,Stu_ID,0)),""))</f>
        <v/>
      </c>
      <c r="I643" s="107">
        <f>IF($J643="","",IFERROR(INDEX(Stu_Notes,MATCH(C643,Stu_ID,0)),""))</f>
        <v/>
      </c>
      <c r="J643" s="40">
        <f>IF(638&gt;$B$3,"",IFERROR(MATCH(638-1,EV_Seq,1)+1,1))</f>
        <v/>
      </c>
    </row>
    <row r="644">
      <c r="A644" s="105">
        <f>IF($J644="","",INDEX(EV_Date,$J644))</f>
        <v/>
      </c>
      <c r="B644" s="78">
        <f>IF($J644="","",INDEX(EV_Name,$J644))</f>
        <v/>
      </c>
      <c r="C644" s="106">
        <f>IF($J644="","",INDEX(EV_ID,$J644))</f>
        <v/>
      </c>
      <c r="D644" s="106">
        <f>IF($J644="","",INDEX(EV_Class,$J644))</f>
        <v/>
      </c>
      <c r="E644" s="106">
        <f>IF($J644="","",INDEX(EV_Type,$J644))</f>
        <v/>
      </c>
      <c r="F644" s="106">
        <f>IF($J644="","",INDEX(EV_Cum,$J644))</f>
        <v/>
      </c>
      <c r="G644" s="106">
        <f>IF($J644="","",INDEX(LevelLabels,MATCH(F644,LevelValues,1)))</f>
        <v/>
      </c>
      <c r="H644" s="106">
        <f>IF($J644="","",IFERROR(INDEX(Stu_ContactReq,MATCH(C644,Stu_ID,0)),""))</f>
        <v/>
      </c>
      <c r="I644" s="107">
        <f>IF($J644="","",IFERROR(INDEX(Stu_Notes,MATCH(C644,Stu_ID,0)),""))</f>
        <v/>
      </c>
      <c r="J644" s="40">
        <f>IF(639&gt;$B$3,"",IFERROR(MATCH(639-1,EV_Seq,1)+1,1))</f>
        <v/>
      </c>
    </row>
    <row r="645">
      <c r="A645" s="105">
        <f>IF($J645="","",INDEX(EV_Date,$J645))</f>
        <v/>
      </c>
      <c r="B645" s="78">
        <f>IF($J645="","",INDEX(EV_Name,$J645))</f>
        <v/>
      </c>
      <c r="C645" s="106">
        <f>IF($J645="","",INDEX(EV_ID,$J645))</f>
        <v/>
      </c>
      <c r="D645" s="106">
        <f>IF($J645="","",INDEX(EV_Class,$J645))</f>
        <v/>
      </c>
      <c r="E645" s="106">
        <f>IF($J645="","",INDEX(EV_Type,$J645))</f>
        <v/>
      </c>
      <c r="F645" s="106">
        <f>IF($J645="","",INDEX(EV_Cum,$J645))</f>
        <v/>
      </c>
      <c r="G645" s="106">
        <f>IF($J645="","",INDEX(LevelLabels,MATCH(F645,LevelValues,1)))</f>
        <v/>
      </c>
      <c r="H645" s="106">
        <f>IF($J645="","",IFERROR(INDEX(Stu_ContactReq,MATCH(C645,Stu_ID,0)),""))</f>
        <v/>
      </c>
      <c r="I645" s="107">
        <f>IF($J645="","",IFERROR(INDEX(Stu_Notes,MATCH(C645,Stu_ID,0)),""))</f>
        <v/>
      </c>
      <c r="J645" s="40">
        <f>IF(640&gt;$B$3,"",IFERROR(MATCH(640-1,EV_Seq,1)+1,1))</f>
        <v/>
      </c>
    </row>
    <row r="646">
      <c r="A646" s="105">
        <f>IF($J646="","",INDEX(EV_Date,$J646))</f>
        <v/>
      </c>
      <c r="B646" s="78">
        <f>IF($J646="","",INDEX(EV_Name,$J646))</f>
        <v/>
      </c>
      <c r="C646" s="106">
        <f>IF($J646="","",INDEX(EV_ID,$J646))</f>
        <v/>
      </c>
      <c r="D646" s="106">
        <f>IF($J646="","",INDEX(EV_Class,$J646))</f>
        <v/>
      </c>
      <c r="E646" s="106">
        <f>IF($J646="","",INDEX(EV_Type,$J646))</f>
        <v/>
      </c>
      <c r="F646" s="106">
        <f>IF($J646="","",INDEX(EV_Cum,$J646))</f>
        <v/>
      </c>
      <c r="G646" s="106">
        <f>IF($J646="","",INDEX(LevelLabels,MATCH(F646,LevelValues,1)))</f>
        <v/>
      </c>
      <c r="H646" s="106">
        <f>IF($J646="","",IFERROR(INDEX(Stu_ContactReq,MATCH(C646,Stu_ID,0)),""))</f>
        <v/>
      </c>
      <c r="I646" s="107">
        <f>IF($J646="","",IFERROR(INDEX(Stu_Notes,MATCH(C646,Stu_ID,0)),""))</f>
        <v/>
      </c>
      <c r="J646" s="40">
        <f>IF(641&gt;$B$3,"",IFERROR(MATCH(641-1,EV_Seq,1)+1,1))</f>
        <v/>
      </c>
    </row>
    <row r="647">
      <c r="A647" s="105">
        <f>IF($J647="","",INDEX(EV_Date,$J647))</f>
        <v/>
      </c>
      <c r="B647" s="78">
        <f>IF($J647="","",INDEX(EV_Name,$J647))</f>
        <v/>
      </c>
      <c r="C647" s="106">
        <f>IF($J647="","",INDEX(EV_ID,$J647))</f>
        <v/>
      </c>
      <c r="D647" s="106">
        <f>IF($J647="","",INDEX(EV_Class,$J647))</f>
        <v/>
      </c>
      <c r="E647" s="106">
        <f>IF($J647="","",INDEX(EV_Type,$J647))</f>
        <v/>
      </c>
      <c r="F647" s="106">
        <f>IF($J647="","",INDEX(EV_Cum,$J647))</f>
        <v/>
      </c>
      <c r="G647" s="106">
        <f>IF($J647="","",INDEX(LevelLabels,MATCH(F647,LevelValues,1)))</f>
        <v/>
      </c>
      <c r="H647" s="106">
        <f>IF($J647="","",IFERROR(INDEX(Stu_ContactReq,MATCH(C647,Stu_ID,0)),""))</f>
        <v/>
      </c>
      <c r="I647" s="107">
        <f>IF($J647="","",IFERROR(INDEX(Stu_Notes,MATCH(C647,Stu_ID,0)),""))</f>
        <v/>
      </c>
      <c r="J647" s="40">
        <f>IF(642&gt;$B$3,"",IFERROR(MATCH(642-1,EV_Seq,1)+1,1))</f>
        <v/>
      </c>
    </row>
    <row r="648">
      <c r="A648" s="105">
        <f>IF($J648="","",INDEX(EV_Date,$J648))</f>
        <v/>
      </c>
      <c r="B648" s="78">
        <f>IF($J648="","",INDEX(EV_Name,$J648))</f>
        <v/>
      </c>
      <c r="C648" s="106">
        <f>IF($J648="","",INDEX(EV_ID,$J648))</f>
        <v/>
      </c>
      <c r="D648" s="106">
        <f>IF($J648="","",INDEX(EV_Class,$J648))</f>
        <v/>
      </c>
      <c r="E648" s="106">
        <f>IF($J648="","",INDEX(EV_Type,$J648))</f>
        <v/>
      </c>
      <c r="F648" s="106">
        <f>IF($J648="","",INDEX(EV_Cum,$J648))</f>
        <v/>
      </c>
      <c r="G648" s="106">
        <f>IF($J648="","",INDEX(LevelLabels,MATCH(F648,LevelValues,1)))</f>
        <v/>
      </c>
      <c r="H648" s="106">
        <f>IF($J648="","",IFERROR(INDEX(Stu_ContactReq,MATCH(C648,Stu_ID,0)),""))</f>
        <v/>
      </c>
      <c r="I648" s="107">
        <f>IF($J648="","",IFERROR(INDEX(Stu_Notes,MATCH(C648,Stu_ID,0)),""))</f>
        <v/>
      </c>
      <c r="J648" s="40">
        <f>IF(643&gt;$B$3,"",IFERROR(MATCH(643-1,EV_Seq,1)+1,1))</f>
        <v/>
      </c>
    </row>
    <row r="649">
      <c r="A649" s="105">
        <f>IF($J649="","",INDEX(EV_Date,$J649))</f>
        <v/>
      </c>
      <c r="B649" s="78">
        <f>IF($J649="","",INDEX(EV_Name,$J649))</f>
        <v/>
      </c>
      <c r="C649" s="106">
        <f>IF($J649="","",INDEX(EV_ID,$J649))</f>
        <v/>
      </c>
      <c r="D649" s="106">
        <f>IF($J649="","",INDEX(EV_Class,$J649))</f>
        <v/>
      </c>
      <c r="E649" s="106">
        <f>IF($J649="","",INDEX(EV_Type,$J649))</f>
        <v/>
      </c>
      <c r="F649" s="106">
        <f>IF($J649="","",INDEX(EV_Cum,$J649))</f>
        <v/>
      </c>
      <c r="G649" s="106">
        <f>IF($J649="","",INDEX(LevelLabels,MATCH(F649,LevelValues,1)))</f>
        <v/>
      </c>
      <c r="H649" s="106">
        <f>IF($J649="","",IFERROR(INDEX(Stu_ContactReq,MATCH(C649,Stu_ID,0)),""))</f>
        <v/>
      </c>
      <c r="I649" s="107">
        <f>IF($J649="","",IFERROR(INDEX(Stu_Notes,MATCH(C649,Stu_ID,0)),""))</f>
        <v/>
      </c>
      <c r="J649" s="40">
        <f>IF(644&gt;$B$3,"",IFERROR(MATCH(644-1,EV_Seq,1)+1,1))</f>
        <v/>
      </c>
    </row>
    <row r="650">
      <c r="A650" s="105">
        <f>IF($J650="","",INDEX(EV_Date,$J650))</f>
        <v/>
      </c>
      <c r="B650" s="78">
        <f>IF($J650="","",INDEX(EV_Name,$J650))</f>
        <v/>
      </c>
      <c r="C650" s="106">
        <f>IF($J650="","",INDEX(EV_ID,$J650))</f>
        <v/>
      </c>
      <c r="D650" s="106">
        <f>IF($J650="","",INDEX(EV_Class,$J650))</f>
        <v/>
      </c>
      <c r="E650" s="106">
        <f>IF($J650="","",INDEX(EV_Type,$J650))</f>
        <v/>
      </c>
      <c r="F650" s="106">
        <f>IF($J650="","",INDEX(EV_Cum,$J650))</f>
        <v/>
      </c>
      <c r="G650" s="106">
        <f>IF($J650="","",INDEX(LevelLabels,MATCH(F650,LevelValues,1)))</f>
        <v/>
      </c>
      <c r="H650" s="106">
        <f>IF($J650="","",IFERROR(INDEX(Stu_ContactReq,MATCH(C650,Stu_ID,0)),""))</f>
        <v/>
      </c>
      <c r="I650" s="107">
        <f>IF($J650="","",IFERROR(INDEX(Stu_Notes,MATCH(C650,Stu_ID,0)),""))</f>
        <v/>
      </c>
      <c r="J650" s="40">
        <f>IF(645&gt;$B$3,"",IFERROR(MATCH(645-1,EV_Seq,1)+1,1))</f>
        <v/>
      </c>
    </row>
    <row r="651">
      <c r="A651" s="105">
        <f>IF($J651="","",INDEX(EV_Date,$J651))</f>
        <v/>
      </c>
      <c r="B651" s="78">
        <f>IF($J651="","",INDEX(EV_Name,$J651))</f>
        <v/>
      </c>
      <c r="C651" s="106">
        <f>IF($J651="","",INDEX(EV_ID,$J651))</f>
        <v/>
      </c>
      <c r="D651" s="106">
        <f>IF($J651="","",INDEX(EV_Class,$J651))</f>
        <v/>
      </c>
      <c r="E651" s="106">
        <f>IF($J651="","",INDEX(EV_Type,$J651))</f>
        <v/>
      </c>
      <c r="F651" s="106">
        <f>IF($J651="","",INDEX(EV_Cum,$J651))</f>
        <v/>
      </c>
      <c r="G651" s="106">
        <f>IF($J651="","",INDEX(LevelLabels,MATCH(F651,LevelValues,1)))</f>
        <v/>
      </c>
      <c r="H651" s="106">
        <f>IF($J651="","",IFERROR(INDEX(Stu_ContactReq,MATCH(C651,Stu_ID,0)),""))</f>
        <v/>
      </c>
      <c r="I651" s="107">
        <f>IF($J651="","",IFERROR(INDEX(Stu_Notes,MATCH(C651,Stu_ID,0)),""))</f>
        <v/>
      </c>
      <c r="J651" s="40">
        <f>IF(646&gt;$B$3,"",IFERROR(MATCH(646-1,EV_Seq,1)+1,1))</f>
        <v/>
      </c>
    </row>
    <row r="652">
      <c r="A652" s="105">
        <f>IF($J652="","",INDEX(EV_Date,$J652))</f>
        <v/>
      </c>
      <c r="B652" s="78">
        <f>IF($J652="","",INDEX(EV_Name,$J652))</f>
        <v/>
      </c>
      <c r="C652" s="106">
        <f>IF($J652="","",INDEX(EV_ID,$J652))</f>
        <v/>
      </c>
      <c r="D652" s="106">
        <f>IF($J652="","",INDEX(EV_Class,$J652))</f>
        <v/>
      </c>
      <c r="E652" s="106">
        <f>IF($J652="","",INDEX(EV_Type,$J652))</f>
        <v/>
      </c>
      <c r="F652" s="106">
        <f>IF($J652="","",INDEX(EV_Cum,$J652))</f>
        <v/>
      </c>
      <c r="G652" s="106">
        <f>IF($J652="","",INDEX(LevelLabels,MATCH(F652,LevelValues,1)))</f>
        <v/>
      </c>
      <c r="H652" s="106">
        <f>IF($J652="","",IFERROR(INDEX(Stu_ContactReq,MATCH(C652,Stu_ID,0)),""))</f>
        <v/>
      </c>
      <c r="I652" s="107">
        <f>IF($J652="","",IFERROR(INDEX(Stu_Notes,MATCH(C652,Stu_ID,0)),""))</f>
        <v/>
      </c>
      <c r="J652" s="40">
        <f>IF(647&gt;$B$3,"",IFERROR(MATCH(647-1,EV_Seq,1)+1,1))</f>
        <v/>
      </c>
    </row>
    <row r="653">
      <c r="A653" s="105">
        <f>IF($J653="","",INDEX(EV_Date,$J653))</f>
        <v/>
      </c>
      <c r="B653" s="78">
        <f>IF($J653="","",INDEX(EV_Name,$J653))</f>
        <v/>
      </c>
      <c r="C653" s="106">
        <f>IF($J653="","",INDEX(EV_ID,$J653))</f>
        <v/>
      </c>
      <c r="D653" s="106">
        <f>IF($J653="","",INDEX(EV_Class,$J653))</f>
        <v/>
      </c>
      <c r="E653" s="106">
        <f>IF($J653="","",INDEX(EV_Type,$J653))</f>
        <v/>
      </c>
      <c r="F653" s="106">
        <f>IF($J653="","",INDEX(EV_Cum,$J653))</f>
        <v/>
      </c>
      <c r="G653" s="106">
        <f>IF($J653="","",INDEX(LevelLabels,MATCH(F653,LevelValues,1)))</f>
        <v/>
      </c>
      <c r="H653" s="106">
        <f>IF($J653="","",IFERROR(INDEX(Stu_ContactReq,MATCH(C653,Stu_ID,0)),""))</f>
        <v/>
      </c>
      <c r="I653" s="107">
        <f>IF($J653="","",IFERROR(INDEX(Stu_Notes,MATCH(C653,Stu_ID,0)),""))</f>
        <v/>
      </c>
      <c r="J653" s="40">
        <f>IF(648&gt;$B$3,"",IFERROR(MATCH(648-1,EV_Seq,1)+1,1))</f>
        <v/>
      </c>
    </row>
    <row r="654">
      <c r="A654" s="105">
        <f>IF($J654="","",INDEX(EV_Date,$J654))</f>
        <v/>
      </c>
      <c r="B654" s="78">
        <f>IF($J654="","",INDEX(EV_Name,$J654))</f>
        <v/>
      </c>
      <c r="C654" s="106">
        <f>IF($J654="","",INDEX(EV_ID,$J654))</f>
        <v/>
      </c>
      <c r="D654" s="106">
        <f>IF($J654="","",INDEX(EV_Class,$J654))</f>
        <v/>
      </c>
      <c r="E654" s="106">
        <f>IF($J654="","",INDEX(EV_Type,$J654))</f>
        <v/>
      </c>
      <c r="F654" s="106">
        <f>IF($J654="","",INDEX(EV_Cum,$J654))</f>
        <v/>
      </c>
      <c r="G654" s="106">
        <f>IF($J654="","",INDEX(LevelLabels,MATCH(F654,LevelValues,1)))</f>
        <v/>
      </c>
      <c r="H654" s="106">
        <f>IF($J654="","",IFERROR(INDEX(Stu_ContactReq,MATCH(C654,Stu_ID,0)),""))</f>
        <v/>
      </c>
      <c r="I654" s="107">
        <f>IF($J654="","",IFERROR(INDEX(Stu_Notes,MATCH(C654,Stu_ID,0)),""))</f>
        <v/>
      </c>
      <c r="J654" s="40">
        <f>IF(649&gt;$B$3,"",IFERROR(MATCH(649-1,EV_Seq,1)+1,1))</f>
        <v/>
      </c>
    </row>
    <row r="655">
      <c r="A655" s="105">
        <f>IF($J655="","",INDEX(EV_Date,$J655))</f>
        <v/>
      </c>
      <c r="B655" s="78">
        <f>IF($J655="","",INDEX(EV_Name,$J655))</f>
        <v/>
      </c>
      <c r="C655" s="106">
        <f>IF($J655="","",INDEX(EV_ID,$J655))</f>
        <v/>
      </c>
      <c r="D655" s="106">
        <f>IF($J655="","",INDEX(EV_Class,$J655))</f>
        <v/>
      </c>
      <c r="E655" s="106">
        <f>IF($J655="","",INDEX(EV_Type,$J655))</f>
        <v/>
      </c>
      <c r="F655" s="106">
        <f>IF($J655="","",INDEX(EV_Cum,$J655))</f>
        <v/>
      </c>
      <c r="G655" s="106">
        <f>IF($J655="","",INDEX(LevelLabels,MATCH(F655,LevelValues,1)))</f>
        <v/>
      </c>
      <c r="H655" s="106">
        <f>IF($J655="","",IFERROR(INDEX(Stu_ContactReq,MATCH(C655,Stu_ID,0)),""))</f>
        <v/>
      </c>
      <c r="I655" s="107">
        <f>IF($J655="","",IFERROR(INDEX(Stu_Notes,MATCH(C655,Stu_ID,0)),""))</f>
        <v/>
      </c>
      <c r="J655" s="40">
        <f>IF(650&gt;$B$3,"",IFERROR(MATCH(650-1,EV_Seq,1)+1,1))</f>
        <v/>
      </c>
    </row>
    <row r="656">
      <c r="A656" s="105">
        <f>IF($J656="","",INDEX(EV_Date,$J656))</f>
        <v/>
      </c>
      <c r="B656" s="78">
        <f>IF($J656="","",INDEX(EV_Name,$J656))</f>
        <v/>
      </c>
      <c r="C656" s="106">
        <f>IF($J656="","",INDEX(EV_ID,$J656))</f>
        <v/>
      </c>
      <c r="D656" s="106">
        <f>IF($J656="","",INDEX(EV_Class,$J656))</f>
        <v/>
      </c>
      <c r="E656" s="106">
        <f>IF($J656="","",INDEX(EV_Type,$J656))</f>
        <v/>
      </c>
      <c r="F656" s="106">
        <f>IF($J656="","",INDEX(EV_Cum,$J656))</f>
        <v/>
      </c>
      <c r="G656" s="106">
        <f>IF($J656="","",INDEX(LevelLabels,MATCH(F656,LevelValues,1)))</f>
        <v/>
      </c>
      <c r="H656" s="106">
        <f>IF($J656="","",IFERROR(INDEX(Stu_ContactReq,MATCH(C656,Stu_ID,0)),""))</f>
        <v/>
      </c>
      <c r="I656" s="107">
        <f>IF($J656="","",IFERROR(INDEX(Stu_Notes,MATCH(C656,Stu_ID,0)),""))</f>
        <v/>
      </c>
      <c r="J656" s="40">
        <f>IF(651&gt;$B$3,"",IFERROR(MATCH(651-1,EV_Seq,1)+1,1))</f>
        <v/>
      </c>
    </row>
    <row r="657">
      <c r="A657" s="105">
        <f>IF($J657="","",INDEX(EV_Date,$J657))</f>
        <v/>
      </c>
      <c r="B657" s="78">
        <f>IF($J657="","",INDEX(EV_Name,$J657))</f>
        <v/>
      </c>
      <c r="C657" s="106">
        <f>IF($J657="","",INDEX(EV_ID,$J657))</f>
        <v/>
      </c>
      <c r="D657" s="106">
        <f>IF($J657="","",INDEX(EV_Class,$J657))</f>
        <v/>
      </c>
      <c r="E657" s="106">
        <f>IF($J657="","",INDEX(EV_Type,$J657))</f>
        <v/>
      </c>
      <c r="F657" s="106">
        <f>IF($J657="","",INDEX(EV_Cum,$J657))</f>
        <v/>
      </c>
      <c r="G657" s="106">
        <f>IF($J657="","",INDEX(LevelLabels,MATCH(F657,LevelValues,1)))</f>
        <v/>
      </c>
      <c r="H657" s="106">
        <f>IF($J657="","",IFERROR(INDEX(Stu_ContactReq,MATCH(C657,Stu_ID,0)),""))</f>
        <v/>
      </c>
      <c r="I657" s="107">
        <f>IF($J657="","",IFERROR(INDEX(Stu_Notes,MATCH(C657,Stu_ID,0)),""))</f>
        <v/>
      </c>
      <c r="J657" s="40">
        <f>IF(652&gt;$B$3,"",IFERROR(MATCH(652-1,EV_Seq,1)+1,1))</f>
        <v/>
      </c>
    </row>
    <row r="658">
      <c r="A658" s="105">
        <f>IF($J658="","",INDEX(EV_Date,$J658))</f>
        <v/>
      </c>
      <c r="B658" s="78">
        <f>IF($J658="","",INDEX(EV_Name,$J658))</f>
        <v/>
      </c>
      <c r="C658" s="106">
        <f>IF($J658="","",INDEX(EV_ID,$J658))</f>
        <v/>
      </c>
      <c r="D658" s="106">
        <f>IF($J658="","",INDEX(EV_Class,$J658))</f>
        <v/>
      </c>
      <c r="E658" s="106">
        <f>IF($J658="","",INDEX(EV_Type,$J658))</f>
        <v/>
      </c>
      <c r="F658" s="106">
        <f>IF($J658="","",INDEX(EV_Cum,$J658))</f>
        <v/>
      </c>
      <c r="G658" s="106">
        <f>IF($J658="","",INDEX(LevelLabels,MATCH(F658,LevelValues,1)))</f>
        <v/>
      </c>
      <c r="H658" s="106">
        <f>IF($J658="","",IFERROR(INDEX(Stu_ContactReq,MATCH(C658,Stu_ID,0)),""))</f>
        <v/>
      </c>
      <c r="I658" s="107">
        <f>IF($J658="","",IFERROR(INDEX(Stu_Notes,MATCH(C658,Stu_ID,0)),""))</f>
        <v/>
      </c>
      <c r="J658" s="40">
        <f>IF(653&gt;$B$3,"",IFERROR(MATCH(653-1,EV_Seq,1)+1,1))</f>
        <v/>
      </c>
    </row>
    <row r="659">
      <c r="A659" s="105">
        <f>IF($J659="","",INDEX(EV_Date,$J659))</f>
        <v/>
      </c>
      <c r="B659" s="78">
        <f>IF($J659="","",INDEX(EV_Name,$J659))</f>
        <v/>
      </c>
      <c r="C659" s="106">
        <f>IF($J659="","",INDEX(EV_ID,$J659))</f>
        <v/>
      </c>
      <c r="D659" s="106">
        <f>IF($J659="","",INDEX(EV_Class,$J659))</f>
        <v/>
      </c>
      <c r="E659" s="106">
        <f>IF($J659="","",INDEX(EV_Type,$J659))</f>
        <v/>
      </c>
      <c r="F659" s="106">
        <f>IF($J659="","",INDEX(EV_Cum,$J659))</f>
        <v/>
      </c>
      <c r="G659" s="106">
        <f>IF($J659="","",INDEX(LevelLabels,MATCH(F659,LevelValues,1)))</f>
        <v/>
      </c>
      <c r="H659" s="106">
        <f>IF($J659="","",IFERROR(INDEX(Stu_ContactReq,MATCH(C659,Stu_ID,0)),""))</f>
        <v/>
      </c>
      <c r="I659" s="107">
        <f>IF($J659="","",IFERROR(INDEX(Stu_Notes,MATCH(C659,Stu_ID,0)),""))</f>
        <v/>
      </c>
      <c r="J659" s="40">
        <f>IF(654&gt;$B$3,"",IFERROR(MATCH(654-1,EV_Seq,1)+1,1))</f>
        <v/>
      </c>
    </row>
    <row r="660">
      <c r="A660" s="105">
        <f>IF($J660="","",INDEX(EV_Date,$J660))</f>
        <v/>
      </c>
      <c r="B660" s="78">
        <f>IF($J660="","",INDEX(EV_Name,$J660))</f>
        <v/>
      </c>
      <c r="C660" s="106">
        <f>IF($J660="","",INDEX(EV_ID,$J660))</f>
        <v/>
      </c>
      <c r="D660" s="106">
        <f>IF($J660="","",INDEX(EV_Class,$J660))</f>
        <v/>
      </c>
      <c r="E660" s="106">
        <f>IF($J660="","",INDEX(EV_Type,$J660))</f>
        <v/>
      </c>
      <c r="F660" s="106">
        <f>IF($J660="","",INDEX(EV_Cum,$J660))</f>
        <v/>
      </c>
      <c r="G660" s="106">
        <f>IF($J660="","",INDEX(LevelLabels,MATCH(F660,LevelValues,1)))</f>
        <v/>
      </c>
      <c r="H660" s="106">
        <f>IF($J660="","",IFERROR(INDEX(Stu_ContactReq,MATCH(C660,Stu_ID,0)),""))</f>
        <v/>
      </c>
      <c r="I660" s="107">
        <f>IF($J660="","",IFERROR(INDEX(Stu_Notes,MATCH(C660,Stu_ID,0)),""))</f>
        <v/>
      </c>
      <c r="J660" s="40">
        <f>IF(655&gt;$B$3,"",IFERROR(MATCH(655-1,EV_Seq,1)+1,1))</f>
        <v/>
      </c>
    </row>
    <row r="661">
      <c r="A661" s="105">
        <f>IF($J661="","",INDEX(EV_Date,$J661))</f>
        <v/>
      </c>
      <c r="B661" s="78">
        <f>IF($J661="","",INDEX(EV_Name,$J661))</f>
        <v/>
      </c>
      <c r="C661" s="106">
        <f>IF($J661="","",INDEX(EV_ID,$J661))</f>
        <v/>
      </c>
      <c r="D661" s="106">
        <f>IF($J661="","",INDEX(EV_Class,$J661))</f>
        <v/>
      </c>
      <c r="E661" s="106">
        <f>IF($J661="","",INDEX(EV_Type,$J661))</f>
        <v/>
      </c>
      <c r="F661" s="106">
        <f>IF($J661="","",INDEX(EV_Cum,$J661))</f>
        <v/>
      </c>
      <c r="G661" s="106">
        <f>IF($J661="","",INDEX(LevelLabels,MATCH(F661,LevelValues,1)))</f>
        <v/>
      </c>
      <c r="H661" s="106">
        <f>IF($J661="","",IFERROR(INDEX(Stu_ContactReq,MATCH(C661,Stu_ID,0)),""))</f>
        <v/>
      </c>
      <c r="I661" s="107">
        <f>IF($J661="","",IFERROR(INDEX(Stu_Notes,MATCH(C661,Stu_ID,0)),""))</f>
        <v/>
      </c>
      <c r="J661" s="40">
        <f>IF(656&gt;$B$3,"",IFERROR(MATCH(656-1,EV_Seq,1)+1,1))</f>
        <v/>
      </c>
    </row>
    <row r="662">
      <c r="A662" s="105">
        <f>IF($J662="","",INDEX(EV_Date,$J662))</f>
        <v/>
      </c>
      <c r="B662" s="78">
        <f>IF($J662="","",INDEX(EV_Name,$J662))</f>
        <v/>
      </c>
      <c r="C662" s="106">
        <f>IF($J662="","",INDEX(EV_ID,$J662))</f>
        <v/>
      </c>
      <c r="D662" s="106">
        <f>IF($J662="","",INDEX(EV_Class,$J662))</f>
        <v/>
      </c>
      <c r="E662" s="106">
        <f>IF($J662="","",INDEX(EV_Type,$J662))</f>
        <v/>
      </c>
      <c r="F662" s="106">
        <f>IF($J662="","",INDEX(EV_Cum,$J662))</f>
        <v/>
      </c>
      <c r="G662" s="106">
        <f>IF($J662="","",INDEX(LevelLabels,MATCH(F662,LevelValues,1)))</f>
        <v/>
      </c>
      <c r="H662" s="106">
        <f>IF($J662="","",IFERROR(INDEX(Stu_ContactReq,MATCH(C662,Stu_ID,0)),""))</f>
        <v/>
      </c>
      <c r="I662" s="107">
        <f>IF($J662="","",IFERROR(INDEX(Stu_Notes,MATCH(C662,Stu_ID,0)),""))</f>
        <v/>
      </c>
      <c r="J662" s="40">
        <f>IF(657&gt;$B$3,"",IFERROR(MATCH(657-1,EV_Seq,1)+1,1))</f>
        <v/>
      </c>
    </row>
    <row r="663">
      <c r="A663" s="105">
        <f>IF($J663="","",INDEX(EV_Date,$J663))</f>
        <v/>
      </c>
      <c r="B663" s="78">
        <f>IF($J663="","",INDEX(EV_Name,$J663))</f>
        <v/>
      </c>
      <c r="C663" s="106">
        <f>IF($J663="","",INDEX(EV_ID,$J663))</f>
        <v/>
      </c>
      <c r="D663" s="106">
        <f>IF($J663="","",INDEX(EV_Class,$J663))</f>
        <v/>
      </c>
      <c r="E663" s="106">
        <f>IF($J663="","",INDEX(EV_Type,$J663))</f>
        <v/>
      </c>
      <c r="F663" s="106">
        <f>IF($J663="","",INDEX(EV_Cum,$J663))</f>
        <v/>
      </c>
      <c r="G663" s="106">
        <f>IF($J663="","",INDEX(LevelLabels,MATCH(F663,LevelValues,1)))</f>
        <v/>
      </c>
      <c r="H663" s="106">
        <f>IF($J663="","",IFERROR(INDEX(Stu_ContactReq,MATCH(C663,Stu_ID,0)),""))</f>
        <v/>
      </c>
      <c r="I663" s="107">
        <f>IF($J663="","",IFERROR(INDEX(Stu_Notes,MATCH(C663,Stu_ID,0)),""))</f>
        <v/>
      </c>
      <c r="J663" s="40">
        <f>IF(658&gt;$B$3,"",IFERROR(MATCH(658-1,EV_Seq,1)+1,1))</f>
        <v/>
      </c>
    </row>
    <row r="664">
      <c r="A664" s="105">
        <f>IF($J664="","",INDEX(EV_Date,$J664))</f>
        <v/>
      </c>
      <c r="B664" s="78">
        <f>IF($J664="","",INDEX(EV_Name,$J664))</f>
        <v/>
      </c>
      <c r="C664" s="106">
        <f>IF($J664="","",INDEX(EV_ID,$J664))</f>
        <v/>
      </c>
      <c r="D664" s="106">
        <f>IF($J664="","",INDEX(EV_Class,$J664))</f>
        <v/>
      </c>
      <c r="E664" s="106">
        <f>IF($J664="","",INDEX(EV_Type,$J664))</f>
        <v/>
      </c>
      <c r="F664" s="106">
        <f>IF($J664="","",INDEX(EV_Cum,$J664))</f>
        <v/>
      </c>
      <c r="G664" s="106">
        <f>IF($J664="","",INDEX(LevelLabels,MATCH(F664,LevelValues,1)))</f>
        <v/>
      </c>
      <c r="H664" s="106">
        <f>IF($J664="","",IFERROR(INDEX(Stu_ContactReq,MATCH(C664,Stu_ID,0)),""))</f>
        <v/>
      </c>
      <c r="I664" s="107">
        <f>IF($J664="","",IFERROR(INDEX(Stu_Notes,MATCH(C664,Stu_ID,0)),""))</f>
        <v/>
      </c>
      <c r="J664" s="40">
        <f>IF(659&gt;$B$3,"",IFERROR(MATCH(659-1,EV_Seq,1)+1,1))</f>
        <v/>
      </c>
    </row>
    <row r="665">
      <c r="A665" s="105">
        <f>IF($J665="","",INDEX(EV_Date,$J665))</f>
        <v/>
      </c>
      <c r="B665" s="78">
        <f>IF($J665="","",INDEX(EV_Name,$J665))</f>
        <v/>
      </c>
      <c r="C665" s="106">
        <f>IF($J665="","",INDEX(EV_ID,$J665))</f>
        <v/>
      </c>
      <c r="D665" s="106">
        <f>IF($J665="","",INDEX(EV_Class,$J665))</f>
        <v/>
      </c>
      <c r="E665" s="106">
        <f>IF($J665="","",INDEX(EV_Type,$J665))</f>
        <v/>
      </c>
      <c r="F665" s="106">
        <f>IF($J665="","",INDEX(EV_Cum,$J665))</f>
        <v/>
      </c>
      <c r="G665" s="106">
        <f>IF($J665="","",INDEX(LevelLabels,MATCH(F665,LevelValues,1)))</f>
        <v/>
      </c>
      <c r="H665" s="106">
        <f>IF($J665="","",IFERROR(INDEX(Stu_ContactReq,MATCH(C665,Stu_ID,0)),""))</f>
        <v/>
      </c>
      <c r="I665" s="107">
        <f>IF($J665="","",IFERROR(INDEX(Stu_Notes,MATCH(C665,Stu_ID,0)),""))</f>
        <v/>
      </c>
      <c r="J665" s="40">
        <f>IF(660&gt;$B$3,"",IFERROR(MATCH(660-1,EV_Seq,1)+1,1))</f>
        <v/>
      </c>
    </row>
    <row r="666">
      <c r="A666" s="105">
        <f>IF($J666="","",INDEX(EV_Date,$J666))</f>
        <v/>
      </c>
      <c r="B666" s="78">
        <f>IF($J666="","",INDEX(EV_Name,$J666))</f>
        <v/>
      </c>
      <c r="C666" s="106">
        <f>IF($J666="","",INDEX(EV_ID,$J666))</f>
        <v/>
      </c>
      <c r="D666" s="106">
        <f>IF($J666="","",INDEX(EV_Class,$J666))</f>
        <v/>
      </c>
      <c r="E666" s="106">
        <f>IF($J666="","",INDEX(EV_Type,$J666))</f>
        <v/>
      </c>
      <c r="F666" s="106">
        <f>IF($J666="","",INDEX(EV_Cum,$J666))</f>
        <v/>
      </c>
      <c r="G666" s="106">
        <f>IF($J666="","",INDEX(LevelLabels,MATCH(F666,LevelValues,1)))</f>
        <v/>
      </c>
      <c r="H666" s="106">
        <f>IF($J666="","",IFERROR(INDEX(Stu_ContactReq,MATCH(C666,Stu_ID,0)),""))</f>
        <v/>
      </c>
      <c r="I666" s="107">
        <f>IF($J666="","",IFERROR(INDEX(Stu_Notes,MATCH(C666,Stu_ID,0)),""))</f>
        <v/>
      </c>
      <c r="J666" s="40">
        <f>IF(661&gt;$B$3,"",IFERROR(MATCH(661-1,EV_Seq,1)+1,1))</f>
        <v/>
      </c>
    </row>
    <row r="667">
      <c r="A667" s="105">
        <f>IF($J667="","",INDEX(EV_Date,$J667))</f>
        <v/>
      </c>
      <c r="B667" s="78">
        <f>IF($J667="","",INDEX(EV_Name,$J667))</f>
        <v/>
      </c>
      <c r="C667" s="106">
        <f>IF($J667="","",INDEX(EV_ID,$J667))</f>
        <v/>
      </c>
      <c r="D667" s="106">
        <f>IF($J667="","",INDEX(EV_Class,$J667))</f>
        <v/>
      </c>
      <c r="E667" s="106">
        <f>IF($J667="","",INDEX(EV_Type,$J667))</f>
        <v/>
      </c>
      <c r="F667" s="106">
        <f>IF($J667="","",INDEX(EV_Cum,$J667))</f>
        <v/>
      </c>
      <c r="G667" s="106">
        <f>IF($J667="","",INDEX(LevelLabels,MATCH(F667,LevelValues,1)))</f>
        <v/>
      </c>
      <c r="H667" s="106">
        <f>IF($J667="","",IFERROR(INDEX(Stu_ContactReq,MATCH(C667,Stu_ID,0)),""))</f>
        <v/>
      </c>
      <c r="I667" s="107">
        <f>IF($J667="","",IFERROR(INDEX(Stu_Notes,MATCH(C667,Stu_ID,0)),""))</f>
        <v/>
      </c>
      <c r="J667" s="40">
        <f>IF(662&gt;$B$3,"",IFERROR(MATCH(662-1,EV_Seq,1)+1,1))</f>
        <v/>
      </c>
    </row>
    <row r="668">
      <c r="A668" s="105">
        <f>IF($J668="","",INDEX(EV_Date,$J668))</f>
        <v/>
      </c>
      <c r="B668" s="78">
        <f>IF($J668="","",INDEX(EV_Name,$J668))</f>
        <v/>
      </c>
      <c r="C668" s="106">
        <f>IF($J668="","",INDEX(EV_ID,$J668))</f>
        <v/>
      </c>
      <c r="D668" s="106">
        <f>IF($J668="","",INDEX(EV_Class,$J668))</f>
        <v/>
      </c>
      <c r="E668" s="106">
        <f>IF($J668="","",INDEX(EV_Type,$J668))</f>
        <v/>
      </c>
      <c r="F668" s="106">
        <f>IF($J668="","",INDEX(EV_Cum,$J668))</f>
        <v/>
      </c>
      <c r="G668" s="106">
        <f>IF($J668="","",INDEX(LevelLabels,MATCH(F668,LevelValues,1)))</f>
        <v/>
      </c>
      <c r="H668" s="106">
        <f>IF($J668="","",IFERROR(INDEX(Stu_ContactReq,MATCH(C668,Stu_ID,0)),""))</f>
        <v/>
      </c>
      <c r="I668" s="107">
        <f>IF($J668="","",IFERROR(INDEX(Stu_Notes,MATCH(C668,Stu_ID,0)),""))</f>
        <v/>
      </c>
      <c r="J668" s="40">
        <f>IF(663&gt;$B$3,"",IFERROR(MATCH(663-1,EV_Seq,1)+1,1))</f>
        <v/>
      </c>
    </row>
    <row r="669">
      <c r="A669" s="105">
        <f>IF($J669="","",INDEX(EV_Date,$J669))</f>
        <v/>
      </c>
      <c r="B669" s="78">
        <f>IF($J669="","",INDEX(EV_Name,$J669))</f>
        <v/>
      </c>
      <c r="C669" s="106">
        <f>IF($J669="","",INDEX(EV_ID,$J669))</f>
        <v/>
      </c>
      <c r="D669" s="106">
        <f>IF($J669="","",INDEX(EV_Class,$J669))</f>
        <v/>
      </c>
      <c r="E669" s="106">
        <f>IF($J669="","",INDEX(EV_Type,$J669))</f>
        <v/>
      </c>
      <c r="F669" s="106">
        <f>IF($J669="","",INDEX(EV_Cum,$J669))</f>
        <v/>
      </c>
      <c r="G669" s="106">
        <f>IF($J669="","",INDEX(LevelLabels,MATCH(F669,LevelValues,1)))</f>
        <v/>
      </c>
      <c r="H669" s="106">
        <f>IF($J669="","",IFERROR(INDEX(Stu_ContactReq,MATCH(C669,Stu_ID,0)),""))</f>
        <v/>
      </c>
      <c r="I669" s="107">
        <f>IF($J669="","",IFERROR(INDEX(Stu_Notes,MATCH(C669,Stu_ID,0)),""))</f>
        <v/>
      </c>
      <c r="J669" s="40">
        <f>IF(664&gt;$B$3,"",IFERROR(MATCH(664-1,EV_Seq,1)+1,1))</f>
        <v/>
      </c>
    </row>
    <row r="670">
      <c r="A670" s="105">
        <f>IF($J670="","",INDEX(EV_Date,$J670))</f>
        <v/>
      </c>
      <c r="B670" s="78">
        <f>IF($J670="","",INDEX(EV_Name,$J670))</f>
        <v/>
      </c>
      <c r="C670" s="106">
        <f>IF($J670="","",INDEX(EV_ID,$J670))</f>
        <v/>
      </c>
      <c r="D670" s="106">
        <f>IF($J670="","",INDEX(EV_Class,$J670))</f>
        <v/>
      </c>
      <c r="E670" s="106">
        <f>IF($J670="","",INDEX(EV_Type,$J670))</f>
        <v/>
      </c>
      <c r="F670" s="106">
        <f>IF($J670="","",INDEX(EV_Cum,$J670))</f>
        <v/>
      </c>
      <c r="G670" s="106">
        <f>IF($J670="","",INDEX(LevelLabels,MATCH(F670,LevelValues,1)))</f>
        <v/>
      </c>
      <c r="H670" s="106">
        <f>IF($J670="","",IFERROR(INDEX(Stu_ContactReq,MATCH(C670,Stu_ID,0)),""))</f>
        <v/>
      </c>
      <c r="I670" s="107">
        <f>IF($J670="","",IFERROR(INDEX(Stu_Notes,MATCH(C670,Stu_ID,0)),""))</f>
        <v/>
      </c>
      <c r="J670" s="40">
        <f>IF(665&gt;$B$3,"",IFERROR(MATCH(665-1,EV_Seq,1)+1,1))</f>
        <v/>
      </c>
    </row>
    <row r="671">
      <c r="A671" s="105">
        <f>IF($J671="","",INDEX(EV_Date,$J671))</f>
        <v/>
      </c>
      <c r="B671" s="78">
        <f>IF($J671="","",INDEX(EV_Name,$J671))</f>
        <v/>
      </c>
      <c r="C671" s="106">
        <f>IF($J671="","",INDEX(EV_ID,$J671))</f>
        <v/>
      </c>
      <c r="D671" s="106">
        <f>IF($J671="","",INDEX(EV_Class,$J671))</f>
        <v/>
      </c>
      <c r="E671" s="106">
        <f>IF($J671="","",INDEX(EV_Type,$J671))</f>
        <v/>
      </c>
      <c r="F671" s="106">
        <f>IF($J671="","",INDEX(EV_Cum,$J671))</f>
        <v/>
      </c>
      <c r="G671" s="106">
        <f>IF($J671="","",INDEX(LevelLabels,MATCH(F671,LevelValues,1)))</f>
        <v/>
      </c>
      <c r="H671" s="106">
        <f>IF($J671="","",IFERROR(INDEX(Stu_ContactReq,MATCH(C671,Stu_ID,0)),""))</f>
        <v/>
      </c>
      <c r="I671" s="107">
        <f>IF($J671="","",IFERROR(INDEX(Stu_Notes,MATCH(C671,Stu_ID,0)),""))</f>
        <v/>
      </c>
      <c r="J671" s="40">
        <f>IF(666&gt;$B$3,"",IFERROR(MATCH(666-1,EV_Seq,1)+1,1))</f>
        <v/>
      </c>
    </row>
    <row r="672">
      <c r="A672" s="105">
        <f>IF($J672="","",INDEX(EV_Date,$J672))</f>
        <v/>
      </c>
      <c r="B672" s="78">
        <f>IF($J672="","",INDEX(EV_Name,$J672))</f>
        <v/>
      </c>
      <c r="C672" s="106">
        <f>IF($J672="","",INDEX(EV_ID,$J672))</f>
        <v/>
      </c>
      <c r="D672" s="106">
        <f>IF($J672="","",INDEX(EV_Class,$J672))</f>
        <v/>
      </c>
      <c r="E672" s="106">
        <f>IF($J672="","",INDEX(EV_Type,$J672))</f>
        <v/>
      </c>
      <c r="F672" s="106">
        <f>IF($J672="","",INDEX(EV_Cum,$J672))</f>
        <v/>
      </c>
      <c r="G672" s="106">
        <f>IF($J672="","",INDEX(LevelLabels,MATCH(F672,LevelValues,1)))</f>
        <v/>
      </c>
      <c r="H672" s="106">
        <f>IF($J672="","",IFERROR(INDEX(Stu_ContactReq,MATCH(C672,Stu_ID,0)),""))</f>
        <v/>
      </c>
      <c r="I672" s="107">
        <f>IF($J672="","",IFERROR(INDEX(Stu_Notes,MATCH(C672,Stu_ID,0)),""))</f>
        <v/>
      </c>
      <c r="J672" s="40">
        <f>IF(667&gt;$B$3,"",IFERROR(MATCH(667-1,EV_Seq,1)+1,1))</f>
        <v/>
      </c>
    </row>
    <row r="673">
      <c r="A673" s="105">
        <f>IF($J673="","",INDEX(EV_Date,$J673))</f>
        <v/>
      </c>
      <c r="B673" s="78">
        <f>IF($J673="","",INDEX(EV_Name,$J673))</f>
        <v/>
      </c>
      <c r="C673" s="106">
        <f>IF($J673="","",INDEX(EV_ID,$J673))</f>
        <v/>
      </c>
      <c r="D673" s="106">
        <f>IF($J673="","",INDEX(EV_Class,$J673))</f>
        <v/>
      </c>
      <c r="E673" s="106">
        <f>IF($J673="","",INDEX(EV_Type,$J673))</f>
        <v/>
      </c>
      <c r="F673" s="106">
        <f>IF($J673="","",INDEX(EV_Cum,$J673))</f>
        <v/>
      </c>
      <c r="G673" s="106">
        <f>IF($J673="","",INDEX(LevelLabels,MATCH(F673,LevelValues,1)))</f>
        <v/>
      </c>
      <c r="H673" s="106">
        <f>IF($J673="","",IFERROR(INDEX(Stu_ContactReq,MATCH(C673,Stu_ID,0)),""))</f>
        <v/>
      </c>
      <c r="I673" s="107">
        <f>IF($J673="","",IFERROR(INDEX(Stu_Notes,MATCH(C673,Stu_ID,0)),""))</f>
        <v/>
      </c>
      <c r="J673" s="40">
        <f>IF(668&gt;$B$3,"",IFERROR(MATCH(668-1,EV_Seq,1)+1,1))</f>
        <v/>
      </c>
    </row>
    <row r="674">
      <c r="A674" s="105">
        <f>IF($J674="","",INDEX(EV_Date,$J674))</f>
        <v/>
      </c>
      <c r="B674" s="78">
        <f>IF($J674="","",INDEX(EV_Name,$J674))</f>
        <v/>
      </c>
      <c r="C674" s="106">
        <f>IF($J674="","",INDEX(EV_ID,$J674))</f>
        <v/>
      </c>
      <c r="D674" s="106">
        <f>IF($J674="","",INDEX(EV_Class,$J674))</f>
        <v/>
      </c>
      <c r="E674" s="106">
        <f>IF($J674="","",INDEX(EV_Type,$J674))</f>
        <v/>
      </c>
      <c r="F674" s="106">
        <f>IF($J674="","",INDEX(EV_Cum,$J674))</f>
        <v/>
      </c>
      <c r="G674" s="106">
        <f>IF($J674="","",INDEX(LevelLabels,MATCH(F674,LevelValues,1)))</f>
        <v/>
      </c>
      <c r="H674" s="106">
        <f>IF($J674="","",IFERROR(INDEX(Stu_ContactReq,MATCH(C674,Stu_ID,0)),""))</f>
        <v/>
      </c>
      <c r="I674" s="107">
        <f>IF($J674="","",IFERROR(INDEX(Stu_Notes,MATCH(C674,Stu_ID,0)),""))</f>
        <v/>
      </c>
      <c r="J674" s="40">
        <f>IF(669&gt;$B$3,"",IFERROR(MATCH(669-1,EV_Seq,1)+1,1))</f>
        <v/>
      </c>
    </row>
    <row r="675">
      <c r="A675" s="105">
        <f>IF($J675="","",INDEX(EV_Date,$J675))</f>
        <v/>
      </c>
      <c r="B675" s="78">
        <f>IF($J675="","",INDEX(EV_Name,$J675))</f>
        <v/>
      </c>
      <c r="C675" s="106">
        <f>IF($J675="","",INDEX(EV_ID,$J675))</f>
        <v/>
      </c>
      <c r="D675" s="106">
        <f>IF($J675="","",INDEX(EV_Class,$J675))</f>
        <v/>
      </c>
      <c r="E675" s="106">
        <f>IF($J675="","",INDEX(EV_Type,$J675))</f>
        <v/>
      </c>
      <c r="F675" s="106">
        <f>IF($J675="","",INDEX(EV_Cum,$J675))</f>
        <v/>
      </c>
      <c r="G675" s="106">
        <f>IF($J675="","",INDEX(LevelLabels,MATCH(F675,LevelValues,1)))</f>
        <v/>
      </c>
      <c r="H675" s="106">
        <f>IF($J675="","",IFERROR(INDEX(Stu_ContactReq,MATCH(C675,Stu_ID,0)),""))</f>
        <v/>
      </c>
      <c r="I675" s="107">
        <f>IF($J675="","",IFERROR(INDEX(Stu_Notes,MATCH(C675,Stu_ID,0)),""))</f>
        <v/>
      </c>
      <c r="J675" s="40">
        <f>IF(670&gt;$B$3,"",IFERROR(MATCH(670-1,EV_Seq,1)+1,1))</f>
        <v/>
      </c>
    </row>
    <row r="676">
      <c r="A676" s="105">
        <f>IF($J676="","",INDEX(EV_Date,$J676))</f>
        <v/>
      </c>
      <c r="B676" s="78">
        <f>IF($J676="","",INDEX(EV_Name,$J676))</f>
        <v/>
      </c>
      <c r="C676" s="106">
        <f>IF($J676="","",INDEX(EV_ID,$J676))</f>
        <v/>
      </c>
      <c r="D676" s="106">
        <f>IF($J676="","",INDEX(EV_Class,$J676))</f>
        <v/>
      </c>
      <c r="E676" s="106">
        <f>IF($J676="","",INDEX(EV_Type,$J676))</f>
        <v/>
      </c>
      <c r="F676" s="106">
        <f>IF($J676="","",INDEX(EV_Cum,$J676))</f>
        <v/>
      </c>
      <c r="G676" s="106">
        <f>IF($J676="","",INDEX(LevelLabels,MATCH(F676,LevelValues,1)))</f>
        <v/>
      </c>
      <c r="H676" s="106">
        <f>IF($J676="","",IFERROR(INDEX(Stu_ContactReq,MATCH(C676,Stu_ID,0)),""))</f>
        <v/>
      </c>
      <c r="I676" s="107">
        <f>IF($J676="","",IFERROR(INDEX(Stu_Notes,MATCH(C676,Stu_ID,0)),""))</f>
        <v/>
      </c>
      <c r="J676" s="40">
        <f>IF(671&gt;$B$3,"",IFERROR(MATCH(671-1,EV_Seq,1)+1,1))</f>
        <v/>
      </c>
    </row>
    <row r="677">
      <c r="A677" s="105">
        <f>IF($J677="","",INDEX(EV_Date,$J677))</f>
        <v/>
      </c>
      <c r="B677" s="78">
        <f>IF($J677="","",INDEX(EV_Name,$J677))</f>
        <v/>
      </c>
      <c r="C677" s="106">
        <f>IF($J677="","",INDEX(EV_ID,$J677))</f>
        <v/>
      </c>
      <c r="D677" s="106">
        <f>IF($J677="","",INDEX(EV_Class,$J677))</f>
        <v/>
      </c>
      <c r="E677" s="106">
        <f>IF($J677="","",INDEX(EV_Type,$J677))</f>
        <v/>
      </c>
      <c r="F677" s="106">
        <f>IF($J677="","",INDEX(EV_Cum,$J677))</f>
        <v/>
      </c>
      <c r="G677" s="106">
        <f>IF($J677="","",INDEX(LevelLabels,MATCH(F677,LevelValues,1)))</f>
        <v/>
      </c>
      <c r="H677" s="106">
        <f>IF($J677="","",IFERROR(INDEX(Stu_ContactReq,MATCH(C677,Stu_ID,0)),""))</f>
        <v/>
      </c>
      <c r="I677" s="107">
        <f>IF($J677="","",IFERROR(INDEX(Stu_Notes,MATCH(C677,Stu_ID,0)),""))</f>
        <v/>
      </c>
      <c r="J677" s="40">
        <f>IF(672&gt;$B$3,"",IFERROR(MATCH(672-1,EV_Seq,1)+1,1))</f>
        <v/>
      </c>
    </row>
    <row r="678">
      <c r="A678" s="105">
        <f>IF($J678="","",INDEX(EV_Date,$J678))</f>
        <v/>
      </c>
      <c r="B678" s="78">
        <f>IF($J678="","",INDEX(EV_Name,$J678))</f>
        <v/>
      </c>
      <c r="C678" s="106">
        <f>IF($J678="","",INDEX(EV_ID,$J678))</f>
        <v/>
      </c>
      <c r="D678" s="106">
        <f>IF($J678="","",INDEX(EV_Class,$J678))</f>
        <v/>
      </c>
      <c r="E678" s="106">
        <f>IF($J678="","",INDEX(EV_Type,$J678))</f>
        <v/>
      </c>
      <c r="F678" s="106">
        <f>IF($J678="","",INDEX(EV_Cum,$J678))</f>
        <v/>
      </c>
      <c r="G678" s="106">
        <f>IF($J678="","",INDEX(LevelLabels,MATCH(F678,LevelValues,1)))</f>
        <v/>
      </c>
      <c r="H678" s="106">
        <f>IF($J678="","",IFERROR(INDEX(Stu_ContactReq,MATCH(C678,Stu_ID,0)),""))</f>
        <v/>
      </c>
      <c r="I678" s="107">
        <f>IF($J678="","",IFERROR(INDEX(Stu_Notes,MATCH(C678,Stu_ID,0)),""))</f>
        <v/>
      </c>
      <c r="J678" s="40">
        <f>IF(673&gt;$B$3,"",IFERROR(MATCH(673-1,EV_Seq,1)+1,1))</f>
        <v/>
      </c>
    </row>
    <row r="679">
      <c r="A679" s="105">
        <f>IF($J679="","",INDEX(EV_Date,$J679))</f>
        <v/>
      </c>
      <c r="B679" s="78">
        <f>IF($J679="","",INDEX(EV_Name,$J679))</f>
        <v/>
      </c>
      <c r="C679" s="106">
        <f>IF($J679="","",INDEX(EV_ID,$J679))</f>
        <v/>
      </c>
      <c r="D679" s="106">
        <f>IF($J679="","",INDEX(EV_Class,$J679))</f>
        <v/>
      </c>
      <c r="E679" s="106">
        <f>IF($J679="","",INDEX(EV_Type,$J679))</f>
        <v/>
      </c>
      <c r="F679" s="106">
        <f>IF($J679="","",INDEX(EV_Cum,$J679))</f>
        <v/>
      </c>
      <c r="G679" s="106">
        <f>IF($J679="","",INDEX(LevelLabels,MATCH(F679,LevelValues,1)))</f>
        <v/>
      </c>
      <c r="H679" s="106">
        <f>IF($J679="","",IFERROR(INDEX(Stu_ContactReq,MATCH(C679,Stu_ID,0)),""))</f>
        <v/>
      </c>
      <c r="I679" s="107">
        <f>IF($J679="","",IFERROR(INDEX(Stu_Notes,MATCH(C679,Stu_ID,0)),""))</f>
        <v/>
      </c>
      <c r="J679" s="40">
        <f>IF(674&gt;$B$3,"",IFERROR(MATCH(674-1,EV_Seq,1)+1,1))</f>
        <v/>
      </c>
    </row>
    <row r="680">
      <c r="A680" s="105">
        <f>IF($J680="","",INDEX(EV_Date,$J680))</f>
        <v/>
      </c>
      <c r="B680" s="78">
        <f>IF($J680="","",INDEX(EV_Name,$J680))</f>
        <v/>
      </c>
      <c r="C680" s="106">
        <f>IF($J680="","",INDEX(EV_ID,$J680))</f>
        <v/>
      </c>
      <c r="D680" s="106">
        <f>IF($J680="","",INDEX(EV_Class,$J680))</f>
        <v/>
      </c>
      <c r="E680" s="106">
        <f>IF($J680="","",INDEX(EV_Type,$J680))</f>
        <v/>
      </c>
      <c r="F680" s="106">
        <f>IF($J680="","",INDEX(EV_Cum,$J680))</f>
        <v/>
      </c>
      <c r="G680" s="106">
        <f>IF($J680="","",INDEX(LevelLabels,MATCH(F680,LevelValues,1)))</f>
        <v/>
      </c>
      <c r="H680" s="106">
        <f>IF($J680="","",IFERROR(INDEX(Stu_ContactReq,MATCH(C680,Stu_ID,0)),""))</f>
        <v/>
      </c>
      <c r="I680" s="107">
        <f>IF($J680="","",IFERROR(INDEX(Stu_Notes,MATCH(C680,Stu_ID,0)),""))</f>
        <v/>
      </c>
      <c r="J680" s="40">
        <f>IF(675&gt;$B$3,"",IFERROR(MATCH(675-1,EV_Seq,1)+1,1))</f>
        <v/>
      </c>
    </row>
    <row r="681">
      <c r="A681" s="105">
        <f>IF($J681="","",INDEX(EV_Date,$J681))</f>
        <v/>
      </c>
      <c r="B681" s="78">
        <f>IF($J681="","",INDEX(EV_Name,$J681))</f>
        <v/>
      </c>
      <c r="C681" s="106">
        <f>IF($J681="","",INDEX(EV_ID,$J681))</f>
        <v/>
      </c>
      <c r="D681" s="106">
        <f>IF($J681="","",INDEX(EV_Class,$J681))</f>
        <v/>
      </c>
      <c r="E681" s="106">
        <f>IF($J681="","",INDEX(EV_Type,$J681))</f>
        <v/>
      </c>
      <c r="F681" s="106">
        <f>IF($J681="","",INDEX(EV_Cum,$J681))</f>
        <v/>
      </c>
      <c r="G681" s="106">
        <f>IF($J681="","",INDEX(LevelLabels,MATCH(F681,LevelValues,1)))</f>
        <v/>
      </c>
      <c r="H681" s="106">
        <f>IF($J681="","",IFERROR(INDEX(Stu_ContactReq,MATCH(C681,Stu_ID,0)),""))</f>
        <v/>
      </c>
      <c r="I681" s="107">
        <f>IF($J681="","",IFERROR(INDEX(Stu_Notes,MATCH(C681,Stu_ID,0)),""))</f>
        <v/>
      </c>
      <c r="J681" s="40">
        <f>IF(676&gt;$B$3,"",IFERROR(MATCH(676-1,EV_Seq,1)+1,1))</f>
        <v/>
      </c>
    </row>
    <row r="682">
      <c r="A682" s="105">
        <f>IF($J682="","",INDEX(EV_Date,$J682))</f>
        <v/>
      </c>
      <c r="B682" s="78">
        <f>IF($J682="","",INDEX(EV_Name,$J682))</f>
        <v/>
      </c>
      <c r="C682" s="106">
        <f>IF($J682="","",INDEX(EV_ID,$J682))</f>
        <v/>
      </c>
      <c r="D682" s="106">
        <f>IF($J682="","",INDEX(EV_Class,$J682))</f>
        <v/>
      </c>
      <c r="E682" s="106">
        <f>IF($J682="","",INDEX(EV_Type,$J682))</f>
        <v/>
      </c>
      <c r="F682" s="106">
        <f>IF($J682="","",INDEX(EV_Cum,$J682))</f>
        <v/>
      </c>
      <c r="G682" s="106">
        <f>IF($J682="","",INDEX(LevelLabels,MATCH(F682,LevelValues,1)))</f>
        <v/>
      </c>
      <c r="H682" s="106">
        <f>IF($J682="","",IFERROR(INDEX(Stu_ContactReq,MATCH(C682,Stu_ID,0)),""))</f>
        <v/>
      </c>
      <c r="I682" s="107">
        <f>IF($J682="","",IFERROR(INDEX(Stu_Notes,MATCH(C682,Stu_ID,0)),""))</f>
        <v/>
      </c>
      <c r="J682" s="40">
        <f>IF(677&gt;$B$3,"",IFERROR(MATCH(677-1,EV_Seq,1)+1,1))</f>
        <v/>
      </c>
    </row>
    <row r="683">
      <c r="A683" s="105">
        <f>IF($J683="","",INDEX(EV_Date,$J683))</f>
        <v/>
      </c>
      <c r="B683" s="78">
        <f>IF($J683="","",INDEX(EV_Name,$J683))</f>
        <v/>
      </c>
      <c r="C683" s="106">
        <f>IF($J683="","",INDEX(EV_ID,$J683))</f>
        <v/>
      </c>
      <c r="D683" s="106">
        <f>IF($J683="","",INDEX(EV_Class,$J683))</f>
        <v/>
      </c>
      <c r="E683" s="106">
        <f>IF($J683="","",INDEX(EV_Type,$J683))</f>
        <v/>
      </c>
      <c r="F683" s="106">
        <f>IF($J683="","",INDEX(EV_Cum,$J683))</f>
        <v/>
      </c>
      <c r="G683" s="106">
        <f>IF($J683="","",INDEX(LevelLabels,MATCH(F683,LevelValues,1)))</f>
        <v/>
      </c>
      <c r="H683" s="106">
        <f>IF($J683="","",IFERROR(INDEX(Stu_ContactReq,MATCH(C683,Stu_ID,0)),""))</f>
        <v/>
      </c>
      <c r="I683" s="107">
        <f>IF($J683="","",IFERROR(INDEX(Stu_Notes,MATCH(C683,Stu_ID,0)),""))</f>
        <v/>
      </c>
      <c r="J683" s="40">
        <f>IF(678&gt;$B$3,"",IFERROR(MATCH(678-1,EV_Seq,1)+1,1))</f>
        <v/>
      </c>
    </row>
    <row r="684">
      <c r="A684" s="105">
        <f>IF($J684="","",INDEX(EV_Date,$J684))</f>
        <v/>
      </c>
      <c r="B684" s="78">
        <f>IF($J684="","",INDEX(EV_Name,$J684))</f>
        <v/>
      </c>
      <c r="C684" s="106">
        <f>IF($J684="","",INDEX(EV_ID,$J684))</f>
        <v/>
      </c>
      <c r="D684" s="106">
        <f>IF($J684="","",INDEX(EV_Class,$J684))</f>
        <v/>
      </c>
      <c r="E684" s="106">
        <f>IF($J684="","",INDEX(EV_Type,$J684))</f>
        <v/>
      </c>
      <c r="F684" s="106">
        <f>IF($J684="","",INDEX(EV_Cum,$J684))</f>
        <v/>
      </c>
      <c r="G684" s="106">
        <f>IF($J684="","",INDEX(LevelLabels,MATCH(F684,LevelValues,1)))</f>
        <v/>
      </c>
      <c r="H684" s="106">
        <f>IF($J684="","",IFERROR(INDEX(Stu_ContactReq,MATCH(C684,Stu_ID,0)),""))</f>
        <v/>
      </c>
      <c r="I684" s="107">
        <f>IF($J684="","",IFERROR(INDEX(Stu_Notes,MATCH(C684,Stu_ID,0)),""))</f>
        <v/>
      </c>
      <c r="J684" s="40">
        <f>IF(679&gt;$B$3,"",IFERROR(MATCH(679-1,EV_Seq,1)+1,1))</f>
        <v/>
      </c>
    </row>
    <row r="685">
      <c r="A685" s="105">
        <f>IF($J685="","",INDEX(EV_Date,$J685))</f>
        <v/>
      </c>
      <c r="B685" s="78">
        <f>IF($J685="","",INDEX(EV_Name,$J685))</f>
        <v/>
      </c>
      <c r="C685" s="106">
        <f>IF($J685="","",INDEX(EV_ID,$J685))</f>
        <v/>
      </c>
      <c r="D685" s="106">
        <f>IF($J685="","",INDEX(EV_Class,$J685))</f>
        <v/>
      </c>
      <c r="E685" s="106">
        <f>IF($J685="","",INDEX(EV_Type,$J685))</f>
        <v/>
      </c>
      <c r="F685" s="106">
        <f>IF($J685="","",INDEX(EV_Cum,$J685))</f>
        <v/>
      </c>
      <c r="G685" s="106">
        <f>IF($J685="","",INDEX(LevelLabels,MATCH(F685,LevelValues,1)))</f>
        <v/>
      </c>
      <c r="H685" s="106">
        <f>IF($J685="","",IFERROR(INDEX(Stu_ContactReq,MATCH(C685,Stu_ID,0)),""))</f>
        <v/>
      </c>
      <c r="I685" s="107">
        <f>IF($J685="","",IFERROR(INDEX(Stu_Notes,MATCH(C685,Stu_ID,0)),""))</f>
        <v/>
      </c>
      <c r="J685" s="40">
        <f>IF(680&gt;$B$3,"",IFERROR(MATCH(680-1,EV_Seq,1)+1,1))</f>
        <v/>
      </c>
    </row>
    <row r="686">
      <c r="A686" s="105">
        <f>IF($J686="","",INDEX(EV_Date,$J686))</f>
        <v/>
      </c>
      <c r="B686" s="78">
        <f>IF($J686="","",INDEX(EV_Name,$J686))</f>
        <v/>
      </c>
      <c r="C686" s="106">
        <f>IF($J686="","",INDEX(EV_ID,$J686))</f>
        <v/>
      </c>
      <c r="D686" s="106">
        <f>IF($J686="","",INDEX(EV_Class,$J686))</f>
        <v/>
      </c>
      <c r="E686" s="106">
        <f>IF($J686="","",INDEX(EV_Type,$J686))</f>
        <v/>
      </c>
      <c r="F686" s="106">
        <f>IF($J686="","",INDEX(EV_Cum,$J686))</f>
        <v/>
      </c>
      <c r="G686" s="106">
        <f>IF($J686="","",INDEX(LevelLabels,MATCH(F686,LevelValues,1)))</f>
        <v/>
      </c>
      <c r="H686" s="106">
        <f>IF($J686="","",IFERROR(INDEX(Stu_ContactReq,MATCH(C686,Stu_ID,0)),""))</f>
        <v/>
      </c>
      <c r="I686" s="107">
        <f>IF($J686="","",IFERROR(INDEX(Stu_Notes,MATCH(C686,Stu_ID,0)),""))</f>
        <v/>
      </c>
      <c r="J686" s="40">
        <f>IF(681&gt;$B$3,"",IFERROR(MATCH(681-1,EV_Seq,1)+1,1))</f>
        <v/>
      </c>
    </row>
    <row r="687">
      <c r="A687" s="105">
        <f>IF($J687="","",INDEX(EV_Date,$J687))</f>
        <v/>
      </c>
      <c r="B687" s="78">
        <f>IF($J687="","",INDEX(EV_Name,$J687))</f>
        <v/>
      </c>
      <c r="C687" s="106">
        <f>IF($J687="","",INDEX(EV_ID,$J687))</f>
        <v/>
      </c>
      <c r="D687" s="106">
        <f>IF($J687="","",INDEX(EV_Class,$J687))</f>
        <v/>
      </c>
      <c r="E687" s="106">
        <f>IF($J687="","",INDEX(EV_Type,$J687))</f>
        <v/>
      </c>
      <c r="F687" s="106">
        <f>IF($J687="","",INDEX(EV_Cum,$J687))</f>
        <v/>
      </c>
      <c r="G687" s="106">
        <f>IF($J687="","",INDEX(LevelLabels,MATCH(F687,LevelValues,1)))</f>
        <v/>
      </c>
      <c r="H687" s="106">
        <f>IF($J687="","",IFERROR(INDEX(Stu_ContactReq,MATCH(C687,Stu_ID,0)),""))</f>
        <v/>
      </c>
      <c r="I687" s="107">
        <f>IF($J687="","",IFERROR(INDEX(Stu_Notes,MATCH(C687,Stu_ID,0)),""))</f>
        <v/>
      </c>
      <c r="J687" s="40">
        <f>IF(682&gt;$B$3,"",IFERROR(MATCH(682-1,EV_Seq,1)+1,1))</f>
        <v/>
      </c>
    </row>
    <row r="688">
      <c r="A688" s="105">
        <f>IF($J688="","",INDEX(EV_Date,$J688))</f>
        <v/>
      </c>
      <c r="B688" s="78">
        <f>IF($J688="","",INDEX(EV_Name,$J688))</f>
        <v/>
      </c>
      <c r="C688" s="106">
        <f>IF($J688="","",INDEX(EV_ID,$J688))</f>
        <v/>
      </c>
      <c r="D688" s="106">
        <f>IF($J688="","",INDEX(EV_Class,$J688))</f>
        <v/>
      </c>
      <c r="E688" s="106">
        <f>IF($J688="","",INDEX(EV_Type,$J688))</f>
        <v/>
      </c>
      <c r="F688" s="106">
        <f>IF($J688="","",INDEX(EV_Cum,$J688))</f>
        <v/>
      </c>
      <c r="G688" s="106">
        <f>IF($J688="","",INDEX(LevelLabels,MATCH(F688,LevelValues,1)))</f>
        <v/>
      </c>
      <c r="H688" s="106">
        <f>IF($J688="","",IFERROR(INDEX(Stu_ContactReq,MATCH(C688,Stu_ID,0)),""))</f>
        <v/>
      </c>
      <c r="I688" s="107">
        <f>IF($J688="","",IFERROR(INDEX(Stu_Notes,MATCH(C688,Stu_ID,0)),""))</f>
        <v/>
      </c>
      <c r="J688" s="40">
        <f>IF(683&gt;$B$3,"",IFERROR(MATCH(683-1,EV_Seq,1)+1,1))</f>
        <v/>
      </c>
    </row>
    <row r="689">
      <c r="A689" s="105">
        <f>IF($J689="","",INDEX(EV_Date,$J689))</f>
        <v/>
      </c>
      <c r="B689" s="78">
        <f>IF($J689="","",INDEX(EV_Name,$J689))</f>
        <v/>
      </c>
      <c r="C689" s="106">
        <f>IF($J689="","",INDEX(EV_ID,$J689))</f>
        <v/>
      </c>
      <c r="D689" s="106">
        <f>IF($J689="","",INDEX(EV_Class,$J689))</f>
        <v/>
      </c>
      <c r="E689" s="106">
        <f>IF($J689="","",INDEX(EV_Type,$J689))</f>
        <v/>
      </c>
      <c r="F689" s="106">
        <f>IF($J689="","",INDEX(EV_Cum,$J689))</f>
        <v/>
      </c>
      <c r="G689" s="106">
        <f>IF($J689="","",INDEX(LevelLabels,MATCH(F689,LevelValues,1)))</f>
        <v/>
      </c>
      <c r="H689" s="106">
        <f>IF($J689="","",IFERROR(INDEX(Stu_ContactReq,MATCH(C689,Stu_ID,0)),""))</f>
        <v/>
      </c>
      <c r="I689" s="107">
        <f>IF($J689="","",IFERROR(INDEX(Stu_Notes,MATCH(C689,Stu_ID,0)),""))</f>
        <v/>
      </c>
      <c r="J689" s="40">
        <f>IF(684&gt;$B$3,"",IFERROR(MATCH(684-1,EV_Seq,1)+1,1))</f>
        <v/>
      </c>
    </row>
    <row r="690">
      <c r="A690" s="105">
        <f>IF($J690="","",INDEX(EV_Date,$J690))</f>
        <v/>
      </c>
      <c r="B690" s="78">
        <f>IF($J690="","",INDEX(EV_Name,$J690))</f>
        <v/>
      </c>
      <c r="C690" s="106">
        <f>IF($J690="","",INDEX(EV_ID,$J690))</f>
        <v/>
      </c>
      <c r="D690" s="106">
        <f>IF($J690="","",INDEX(EV_Class,$J690))</f>
        <v/>
      </c>
      <c r="E690" s="106">
        <f>IF($J690="","",INDEX(EV_Type,$J690))</f>
        <v/>
      </c>
      <c r="F690" s="106">
        <f>IF($J690="","",INDEX(EV_Cum,$J690))</f>
        <v/>
      </c>
      <c r="G690" s="106">
        <f>IF($J690="","",INDEX(LevelLabels,MATCH(F690,LevelValues,1)))</f>
        <v/>
      </c>
      <c r="H690" s="106">
        <f>IF($J690="","",IFERROR(INDEX(Stu_ContactReq,MATCH(C690,Stu_ID,0)),""))</f>
        <v/>
      </c>
      <c r="I690" s="107">
        <f>IF($J690="","",IFERROR(INDEX(Stu_Notes,MATCH(C690,Stu_ID,0)),""))</f>
        <v/>
      </c>
      <c r="J690" s="40">
        <f>IF(685&gt;$B$3,"",IFERROR(MATCH(685-1,EV_Seq,1)+1,1))</f>
        <v/>
      </c>
    </row>
    <row r="691">
      <c r="A691" s="105">
        <f>IF($J691="","",INDEX(EV_Date,$J691))</f>
        <v/>
      </c>
      <c r="B691" s="78">
        <f>IF($J691="","",INDEX(EV_Name,$J691))</f>
        <v/>
      </c>
      <c r="C691" s="106">
        <f>IF($J691="","",INDEX(EV_ID,$J691))</f>
        <v/>
      </c>
      <c r="D691" s="106">
        <f>IF($J691="","",INDEX(EV_Class,$J691))</f>
        <v/>
      </c>
      <c r="E691" s="106">
        <f>IF($J691="","",INDEX(EV_Type,$J691))</f>
        <v/>
      </c>
      <c r="F691" s="106">
        <f>IF($J691="","",INDEX(EV_Cum,$J691))</f>
        <v/>
      </c>
      <c r="G691" s="106">
        <f>IF($J691="","",INDEX(LevelLabels,MATCH(F691,LevelValues,1)))</f>
        <v/>
      </c>
      <c r="H691" s="106">
        <f>IF($J691="","",IFERROR(INDEX(Stu_ContactReq,MATCH(C691,Stu_ID,0)),""))</f>
        <v/>
      </c>
      <c r="I691" s="107">
        <f>IF($J691="","",IFERROR(INDEX(Stu_Notes,MATCH(C691,Stu_ID,0)),""))</f>
        <v/>
      </c>
      <c r="J691" s="40">
        <f>IF(686&gt;$B$3,"",IFERROR(MATCH(686-1,EV_Seq,1)+1,1))</f>
        <v/>
      </c>
    </row>
    <row r="692">
      <c r="A692" s="105">
        <f>IF($J692="","",INDEX(EV_Date,$J692))</f>
        <v/>
      </c>
      <c r="B692" s="78">
        <f>IF($J692="","",INDEX(EV_Name,$J692))</f>
        <v/>
      </c>
      <c r="C692" s="106">
        <f>IF($J692="","",INDEX(EV_ID,$J692))</f>
        <v/>
      </c>
      <c r="D692" s="106">
        <f>IF($J692="","",INDEX(EV_Class,$J692))</f>
        <v/>
      </c>
      <c r="E692" s="106">
        <f>IF($J692="","",INDEX(EV_Type,$J692))</f>
        <v/>
      </c>
      <c r="F692" s="106">
        <f>IF($J692="","",INDEX(EV_Cum,$J692))</f>
        <v/>
      </c>
      <c r="G692" s="106">
        <f>IF($J692="","",INDEX(LevelLabels,MATCH(F692,LevelValues,1)))</f>
        <v/>
      </c>
      <c r="H692" s="106">
        <f>IF($J692="","",IFERROR(INDEX(Stu_ContactReq,MATCH(C692,Stu_ID,0)),""))</f>
        <v/>
      </c>
      <c r="I692" s="107">
        <f>IF($J692="","",IFERROR(INDEX(Stu_Notes,MATCH(C692,Stu_ID,0)),""))</f>
        <v/>
      </c>
      <c r="J692" s="40">
        <f>IF(687&gt;$B$3,"",IFERROR(MATCH(687-1,EV_Seq,1)+1,1))</f>
        <v/>
      </c>
    </row>
    <row r="693">
      <c r="A693" s="105">
        <f>IF($J693="","",INDEX(EV_Date,$J693))</f>
        <v/>
      </c>
      <c r="B693" s="78">
        <f>IF($J693="","",INDEX(EV_Name,$J693))</f>
        <v/>
      </c>
      <c r="C693" s="106">
        <f>IF($J693="","",INDEX(EV_ID,$J693))</f>
        <v/>
      </c>
      <c r="D693" s="106">
        <f>IF($J693="","",INDEX(EV_Class,$J693))</f>
        <v/>
      </c>
      <c r="E693" s="106">
        <f>IF($J693="","",INDEX(EV_Type,$J693))</f>
        <v/>
      </c>
      <c r="F693" s="106">
        <f>IF($J693="","",INDEX(EV_Cum,$J693))</f>
        <v/>
      </c>
      <c r="G693" s="106">
        <f>IF($J693="","",INDEX(LevelLabels,MATCH(F693,LevelValues,1)))</f>
        <v/>
      </c>
      <c r="H693" s="106">
        <f>IF($J693="","",IFERROR(INDEX(Stu_ContactReq,MATCH(C693,Stu_ID,0)),""))</f>
        <v/>
      </c>
      <c r="I693" s="107">
        <f>IF($J693="","",IFERROR(INDEX(Stu_Notes,MATCH(C693,Stu_ID,0)),""))</f>
        <v/>
      </c>
      <c r="J693" s="40">
        <f>IF(688&gt;$B$3,"",IFERROR(MATCH(688-1,EV_Seq,1)+1,1))</f>
        <v/>
      </c>
    </row>
    <row r="694">
      <c r="A694" s="105">
        <f>IF($J694="","",INDEX(EV_Date,$J694))</f>
        <v/>
      </c>
      <c r="B694" s="78">
        <f>IF($J694="","",INDEX(EV_Name,$J694))</f>
        <v/>
      </c>
      <c r="C694" s="106">
        <f>IF($J694="","",INDEX(EV_ID,$J694))</f>
        <v/>
      </c>
      <c r="D694" s="106">
        <f>IF($J694="","",INDEX(EV_Class,$J694))</f>
        <v/>
      </c>
      <c r="E694" s="106">
        <f>IF($J694="","",INDEX(EV_Type,$J694))</f>
        <v/>
      </c>
      <c r="F694" s="106">
        <f>IF($J694="","",INDEX(EV_Cum,$J694))</f>
        <v/>
      </c>
      <c r="G694" s="106">
        <f>IF($J694="","",INDEX(LevelLabels,MATCH(F694,LevelValues,1)))</f>
        <v/>
      </c>
      <c r="H694" s="106">
        <f>IF($J694="","",IFERROR(INDEX(Stu_ContactReq,MATCH(C694,Stu_ID,0)),""))</f>
        <v/>
      </c>
      <c r="I694" s="107">
        <f>IF($J694="","",IFERROR(INDEX(Stu_Notes,MATCH(C694,Stu_ID,0)),""))</f>
        <v/>
      </c>
      <c r="J694" s="40">
        <f>IF(689&gt;$B$3,"",IFERROR(MATCH(689-1,EV_Seq,1)+1,1))</f>
        <v/>
      </c>
    </row>
    <row r="695">
      <c r="A695" s="105">
        <f>IF($J695="","",INDEX(EV_Date,$J695))</f>
        <v/>
      </c>
      <c r="B695" s="78">
        <f>IF($J695="","",INDEX(EV_Name,$J695))</f>
        <v/>
      </c>
      <c r="C695" s="106">
        <f>IF($J695="","",INDEX(EV_ID,$J695))</f>
        <v/>
      </c>
      <c r="D695" s="106">
        <f>IF($J695="","",INDEX(EV_Class,$J695))</f>
        <v/>
      </c>
      <c r="E695" s="106">
        <f>IF($J695="","",INDEX(EV_Type,$J695))</f>
        <v/>
      </c>
      <c r="F695" s="106">
        <f>IF($J695="","",INDEX(EV_Cum,$J695))</f>
        <v/>
      </c>
      <c r="G695" s="106">
        <f>IF($J695="","",INDEX(LevelLabels,MATCH(F695,LevelValues,1)))</f>
        <v/>
      </c>
      <c r="H695" s="106">
        <f>IF($J695="","",IFERROR(INDEX(Stu_ContactReq,MATCH(C695,Stu_ID,0)),""))</f>
        <v/>
      </c>
      <c r="I695" s="107">
        <f>IF($J695="","",IFERROR(INDEX(Stu_Notes,MATCH(C695,Stu_ID,0)),""))</f>
        <v/>
      </c>
      <c r="J695" s="40">
        <f>IF(690&gt;$B$3,"",IFERROR(MATCH(690-1,EV_Seq,1)+1,1))</f>
        <v/>
      </c>
    </row>
    <row r="696">
      <c r="A696" s="105">
        <f>IF($J696="","",INDEX(EV_Date,$J696))</f>
        <v/>
      </c>
      <c r="B696" s="78">
        <f>IF($J696="","",INDEX(EV_Name,$J696))</f>
        <v/>
      </c>
      <c r="C696" s="106">
        <f>IF($J696="","",INDEX(EV_ID,$J696))</f>
        <v/>
      </c>
      <c r="D696" s="106">
        <f>IF($J696="","",INDEX(EV_Class,$J696))</f>
        <v/>
      </c>
      <c r="E696" s="106">
        <f>IF($J696="","",INDEX(EV_Type,$J696))</f>
        <v/>
      </c>
      <c r="F696" s="106">
        <f>IF($J696="","",INDEX(EV_Cum,$J696))</f>
        <v/>
      </c>
      <c r="G696" s="106">
        <f>IF($J696="","",INDEX(LevelLabels,MATCH(F696,LevelValues,1)))</f>
        <v/>
      </c>
      <c r="H696" s="106">
        <f>IF($J696="","",IFERROR(INDEX(Stu_ContactReq,MATCH(C696,Stu_ID,0)),""))</f>
        <v/>
      </c>
      <c r="I696" s="107">
        <f>IF($J696="","",IFERROR(INDEX(Stu_Notes,MATCH(C696,Stu_ID,0)),""))</f>
        <v/>
      </c>
      <c r="J696" s="40">
        <f>IF(691&gt;$B$3,"",IFERROR(MATCH(691-1,EV_Seq,1)+1,1))</f>
        <v/>
      </c>
    </row>
    <row r="697">
      <c r="A697" s="105">
        <f>IF($J697="","",INDEX(EV_Date,$J697))</f>
        <v/>
      </c>
      <c r="B697" s="78">
        <f>IF($J697="","",INDEX(EV_Name,$J697))</f>
        <v/>
      </c>
      <c r="C697" s="106">
        <f>IF($J697="","",INDEX(EV_ID,$J697))</f>
        <v/>
      </c>
      <c r="D697" s="106">
        <f>IF($J697="","",INDEX(EV_Class,$J697))</f>
        <v/>
      </c>
      <c r="E697" s="106">
        <f>IF($J697="","",INDEX(EV_Type,$J697))</f>
        <v/>
      </c>
      <c r="F697" s="106">
        <f>IF($J697="","",INDEX(EV_Cum,$J697))</f>
        <v/>
      </c>
      <c r="G697" s="106">
        <f>IF($J697="","",INDEX(LevelLabels,MATCH(F697,LevelValues,1)))</f>
        <v/>
      </c>
      <c r="H697" s="106">
        <f>IF($J697="","",IFERROR(INDEX(Stu_ContactReq,MATCH(C697,Stu_ID,0)),""))</f>
        <v/>
      </c>
      <c r="I697" s="107">
        <f>IF($J697="","",IFERROR(INDEX(Stu_Notes,MATCH(C697,Stu_ID,0)),""))</f>
        <v/>
      </c>
      <c r="J697" s="40">
        <f>IF(692&gt;$B$3,"",IFERROR(MATCH(692-1,EV_Seq,1)+1,1))</f>
        <v/>
      </c>
    </row>
    <row r="698">
      <c r="A698" s="105">
        <f>IF($J698="","",INDEX(EV_Date,$J698))</f>
        <v/>
      </c>
      <c r="B698" s="78">
        <f>IF($J698="","",INDEX(EV_Name,$J698))</f>
        <v/>
      </c>
      <c r="C698" s="106">
        <f>IF($J698="","",INDEX(EV_ID,$J698))</f>
        <v/>
      </c>
      <c r="D698" s="106">
        <f>IF($J698="","",INDEX(EV_Class,$J698))</f>
        <v/>
      </c>
      <c r="E698" s="106">
        <f>IF($J698="","",INDEX(EV_Type,$J698))</f>
        <v/>
      </c>
      <c r="F698" s="106">
        <f>IF($J698="","",INDEX(EV_Cum,$J698))</f>
        <v/>
      </c>
      <c r="G698" s="106">
        <f>IF($J698="","",INDEX(LevelLabels,MATCH(F698,LevelValues,1)))</f>
        <v/>
      </c>
      <c r="H698" s="106">
        <f>IF($J698="","",IFERROR(INDEX(Stu_ContactReq,MATCH(C698,Stu_ID,0)),""))</f>
        <v/>
      </c>
      <c r="I698" s="107">
        <f>IF($J698="","",IFERROR(INDEX(Stu_Notes,MATCH(C698,Stu_ID,0)),""))</f>
        <v/>
      </c>
      <c r="J698" s="40">
        <f>IF(693&gt;$B$3,"",IFERROR(MATCH(693-1,EV_Seq,1)+1,1))</f>
        <v/>
      </c>
    </row>
    <row r="699">
      <c r="A699" s="105">
        <f>IF($J699="","",INDEX(EV_Date,$J699))</f>
        <v/>
      </c>
      <c r="B699" s="78">
        <f>IF($J699="","",INDEX(EV_Name,$J699))</f>
        <v/>
      </c>
      <c r="C699" s="106">
        <f>IF($J699="","",INDEX(EV_ID,$J699))</f>
        <v/>
      </c>
      <c r="D699" s="106">
        <f>IF($J699="","",INDEX(EV_Class,$J699))</f>
        <v/>
      </c>
      <c r="E699" s="106">
        <f>IF($J699="","",INDEX(EV_Type,$J699))</f>
        <v/>
      </c>
      <c r="F699" s="106">
        <f>IF($J699="","",INDEX(EV_Cum,$J699))</f>
        <v/>
      </c>
      <c r="G699" s="106">
        <f>IF($J699="","",INDEX(LevelLabels,MATCH(F699,LevelValues,1)))</f>
        <v/>
      </c>
      <c r="H699" s="106">
        <f>IF($J699="","",IFERROR(INDEX(Stu_ContactReq,MATCH(C699,Stu_ID,0)),""))</f>
        <v/>
      </c>
      <c r="I699" s="107">
        <f>IF($J699="","",IFERROR(INDEX(Stu_Notes,MATCH(C699,Stu_ID,0)),""))</f>
        <v/>
      </c>
      <c r="J699" s="40">
        <f>IF(694&gt;$B$3,"",IFERROR(MATCH(694-1,EV_Seq,1)+1,1))</f>
        <v/>
      </c>
    </row>
    <row r="700">
      <c r="A700" s="105">
        <f>IF($J700="","",INDEX(EV_Date,$J700))</f>
        <v/>
      </c>
      <c r="B700" s="78">
        <f>IF($J700="","",INDEX(EV_Name,$J700))</f>
        <v/>
      </c>
      <c r="C700" s="106">
        <f>IF($J700="","",INDEX(EV_ID,$J700))</f>
        <v/>
      </c>
      <c r="D700" s="106">
        <f>IF($J700="","",INDEX(EV_Class,$J700))</f>
        <v/>
      </c>
      <c r="E700" s="106">
        <f>IF($J700="","",INDEX(EV_Type,$J700))</f>
        <v/>
      </c>
      <c r="F700" s="106">
        <f>IF($J700="","",INDEX(EV_Cum,$J700))</f>
        <v/>
      </c>
      <c r="G700" s="106">
        <f>IF($J700="","",INDEX(LevelLabels,MATCH(F700,LevelValues,1)))</f>
        <v/>
      </c>
      <c r="H700" s="106">
        <f>IF($J700="","",IFERROR(INDEX(Stu_ContactReq,MATCH(C700,Stu_ID,0)),""))</f>
        <v/>
      </c>
      <c r="I700" s="107">
        <f>IF($J700="","",IFERROR(INDEX(Stu_Notes,MATCH(C700,Stu_ID,0)),""))</f>
        <v/>
      </c>
      <c r="J700" s="40">
        <f>IF(695&gt;$B$3,"",IFERROR(MATCH(695-1,EV_Seq,1)+1,1))</f>
        <v/>
      </c>
    </row>
    <row r="701">
      <c r="A701" s="105">
        <f>IF($J701="","",INDEX(EV_Date,$J701))</f>
        <v/>
      </c>
      <c r="B701" s="78">
        <f>IF($J701="","",INDEX(EV_Name,$J701))</f>
        <v/>
      </c>
      <c r="C701" s="106">
        <f>IF($J701="","",INDEX(EV_ID,$J701))</f>
        <v/>
      </c>
      <c r="D701" s="106">
        <f>IF($J701="","",INDEX(EV_Class,$J701))</f>
        <v/>
      </c>
      <c r="E701" s="106">
        <f>IF($J701="","",INDEX(EV_Type,$J701))</f>
        <v/>
      </c>
      <c r="F701" s="106">
        <f>IF($J701="","",INDEX(EV_Cum,$J701))</f>
        <v/>
      </c>
      <c r="G701" s="106">
        <f>IF($J701="","",INDEX(LevelLabels,MATCH(F701,LevelValues,1)))</f>
        <v/>
      </c>
      <c r="H701" s="106">
        <f>IF($J701="","",IFERROR(INDEX(Stu_ContactReq,MATCH(C701,Stu_ID,0)),""))</f>
        <v/>
      </c>
      <c r="I701" s="107">
        <f>IF($J701="","",IFERROR(INDEX(Stu_Notes,MATCH(C701,Stu_ID,0)),""))</f>
        <v/>
      </c>
      <c r="J701" s="40">
        <f>IF(696&gt;$B$3,"",IFERROR(MATCH(696-1,EV_Seq,1)+1,1))</f>
        <v/>
      </c>
    </row>
    <row r="702">
      <c r="A702" s="105">
        <f>IF($J702="","",INDEX(EV_Date,$J702))</f>
        <v/>
      </c>
      <c r="B702" s="78">
        <f>IF($J702="","",INDEX(EV_Name,$J702))</f>
        <v/>
      </c>
      <c r="C702" s="106">
        <f>IF($J702="","",INDEX(EV_ID,$J702))</f>
        <v/>
      </c>
      <c r="D702" s="106">
        <f>IF($J702="","",INDEX(EV_Class,$J702))</f>
        <v/>
      </c>
      <c r="E702" s="106">
        <f>IF($J702="","",INDEX(EV_Type,$J702))</f>
        <v/>
      </c>
      <c r="F702" s="106">
        <f>IF($J702="","",INDEX(EV_Cum,$J702))</f>
        <v/>
      </c>
      <c r="G702" s="106">
        <f>IF($J702="","",INDEX(LevelLabels,MATCH(F702,LevelValues,1)))</f>
        <v/>
      </c>
      <c r="H702" s="106">
        <f>IF($J702="","",IFERROR(INDEX(Stu_ContactReq,MATCH(C702,Stu_ID,0)),""))</f>
        <v/>
      </c>
      <c r="I702" s="107">
        <f>IF($J702="","",IFERROR(INDEX(Stu_Notes,MATCH(C702,Stu_ID,0)),""))</f>
        <v/>
      </c>
      <c r="J702" s="40">
        <f>IF(697&gt;$B$3,"",IFERROR(MATCH(697-1,EV_Seq,1)+1,1))</f>
        <v/>
      </c>
    </row>
    <row r="703">
      <c r="A703" s="105">
        <f>IF($J703="","",INDEX(EV_Date,$J703))</f>
        <v/>
      </c>
      <c r="B703" s="78">
        <f>IF($J703="","",INDEX(EV_Name,$J703))</f>
        <v/>
      </c>
      <c r="C703" s="106">
        <f>IF($J703="","",INDEX(EV_ID,$J703))</f>
        <v/>
      </c>
      <c r="D703" s="106">
        <f>IF($J703="","",INDEX(EV_Class,$J703))</f>
        <v/>
      </c>
      <c r="E703" s="106">
        <f>IF($J703="","",INDEX(EV_Type,$J703))</f>
        <v/>
      </c>
      <c r="F703" s="106">
        <f>IF($J703="","",INDEX(EV_Cum,$J703))</f>
        <v/>
      </c>
      <c r="G703" s="106">
        <f>IF($J703="","",INDEX(LevelLabels,MATCH(F703,LevelValues,1)))</f>
        <v/>
      </c>
      <c r="H703" s="106">
        <f>IF($J703="","",IFERROR(INDEX(Stu_ContactReq,MATCH(C703,Stu_ID,0)),""))</f>
        <v/>
      </c>
      <c r="I703" s="107">
        <f>IF($J703="","",IFERROR(INDEX(Stu_Notes,MATCH(C703,Stu_ID,0)),""))</f>
        <v/>
      </c>
      <c r="J703" s="40">
        <f>IF(698&gt;$B$3,"",IFERROR(MATCH(698-1,EV_Seq,1)+1,1))</f>
        <v/>
      </c>
    </row>
    <row r="704">
      <c r="A704" s="105">
        <f>IF($J704="","",INDEX(EV_Date,$J704))</f>
        <v/>
      </c>
      <c r="B704" s="78">
        <f>IF($J704="","",INDEX(EV_Name,$J704))</f>
        <v/>
      </c>
      <c r="C704" s="106">
        <f>IF($J704="","",INDEX(EV_ID,$J704))</f>
        <v/>
      </c>
      <c r="D704" s="106">
        <f>IF($J704="","",INDEX(EV_Class,$J704))</f>
        <v/>
      </c>
      <c r="E704" s="106">
        <f>IF($J704="","",INDEX(EV_Type,$J704))</f>
        <v/>
      </c>
      <c r="F704" s="106">
        <f>IF($J704="","",INDEX(EV_Cum,$J704))</f>
        <v/>
      </c>
      <c r="G704" s="106">
        <f>IF($J704="","",INDEX(LevelLabels,MATCH(F704,LevelValues,1)))</f>
        <v/>
      </c>
      <c r="H704" s="106">
        <f>IF($J704="","",IFERROR(INDEX(Stu_ContactReq,MATCH(C704,Stu_ID,0)),""))</f>
        <v/>
      </c>
      <c r="I704" s="107">
        <f>IF($J704="","",IFERROR(INDEX(Stu_Notes,MATCH(C704,Stu_ID,0)),""))</f>
        <v/>
      </c>
      <c r="J704" s="40">
        <f>IF(699&gt;$B$3,"",IFERROR(MATCH(699-1,EV_Seq,1)+1,1))</f>
        <v/>
      </c>
    </row>
    <row r="705">
      <c r="A705" s="105">
        <f>IF($J705="","",INDEX(EV_Date,$J705))</f>
        <v/>
      </c>
      <c r="B705" s="78">
        <f>IF($J705="","",INDEX(EV_Name,$J705))</f>
        <v/>
      </c>
      <c r="C705" s="106">
        <f>IF($J705="","",INDEX(EV_ID,$J705))</f>
        <v/>
      </c>
      <c r="D705" s="106">
        <f>IF($J705="","",INDEX(EV_Class,$J705))</f>
        <v/>
      </c>
      <c r="E705" s="106">
        <f>IF($J705="","",INDEX(EV_Type,$J705))</f>
        <v/>
      </c>
      <c r="F705" s="106">
        <f>IF($J705="","",INDEX(EV_Cum,$J705))</f>
        <v/>
      </c>
      <c r="G705" s="106">
        <f>IF($J705="","",INDEX(LevelLabels,MATCH(F705,LevelValues,1)))</f>
        <v/>
      </c>
      <c r="H705" s="106">
        <f>IF($J705="","",IFERROR(INDEX(Stu_ContactReq,MATCH(C705,Stu_ID,0)),""))</f>
        <v/>
      </c>
      <c r="I705" s="107">
        <f>IF($J705="","",IFERROR(INDEX(Stu_Notes,MATCH(C705,Stu_ID,0)),""))</f>
        <v/>
      </c>
      <c r="J705" s="40">
        <f>IF(700&gt;$B$3,"",IFERROR(MATCH(700-1,EV_Seq,1)+1,1))</f>
        <v/>
      </c>
    </row>
    <row r="706">
      <c r="A706" s="105">
        <f>IF($J706="","",INDEX(EV_Date,$J706))</f>
        <v/>
      </c>
      <c r="B706" s="78">
        <f>IF($J706="","",INDEX(EV_Name,$J706))</f>
        <v/>
      </c>
      <c r="C706" s="106">
        <f>IF($J706="","",INDEX(EV_ID,$J706))</f>
        <v/>
      </c>
      <c r="D706" s="106">
        <f>IF($J706="","",INDEX(EV_Class,$J706))</f>
        <v/>
      </c>
      <c r="E706" s="106">
        <f>IF($J706="","",INDEX(EV_Type,$J706))</f>
        <v/>
      </c>
      <c r="F706" s="106">
        <f>IF($J706="","",INDEX(EV_Cum,$J706))</f>
        <v/>
      </c>
      <c r="G706" s="106">
        <f>IF($J706="","",INDEX(LevelLabels,MATCH(F706,LevelValues,1)))</f>
        <v/>
      </c>
      <c r="H706" s="106">
        <f>IF($J706="","",IFERROR(INDEX(Stu_ContactReq,MATCH(C706,Stu_ID,0)),""))</f>
        <v/>
      </c>
      <c r="I706" s="107">
        <f>IF($J706="","",IFERROR(INDEX(Stu_Notes,MATCH(C706,Stu_ID,0)),""))</f>
        <v/>
      </c>
      <c r="J706" s="40">
        <f>IF(701&gt;$B$3,"",IFERROR(MATCH(701-1,EV_Seq,1)+1,1))</f>
        <v/>
      </c>
    </row>
    <row r="707">
      <c r="A707" s="105">
        <f>IF($J707="","",INDEX(EV_Date,$J707))</f>
        <v/>
      </c>
      <c r="B707" s="78">
        <f>IF($J707="","",INDEX(EV_Name,$J707))</f>
        <v/>
      </c>
      <c r="C707" s="106">
        <f>IF($J707="","",INDEX(EV_ID,$J707))</f>
        <v/>
      </c>
      <c r="D707" s="106">
        <f>IF($J707="","",INDEX(EV_Class,$J707))</f>
        <v/>
      </c>
      <c r="E707" s="106">
        <f>IF($J707="","",INDEX(EV_Type,$J707))</f>
        <v/>
      </c>
      <c r="F707" s="106">
        <f>IF($J707="","",INDEX(EV_Cum,$J707))</f>
        <v/>
      </c>
      <c r="G707" s="106">
        <f>IF($J707="","",INDEX(LevelLabels,MATCH(F707,LevelValues,1)))</f>
        <v/>
      </c>
      <c r="H707" s="106">
        <f>IF($J707="","",IFERROR(INDEX(Stu_ContactReq,MATCH(C707,Stu_ID,0)),""))</f>
        <v/>
      </c>
      <c r="I707" s="107">
        <f>IF($J707="","",IFERROR(INDEX(Stu_Notes,MATCH(C707,Stu_ID,0)),""))</f>
        <v/>
      </c>
      <c r="J707" s="40">
        <f>IF(702&gt;$B$3,"",IFERROR(MATCH(702-1,EV_Seq,1)+1,1))</f>
        <v/>
      </c>
    </row>
    <row r="708">
      <c r="A708" s="105">
        <f>IF($J708="","",INDEX(EV_Date,$J708))</f>
        <v/>
      </c>
      <c r="B708" s="78">
        <f>IF($J708="","",INDEX(EV_Name,$J708))</f>
        <v/>
      </c>
      <c r="C708" s="106">
        <f>IF($J708="","",INDEX(EV_ID,$J708))</f>
        <v/>
      </c>
      <c r="D708" s="106">
        <f>IF($J708="","",INDEX(EV_Class,$J708))</f>
        <v/>
      </c>
      <c r="E708" s="106">
        <f>IF($J708="","",INDEX(EV_Type,$J708))</f>
        <v/>
      </c>
      <c r="F708" s="106">
        <f>IF($J708="","",INDEX(EV_Cum,$J708))</f>
        <v/>
      </c>
      <c r="G708" s="106">
        <f>IF($J708="","",INDEX(LevelLabels,MATCH(F708,LevelValues,1)))</f>
        <v/>
      </c>
      <c r="H708" s="106">
        <f>IF($J708="","",IFERROR(INDEX(Stu_ContactReq,MATCH(C708,Stu_ID,0)),""))</f>
        <v/>
      </c>
      <c r="I708" s="107">
        <f>IF($J708="","",IFERROR(INDEX(Stu_Notes,MATCH(C708,Stu_ID,0)),""))</f>
        <v/>
      </c>
      <c r="J708" s="40">
        <f>IF(703&gt;$B$3,"",IFERROR(MATCH(703-1,EV_Seq,1)+1,1))</f>
        <v/>
      </c>
    </row>
    <row r="709">
      <c r="A709" s="105">
        <f>IF($J709="","",INDEX(EV_Date,$J709))</f>
        <v/>
      </c>
      <c r="B709" s="78">
        <f>IF($J709="","",INDEX(EV_Name,$J709))</f>
        <v/>
      </c>
      <c r="C709" s="106">
        <f>IF($J709="","",INDEX(EV_ID,$J709))</f>
        <v/>
      </c>
      <c r="D709" s="106">
        <f>IF($J709="","",INDEX(EV_Class,$J709))</f>
        <v/>
      </c>
      <c r="E709" s="106">
        <f>IF($J709="","",INDEX(EV_Type,$J709))</f>
        <v/>
      </c>
      <c r="F709" s="106">
        <f>IF($J709="","",INDEX(EV_Cum,$J709))</f>
        <v/>
      </c>
      <c r="G709" s="106">
        <f>IF($J709="","",INDEX(LevelLabels,MATCH(F709,LevelValues,1)))</f>
        <v/>
      </c>
      <c r="H709" s="106">
        <f>IF($J709="","",IFERROR(INDEX(Stu_ContactReq,MATCH(C709,Stu_ID,0)),""))</f>
        <v/>
      </c>
      <c r="I709" s="107">
        <f>IF($J709="","",IFERROR(INDEX(Stu_Notes,MATCH(C709,Stu_ID,0)),""))</f>
        <v/>
      </c>
      <c r="J709" s="40">
        <f>IF(704&gt;$B$3,"",IFERROR(MATCH(704-1,EV_Seq,1)+1,1))</f>
        <v/>
      </c>
    </row>
    <row r="710">
      <c r="A710" s="105">
        <f>IF($J710="","",INDEX(EV_Date,$J710))</f>
        <v/>
      </c>
      <c r="B710" s="78">
        <f>IF($J710="","",INDEX(EV_Name,$J710))</f>
        <v/>
      </c>
      <c r="C710" s="106">
        <f>IF($J710="","",INDEX(EV_ID,$J710))</f>
        <v/>
      </c>
      <c r="D710" s="106">
        <f>IF($J710="","",INDEX(EV_Class,$J710))</f>
        <v/>
      </c>
      <c r="E710" s="106">
        <f>IF($J710="","",INDEX(EV_Type,$J710))</f>
        <v/>
      </c>
      <c r="F710" s="106">
        <f>IF($J710="","",INDEX(EV_Cum,$J710))</f>
        <v/>
      </c>
      <c r="G710" s="106">
        <f>IF($J710="","",INDEX(LevelLabels,MATCH(F710,LevelValues,1)))</f>
        <v/>
      </c>
      <c r="H710" s="106">
        <f>IF($J710="","",IFERROR(INDEX(Stu_ContactReq,MATCH(C710,Stu_ID,0)),""))</f>
        <v/>
      </c>
      <c r="I710" s="107">
        <f>IF($J710="","",IFERROR(INDEX(Stu_Notes,MATCH(C710,Stu_ID,0)),""))</f>
        <v/>
      </c>
      <c r="J710" s="40">
        <f>IF(705&gt;$B$3,"",IFERROR(MATCH(705-1,EV_Seq,1)+1,1))</f>
        <v/>
      </c>
    </row>
    <row r="711">
      <c r="A711" s="105">
        <f>IF($J711="","",INDEX(EV_Date,$J711))</f>
        <v/>
      </c>
      <c r="B711" s="78">
        <f>IF($J711="","",INDEX(EV_Name,$J711))</f>
        <v/>
      </c>
      <c r="C711" s="106">
        <f>IF($J711="","",INDEX(EV_ID,$J711))</f>
        <v/>
      </c>
      <c r="D711" s="106">
        <f>IF($J711="","",INDEX(EV_Class,$J711))</f>
        <v/>
      </c>
      <c r="E711" s="106">
        <f>IF($J711="","",INDEX(EV_Type,$J711))</f>
        <v/>
      </c>
      <c r="F711" s="106">
        <f>IF($J711="","",INDEX(EV_Cum,$J711))</f>
        <v/>
      </c>
      <c r="G711" s="106">
        <f>IF($J711="","",INDEX(LevelLabels,MATCH(F711,LevelValues,1)))</f>
        <v/>
      </c>
      <c r="H711" s="106">
        <f>IF($J711="","",IFERROR(INDEX(Stu_ContactReq,MATCH(C711,Stu_ID,0)),""))</f>
        <v/>
      </c>
      <c r="I711" s="107">
        <f>IF($J711="","",IFERROR(INDEX(Stu_Notes,MATCH(C711,Stu_ID,0)),""))</f>
        <v/>
      </c>
      <c r="J711" s="40">
        <f>IF(706&gt;$B$3,"",IFERROR(MATCH(706-1,EV_Seq,1)+1,1))</f>
        <v/>
      </c>
    </row>
    <row r="712">
      <c r="A712" s="105">
        <f>IF($J712="","",INDEX(EV_Date,$J712))</f>
        <v/>
      </c>
      <c r="B712" s="78">
        <f>IF($J712="","",INDEX(EV_Name,$J712))</f>
        <v/>
      </c>
      <c r="C712" s="106">
        <f>IF($J712="","",INDEX(EV_ID,$J712))</f>
        <v/>
      </c>
      <c r="D712" s="106">
        <f>IF($J712="","",INDEX(EV_Class,$J712))</f>
        <v/>
      </c>
      <c r="E712" s="106">
        <f>IF($J712="","",INDEX(EV_Type,$J712))</f>
        <v/>
      </c>
      <c r="F712" s="106">
        <f>IF($J712="","",INDEX(EV_Cum,$J712))</f>
        <v/>
      </c>
      <c r="G712" s="106">
        <f>IF($J712="","",INDEX(LevelLabels,MATCH(F712,LevelValues,1)))</f>
        <v/>
      </c>
      <c r="H712" s="106">
        <f>IF($J712="","",IFERROR(INDEX(Stu_ContactReq,MATCH(C712,Stu_ID,0)),""))</f>
        <v/>
      </c>
      <c r="I712" s="107">
        <f>IF($J712="","",IFERROR(INDEX(Stu_Notes,MATCH(C712,Stu_ID,0)),""))</f>
        <v/>
      </c>
      <c r="J712" s="40">
        <f>IF(707&gt;$B$3,"",IFERROR(MATCH(707-1,EV_Seq,1)+1,1))</f>
        <v/>
      </c>
    </row>
    <row r="713">
      <c r="A713" s="105">
        <f>IF($J713="","",INDEX(EV_Date,$J713))</f>
        <v/>
      </c>
      <c r="B713" s="78">
        <f>IF($J713="","",INDEX(EV_Name,$J713))</f>
        <v/>
      </c>
      <c r="C713" s="106">
        <f>IF($J713="","",INDEX(EV_ID,$J713))</f>
        <v/>
      </c>
      <c r="D713" s="106">
        <f>IF($J713="","",INDEX(EV_Class,$J713))</f>
        <v/>
      </c>
      <c r="E713" s="106">
        <f>IF($J713="","",INDEX(EV_Type,$J713))</f>
        <v/>
      </c>
      <c r="F713" s="106">
        <f>IF($J713="","",INDEX(EV_Cum,$J713))</f>
        <v/>
      </c>
      <c r="G713" s="106">
        <f>IF($J713="","",INDEX(LevelLabels,MATCH(F713,LevelValues,1)))</f>
        <v/>
      </c>
      <c r="H713" s="106">
        <f>IF($J713="","",IFERROR(INDEX(Stu_ContactReq,MATCH(C713,Stu_ID,0)),""))</f>
        <v/>
      </c>
      <c r="I713" s="107">
        <f>IF($J713="","",IFERROR(INDEX(Stu_Notes,MATCH(C713,Stu_ID,0)),""))</f>
        <v/>
      </c>
      <c r="J713" s="40">
        <f>IF(708&gt;$B$3,"",IFERROR(MATCH(708-1,EV_Seq,1)+1,1))</f>
        <v/>
      </c>
    </row>
    <row r="714">
      <c r="A714" s="105">
        <f>IF($J714="","",INDEX(EV_Date,$J714))</f>
        <v/>
      </c>
      <c r="B714" s="78">
        <f>IF($J714="","",INDEX(EV_Name,$J714))</f>
        <v/>
      </c>
      <c r="C714" s="106">
        <f>IF($J714="","",INDEX(EV_ID,$J714))</f>
        <v/>
      </c>
      <c r="D714" s="106">
        <f>IF($J714="","",INDEX(EV_Class,$J714))</f>
        <v/>
      </c>
      <c r="E714" s="106">
        <f>IF($J714="","",INDEX(EV_Type,$J714))</f>
        <v/>
      </c>
      <c r="F714" s="106">
        <f>IF($J714="","",INDEX(EV_Cum,$J714))</f>
        <v/>
      </c>
      <c r="G714" s="106">
        <f>IF($J714="","",INDEX(LevelLabels,MATCH(F714,LevelValues,1)))</f>
        <v/>
      </c>
      <c r="H714" s="106">
        <f>IF($J714="","",IFERROR(INDEX(Stu_ContactReq,MATCH(C714,Stu_ID,0)),""))</f>
        <v/>
      </c>
      <c r="I714" s="107">
        <f>IF($J714="","",IFERROR(INDEX(Stu_Notes,MATCH(C714,Stu_ID,0)),""))</f>
        <v/>
      </c>
      <c r="J714" s="40">
        <f>IF(709&gt;$B$3,"",IFERROR(MATCH(709-1,EV_Seq,1)+1,1))</f>
        <v/>
      </c>
    </row>
    <row r="715">
      <c r="A715" s="105">
        <f>IF($J715="","",INDEX(EV_Date,$J715))</f>
        <v/>
      </c>
      <c r="B715" s="78">
        <f>IF($J715="","",INDEX(EV_Name,$J715))</f>
        <v/>
      </c>
      <c r="C715" s="106">
        <f>IF($J715="","",INDEX(EV_ID,$J715))</f>
        <v/>
      </c>
      <c r="D715" s="106">
        <f>IF($J715="","",INDEX(EV_Class,$J715))</f>
        <v/>
      </c>
      <c r="E715" s="106">
        <f>IF($J715="","",INDEX(EV_Type,$J715))</f>
        <v/>
      </c>
      <c r="F715" s="106">
        <f>IF($J715="","",INDEX(EV_Cum,$J715))</f>
        <v/>
      </c>
      <c r="G715" s="106">
        <f>IF($J715="","",INDEX(LevelLabels,MATCH(F715,LevelValues,1)))</f>
        <v/>
      </c>
      <c r="H715" s="106">
        <f>IF($J715="","",IFERROR(INDEX(Stu_ContactReq,MATCH(C715,Stu_ID,0)),""))</f>
        <v/>
      </c>
      <c r="I715" s="107">
        <f>IF($J715="","",IFERROR(INDEX(Stu_Notes,MATCH(C715,Stu_ID,0)),""))</f>
        <v/>
      </c>
      <c r="J715" s="40">
        <f>IF(710&gt;$B$3,"",IFERROR(MATCH(710-1,EV_Seq,1)+1,1))</f>
        <v/>
      </c>
    </row>
    <row r="716">
      <c r="A716" s="105">
        <f>IF($J716="","",INDEX(EV_Date,$J716))</f>
        <v/>
      </c>
      <c r="B716" s="78">
        <f>IF($J716="","",INDEX(EV_Name,$J716))</f>
        <v/>
      </c>
      <c r="C716" s="106">
        <f>IF($J716="","",INDEX(EV_ID,$J716))</f>
        <v/>
      </c>
      <c r="D716" s="106">
        <f>IF($J716="","",INDEX(EV_Class,$J716))</f>
        <v/>
      </c>
      <c r="E716" s="106">
        <f>IF($J716="","",INDEX(EV_Type,$J716))</f>
        <v/>
      </c>
      <c r="F716" s="106">
        <f>IF($J716="","",INDEX(EV_Cum,$J716))</f>
        <v/>
      </c>
      <c r="G716" s="106">
        <f>IF($J716="","",INDEX(LevelLabels,MATCH(F716,LevelValues,1)))</f>
        <v/>
      </c>
      <c r="H716" s="106">
        <f>IF($J716="","",IFERROR(INDEX(Stu_ContactReq,MATCH(C716,Stu_ID,0)),""))</f>
        <v/>
      </c>
      <c r="I716" s="107">
        <f>IF($J716="","",IFERROR(INDEX(Stu_Notes,MATCH(C716,Stu_ID,0)),""))</f>
        <v/>
      </c>
      <c r="J716" s="40">
        <f>IF(711&gt;$B$3,"",IFERROR(MATCH(711-1,EV_Seq,1)+1,1))</f>
        <v/>
      </c>
    </row>
    <row r="717">
      <c r="A717" s="105">
        <f>IF($J717="","",INDEX(EV_Date,$J717))</f>
        <v/>
      </c>
      <c r="B717" s="78">
        <f>IF($J717="","",INDEX(EV_Name,$J717))</f>
        <v/>
      </c>
      <c r="C717" s="106">
        <f>IF($J717="","",INDEX(EV_ID,$J717))</f>
        <v/>
      </c>
      <c r="D717" s="106">
        <f>IF($J717="","",INDEX(EV_Class,$J717))</f>
        <v/>
      </c>
      <c r="E717" s="106">
        <f>IF($J717="","",INDEX(EV_Type,$J717))</f>
        <v/>
      </c>
      <c r="F717" s="106">
        <f>IF($J717="","",INDEX(EV_Cum,$J717))</f>
        <v/>
      </c>
      <c r="G717" s="106">
        <f>IF($J717="","",INDEX(LevelLabels,MATCH(F717,LevelValues,1)))</f>
        <v/>
      </c>
      <c r="H717" s="106">
        <f>IF($J717="","",IFERROR(INDEX(Stu_ContactReq,MATCH(C717,Stu_ID,0)),""))</f>
        <v/>
      </c>
      <c r="I717" s="107">
        <f>IF($J717="","",IFERROR(INDEX(Stu_Notes,MATCH(C717,Stu_ID,0)),""))</f>
        <v/>
      </c>
      <c r="J717" s="40">
        <f>IF(712&gt;$B$3,"",IFERROR(MATCH(712-1,EV_Seq,1)+1,1))</f>
        <v/>
      </c>
    </row>
    <row r="718">
      <c r="A718" s="105">
        <f>IF($J718="","",INDEX(EV_Date,$J718))</f>
        <v/>
      </c>
      <c r="B718" s="78">
        <f>IF($J718="","",INDEX(EV_Name,$J718))</f>
        <v/>
      </c>
      <c r="C718" s="106">
        <f>IF($J718="","",INDEX(EV_ID,$J718))</f>
        <v/>
      </c>
      <c r="D718" s="106">
        <f>IF($J718="","",INDEX(EV_Class,$J718))</f>
        <v/>
      </c>
      <c r="E718" s="106">
        <f>IF($J718="","",INDEX(EV_Type,$J718))</f>
        <v/>
      </c>
      <c r="F718" s="106">
        <f>IF($J718="","",INDEX(EV_Cum,$J718))</f>
        <v/>
      </c>
      <c r="G718" s="106">
        <f>IF($J718="","",INDEX(LevelLabels,MATCH(F718,LevelValues,1)))</f>
        <v/>
      </c>
      <c r="H718" s="106">
        <f>IF($J718="","",IFERROR(INDEX(Stu_ContactReq,MATCH(C718,Stu_ID,0)),""))</f>
        <v/>
      </c>
      <c r="I718" s="107">
        <f>IF($J718="","",IFERROR(INDEX(Stu_Notes,MATCH(C718,Stu_ID,0)),""))</f>
        <v/>
      </c>
      <c r="J718" s="40">
        <f>IF(713&gt;$B$3,"",IFERROR(MATCH(713-1,EV_Seq,1)+1,1))</f>
        <v/>
      </c>
    </row>
    <row r="719">
      <c r="A719" s="105">
        <f>IF($J719="","",INDEX(EV_Date,$J719))</f>
        <v/>
      </c>
      <c r="B719" s="78">
        <f>IF($J719="","",INDEX(EV_Name,$J719))</f>
        <v/>
      </c>
      <c r="C719" s="106">
        <f>IF($J719="","",INDEX(EV_ID,$J719))</f>
        <v/>
      </c>
      <c r="D719" s="106">
        <f>IF($J719="","",INDEX(EV_Class,$J719))</f>
        <v/>
      </c>
      <c r="E719" s="106">
        <f>IF($J719="","",INDEX(EV_Type,$J719))</f>
        <v/>
      </c>
      <c r="F719" s="106">
        <f>IF($J719="","",INDEX(EV_Cum,$J719))</f>
        <v/>
      </c>
      <c r="G719" s="106">
        <f>IF($J719="","",INDEX(LevelLabels,MATCH(F719,LevelValues,1)))</f>
        <v/>
      </c>
      <c r="H719" s="106">
        <f>IF($J719="","",IFERROR(INDEX(Stu_ContactReq,MATCH(C719,Stu_ID,0)),""))</f>
        <v/>
      </c>
      <c r="I719" s="107">
        <f>IF($J719="","",IFERROR(INDEX(Stu_Notes,MATCH(C719,Stu_ID,0)),""))</f>
        <v/>
      </c>
      <c r="J719" s="40">
        <f>IF(714&gt;$B$3,"",IFERROR(MATCH(714-1,EV_Seq,1)+1,1))</f>
        <v/>
      </c>
    </row>
    <row r="720">
      <c r="A720" s="105">
        <f>IF($J720="","",INDEX(EV_Date,$J720))</f>
        <v/>
      </c>
      <c r="B720" s="78">
        <f>IF($J720="","",INDEX(EV_Name,$J720))</f>
        <v/>
      </c>
      <c r="C720" s="106">
        <f>IF($J720="","",INDEX(EV_ID,$J720))</f>
        <v/>
      </c>
      <c r="D720" s="106">
        <f>IF($J720="","",INDEX(EV_Class,$J720))</f>
        <v/>
      </c>
      <c r="E720" s="106">
        <f>IF($J720="","",INDEX(EV_Type,$J720))</f>
        <v/>
      </c>
      <c r="F720" s="106">
        <f>IF($J720="","",INDEX(EV_Cum,$J720))</f>
        <v/>
      </c>
      <c r="G720" s="106">
        <f>IF($J720="","",INDEX(LevelLabels,MATCH(F720,LevelValues,1)))</f>
        <v/>
      </c>
      <c r="H720" s="106">
        <f>IF($J720="","",IFERROR(INDEX(Stu_ContactReq,MATCH(C720,Stu_ID,0)),""))</f>
        <v/>
      </c>
      <c r="I720" s="107">
        <f>IF($J720="","",IFERROR(INDEX(Stu_Notes,MATCH(C720,Stu_ID,0)),""))</f>
        <v/>
      </c>
      <c r="J720" s="40">
        <f>IF(715&gt;$B$3,"",IFERROR(MATCH(715-1,EV_Seq,1)+1,1))</f>
        <v/>
      </c>
    </row>
    <row r="721">
      <c r="A721" s="105">
        <f>IF($J721="","",INDEX(EV_Date,$J721))</f>
        <v/>
      </c>
      <c r="B721" s="78">
        <f>IF($J721="","",INDEX(EV_Name,$J721))</f>
        <v/>
      </c>
      <c r="C721" s="106">
        <f>IF($J721="","",INDEX(EV_ID,$J721))</f>
        <v/>
      </c>
      <c r="D721" s="106">
        <f>IF($J721="","",INDEX(EV_Class,$J721))</f>
        <v/>
      </c>
      <c r="E721" s="106">
        <f>IF($J721="","",INDEX(EV_Type,$J721))</f>
        <v/>
      </c>
      <c r="F721" s="106">
        <f>IF($J721="","",INDEX(EV_Cum,$J721))</f>
        <v/>
      </c>
      <c r="G721" s="106">
        <f>IF($J721="","",INDEX(LevelLabels,MATCH(F721,LevelValues,1)))</f>
        <v/>
      </c>
      <c r="H721" s="106">
        <f>IF($J721="","",IFERROR(INDEX(Stu_ContactReq,MATCH(C721,Stu_ID,0)),""))</f>
        <v/>
      </c>
      <c r="I721" s="107">
        <f>IF($J721="","",IFERROR(INDEX(Stu_Notes,MATCH(C721,Stu_ID,0)),""))</f>
        <v/>
      </c>
      <c r="J721" s="40">
        <f>IF(716&gt;$B$3,"",IFERROR(MATCH(716-1,EV_Seq,1)+1,1))</f>
        <v/>
      </c>
    </row>
    <row r="722">
      <c r="A722" s="105">
        <f>IF($J722="","",INDEX(EV_Date,$J722))</f>
        <v/>
      </c>
      <c r="B722" s="78">
        <f>IF($J722="","",INDEX(EV_Name,$J722))</f>
        <v/>
      </c>
      <c r="C722" s="106">
        <f>IF($J722="","",INDEX(EV_ID,$J722))</f>
        <v/>
      </c>
      <c r="D722" s="106">
        <f>IF($J722="","",INDEX(EV_Class,$J722))</f>
        <v/>
      </c>
      <c r="E722" s="106">
        <f>IF($J722="","",INDEX(EV_Type,$J722))</f>
        <v/>
      </c>
      <c r="F722" s="106">
        <f>IF($J722="","",INDEX(EV_Cum,$J722))</f>
        <v/>
      </c>
      <c r="G722" s="106">
        <f>IF($J722="","",INDEX(LevelLabels,MATCH(F722,LevelValues,1)))</f>
        <v/>
      </c>
      <c r="H722" s="106">
        <f>IF($J722="","",IFERROR(INDEX(Stu_ContactReq,MATCH(C722,Stu_ID,0)),""))</f>
        <v/>
      </c>
      <c r="I722" s="107">
        <f>IF($J722="","",IFERROR(INDEX(Stu_Notes,MATCH(C722,Stu_ID,0)),""))</f>
        <v/>
      </c>
      <c r="J722" s="40">
        <f>IF(717&gt;$B$3,"",IFERROR(MATCH(717-1,EV_Seq,1)+1,1))</f>
        <v/>
      </c>
    </row>
    <row r="723">
      <c r="A723" s="105">
        <f>IF($J723="","",INDEX(EV_Date,$J723))</f>
        <v/>
      </c>
      <c r="B723" s="78">
        <f>IF($J723="","",INDEX(EV_Name,$J723))</f>
        <v/>
      </c>
      <c r="C723" s="106">
        <f>IF($J723="","",INDEX(EV_ID,$J723))</f>
        <v/>
      </c>
      <c r="D723" s="106">
        <f>IF($J723="","",INDEX(EV_Class,$J723))</f>
        <v/>
      </c>
      <c r="E723" s="106">
        <f>IF($J723="","",INDEX(EV_Type,$J723))</f>
        <v/>
      </c>
      <c r="F723" s="106">
        <f>IF($J723="","",INDEX(EV_Cum,$J723))</f>
        <v/>
      </c>
      <c r="G723" s="106">
        <f>IF($J723="","",INDEX(LevelLabels,MATCH(F723,LevelValues,1)))</f>
        <v/>
      </c>
      <c r="H723" s="106">
        <f>IF($J723="","",IFERROR(INDEX(Stu_ContactReq,MATCH(C723,Stu_ID,0)),""))</f>
        <v/>
      </c>
      <c r="I723" s="107">
        <f>IF($J723="","",IFERROR(INDEX(Stu_Notes,MATCH(C723,Stu_ID,0)),""))</f>
        <v/>
      </c>
      <c r="J723" s="40">
        <f>IF(718&gt;$B$3,"",IFERROR(MATCH(718-1,EV_Seq,1)+1,1))</f>
        <v/>
      </c>
    </row>
    <row r="724">
      <c r="A724" s="105">
        <f>IF($J724="","",INDEX(EV_Date,$J724))</f>
        <v/>
      </c>
      <c r="B724" s="78">
        <f>IF($J724="","",INDEX(EV_Name,$J724))</f>
        <v/>
      </c>
      <c r="C724" s="106">
        <f>IF($J724="","",INDEX(EV_ID,$J724))</f>
        <v/>
      </c>
      <c r="D724" s="106">
        <f>IF($J724="","",INDEX(EV_Class,$J724))</f>
        <v/>
      </c>
      <c r="E724" s="106">
        <f>IF($J724="","",INDEX(EV_Type,$J724))</f>
        <v/>
      </c>
      <c r="F724" s="106">
        <f>IF($J724="","",INDEX(EV_Cum,$J724))</f>
        <v/>
      </c>
      <c r="G724" s="106">
        <f>IF($J724="","",INDEX(LevelLabels,MATCH(F724,LevelValues,1)))</f>
        <v/>
      </c>
      <c r="H724" s="106">
        <f>IF($J724="","",IFERROR(INDEX(Stu_ContactReq,MATCH(C724,Stu_ID,0)),""))</f>
        <v/>
      </c>
      <c r="I724" s="107">
        <f>IF($J724="","",IFERROR(INDEX(Stu_Notes,MATCH(C724,Stu_ID,0)),""))</f>
        <v/>
      </c>
      <c r="J724" s="40">
        <f>IF(719&gt;$B$3,"",IFERROR(MATCH(719-1,EV_Seq,1)+1,1))</f>
        <v/>
      </c>
    </row>
    <row r="725">
      <c r="A725" s="105">
        <f>IF($J725="","",INDEX(EV_Date,$J725))</f>
        <v/>
      </c>
      <c r="B725" s="78">
        <f>IF($J725="","",INDEX(EV_Name,$J725))</f>
        <v/>
      </c>
      <c r="C725" s="106">
        <f>IF($J725="","",INDEX(EV_ID,$J725))</f>
        <v/>
      </c>
      <c r="D725" s="106">
        <f>IF($J725="","",INDEX(EV_Class,$J725))</f>
        <v/>
      </c>
      <c r="E725" s="106">
        <f>IF($J725="","",INDEX(EV_Type,$J725))</f>
        <v/>
      </c>
      <c r="F725" s="106">
        <f>IF($J725="","",INDEX(EV_Cum,$J725))</f>
        <v/>
      </c>
      <c r="G725" s="106">
        <f>IF($J725="","",INDEX(LevelLabels,MATCH(F725,LevelValues,1)))</f>
        <v/>
      </c>
      <c r="H725" s="106">
        <f>IF($J725="","",IFERROR(INDEX(Stu_ContactReq,MATCH(C725,Stu_ID,0)),""))</f>
        <v/>
      </c>
      <c r="I725" s="107">
        <f>IF($J725="","",IFERROR(INDEX(Stu_Notes,MATCH(C725,Stu_ID,0)),""))</f>
        <v/>
      </c>
      <c r="J725" s="40">
        <f>IF(720&gt;$B$3,"",IFERROR(MATCH(720-1,EV_Seq,1)+1,1))</f>
        <v/>
      </c>
    </row>
    <row r="726">
      <c r="A726" s="105">
        <f>IF($J726="","",INDEX(EV_Date,$J726))</f>
        <v/>
      </c>
      <c r="B726" s="78">
        <f>IF($J726="","",INDEX(EV_Name,$J726))</f>
        <v/>
      </c>
      <c r="C726" s="106">
        <f>IF($J726="","",INDEX(EV_ID,$J726))</f>
        <v/>
      </c>
      <c r="D726" s="106">
        <f>IF($J726="","",INDEX(EV_Class,$J726))</f>
        <v/>
      </c>
      <c r="E726" s="106">
        <f>IF($J726="","",INDEX(EV_Type,$J726))</f>
        <v/>
      </c>
      <c r="F726" s="106">
        <f>IF($J726="","",INDEX(EV_Cum,$J726))</f>
        <v/>
      </c>
      <c r="G726" s="106">
        <f>IF($J726="","",INDEX(LevelLabels,MATCH(F726,LevelValues,1)))</f>
        <v/>
      </c>
      <c r="H726" s="106">
        <f>IF($J726="","",IFERROR(INDEX(Stu_ContactReq,MATCH(C726,Stu_ID,0)),""))</f>
        <v/>
      </c>
      <c r="I726" s="107">
        <f>IF($J726="","",IFERROR(INDEX(Stu_Notes,MATCH(C726,Stu_ID,0)),""))</f>
        <v/>
      </c>
      <c r="J726" s="40">
        <f>IF(721&gt;$B$3,"",IFERROR(MATCH(721-1,EV_Seq,1)+1,1))</f>
        <v/>
      </c>
    </row>
    <row r="727">
      <c r="A727" s="105">
        <f>IF($J727="","",INDEX(EV_Date,$J727))</f>
        <v/>
      </c>
      <c r="B727" s="78">
        <f>IF($J727="","",INDEX(EV_Name,$J727))</f>
        <v/>
      </c>
      <c r="C727" s="106">
        <f>IF($J727="","",INDEX(EV_ID,$J727))</f>
        <v/>
      </c>
      <c r="D727" s="106">
        <f>IF($J727="","",INDEX(EV_Class,$J727))</f>
        <v/>
      </c>
      <c r="E727" s="106">
        <f>IF($J727="","",INDEX(EV_Type,$J727))</f>
        <v/>
      </c>
      <c r="F727" s="106">
        <f>IF($J727="","",INDEX(EV_Cum,$J727))</f>
        <v/>
      </c>
      <c r="G727" s="106">
        <f>IF($J727="","",INDEX(LevelLabels,MATCH(F727,LevelValues,1)))</f>
        <v/>
      </c>
      <c r="H727" s="106">
        <f>IF($J727="","",IFERROR(INDEX(Stu_ContactReq,MATCH(C727,Stu_ID,0)),""))</f>
        <v/>
      </c>
      <c r="I727" s="107">
        <f>IF($J727="","",IFERROR(INDEX(Stu_Notes,MATCH(C727,Stu_ID,0)),""))</f>
        <v/>
      </c>
      <c r="J727" s="40">
        <f>IF(722&gt;$B$3,"",IFERROR(MATCH(722-1,EV_Seq,1)+1,1))</f>
        <v/>
      </c>
    </row>
    <row r="728">
      <c r="A728" s="105">
        <f>IF($J728="","",INDEX(EV_Date,$J728))</f>
        <v/>
      </c>
      <c r="B728" s="78">
        <f>IF($J728="","",INDEX(EV_Name,$J728))</f>
        <v/>
      </c>
      <c r="C728" s="106">
        <f>IF($J728="","",INDEX(EV_ID,$J728))</f>
        <v/>
      </c>
      <c r="D728" s="106">
        <f>IF($J728="","",INDEX(EV_Class,$J728))</f>
        <v/>
      </c>
      <c r="E728" s="106">
        <f>IF($J728="","",INDEX(EV_Type,$J728))</f>
        <v/>
      </c>
      <c r="F728" s="106">
        <f>IF($J728="","",INDEX(EV_Cum,$J728))</f>
        <v/>
      </c>
      <c r="G728" s="106">
        <f>IF($J728="","",INDEX(LevelLabels,MATCH(F728,LevelValues,1)))</f>
        <v/>
      </c>
      <c r="H728" s="106">
        <f>IF($J728="","",IFERROR(INDEX(Stu_ContactReq,MATCH(C728,Stu_ID,0)),""))</f>
        <v/>
      </c>
      <c r="I728" s="107">
        <f>IF($J728="","",IFERROR(INDEX(Stu_Notes,MATCH(C728,Stu_ID,0)),""))</f>
        <v/>
      </c>
      <c r="J728" s="40">
        <f>IF(723&gt;$B$3,"",IFERROR(MATCH(723-1,EV_Seq,1)+1,1))</f>
        <v/>
      </c>
    </row>
    <row r="729">
      <c r="A729" s="105">
        <f>IF($J729="","",INDEX(EV_Date,$J729))</f>
        <v/>
      </c>
      <c r="B729" s="78">
        <f>IF($J729="","",INDEX(EV_Name,$J729))</f>
        <v/>
      </c>
      <c r="C729" s="106">
        <f>IF($J729="","",INDEX(EV_ID,$J729))</f>
        <v/>
      </c>
      <c r="D729" s="106">
        <f>IF($J729="","",INDEX(EV_Class,$J729))</f>
        <v/>
      </c>
      <c r="E729" s="106">
        <f>IF($J729="","",INDEX(EV_Type,$J729))</f>
        <v/>
      </c>
      <c r="F729" s="106">
        <f>IF($J729="","",INDEX(EV_Cum,$J729))</f>
        <v/>
      </c>
      <c r="G729" s="106">
        <f>IF($J729="","",INDEX(LevelLabels,MATCH(F729,LevelValues,1)))</f>
        <v/>
      </c>
      <c r="H729" s="106">
        <f>IF($J729="","",IFERROR(INDEX(Stu_ContactReq,MATCH(C729,Stu_ID,0)),""))</f>
        <v/>
      </c>
      <c r="I729" s="107">
        <f>IF($J729="","",IFERROR(INDEX(Stu_Notes,MATCH(C729,Stu_ID,0)),""))</f>
        <v/>
      </c>
      <c r="J729" s="40">
        <f>IF(724&gt;$B$3,"",IFERROR(MATCH(724-1,EV_Seq,1)+1,1))</f>
        <v/>
      </c>
    </row>
    <row r="730">
      <c r="A730" s="105">
        <f>IF($J730="","",INDEX(EV_Date,$J730))</f>
        <v/>
      </c>
      <c r="B730" s="78">
        <f>IF($J730="","",INDEX(EV_Name,$J730))</f>
        <v/>
      </c>
      <c r="C730" s="106">
        <f>IF($J730="","",INDEX(EV_ID,$J730))</f>
        <v/>
      </c>
      <c r="D730" s="106">
        <f>IF($J730="","",INDEX(EV_Class,$J730))</f>
        <v/>
      </c>
      <c r="E730" s="106">
        <f>IF($J730="","",INDEX(EV_Type,$J730))</f>
        <v/>
      </c>
      <c r="F730" s="106">
        <f>IF($J730="","",INDEX(EV_Cum,$J730))</f>
        <v/>
      </c>
      <c r="G730" s="106">
        <f>IF($J730="","",INDEX(LevelLabels,MATCH(F730,LevelValues,1)))</f>
        <v/>
      </c>
      <c r="H730" s="106">
        <f>IF($J730="","",IFERROR(INDEX(Stu_ContactReq,MATCH(C730,Stu_ID,0)),""))</f>
        <v/>
      </c>
      <c r="I730" s="107">
        <f>IF($J730="","",IFERROR(INDEX(Stu_Notes,MATCH(C730,Stu_ID,0)),""))</f>
        <v/>
      </c>
      <c r="J730" s="40">
        <f>IF(725&gt;$B$3,"",IFERROR(MATCH(725-1,EV_Seq,1)+1,1))</f>
        <v/>
      </c>
    </row>
    <row r="731">
      <c r="A731" s="105">
        <f>IF($J731="","",INDEX(EV_Date,$J731))</f>
        <v/>
      </c>
      <c r="B731" s="78">
        <f>IF($J731="","",INDEX(EV_Name,$J731))</f>
        <v/>
      </c>
      <c r="C731" s="106">
        <f>IF($J731="","",INDEX(EV_ID,$J731))</f>
        <v/>
      </c>
      <c r="D731" s="106">
        <f>IF($J731="","",INDEX(EV_Class,$J731))</f>
        <v/>
      </c>
      <c r="E731" s="106">
        <f>IF($J731="","",INDEX(EV_Type,$J731))</f>
        <v/>
      </c>
      <c r="F731" s="106">
        <f>IF($J731="","",INDEX(EV_Cum,$J731))</f>
        <v/>
      </c>
      <c r="G731" s="106">
        <f>IF($J731="","",INDEX(LevelLabels,MATCH(F731,LevelValues,1)))</f>
        <v/>
      </c>
      <c r="H731" s="106">
        <f>IF($J731="","",IFERROR(INDEX(Stu_ContactReq,MATCH(C731,Stu_ID,0)),""))</f>
        <v/>
      </c>
      <c r="I731" s="107">
        <f>IF($J731="","",IFERROR(INDEX(Stu_Notes,MATCH(C731,Stu_ID,0)),""))</f>
        <v/>
      </c>
      <c r="J731" s="40">
        <f>IF(726&gt;$B$3,"",IFERROR(MATCH(726-1,EV_Seq,1)+1,1))</f>
        <v/>
      </c>
    </row>
    <row r="732">
      <c r="A732" s="105">
        <f>IF($J732="","",INDEX(EV_Date,$J732))</f>
        <v/>
      </c>
      <c r="B732" s="78">
        <f>IF($J732="","",INDEX(EV_Name,$J732))</f>
        <v/>
      </c>
      <c r="C732" s="106">
        <f>IF($J732="","",INDEX(EV_ID,$J732))</f>
        <v/>
      </c>
      <c r="D732" s="106">
        <f>IF($J732="","",INDEX(EV_Class,$J732))</f>
        <v/>
      </c>
      <c r="E732" s="106">
        <f>IF($J732="","",INDEX(EV_Type,$J732))</f>
        <v/>
      </c>
      <c r="F732" s="106">
        <f>IF($J732="","",INDEX(EV_Cum,$J732))</f>
        <v/>
      </c>
      <c r="G732" s="106">
        <f>IF($J732="","",INDEX(LevelLabels,MATCH(F732,LevelValues,1)))</f>
        <v/>
      </c>
      <c r="H732" s="106">
        <f>IF($J732="","",IFERROR(INDEX(Stu_ContactReq,MATCH(C732,Stu_ID,0)),""))</f>
        <v/>
      </c>
      <c r="I732" s="107">
        <f>IF($J732="","",IFERROR(INDEX(Stu_Notes,MATCH(C732,Stu_ID,0)),""))</f>
        <v/>
      </c>
      <c r="J732" s="40">
        <f>IF(727&gt;$B$3,"",IFERROR(MATCH(727-1,EV_Seq,1)+1,1))</f>
        <v/>
      </c>
    </row>
    <row r="733">
      <c r="A733" s="105">
        <f>IF($J733="","",INDEX(EV_Date,$J733))</f>
        <v/>
      </c>
      <c r="B733" s="78">
        <f>IF($J733="","",INDEX(EV_Name,$J733))</f>
        <v/>
      </c>
      <c r="C733" s="106">
        <f>IF($J733="","",INDEX(EV_ID,$J733))</f>
        <v/>
      </c>
      <c r="D733" s="106">
        <f>IF($J733="","",INDEX(EV_Class,$J733))</f>
        <v/>
      </c>
      <c r="E733" s="106">
        <f>IF($J733="","",INDEX(EV_Type,$J733))</f>
        <v/>
      </c>
      <c r="F733" s="106">
        <f>IF($J733="","",INDEX(EV_Cum,$J733))</f>
        <v/>
      </c>
      <c r="G733" s="106">
        <f>IF($J733="","",INDEX(LevelLabels,MATCH(F733,LevelValues,1)))</f>
        <v/>
      </c>
      <c r="H733" s="106">
        <f>IF($J733="","",IFERROR(INDEX(Stu_ContactReq,MATCH(C733,Stu_ID,0)),""))</f>
        <v/>
      </c>
      <c r="I733" s="107">
        <f>IF($J733="","",IFERROR(INDEX(Stu_Notes,MATCH(C733,Stu_ID,0)),""))</f>
        <v/>
      </c>
      <c r="J733" s="40">
        <f>IF(728&gt;$B$3,"",IFERROR(MATCH(728-1,EV_Seq,1)+1,1))</f>
        <v/>
      </c>
    </row>
    <row r="734">
      <c r="A734" s="105">
        <f>IF($J734="","",INDEX(EV_Date,$J734))</f>
        <v/>
      </c>
      <c r="B734" s="78">
        <f>IF($J734="","",INDEX(EV_Name,$J734))</f>
        <v/>
      </c>
      <c r="C734" s="106">
        <f>IF($J734="","",INDEX(EV_ID,$J734))</f>
        <v/>
      </c>
      <c r="D734" s="106">
        <f>IF($J734="","",INDEX(EV_Class,$J734))</f>
        <v/>
      </c>
      <c r="E734" s="106">
        <f>IF($J734="","",INDEX(EV_Type,$J734))</f>
        <v/>
      </c>
      <c r="F734" s="106">
        <f>IF($J734="","",INDEX(EV_Cum,$J734))</f>
        <v/>
      </c>
      <c r="G734" s="106">
        <f>IF($J734="","",INDEX(LevelLabels,MATCH(F734,LevelValues,1)))</f>
        <v/>
      </c>
      <c r="H734" s="106">
        <f>IF($J734="","",IFERROR(INDEX(Stu_ContactReq,MATCH(C734,Stu_ID,0)),""))</f>
        <v/>
      </c>
      <c r="I734" s="107">
        <f>IF($J734="","",IFERROR(INDEX(Stu_Notes,MATCH(C734,Stu_ID,0)),""))</f>
        <v/>
      </c>
      <c r="J734" s="40">
        <f>IF(729&gt;$B$3,"",IFERROR(MATCH(729-1,EV_Seq,1)+1,1))</f>
        <v/>
      </c>
    </row>
    <row r="735">
      <c r="A735" s="105">
        <f>IF($J735="","",INDEX(EV_Date,$J735))</f>
        <v/>
      </c>
      <c r="B735" s="78">
        <f>IF($J735="","",INDEX(EV_Name,$J735))</f>
        <v/>
      </c>
      <c r="C735" s="106">
        <f>IF($J735="","",INDEX(EV_ID,$J735))</f>
        <v/>
      </c>
      <c r="D735" s="106">
        <f>IF($J735="","",INDEX(EV_Class,$J735))</f>
        <v/>
      </c>
      <c r="E735" s="106">
        <f>IF($J735="","",INDEX(EV_Type,$J735))</f>
        <v/>
      </c>
      <c r="F735" s="106">
        <f>IF($J735="","",INDEX(EV_Cum,$J735))</f>
        <v/>
      </c>
      <c r="G735" s="106">
        <f>IF($J735="","",INDEX(LevelLabels,MATCH(F735,LevelValues,1)))</f>
        <v/>
      </c>
      <c r="H735" s="106">
        <f>IF($J735="","",IFERROR(INDEX(Stu_ContactReq,MATCH(C735,Stu_ID,0)),""))</f>
        <v/>
      </c>
      <c r="I735" s="107">
        <f>IF($J735="","",IFERROR(INDEX(Stu_Notes,MATCH(C735,Stu_ID,0)),""))</f>
        <v/>
      </c>
      <c r="J735" s="40">
        <f>IF(730&gt;$B$3,"",IFERROR(MATCH(730-1,EV_Seq,1)+1,1))</f>
        <v/>
      </c>
    </row>
    <row r="736">
      <c r="A736" s="105">
        <f>IF($J736="","",INDEX(EV_Date,$J736))</f>
        <v/>
      </c>
      <c r="B736" s="78">
        <f>IF($J736="","",INDEX(EV_Name,$J736))</f>
        <v/>
      </c>
      <c r="C736" s="106">
        <f>IF($J736="","",INDEX(EV_ID,$J736))</f>
        <v/>
      </c>
      <c r="D736" s="106">
        <f>IF($J736="","",INDEX(EV_Class,$J736))</f>
        <v/>
      </c>
      <c r="E736" s="106">
        <f>IF($J736="","",INDEX(EV_Type,$J736))</f>
        <v/>
      </c>
      <c r="F736" s="106">
        <f>IF($J736="","",INDEX(EV_Cum,$J736))</f>
        <v/>
      </c>
      <c r="G736" s="106">
        <f>IF($J736="","",INDEX(LevelLabels,MATCH(F736,LevelValues,1)))</f>
        <v/>
      </c>
      <c r="H736" s="106">
        <f>IF($J736="","",IFERROR(INDEX(Stu_ContactReq,MATCH(C736,Stu_ID,0)),""))</f>
        <v/>
      </c>
      <c r="I736" s="107">
        <f>IF($J736="","",IFERROR(INDEX(Stu_Notes,MATCH(C736,Stu_ID,0)),""))</f>
        <v/>
      </c>
      <c r="J736" s="40">
        <f>IF(731&gt;$B$3,"",IFERROR(MATCH(731-1,EV_Seq,1)+1,1))</f>
        <v/>
      </c>
    </row>
    <row r="737">
      <c r="A737" s="105">
        <f>IF($J737="","",INDEX(EV_Date,$J737))</f>
        <v/>
      </c>
      <c r="B737" s="78">
        <f>IF($J737="","",INDEX(EV_Name,$J737))</f>
        <v/>
      </c>
      <c r="C737" s="106">
        <f>IF($J737="","",INDEX(EV_ID,$J737))</f>
        <v/>
      </c>
      <c r="D737" s="106">
        <f>IF($J737="","",INDEX(EV_Class,$J737))</f>
        <v/>
      </c>
      <c r="E737" s="106">
        <f>IF($J737="","",INDEX(EV_Type,$J737))</f>
        <v/>
      </c>
      <c r="F737" s="106">
        <f>IF($J737="","",INDEX(EV_Cum,$J737))</f>
        <v/>
      </c>
      <c r="G737" s="106">
        <f>IF($J737="","",INDEX(LevelLabels,MATCH(F737,LevelValues,1)))</f>
        <v/>
      </c>
      <c r="H737" s="106">
        <f>IF($J737="","",IFERROR(INDEX(Stu_ContactReq,MATCH(C737,Stu_ID,0)),""))</f>
        <v/>
      </c>
      <c r="I737" s="107">
        <f>IF($J737="","",IFERROR(INDEX(Stu_Notes,MATCH(C737,Stu_ID,0)),""))</f>
        <v/>
      </c>
      <c r="J737" s="40">
        <f>IF(732&gt;$B$3,"",IFERROR(MATCH(732-1,EV_Seq,1)+1,1))</f>
        <v/>
      </c>
    </row>
    <row r="738">
      <c r="A738" s="105">
        <f>IF($J738="","",INDEX(EV_Date,$J738))</f>
        <v/>
      </c>
      <c r="B738" s="78">
        <f>IF($J738="","",INDEX(EV_Name,$J738))</f>
        <v/>
      </c>
      <c r="C738" s="106">
        <f>IF($J738="","",INDEX(EV_ID,$J738))</f>
        <v/>
      </c>
      <c r="D738" s="106">
        <f>IF($J738="","",INDEX(EV_Class,$J738))</f>
        <v/>
      </c>
      <c r="E738" s="106">
        <f>IF($J738="","",INDEX(EV_Type,$J738))</f>
        <v/>
      </c>
      <c r="F738" s="106">
        <f>IF($J738="","",INDEX(EV_Cum,$J738))</f>
        <v/>
      </c>
      <c r="G738" s="106">
        <f>IF($J738="","",INDEX(LevelLabels,MATCH(F738,LevelValues,1)))</f>
        <v/>
      </c>
      <c r="H738" s="106">
        <f>IF($J738="","",IFERROR(INDEX(Stu_ContactReq,MATCH(C738,Stu_ID,0)),""))</f>
        <v/>
      </c>
      <c r="I738" s="107">
        <f>IF($J738="","",IFERROR(INDEX(Stu_Notes,MATCH(C738,Stu_ID,0)),""))</f>
        <v/>
      </c>
      <c r="J738" s="40">
        <f>IF(733&gt;$B$3,"",IFERROR(MATCH(733-1,EV_Seq,1)+1,1))</f>
        <v/>
      </c>
    </row>
    <row r="739">
      <c r="A739" s="105">
        <f>IF($J739="","",INDEX(EV_Date,$J739))</f>
        <v/>
      </c>
      <c r="B739" s="78">
        <f>IF($J739="","",INDEX(EV_Name,$J739))</f>
        <v/>
      </c>
      <c r="C739" s="106">
        <f>IF($J739="","",INDEX(EV_ID,$J739))</f>
        <v/>
      </c>
      <c r="D739" s="106">
        <f>IF($J739="","",INDEX(EV_Class,$J739))</f>
        <v/>
      </c>
      <c r="E739" s="106">
        <f>IF($J739="","",INDEX(EV_Type,$J739))</f>
        <v/>
      </c>
      <c r="F739" s="106">
        <f>IF($J739="","",INDEX(EV_Cum,$J739))</f>
        <v/>
      </c>
      <c r="G739" s="106">
        <f>IF($J739="","",INDEX(LevelLabels,MATCH(F739,LevelValues,1)))</f>
        <v/>
      </c>
      <c r="H739" s="106">
        <f>IF($J739="","",IFERROR(INDEX(Stu_ContactReq,MATCH(C739,Stu_ID,0)),""))</f>
        <v/>
      </c>
      <c r="I739" s="107">
        <f>IF($J739="","",IFERROR(INDEX(Stu_Notes,MATCH(C739,Stu_ID,0)),""))</f>
        <v/>
      </c>
      <c r="J739" s="40">
        <f>IF(734&gt;$B$3,"",IFERROR(MATCH(734-1,EV_Seq,1)+1,1))</f>
        <v/>
      </c>
    </row>
    <row r="740">
      <c r="A740" s="105">
        <f>IF($J740="","",INDEX(EV_Date,$J740))</f>
        <v/>
      </c>
      <c r="B740" s="78">
        <f>IF($J740="","",INDEX(EV_Name,$J740))</f>
        <v/>
      </c>
      <c r="C740" s="106">
        <f>IF($J740="","",INDEX(EV_ID,$J740))</f>
        <v/>
      </c>
      <c r="D740" s="106">
        <f>IF($J740="","",INDEX(EV_Class,$J740))</f>
        <v/>
      </c>
      <c r="E740" s="106">
        <f>IF($J740="","",INDEX(EV_Type,$J740))</f>
        <v/>
      </c>
      <c r="F740" s="106">
        <f>IF($J740="","",INDEX(EV_Cum,$J740))</f>
        <v/>
      </c>
      <c r="G740" s="106">
        <f>IF($J740="","",INDEX(LevelLabels,MATCH(F740,LevelValues,1)))</f>
        <v/>
      </c>
      <c r="H740" s="106">
        <f>IF($J740="","",IFERROR(INDEX(Stu_ContactReq,MATCH(C740,Stu_ID,0)),""))</f>
        <v/>
      </c>
      <c r="I740" s="107">
        <f>IF($J740="","",IFERROR(INDEX(Stu_Notes,MATCH(C740,Stu_ID,0)),""))</f>
        <v/>
      </c>
      <c r="J740" s="40">
        <f>IF(735&gt;$B$3,"",IFERROR(MATCH(735-1,EV_Seq,1)+1,1))</f>
        <v/>
      </c>
    </row>
    <row r="741">
      <c r="A741" s="105">
        <f>IF($J741="","",INDEX(EV_Date,$J741))</f>
        <v/>
      </c>
      <c r="B741" s="78">
        <f>IF($J741="","",INDEX(EV_Name,$J741))</f>
        <v/>
      </c>
      <c r="C741" s="106">
        <f>IF($J741="","",INDEX(EV_ID,$J741))</f>
        <v/>
      </c>
      <c r="D741" s="106">
        <f>IF($J741="","",INDEX(EV_Class,$J741))</f>
        <v/>
      </c>
      <c r="E741" s="106">
        <f>IF($J741="","",INDEX(EV_Type,$J741))</f>
        <v/>
      </c>
      <c r="F741" s="106">
        <f>IF($J741="","",INDEX(EV_Cum,$J741))</f>
        <v/>
      </c>
      <c r="G741" s="106">
        <f>IF($J741="","",INDEX(LevelLabels,MATCH(F741,LevelValues,1)))</f>
        <v/>
      </c>
      <c r="H741" s="106">
        <f>IF($J741="","",IFERROR(INDEX(Stu_ContactReq,MATCH(C741,Stu_ID,0)),""))</f>
        <v/>
      </c>
      <c r="I741" s="107">
        <f>IF($J741="","",IFERROR(INDEX(Stu_Notes,MATCH(C741,Stu_ID,0)),""))</f>
        <v/>
      </c>
      <c r="J741" s="40">
        <f>IF(736&gt;$B$3,"",IFERROR(MATCH(736-1,EV_Seq,1)+1,1))</f>
        <v/>
      </c>
    </row>
    <row r="742">
      <c r="A742" s="105">
        <f>IF($J742="","",INDEX(EV_Date,$J742))</f>
        <v/>
      </c>
      <c r="B742" s="78">
        <f>IF($J742="","",INDEX(EV_Name,$J742))</f>
        <v/>
      </c>
      <c r="C742" s="106">
        <f>IF($J742="","",INDEX(EV_ID,$J742))</f>
        <v/>
      </c>
      <c r="D742" s="106">
        <f>IF($J742="","",INDEX(EV_Class,$J742))</f>
        <v/>
      </c>
      <c r="E742" s="106">
        <f>IF($J742="","",INDEX(EV_Type,$J742))</f>
        <v/>
      </c>
      <c r="F742" s="106">
        <f>IF($J742="","",INDEX(EV_Cum,$J742))</f>
        <v/>
      </c>
      <c r="G742" s="106">
        <f>IF($J742="","",INDEX(LevelLabels,MATCH(F742,LevelValues,1)))</f>
        <v/>
      </c>
      <c r="H742" s="106">
        <f>IF($J742="","",IFERROR(INDEX(Stu_ContactReq,MATCH(C742,Stu_ID,0)),""))</f>
        <v/>
      </c>
      <c r="I742" s="107">
        <f>IF($J742="","",IFERROR(INDEX(Stu_Notes,MATCH(C742,Stu_ID,0)),""))</f>
        <v/>
      </c>
      <c r="J742" s="40">
        <f>IF(737&gt;$B$3,"",IFERROR(MATCH(737-1,EV_Seq,1)+1,1))</f>
        <v/>
      </c>
    </row>
    <row r="743">
      <c r="A743" s="105">
        <f>IF($J743="","",INDEX(EV_Date,$J743))</f>
        <v/>
      </c>
      <c r="B743" s="78">
        <f>IF($J743="","",INDEX(EV_Name,$J743))</f>
        <v/>
      </c>
      <c r="C743" s="106">
        <f>IF($J743="","",INDEX(EV_ID,$J743))</f>
        <v/>
      </c>
      <c r="D743" s="106">
        <f>IF($J743="","",INDEX(EV_Class,$J743))</f>
        <v/>
      </c>
      <c r="E743" s="106">
        <f>IF($J743="","",INDEX(EV_Type,$J743))</f>
        <v/>
      </c>
      <c r="F743" s="106">
        <f>IF($J743="","",INDEX(EV_Cum,$J743))</f>
        <v/>
      </c>
      <c r="G743" s="106">
        <f>IF($J743="","",INDEX(LevelLabels,MATCH(F743,LevelValues,1)))</f>
        <v/>
      </c>
      <c r="H743" s="106">
        <f>IF($J743="","",IFERROR(INDEX(Stu_ContactReq,MATCH(C743,Stu_ID,0)),""))</f>
        <v/>
      </c>
      <c r="I743" s="107">
        <f>IF($J743="","",IFERROR(INDEX(Stu_Notes,MATCH(C743,Stu_ID,0)),""))</f>
        <v/>
      </c>
      <c r="J743" s="40">
        <f>IF(738&gt;$B$3,"",IFERROR(MATCH(738-1,EV_Seq,1)+1,1))</f>
        <v/>
      </c>
    </row>
    <row r="744">
      <c r="A744" s="105">
        <f>IF($J744="","",INDEX(EV_Date,$J744))</f>
        <v/>
      </c>
      <c r="B744" s="78">
        <f>IF($J744="","",INDEX(EV_Name,$J744))</f>
        <v/>
      </c>
      <c r="C744" s="106">
        <f>IF($J744="","",INDEX(EV_ID,$J744))</f>
        <v/>
      </c>
      <c r="D744" s="106">
        <f>IF($J744="","",INDEX(EV_Class,$J744))</f>
        <v/>
      </c>
      <c r="E744" s="106">
        <f>IF($J744="","",INDEX(EV_Type,$J744))</f>
        <v/>
      </c>
      <c r="F744" s="106">
        <f>IF($J744="","",INDEX(EV_Cum,$J744))</f>
        <v/>
      </c>
      <c r="G744" s="106">
        <f>IF($J744="","",INDEX(LevelLabels,MATCH(F744,LevelValues,1)))</f>
        <v/>
      </c>
      <c r="H744" s="106">
        <f>IF($J744="","",IFERROR(INDEX(Stu_ContactReq,MATCH(C744,Stu_ID,0)),""))</f>
        <v/>
      </c>
      <c r="I744" s="107">
        <f>IF($J744="","",IFERROR(INDEX(Stu_Notes,MATCH(C744,Stu_ID,0)),""))</f>
        <v/>
      </c>
      <c r="J744" s="40">
        <f>IF(739&gt;$B$3,"",IFERROR(MATCH(739-1,EV_Seq,1)+1,1))</f>
        <v/>
      </c>
    </row>
    <row r="745">
      <c r="A745" s="105">
        <f>IF($J745="","",INDEX(EV_Date,$J745))</f>
        <v/>
      </c>
      <c r="B745" s="78">
        <f>IF($J745="","",INDEX(EV_Name,$J745))</f>
        <v/>
      </c>
      <c r="C745" s="106">
        <f>IF($J745="","",INDEX(EV_ID,$J745))</f>
        <v/>
      </c>
      <c r="D745" s="106">
        <f>IF($J745="","",INDEX(EV_Class,$J745))</f>
        <v/>
      </c>
      <c r="E745" s="106">
        <f>IF($J745="","",INDEX(EV_Type,$J745))</f>
        <v/>
      </c>
      <c r="F745" s="106">
        <f>IF($J745="","",INDEX(EV_Cum,$J745))</f>
        <v/>
      </c>
      <c r="G745" s="106">
        <f>IF($J745="","",INDEX(LevelLabels,MATCH(F745,LevelValues,1)))</f>
        <v/>
      </c>
      <c r="H745" s="106">
        <f>IF($J745="","",IFERROR(INDEX(Stu_ContactReq,MATCH(C745,Stu_ID,0)),""))</f>
        <v/>
      </c>
      <c r="I745" s="107">
        <f>IF($J745="","",IFERROR(INDEX(Stu_Notes,MATCH(C745,Stu_ID,0)),""))</f>
        <v/>
      </c>
      <c r="J745" s="40">
        <f>IF(740&gt;$B$3,"",IFERROR(MATCH(740-1,EV_Seq,1)+1,1))</f>
        <v/>
      </c>
    </row>
    <row r="746">
      <c r="A746" s="105">
        <f>IF($J746="","",INDEX(EV_Date,$J746))</f>
        <v/>
      </c>
      <c r="B746" s="78">
        <f>IF($J746="","",INDEX(EV_Name,$J746))</f>
        <v/>
      </c>
      <c r="C746" s="106">
        <f>IF($J746="","",INDEX(EV_ID,$J746))</f>
        <v/>
      </c>
      <c r="D746" s="106">
        <f>IF($J746="","",INDEX(EV_Class,$J746))</f>
        <v/>
      </c>
      <c r="E746" s="106">
        <f>IF($J746="","",INDEX(EV_Type,$J746))</f>
        <v/>
      </c>
      <c r="F746" s="106">
        <f>IF($J746="","",INDEX(EV_Cum,$J746))</f>
        <v/>
      </c>
      <c r="G746" s="106">
        <f>IF($J746="","",INDEX(LevelLabels,MATCH(F746,LevelValues,1)))</f>
        <v/>
      </c>
      <c r="H746" s="106">
        <f>IF($J746="","",IFERROR(INDEX(Stu_ContactReq,MATCH(C746,Stu_ID,0)),""))</f>
        <v/>
      </c>
      <c r="I746" s="107">
        <f>IF($J746="","",IFERROR(INDEX(Stu_Notes,MATCH(C746,Stu_ID,0)),""))</f>
        <v/>
      </c>
      <c r="J746" s="40">
        <f>IF(741&gt;$B$3,"",IFERROR(MATCH(741-1,EV_Seq,1)+1,1))</f>
        <v/>
      </c>
    </row>
    <row r="747">
      <c r="A747" s="105">
        <f>IF($J747="","",INDEX(EV_Date,$J747))</f>
        <v/>
      </c>
      <c r="B747" s="78">
        <f>IF($J747="","",INDEX(EV_Name,$J747))</f>
        <v/>
      </c>
      <c r="C747" s="106">
        <f>IF($J747="","",INDEX(EV_ID,$J747))</f>
        <v/>
      </c>
      <c r="D747" s="106">
        <f>IF($J747="","",INDEX(EV_Class,$J747))</f>
        <v/>
      </c>
      <c r="E747" s="106">
        <f>IF($J747="","",INDEX(EV_Type,$J747))</f>
        <v/>
      </c>
      <c r="F747" s="106">
        <f>IF($J747="","",INDEX(EV_Cum,$J747))</f>
        <v/>
      </c>
      <c r="G747" s="106">
        <f>IF($J747="","",INDEX(LevelLabels,MATCH(F747,LevelValues,1)))</f>
        <v/>
      </c>
      <c r="H747" s="106">
        <f>IF($J747="","",IFERROR(INDEX(Stu_ContactReq,MATCH(C747,Stu_ID,0)),""))</f>
        <v/>
      </c>
      <c r="I747" s="107">
        <f>IF($J747="","",IFERROR(INDEX(Stu_Notes,MATCH(C747,Stu_ID,0)),""))</f>
        <v/>
      </c>
      <c r="J747" s="40">
        <f>IF(742&gt;$B$3,"",IFERROR(MATCH(742-1,EV_Seq,1)+1,1))</f>
        <v/>
      </c>
    </row>
    <row r="748">
      <c r="A748" s="105">
        <f>IF($J748="","",INDEX(EV_Date,$J748))</f>
        <v/>
      </c>
      <c r="B748" s="78">
        <f>IF($J748="","",INDEX(EV_Name,$J748))</f>
        <v/>
      </c>
      <c r="C748" s="106">
        <f>IF($J748="","",INDEX(EV_ID,$J748))</f>
        <v/>
      </c>
      <c r="D748" s="106">
        <f>IF($J748="","",INDEX(EV_Class,$J748))</f>
        <v/>
      </c>
      <c r="E748" s="106">
        <f>IF($J748="","",INDEX(EV_Type,$J748))</f>
        <v/>
      </c>
      <c r="F748" s="106">
        <f>IF($J748="","",INDEX(EV_Cum,$J748))</f>
        <v/>
      </c>
      <c r="G748" s="106">
        <f>IF($J748="","",INDEX(LevelLabels,MATCH(F748,LevelValues,1)))</f>
        <v/>
      </c>
      <c r="H748" s="106">
        <f>IF($J748="","",IFERROR(INDEX(Stu_ContactReq,MATCH(C748,Stu_ID,0)),""))</f>
        <v/>
      </c>
      <c r="I748" s="107">
        <f>IF($J748="","",IFERROR(INDEX(Stu_Notes,MATCH(C748,Stu_ID,0)),""))</f>
        <v/>
      </c>
      <c r="J748" s="40">
        <f>IF(743&gt;$B$3,"",IFERROR(MATCH(743-1,EV_Seq,1)+1,1))</f>
        <v/>
      </c>
    </row>
    <row r="749">
      <c r="A749" s="105">
        <f>IF($J749="","",INDEX(EV_Date,$J749))</f>
        <v/>
      </c>
      <c r="B749" s="78">
        <f>IF($J749="","",INDEX(EV_Name,$J749))</f>
        <v/>
      </c>
      <c r="C749" s="106">
        <f>IF($J749="","",INDEX(EV_ID,$J749))</f>
        <v/>
      </c>
      <c r="D749" s="106">
        <f>IF($J749="","",INDEX(EV_Class,$J749))</f>
        <v/>
      </c>
      <c r="E749" s="106">
        <f>IF($J749="","",INDEX(EV_Type,$J749))</f>
        <v/>
      </c>
      <c r="F749" s="106">
        <f>IF($J749="","",INDEX(EV_Cum,$J749))</f>
        <v/>
      </c>
      <c r="G749" s="106">
        <f>IF($J749="","",INDEX(LevelLabels,MATCH(F749,LevelValues,1)))</f>
        <v/>
      </c>
      <c r="H749" s="106">
        <f>IF($J749="","",IFERROR(INDEX(Stu_ContactReq,MATCH(C749,Stu_ID,0)),""))</f>
        <v/>
      </c>
      <c r="I749" s="107">
        <f>IF($J749="","",IFERROR(INDEX(Stu_Notes,MATCH(C749,Stu_ID,0)),""))</f>
        <v/>
      </c>
      <c r="J749" s="40">
        <f>IF(744&gt;$B$3,"",IFERROR(MATCH(744-1,EV_Seq,1)+1,1))</f>
        <v/>
      </c>
    </row>
    <row r="750">
      <c r="A750" s="105">
        <f>IF($J750="","",INDEX(EV_Date,$J750))</f>
        <v/>
      </c>
      <c r="B750" s="78">
        <f>IF($J750="","",INDEX(EV_Name,$J750))</f>
        <v/>
      </c>
      <c r="C750" s="106">
        <f>IF($J750="","",INDEX(EV_ID,$J750))</f>
        <v/>
      </c>
      <c r="D750" s="106">
        <f>IF($J750="","",INDEX(EV_Class,$J750))</f>
        <v/>
      </c>
      <c r="E750" s="106">
        <f>IF($J750="","",INDEX(EV_Type,$J750))</f>
        <v/>
      </c>
      <c r="F750" s="106">
        <f>IF($J750="","",INDEX(EV_Cum,$J750))</f>
        <v/>
      </c>
      <c r="G750" s="106">
        <f>IF($J750="","",INDEX(LevelLabels,MATCH(F750,LevelValues,1)))</f>
        <v/>
      </c>
      <c r="H750" s="106">
        <f>IF($J750="","",IFERROR(INDEX(Stu_ContactReq,MATCH(C750,Stu_ID,0)),""))</f>
        <v/>
      </c>
      <c r="I750" s="107">
        <f>IF($J750="","",IFERROR(INDEX(Stu_Notes,MATCH(C750,Stu_ID,0)),""))</f>
        <v/>
      </c>
      <c r="J750" s="40">
        <f>IF(745&gt;$B$3,"",IFERROR(MATCH(745-1,EV_Seq,1)+1,1))</f>
        <v/>
      </c>
    </row>
    <row r="751">
      <c r="A751" s="105">
        <f>IF($J751="","",INDEX(EV_Date,$J751))</f>
        <v/>
      </c>
      <c r="B751" s="78">
        <f>IF($J751="","",INDEX(EV_Name,$J751))</f>
        <v/>
      </c>
      <c r="C751" s="106">
        <f>IF($J751="","",INDEX(EV_ID,$J751))</f>
        <v/>
      </c>
      <c r="D751" s="106">
        <f>IF($J751="","",INDEX(EV_Class,$J751))</f>
        <v/>
      </c>
      <c r="E751" s="106">
        <f>IF($J751="","",INDEX(EV_Type,$J751))</f>
        <v/>
      </c>
      <c r="F751" s="106">
        <f>IF($J751="","",INDEX(EV_Cum,$J751))</f>
        <v/>
      </c>
      <c r="G751" s="106">
        <f>IF($J751="","",INDEX(LevelLabels,MATCH(F751,LevelValues,1)))</f>
        <v/>
      </c>
      <c r="H751" s="106">
        <f>IF($J751="","",IFERROR(INDEX(Stu_ContactReq,MATCH(C751,Stu_ID,0)),""))</f>
        <v/>
      </c>
      <c r="I751" s="107">
        <f>IF($J751="","",IFERROR(INDEX(Stu_Notes,MATCH(C751,Stu_ID,0)),""))</f>
        <v/>
      </c>
      <c r="J751" s="40">
        <f>IF(746&gt;$B$3,"",IFERROR(MATCH(746-1,EV_Seq,1)+1,1))</f>
        <v/>
      </c>
    </row>
    <row r="752">
      <c r="A752" s="105">
        <f>IF($J752="","",INDEX(EV_Date,$J752))</f>
        <v/>
      </c>
      <c r="B752" s="78">
        <f>IF($J752="","",INDEX(EV_Name,$J752))</f>
        <v/>
      </c>
      <c r="C752" s="106">
        <f>IF($J752="","",INDEX(EV_ID,$J752))</f>
        <v/>
      </c>
      <c r="D752" s="106">
        <f>IF($J752="","",INDEX(EV_Class,$J752))</f>
        <v/>
      </c>
      <c r="E752" s="106">
        <f>IF($J752="","",INDEX(EV_Type,$J752))</f>
        <v/>
      </c>
      <c r="F752" s="106">
        <f>IF($J752="","",INDEX(EV_Cum,$J752))</f>
        <v/>
      </c>
      <c r="G752" s="106">
        <f>IF($J752="","",INDEX(LevelLabels,MATCH(F752,LevelValues,1)))</f>
        <v/>
      </c>
      <c r="H752" s="106">
        <f>IF($J752="","",IFERROR(INDEX(Stu_ContactReq,MATCH(C752,Stu_ID,0)),""))</f>
        <v/>
      </c>
      <c r="I752" s="107">
        <f>IF($J752="","",IFERROR(INDEX(Stu_Notes,MATCH(C752,Stu_ID,0)),""))</f>
        <v/>
      </c>
      <c r="J752" s="40">
        <f>IF(747&gt;$B$3,"",IFERROR(MATCH(747-1,EV_Seq,1)+1,1))</f>
        <v/>
      </c>
    </row>
    <row r="753">
      <c r="A753" s="105">
        <f>IF($J753="","",INDEX(EV_Date,$J753))</f>
        <v/>
      </c>
      <c r="B753" s="78">
        <f>IF($J753="","",INDEX(EV_Name,$J753))</f>
        <v/>
      </c>
      <c r="C753" s="106">
        <f>IF($J753="","",INDEX(EV_ID,$J753))</f>
        <v/>
      </c>
      <c r="D753" s="106">
        <f>IF($J753="","",INDEX(EV_Class,$J753))</f>
        <v/>
      </c>
      <c r="E753" s="106">
        <f>IF($J753="","",INDEX(EV_Type,$J753))</f>
        <v/>
      </c>
      <c r="F753" s="106">
        <f>IF($J753="","",INDEX(EV_Cum,$J753))</f>
        <v/>
      </c>
      <c r="G753" s="106">
        <f>IF($J753="","",INDEX(LevelLabels,MATCH(F753,LevelValues,1)))</f>
        <v/>
      </c>
      <c r="H753" s="106">
        <f>IF($J753="","",IFERROR(INDEX(Stu_ContactReq,MATCH(C753,Stu_ID,0)),""))</f>
        <v/>
      </c>
      <c r="I753" s="107">
        <f>IF($J753="","",IFERROR(INDEX(Stu_Notes,MATCH(C753,Stu_ID,0)),""))</f>
        <v/>
      </c>
      <c r="J753" s="40">
        <f>IF(748&gt;$B$3,"",IFERROR(MATCH(748-1,EV_Seq,1)+1,1))</f>
        <v/>
      </c>
    </row>
    <row r="754">
      <c r="A754" s="105">
        <f>IF($J754="","",INDEX(EV_Date,$J754))</f>
        <v/>
      </c>
      <c r="B754" s="78">
        <f>IF($J754="","",INDEX(EV_Name,$J754))</f>
        <v/>
      </c>
      <c r="C754" s="106">
        <f>IF($J754="","",INDEX(EV_ID,$J754))</f>
        <v/>
      </c>
      <c r="D754" s="106">
        <f>IF($J754="","",INDEX(EV_Class,$J754))</f>
        <v/>
      </c>
      <c r="E754" s="106">
        <f>IF($J754="","",INDEX(EV_Type,$J754))</f>
        <v/>
      </c>
      <c r="F754" s="106">
        <f>IF($J754="","",INDEX(EV_Cum,$J754))</f>
        <v/>
      </c>
      <c r="G754" s="106">
        <f>IF($J754="","",INDEX(LevelLabels,MATCH(F754,LevelValues,1)))</f>
        <v/>
      </c>
      <c r="H754" s="106">
        <f>IF($J754="","",IFERROR(INDEX(Stu_ContactReq,MATCH(C754,Stu_ID,0)),""))</f>
        <v/>
      </c>
      <c r="I754" s="107">
        <f>IF($J754="","",IFERROR(INDEX(Stu_Notes,MATCH(C754,Stu_ID,0)),""))</f>
        <v/>
      </c>
      <c r="J754" s="40">
        <f>IF(749&gt;$B$3,"",IFERROR(MATCH(749-1,EV_Seq,1)+1,1))</f>
        <v/>
      </c>
    </row>
    <row r="755">
      <c r="A755" s="105">
        <f>IF($J755="","",INDEX(EV_Date,$J755))</f>
        <v/>
      </c>
      <c r="B755" s="78">
        <f>IF($J755="","",INDEX(EV_Name,$J755))</f>
        <v/>
      </c>
      <c r="C755" s="106">
        <f>IF($J755="","",INDEX(EV_ID,$J755))</f>
        <v/>
      </c>
      <c r="D755" s="106">
        <f>IF($J755="","",INDEX(EV_Class,$J755))</f>
        <v/>
      </c>
      <c r="E755" s="106">
        <f>IF($J755="","",INDEX(EV_Type,$J755))</f>
        <v/>
      </c>
      <c r="F755" s="106">
        <f>IF($J755="","",INDEX(EV_Cum,$J755))</f>
        <v/>
      </c>
      <c r="G755" s="106">
        <f>IF($J755="","",INDEX(LevelLabels,MATCH(F755,LevelValues,1)))</f>
        <v/>
      </c>
      <c r="H755" s="106">
        <f>IF($J755="","",IFERROR(INDEX(Stu_ContactReq,MATCH(C755,Stu_ID,0)),""))</f>
        <v/>
      </c>
      <c r="I755" s="107">
        <f>IF($J755="","",IFERROR(INDEX(Stu_Notes,MATCH(C755,Stu_ID,0)),""))</f>
        <v/>
      </c>
      <c r="J755" s="40">
        <f>IF(750&gt;$B$3,"",IFERROR(MATCH(750-1,EV_Seq,1)+1,1))</f>
        <v/>
      </c>
    </row>
    <row r="756">
      <c r="A756" s="105">
        <f>IF($J756="","",INDEX(EV_Date,$J756))</f>
        <v/>
      </c>
      <c r="B756" s="78">
        <f>IF($J756="","",INDEX(EV_Name,$J756))</f>
        <v/>
      </c>
      <c r="C756" s="106">
        <f>IF($J756="","",INDEX(EV_ID,$J756))</f>
        <v/>
      </c>
      <c r="D756" s="106">
        <f>IF($J756="","",INDEX(EV_Class,$J756))</f>
        <v/>
      </c>
      <c r="E756" s="106">
        <f>IF($J756="","",INDEX(EV_Type,$J756))</f>
        <v/>
      </c>
      <c r="F756" s="106">
        <f>IF($J756="","",INDEX(EV_Cum,$J756))</f>
        <v/>
      </c>
      <c r="G756" s="106">
        <f>IF($J756="","",INDEX(LevelLabels,MATCH(F756,LevelValues,1)))</f>
        <v/>
      </c>
      <c r="H756" s="106">
        <f>IF($J756="","",IFERROR(INDEX(Stu_ContactReq,MATCH(C756,Stu_ID,0)),""))</f>
        <v/>
      </c>
      <c r="I756" s="107">
        <f>IF($J756="","",IFERROR(INDEX(Stu_Notes,MATCH(C756,Stu_ID,0)),""))</f>
        <v/>
      </c>
      <c r="J756" s="40">
        <f>IF(751&gt;$B$3,"",IFERROR(MATCH(751-1,EV_Seq,1)+1,1))</f>
        <v/>
      </c>
    </row>
    <row r="757">
      <c r="A757" s="105">
        <f>IF($J757="","",INDEX(EV_Date,$J757))</f>
        <v/>
      </c>
      <c r="B757" s="78">
        <f>IF($J757="","",INDEX(EV_Name,$J757))</f>
        <v/>
      </c>
      <c r="C757" s="106">
        <f>IF($J757="","",INDEX(EV_ID,$J757))</f>
        <v/>
      </c>
      <c r="D757" s="106">
        <f>IF($J757="","",INDEX(EV_Class,$J757))</f>
        <v/>
      </c>
      <c r="E757" s="106">
        <f>IF($J757="","",INDEX(EV_Type,$J757))</f>
        <v/>
      </c>
      <c r="F757" s="106">
        <f>IF($J757="","",INDEX(EV_Cum,$J757))</f>
        <v/>
      </c>
      <c r="G757" s="106">
        <f>IF($J757="","",INDEX(LevelLabels,MATCH(F757,LevelValues,1)))</f>
        <v/>
      </c>
      <c r="H757" s="106">
        <f>IF($J757="","",IFERROR(INDEX(Stu_ContactReq,MATCH(C757,Stu_ID,0)),""))</f>
        <v/>
      </c>
      <c r="I757" s="107">
        <f>IF($J757="","",IFERROR(INDEX(Stu_Notes,MATCH(C757,Stu_ID,0)),""))</f>
        <v/>
      </c>
      <c r="J757" s="40">
        <f>IF(752&gt;$B$3,"",IFERROR(MATCH(752-1,EV_Seq,1)+1,1))</f>
        <v/>
      </c>
    </row>
    <row r="758">
      <c r="A758" s="105">
        <f>IF($J758="","",INDEX(EV_Date,$J758))</f>
        <v/>
      </c>
      <c r="B758" s="78">
        <f>IF($J758="","",INDEX(EV_Name,$J758))</f>
        <v/>
      </c>
      <c r="C758" s="106">
        <f>IF($J758="","",INDEX(EV_ID,$J758))</f>
        <v/>
      </c>
      <c r="D758" s="106">
        <f>IF($J758="","",INDEX(EV_Class,$J758))</f>
        <v/>
      </c>
      <c r="E758" s="106">
        <f>IF($J758="","",INDEX(EV_Type,$J758))</f>
        <v/>
      </c>
      <c r="F758" s="106">
        <f>IF($J758="","",INDEX(EV_Cum,$J758))</f>
        <v/>
      </c>
      <c r="G758" s="106">
        <f>IF($J758="","",INDEX(LevelLabels,MATCH(F758,LevelValues,1)))</f>
        <v/>
      </c>
      <c r="H758" s="106">
        <f>IF($J758="","",IFERROR(INDEX(Stu_ContactReq,MATCH(C758,Stu_ID,0)),""))</f>
        <v/>
      </c>
      <c r="I758" s="107">
        <f>IF($J758="","",IFERROR(INDEX(Stu_Notes,MATCH(C758,Stu_ID,0)),""))</f>
        <v/>
      </c>
      <c r="J758" s="40">
        <f>IF(753&gt;$B$3,"",IFERROR(MATCH(753-1,EV_Seq,1)+1,1))</f>
        <v/>
      </c>
    </row>
    <row r="759">
      <c r="A759" s="105">
        <f>IF($J759="","",INDEX(EV_Date,$J759))</f>
        <v/>
      </c>
      <c r="B759" s="78">
        <f>IF($J759="","",INDEX(EV_Name,$J759))</f>
        <v/>
      </c>
      <c r="C759" s="106">
        <f>IF($J759="","",INDEX(EV_ID,$J759))</f>
        <v/>
      </c>
      <c r="D759" s="106">
        <f>IF($J759="","",INDEX(EV_Class,$J759))</f>
        <v/>
      </c>
      <c r="E759" s="106">
        <f>IF($J759="","",INDEX(EV_Type,$J759))</f>
        <v/>
      </c>
      <c r="F759" s="106">
        <f>IF($J759="","",INDEX(EV_Cum,$J759))</f>
        <v/>
      </c>
      <c r="G759" s="106">
        <f>IF($J759="","",INDEX(LevelLabels,MATCH(F759,LevelValues,1)))</f>
        <v/>
      </c>
      <c r="H759" s="106">
        <f>IF($J759="","",IFERROR(INDEX(Stu_ContactReq,MATCH(C759,Stu_ID,0)),""))</f>
        <v/>
      </c>
      <c r="I759" s="107">
        <f>IF($J759="","",IFERROR(INDEX(Stu_Notes,MATCH(C759,Stu_ID,0)),""))</f>
        <v/>
      </c>
      <c r="J759" s="40">
        <f>IF(754&gt;$B$3,"",IFERROR(MATCH(754-1,EV_Seq,1)+1,1))</f>
        <v/>
      </c>
    </row>
    <row r="760">
      <c r="A760" s="105">
        <f>IF($J760="","",INDEX(EV_Date,$J760))</f>
        <v/>
      </c>
      <c r="B760" s="78">
        <f>IF($J760="","",INDEX(EV_Name,$J760))</f>
        <v/>
      </c>
      <c r="C760" s="106">
        <f>IF($J760="","",INDEX(EV_ID,$J760))</f>
        <v/>
      </c>
      <c r="D760" s="106">
        <f>IF($J760="","",INDEX(EV_Class,$J760))</f>
        <v/>
      </c>
      <c r="E760" s="106">
        <f>IF($J760="","",INDEX(EV_Type,$J760))</f>
        <v/>
      </c>
      <c r="F760" s="106">
        <f>IF($J760="","",INDEX(EV_Cum,$J760))</f>
        <v/>
      </c>
      <c r="G760" s="106">
        <f>IF($J760="","",INDEX(LevelLabels,MATCH(F760,LevelValues,1)))</f>
        <v/>
      </c>
      <c r="H760" s="106">
        <f>IF($J760="","",IFERROR(INDEX(Stu_ContactReq,MATCH(C760,Stu_ID,0)),""))</f>
        <v/>
      </c>
      <c r="I760" s="107">
        <f>IF($J760="","",IFERROR(INDEX(Stu_Notes,MATCH(C760,Stu_ID,0)),""))</f>
        <v/>
      </c>
      <c r="J760" s="40">
        <f>IF(755&gt;$B$3,"",IFERROR(MATCH(755-1,EV_Seq,1)+1,1))</f>
        <v/>
      </c>
    </row>
    <row r="761">
      <c r="A761" s="105">
        <f>IF($J761="","",INDEX(EV_Date,$J761))</f>
        <v/>
      </c>
      <c r="B761" s="78">
        <f>IF($J761="","",INDEX(EV_Name,$J761))</f>
        <v/>
      </c>
      <c r="C761" s="106">
        <f>IF($J761="","",INDEX(EV_ID,$J761))</f>
        <v/>
      </c>
      <c r="D761" s="106">
        <f>IF($J761="","",INDEX(EV_Class,$J761))</f>
        <v/>
      </c>
      <c r="E761" s="106">
        <f>IF($J761="","",INDEX(EV_Type,$J761))</f>
        <v/>
      </c>
      <c r="F761" s="106">
        <f>IF($J761="","",INDEX(EV_Cum,$J761))</f>
        <v/>
      </c>
      <c r="G761" s="106">
        <f>IF($J761="","",INDEX(LevelLabels,MATCH(F761,LevelValues,1)))</f>
        <v/>
      </c>
      <c r="H761" s="106">
        <f>IF($J761="","",IFERROR(INDEX(Stu_ContactReq,MATCH(C761,Stu_ID,0)),""))</f>
        <v/>
      </c>
      <c r="I761" s="107">
        <f>IF($J761="","",IFERROR(INDEX(Stu_Notes,MATCH(C761,Stu_ID,0)),""))</f>
        <v/>
      </c>
      <c r="J761" s="40">
        <f>IF(756&gt;$B$3,"",IFERROR(MATCH(756-1,EV_Seq,1)+1,1))</f>
        <v/>
      </c>
    </row>
    <row r="762">
      <c r="A762" s="105">
        <f>IF($J762="","",INDEX(EV_Date,$J762))</f>
        <v/>
      </c>
      <c r="B762" s="78">
        <f>IF($J762="","",INDEX(EV_Name,$J762))</f>
        <v/>
      </c>
      <c r="C762" s="106">
        <f>IF($J762="","",INDEX(EV_ID,$J762))</f>
        <v/>
      </c>
      <c r="D762" s="106">
        <f>IF($J762="","",INDEX(EV_Class,$J762))</f>
        <v/>
      </c>
      <c r="E762" s="106">
        <f>IF($J762="","",INDEX(EV_Type,$J762))</f>
        <v/>
      </c>
      <c r="F762" s="106">
        <f>IF($J762="","",INDEX(EV_Cum,$J762))</f>
        <v/>
      </c>
      <c r="G762" s="106">
        <f>IF($J762="","",INDEX(LevelLabels,MATCH(F762,LevelValues,1)))</f>
        <v/>
      </c>
      <c r="H762" s="106">
        <f>IF($J762="","",IFERROR(INDEX(Stu_ContactReq,MATCH(C762,Stu_ID,0)),""))</f>
        <v/>
      </c>
      <c r="I762" s="107">
        <f>IF($J762="","",IFERROR(INDEX(Stu_Notes,MATCH(C762,Stu_ID,0)),""))</f>
        <v/>
      </c>
      <c r="J762" s="40">
        <f>IF(757&gt;$B$3,"",IFERROR(MATCH(757-1,EV_Seq,1)+1,1))</f>
        <v/>
      </c>
    </row>
    <row r="763">
      <c r="A763" s="105">
        <f>IF($J763="","",INDEX(EV_Date,$J763))</f>
        <v/>
      </c>
      <c r="B763" s="78">
        <f>IF($J763="","",INDEX(EV_Name,$J763))</f>
        <v/>
      </c>
      <c r="C763" s="106">
        <f>IF($J763="","",INDEX(EV_ID,$J763))</f>
        <v/>
      </c>
      <c r="D763" s="106">
        <f>IF($J763="","",INDEX(EV_Class,$J763))</f>
        <v/>
      </c>
      <c r="E763" s="106">
        <f>IF($J763="","",INDEX(EV_Type,$J763))</f>
        <v/>
      </c>
      <c r="F763" s="106">
        <f>IF($J763="","",INDEX(EV_Cum,$J763))</f>
        <v/>
      </c>
      <c r="G763" s="106">
        <f>IF($J763="","",INDEX(LevelLabels,MATCH(F763,LevelValues,1)))</f>
        <v/>
      </c>
      <c r="H763" s="106">
        <f>IF($J763="","",IFERROR(INDEX(Stu_ContactReq,MATCH(C763,Stu_ID,0)),""))</f>
        <v/>
      </c>
      <c r="I763" s="107">
        <f>IF($J763="","",IFERROR(INDEX(Stu_Notes,MATCH(C763,Stu_ID,0)),""))</f>
        <v/>
      </c>
      <c r="J763" s="40">
        <f>IF(758&gt;$B$3,"",IFERROR(MATCH(758-1,EV_Seq,1)+1,1))</f>
        <v/>
      </c>
    </row>
    <row r="764">
      <c r="A764" s="105">
        <f>IF($J764="","",INDEX(EV_Date,$J764))</f>
        <v/>
      </c>
      <c r="B764" s="78">
        <f>IF($J764="","",INDEX(EV_Name,$J764))</f>
        <v/>
      </c>
      <c r="C764" s="106">
        <f>IF($J764="","",INDEX(EV_ID,$J764))</f>
        <v/>
      </c>
      <c r="D764" s="106">
        <f>IF($J764="","",INDEX(EV_Class,$J764))</f>
        <v/>
      </c>
      <c r="E764" s="106">
        <f>IF($J764="","",INDEX(EV_Type,$J764))</f>
        <v/>
      </c>
      <c r="F764" s="106">
        <f>IF($J764="","",INDEX(EV_Cum,$J764))</f>
        <v/>
      </c>
      <c r="G764" s="106">
        <f>IF($J764="","",INDEX(LevelLabels,MATCH(F764,LevelValues,1)))</f>
        <v/>
      </c>
      <c r="H764" s="106">
        <f>IF($J764="","",IFERROR(INDEX(Stu_ContactReq,MATCH(C764,Stu_ID,0)),""))</f>
        <v/>
      </c>
      <c r="I764" s="107">
        <f>IF($J764="","",IFERROR(INDEX(Stu_Notes,MATCH(C764,Stu_ID,0)),""))</f>
        <v/>
      </c>
      <c r="J764" s="40">
        <f>IF(759&gt;$B$3,"",IFERROR(MATCH(759-1,EV_Seq,1)+1,1))</f>
        <v/>
      </c>
    </row>
    <row r="765">
      <c r="A765" s="105">
        <f>IF($J765="","",INDEX(EV_Date,$J765))</f>
        <v/>
      </c>
      <c r="B765" s="78">
        <f>IF($J765="","",INDEX(EV_Name,$J765))</f>
        <v/>
      </c>
      <c r="C765" s="106">
        <f>IF($J765="","",INDEX(EV_ID,$J765))</f>
        <v/>
      </c>
      <c r="D765" s="106">
        <f>IF($J765="","",INDEX(EV_Class,$J765))</f>
        <v/>
      </c>
      <c r="E765" s="106">
        <f>IF($J765="","",INDEX(EV_Type,$J765))</f>
        <v/>
      </c>
      <c r="F765" s="106">
        <f>IF($J765="","",INDEX(EV_Cum,$J765))</f>
        <v/>
      </c>
      <c r="G765" s="106">
        <f>IF($J765="","",INDEX(LevelLabels,MATCH(F765,LevelValues,1)))</f>
        <v/>
      </c>
      <c r="H765" s="106">
        <f>IF($J765="","",IFERROR(INDEX(Stu_ContactReq,MATCH(C765,Stu_ID,0)),""))</f>
        <v/>
      </c>
      <c r="I765" s="107">
        <f>IF($J765="","",IFERROR(INDEX(Stu_Notes,MATCH(C765,Stu_ID,0)),""))</f>
        <v/>
      </c>
      <c r="J765" s="40">
        <f>IF(760&gt;$B$3,"",IFERROR(MATCH(760-1,EV_Seq,1)+1,1))</f>
        <v/>
      </c>
    </row>
    <row r="766">
      <c r="A766" s="105">
        <f>IF($J766="","",INDEX(EV_Date,$J766))</f>
        <v/>
      </c>
      <c r="B766" s="78">
        <f>IF($J766="","",INDEX(EV_Name,$J766))</f>
        <v/>
      </c>
      <c r="C766" s="106">
        <f>IF($J766="","",INDEX(EV_ID,$J766))</f>
        <v/>
      </c>
      <c r="D766" s="106">
        <f>IF($J766="","",INDEX(EV_Class,$J766))</f>
        <v/>
      </c>
      <c r="E766" s="106">
        <f>IF($J766="","",INDEX(EV_Type,$J766))</f>
        <v/>
      </c>
      <c r="F766" s="106">
        <f>IF($J766="","",INDEX(EV_Cum,$J766))</f>
        <v/>
      </c>
      <c r="G766" s="106">
        <f>IF($J766="","",INDEX(LevelLabels,MATCH(F766,LevelValues,1)))</f>
        <v/>
      </c>
      <c r="H766" s="106">
        <f>IF($J766="","",IFERROR(INDEX(Stu_ContactReq,MATCH(C766,Stu_ID,0)),""))</f>
        <v/>
      </c>
      <c r="I766" s="107">
        <f>IF($J766="","",IFERROR(INDEX(Stu_Notes,MATCH(C766,Stu_ID,0)),""))</f>
        <v/>
      </c>
      <c r="J766" s="40">
        <f>IF(761&gt;$B$3,"",IFERROR(MATCH(761-1,EV_Seq,1)+1,1))</f>
        <v/>
      </c>
    </row>
    <row r="767">
      <c r="A767" s="105">
        <f>IF($J767="","",INDEX(EV_Date,$J767))</f>
        <v/>
      </c>
      <c r="B767" s="78">
        <f>IF($J767="","",INDEX(EV_Name,$J767))</f>
        <v/>
      </c>
      <c r="C767" s="106">
        <f>IF($J767="","",INDEX(EV_ID,$J767))</f>
        <v/>
      </c>
      <c r="D767" s="106">
        <f>IF($J767="","",INDEX(EV_Class,$J767))</f>
        <v/>
      </c>
      <c r="E767" s="106">
        <f>IF($J767="","",INDEX(EV_Type,$J767))</f>
        <v/>
      </c>
      <c r="F767" s="106">
        <f>IF($J767="","",INDEX(EV_Cum,$J767))</f>
        <v/>
      </c>
      <c r="G767" s="106">
        <f>IF($J767="","",INDEX(LevelLabels,MATCH(F767,LevelValues,1)))</f>
        <v/>
      </c>
      <c r="H767" s="106">
        <f>IF($J767="","",IFERROR(INDEX(Stu_ContactReq,MATCH(C767,Stu_ID,0)),""))</f>
        <v/>
      </c>
      <c r="I767" s="107">
        <f>IF($J767="","",IFERROR(INDEX(Stu_Notes,MATCH(C767,Stu_ID,0)),""))</f>
        <v/>
      </c>
      <c r="J767" s="40">
        <f>IF(762&gt;$B$3,"",IFERROR(MATCH(762-1,EV_Seq,1)+1,1))</f>
        <v/>
      </c>
    </row>
    <row r="768">
      <c r="A768" s="105">
        <f>IF($J768="","",INDEX(EV_Date,$J768))</f>
        <v/>
      </c>
      <c r="B768" s="78">
        <f>IF($J768="","",INDEX(EV_Name,$J768))</f>
        <v/>
      </c>
      <c r="C768" s="106">
        <f>IF($J768="","",INDEX(EV_ID,$J768))</f>
        <v/>
      </c>
      <c r="D768" s="106">
        <f>IF($J768="","",INDEX(EV_Class,$J768))</f>
        <v/>
      </c>
      <c r="E768" s="106">
        <f>IF($J768="","",INDEX(EV_Type,$J768))</f>
        <v/>
      </c>
      <c r="F768" s="106">
        <f>IF($J768="","",INDEX(EV_Cum,$J768))</f>
        <v/>
      </c>
      <c r="G768" s="106">
        <f>IF($J768="","",INDEX(LevelLabels,MATCH(F768,LevelValues,1)))</f>
        <v/>
      </c>
      <c r="H768" s="106">
        <f>IF($J768="","",IFERROR(INDEX(Stu_ContactReq,MATCH(C768,Stu_ID,0)),""))</f>
        <v/>
      </c>
      <c r="I768" s="107">
        <f>IF($J768="","",IFERROR(INDEX(Stu_Notes,MATCH(C768,Stu_ID,0)),""))</f>
        <v/>
      </c>
      <c r="J768" s="40">
        <f>IF(763&gt;$B$3,"",IFERROR(MATCH(763-1,EV_Seq,1)+1,1))</f>
        <v/>
      </c>
    </row>
    <row r="769">
      <c r="A769" s="105">
        <f>IF($J769="","",INDEX(EV_Date,$J769))</f>
        <v/>
      </c>
      <c r="B769" s="78">
        <f>IF($J769="","",INDEX(EV_Name,$J769))</f>
        <v/>
      </c>
      <c r="C769" s="106">
        <f>IF($J769="","",INDEX(EV_ID,$J769))</f>
        <v/>
      </c>
      <c r="D769" s="106">
        <f>IF($J769="","",INDEX(EV_Class,$J769))</f>
        <v/>
      </c>
      <c r="E769" s="106">
        <f>IF($J769="","",INDEX(EV_Type,$J769))</f>
        <v/>
      </c>
      <c r="F769" s="106">
        <f>IF($J769="","",INDEX(EV_Cum,$J769))</f>
        <v/>
      </c>
      <c r="G769" s="106">
        <f>IF($J769="","",INDEX(LevelLabels,MATCH(F769,LevelValues,1)))</f>
        <v/>
      </c>
      <c r="H769" s="106">
        <f>IF($J769="","",IFERROR(INDEX(Stu_ContactReq,MATCH(C769,Stu_ID,0)),""))</f>
        <v/>
      </c>
      <c r="I769" s="107">
        <f>IF($J769="","",IFERROR(INDEX(Stu_Notes,MATCH(C769,Stu_ID,0)),""))</f>
        <v/>
      </c>
      <c r="J769" s="40">
        <f>IF(764&gt;$B$3,"",IFERROR(MATCH(764-1,EV_Seq,1)+1,1))</f>
        <v/>
      </c>
    </row>
    <row r="770">
      <c r="A770" s="105">
        <f>IF($J770="","",INDEX(EV_Date,$J770))</f>
        <v/>
      </c>
      <c r="B770" s="78">
        <f>IF($J770="","",INDEX(EV_Name,$J770))</f>
        <v/>
      </c>
      <c r="C770" s="106">
        <f>IF($J770="","",INDEX(EV_ID,$J770))</f>
        <v/>
      </c>
      <c r="D770" s="106">
        <f>IF($J770="","",INDEX(EV_Class,$J770))</f>
        <v/>
      </c>
      <c r="E770" s="106">
        <f>IF($J770="","",INDEX(EV_Type,$J770))</f>
        <v/>
      </c>
      <c r="F770" s="106">
        <f>IF($J770="","",INDEX(EV_Cum,$J770))</f>
        <v/>
      </c>
      <c r="G770" s="106">
        <f>IF($J770="","",INDEX(LevelLabels,MATCH(F770,LevelValues,1)))</f>
        <v/>
      </c>
      <c r="H770" s="106">
        <f>IF($J770="","",IFERROR(INDEX(Stu_ContactReq,MATCH(C770,Stu_ID,0)),""))</f>
        <v/>
      </c>
      <c r="I770" s="107">
        <f>IF($J770="","",IFERROR(INDEX(Stu_Notes,MATCH(C770,Stu_ID,0)),""))</f>
        <v/>
      </c>
      <c r="J770" s="40">
        <f>IF(765&gt;$B$3,"",IFERROR(MATCH(765-1,EV_Seq,1)+1,1))</f>
        <v/>
      </c>
    </row>
    <row r="771">
      <c r="A771" s="105">
        <f>IF($J771="","",INDEX(EV_Date,$J771))</f>
        <v/>
      </c>
      <c r="B771" s="78">
        <f>IF($J771="","",INDEX(EV_Name,$J771))</f>
        <v/>
      </c>
      <c r="C771" s="106">
        <f>IF($J771="","",INDEX(EV_ID,$J771))</f>
        <v/>
      </c>
      <c r="D771" s="106">
        <f>IF($J771="","",INDEX(EV_Class,$J771))</f>
        <v/>
      </c>
      <c r="E771" s="106">
        <f>IF($J771="","",INDEX(EV_Type,$J771))</f>
        <v/>
      </c>
      <c r="F771" s="106">
        <f>IF($J771="","",INDEX(EV_Cum,$J771))</f>
        <v/>
      </c>
      <c r="G771" s="106">
        <f>IF($J771="","",INDEX(LevelLabels,MATCH(F771,LevelValues,1)))</f>
        <v/>
      </c>
      <c r="H771" s="106">
        <f>IF($J771="","",IFERROR(INDEX(Stu_ContactReq,MATCH(C771,Stu_ID,0)),""))</f>
        <v/>
      </c>
      <c r="I771" s="107">
        <f>IF($J771="","",IFERROR(INDEX(Stu_Notes,MATCH(C771,Stu_ID,0)),""))</f>
        <v/>
      </c>
      <c r="J771" s="40">
        <f>IF(766&gt;$B$3,"",IFERROR(MATCH(766-1,EV_Seq,1)+1,1))</f>
        <v/>
      </c>
    </row>
    <row r="772">
      <c r="A772" s="105">
        <f>IF($J772="","",INDEX(EV_Date,$J772))</f>
        <v/>
      </c>
      <c r="B772" s="78">
        <f>IF($J772="","",INDEX(EV_Name,$J772))</f>
        <v/>
      </c>
      <c r="C772" s="106">
        <f>IF($J772="","",INDEX(EV_ID,$J772))</f>
        <v/>
      </c>
      <c r="D772" s="106">
        <f>IF($J772="","",INDEX(EV_Class,$J772))</f>
        <v/>
      </c>
      <c r="E772" s="106">
        <f>IF($J772="","",INDEX(EV_Type,$J772))</f>
        <v/>
      </c>
      <c r="F772" s="106">
        <f>IF($J772="","",INDEX(EV_Cum,$J772))</f>
        <v/>
      </c>
      <c r="G772" s="106">
        <f>IF($J772="","",INDEX(LevelLabels,MATCH(F772,LevelValues,1)))</f>
        <v/>
      </c>
      <c r="H772" s="106">
        <f>IF($J772="","",IFERROR(INDEX(Stu_ContactReq,MATCH(C772,Stu_ID,0)),""))</f>
        <v/>
      </c>
      <c r="I772" s="107">
        <f>IF($J772="","",IFERROR(INDEX(Stu_Notes,MATCH(C772,Stu_ID,0)),""))</f>
        <v/>
      </c>
      <c r="J772" s="40">
        <f>IF(767&gt;$B$3,"",IFERROR(MATCH(767-1,EV_Seq,1)+1,1))</f>
        <v/>
      </c>
    </row>
    <row r="773">
      <c r="A773" s="105">
        <f>IF($J773="","",INDEX(EV_Date,$J773))</f>
        <v/>
      </c>
      <c r="B773" s="78">
        <f>IF($J773="","",INDEX(EV_Name,$J773))</f>
        <v/>
      </c>
      <c r="C773" s="106">
        <f>IF($J773="","",INDEX(EV_ID,$J773))</f>
        <v/>
      </c>
      <c r="D773" s="106">
        <f>IF($J773="","",INDEX(EV_Class,$J773))</f>
        <v/>
      </c>
      <c r="E773" s="106">
        <f>IF($J773="","",INDEX(EV_Type,$J773))</f>
        <v/>
      </c>
      <c r="F773" s="106">
        <f>IF($J773="","",INDEX(EV_Cum,$J773))</f>
        <v/>
      </c>
      <c r="G773" s="106">
        <f>IF($J773="","",INDEX(LevelLabels,MATCH(F773,LevelValues,1)))</f>
        <v/>
      </c>
      <c r="H773" s="106">
        <f>IF($J773="","",IFERROR(INDEX(Stu_ContactReq,MATCH(C773,Stu_ID,0)),""))</f>
        <v/>
      </c>
      <c r="I773" s="107">
        <f>IF($J773="","",IFERROR(INDEX(Stu_Notes,MATCH(C773,Stu_ID,0)),""))</f>
        <v/>
      </c>
      <c r="J773" s="40">
        <f>IF(768&gt;$B$3,"",IFERROR(MATCH(768-1,EV_Seq,1)+1,1))</f>
        <v/>
      </c>
    </row>
    <row r="774">
      <c r="A774" s="105">
        <f>IF($J774="","",INDEX(EV_Date,$J774))</f>
        <v/>
      </c>
      <c r="B774" s="78">
        <f>IF($J774="","",INDEX(EV_Name,$J774))</f>
        <v/>
      </c>
      <c r="C774" s="106">
        <f>IF($J774="","",INDEX(EV_ID,$J774))</f>
        <v/>
      </c>
      <c r="D774" s="106">
        <f>IF($J774="","",INDEX(EV_Class,$J774))</f>
        <v/>
      </c>
      <c r="E774" s="106">
        <f>IF($J774="","",INDEX(EV_Type,$J774))</f>
        <v/>
      </c>
      <c r="F774" s="106">
        <f>IF($J774="","",INDEX(EV_Cum,$J774))</f>
        <v/>
      </c>
      <c r="G774" s="106">
        <f>IF($J774="","",INDEX(LevelLabels,MATCH(F774,LevelValues,1)))</f>
        <v/>
      </c>
      <c r="H774" s="106">
        <f>IF($J774="","",IFERROR(INDEX(Stu_ContactReq,MATCH(C774,Stu_ID,0)),""))</f>
        <v/>
      </c>
      <c r="I774" s="107">
        <f>IF($J774="","",IFERROR(INDEX(Stu_Notes,MATCH(C774,Stu_ID,0)),""))</f>
        <v/>
      </c>
      <c r="J774" s="40">
        <f>IF(769&gt;$B$3,"",IFERROR(MATCH(769-1,EV_Seq,1)+1,1))</f>
        <v/>
      </c>
    </row>
    <row r="775">
      <c r="A775" s="105">
        <f>IF($J775="","",INDEX(EV_Date,$J775))</f>
        <v/>
      </c>
      <c r="B775" s="78">
        <f>IF($J775="","",INDEX(EV_Name,$J775))</f>
        <v/>
      </c>
      <c r="C775" s="106">
        <f>IF($J775="","",INDEX(EV_ID,$J775))</f>
        <v/>
      </c>
      <c r="D775" s="106">
        <f>IF($J775="","",INDEX(EV_Class,$J775))</f>
        <v/>
      </c>
      <c r="E775" s="106">
        <f>IF($J775="","",INDEX(EV_Type,$J775))</f>
        <v/>
      </c>
      <c r="F775" s="106">
        <f>IF($J775="","",INDEX(EV_Cum,$J775))</f>
        <v/>
      </c>
      <c r="G775" s="106">
        <f>IF($J775="","",INDEX(LevelLabels,MATCH(F775,LevelValues,1)))</f>
        <v/>
      </c>
      <c r="H775" s="106">
        <f>IF($J775="","",IFERROR(INDEX(Stu_ContactReq,MATCH(C775,Stu_ID,0)),""))</f>
        <v/>
      </c>
      <c r="I775" s="107">
        <f>IF($J775="","",IFERROR(INDEX(Stu_Notes,MATCH(C775,Stu_ID,0)),""))</f>
        <v/>
      </c>
      <c r="J775" s="40">
        <f>IF(770&gt;$B$3,"",IFERROR(MATCH(770-1,EV_Seq,1)+1,1))</f>
        <v/>
      </c>
    </row>
    <row r="776">
      <c r="A776" s="105">
        <f>IF($J776="","",INDEX(EV_Date,$J776))</f>
        <v/>
      </c>
      <c r="B776" s="78">
        <f>IF($J776="","",INDEX(EV_Name,$J776))</f>
        <v/>
      </c>
      <c r="C776" s="106">
        <f>IF($J776="","",INDEX(EV_ID,$J776))</f>
        <v/>
      </c>
      <c r="D776" s="106">
        <f>IF($J776="","",INDEX(EV_Class,$J776))</f>
        <v/>
      </c>
      <c r="E776" s="106">
        <f>IF($J776="","",INDEX(EV_Type,$J776))</f>
        <v/>
      </c>
      <c r="F776" s="106">
        <f>IF($J776="","",INDEX(EV_Cum,$J776))</f>
        <v/>
      </c>
      <c r="G776" s="106">
        <f>IF($J776="","",INDEX(LevelLabels,MATCH(F776,LevelValues,1)))</f>
        <v/>
      </c>
      <c r="H776" s="106">
        <f>IF($J776="","",IFERROR(INDEX(Stu_ContactReq,MATCH(C776,Stu_ID,0)),""))</f>
        <v/>
      </c>
      <c r="I776" s="107">
        <f>IF($J776="","",IFERROR(INDEX(Stu_Notes,MATCH(C776,Stu_ID,0)),""))</f>
        <v/>
      </c>
      <c r="J776" s="40">
        <f>IF(771&gt;$B$3,"",IFERROR(MATCH(771-1,EV_Seq,1)+1,1))</f>
        <v/>
      </c>
    </row>
    <row r="777">
      <c r="A777" s="105">
        <f>IF($J777="","",INDEX(EV_Date,$J777))</f>
        <v/>
      </c>
      <c r="B777" s="78">
        <f>IF($J777="","",INDEX(EV_Name,$J777))</f>
        <v/>
      </c>
      <c r="C777" s="106">
        <f>IF($J777="","",INDEX(EV_ID,$J777))</f>
        <v/>
      </c>
      <c r="D777" s="106">
        <f>IF($J777="","",INDEX(EV_Class,$J777))</f>
        <v/>
      </c>
      <c r="E777" s="106">
        <f>IF($J777="","",INDEX(EV_Type,$J777))</f>
        <v/>
      </c>
      <c r="F777" s="106">
        <f>IF($J777="","",INDEX(EV_Cum,$J777))</f>
        <v/>
      </c>
      <c r="G777" s="106">
        <f>IF($J777="","",INDEX(LevelLabels,MATCH(F777,LevelValues,1)))</f>
        <v/>
      </c>
      <c r="H777" s="106">
        <f>IF($J777="","",IFERROR(INDEX(Stu_ContactReq,MATCH(C777,Stu_ID,0)),""))</f>
        <v/>
      </c>
      <c r="I777" s="107">
        <f>IF($J777="","",IFERROR(INDEX(Stu_Notes,MATCH(C777,Stu_ID,0)),""))</f>
        <v/>
      </c>
      <c r="J777" s="40">
        <f>IF(772&gt;$B$3,"",IFERROR(MATCH(772-1,EV_Seq,1)+1,1))</f>
        <v/>
      </c>
    </row>
    <row r="778">
      <c r="A778" s="105">
        <f>IF($J778="","",INDEX(EV_Date,$J778))</f>
        <v/>
      </c>
      <c r="B778" s="78">
        <f>IF($J778="","",INDEX(EV_Name,$J778))</f>
        <v/>
      </c>
      <c r="C778" s="106">
        <f>IF($J778="","",INDEX(EV_ID,$J778))</f>
        <v/>
      </c>
      <c r="D778" s="106">
        <f>IF($J778="","",INDEX(EV_Class,$J778))</f>
        <v/>
      </c>
      <c r="E778" s="106">
        <f>IF($J778="","",INDEX(EV_Type,$J778))</f>
        <v/>
      </c>
      <c r="F778" s="106">
        <f>IF($J778="","",INDEX(EV_Cum,$J778))</f>
        <v/>
      </c>
      <c r="G778" s="106">
        <f>IF($J778="","",INDEX(LevelLabels,MATCH(F778,LevelValues,1)))</f>
        <v/>
      </c>
      <c r="H778" s="106">
        <f>IF($J778="","",IFERROR(INDEX(Stu_ContactReq,MATCH(C778,Stu_ID,0)),""))</f>
        <v/>
      </c>
      <c r="I778" s="107">
        <f>IF($J778="","",IFERROR(INDEX(Stu_Notes,MATCH(C778,Stu_ID,0)),""))</f>
        <v/>
      </c>
      <c r="J778" s="40">
        <f>IF(773&gt;$B$3,"",IFERROR(MATCH(773-1,EV_Seq,1)+1,1))</f>
        <v/>
      </c>
    </row>
    <row r="779">
      <c r="A779" s="105">
        <f>IF($J779="","",INDEX(EV_Date,$J779))</f>
        <v/>
      </c>
      <c r="B779" s="78">
        <f>IF($J779="","",INDEX(EV_Name,$J779))</f>
        <v/>
      </c>
      <c r="C779" s="106">
        <f>IF($J779="","",INDEX(EV_ID,$J779))</f>
        <v/>
      </c>
      <c r="D779" s="106">
        <f>IF($J779="","",INDEX(EV_Class,$J779))</f>
        <v/>
      </c>
      <c r="E779" s="106">
        <f>IF($J779="","",INDEX(EV_Type,$J779))</f>
        <v/>
      </c>
      <c r="F779" s="106">
        <f>IF($J779="","",INDEX(EV_Cum,$J779))</f>
        <v/>
      </c>
      <c r="G779" s="106">
        <f>IF($J779="","",INDEX(LevelLabels,MATCH(F779,LevelValues,1)))</f>
        <v/>
      </c>
      <c r="H779" s="106">
        <f>IF($J779="","",IFERROR(INDEX(Stu_ContactReq,MATCH(C779,Stu_ID,0)),""))</f>
        <v/>
      </c>
      <c r="I779" s="107">
        <f>IF($J779="","",IFERROR(INDEX(Stu_Notes,MATCH(C779,Stu_ID,0)),""))</f>
        <v/>
      </c>
      <c r="J779" s="40">
        <f>IF(774&gt;$B$3,"",IFERROR(MATCH(774-1,EV_Seq,1)+1,1))</f>
        <v/>
      </c>
    </row>
    <row r="780">
      <c r="A780" s="105">
        <f>IF($J780="","",INDEX(EV_Date,$J780))</f>
        <v/>
      </c>
      <c r="B780" s="78">
        <f>IF($J780="","",INDEX(EV_Name,$J780))</f>
        <v/>
      </c>
      <c r="C780" s="106">
        <f>IF($J780="","",INDEX(EV_ID,$J780))</f>
        <v/>
      </c>
      <c r="D780" s="106">
        <f>IF($J780="","",INDEX(EV_Class,$J780))</f>
        <v/>
      </c>
      <c r="E780" s="106">
        <f>IF($J780="","",INDEX(EV_Type,$J780))</f>
        <v/>
      </c>
      <c r="F780" s="106">
        <f>IF($J780="","",INDEX(EV_Cum,$J780))</f>
        <v/>
      </c>
      <c r="G780" s="106">
        <f>IF($J780="","",INDEX(LevelLabels,MATCH(F780,LevelValues,1)))</f>
        <v/>
      </c>
      <c r="H780" s="106">
        <f>IF($J780="","",IFERROR(INDEX(Stu_ContactReq,MATCH(C780,Stu_ID,0)),""))</f>
        <v/>
      </c>
      <c r="I780" s="107">
        <f>IF($J780="","",IFERROR(INDEX(Stu_Notes,MATCH(C780,Stu_ID,0)),""))</f>
        <v/>
      </c>
      <c r="J780" s="40">
        <f>IF(775&gt;$B$3,"",IFERROR(MATCH(775-1,EV_Seq,1)+1,1))</f>
        <v/>
      </c>
    </row>
    <row r="781">
      <c r="A781" s="105">
        <f>IF($J781="","",INDEX(EV_Date,$J781))</f>
        <v/>
      </c>
      <c r="B781" s="78">
        <f>IF($J781="","",INDEX(EV_Name,$J781))</f>
        <v/>
      </c>
      <c r="C781" s="106">
        <f>IF($J781="","",INDEX(EV_ID,$J781))</f>
        <v/>
      </c>
      <c r="D781" s="106">
        <f>IF($J781="","",INDEX(EV_Class,$J781))</f>
        <v/>
      </c>
      <c r="E781" s="106">
        <f>IF($J781="","",INDEX(EV_Type,$J781))</f>
        <v/>
      </c>
      <c r="F781" s="106">
        <f>IF($J781="","",INDEX(EV_Cum,$J781))</f>
        <v/>
      </c>
      <c r="G781" s="106">
        <f>IF($J781="","",INDEX(LevelLabels,MATCH(F781,LevelValues,1)))</f>
        <v/>
      </c>
      <c r="H781" s="106">
        <f>IF($J781="","",IFERROR(INDEX(Stu_ContactReq,MATCH(C781,Stu_ID,0)),""))</f>
        <v/>
      </c>
      <c r="I781" s="107">
        <f>IF($J781="","",IFERROR(INDEX(Stu_Notes,MATCH(C781,Stu_ID,0)),""))</f>
        <v/>
      </c>
      <c r="J781" s="40">
        <f>IF(776&gt;$B$3,"",IFERROR(MATCH(776-1,EV_Seq,1)+1,1))</f>
        <v/>
      </c>
    </row>
    <row r="782">
      <c r="A782" s="105">
        <f>IF($J782="","",INDEX(EV_Date,$J782))</f>
        <v/>
      </c>
      <c r="B782" s="78">
        <f>IF($J782="","",INDEX(EV_Name,$J782))</f>
        <v/>
      </c>
      <c r="C782" s="106">
        <f>IF($J782="","",INDEX(EV_ID,$J782))</f>
        <v/>
      </c>
      <c r="D782" s="106">
        <f>IF($J782="","",INDEX(EV_Class,$J782))</f>
        <v/>
      </c>
      <c r="E782" s="106">
        <f>IF($J782="","",INDEX(EV_Type,$J782))</f>
        <v/>
      </c>
      <c r="F782" s="106">
        <f>IF($J782="","",INDEX(EV_Cum,$J782))</f>
        <v/>
      </c>
      <c r="G782" s="106">
        <f>IF($J782="","",INDEX(LevelLabels,MATCH(F782,LevelValues,1)))</f>
        <v/>
      </c>
      <c r="H782" s="106">
        <f>IF($J782="","",IFERROR(INDEX(Stu_ContactReq,MATCH(C782,Stu_ID,0)),""))</f>
        <v/>
      </c>
      <c r="I782" s="107">
        <f>IF($J782="","",IFERROR(INDEX(Stu_Notes,MATCH(C782,Stu_ID,0)),""))</f>
        <v/>
      </c>
      <c r="J782" s="40">
        <f>IF(777&gt;$B$3,"",IFERROR(MATCH(777-1,EV_Seq,1)+1,1))</f>
        <v/>
      </c>
    </row>
    <row r="783">
      <c r="A783" s="105">
        <f>IF($J783="","",INDEX(EV_Date,$J783))</f>
        <v/>
      </c>
      <c r="B783" s="78">
        <f>IF($J783="","",INDEX(EV_Name,$J783))</f>
        <v/>
      </c>
      <c r="C783" s="106">
        <f>IF($J783="","",INDEX(EV_ID,$J783))</f>
        <v/>
      </c>
      <c r="D783" s="106">
        <f>IF($J783="","",INDEX(EV_Class,$J783))</f>
        <v/>
      </c>
      <c r="E783" s="106">
        <f>IF($J783="","",INDEX(EV_Type,$J783))</f>
        <v/>
      </c>
      <c r="F783" s="106">
        <f>IF($J783="","",INDEX(EV_Cum,$J783))</f>
        <v/>
      </c>
      <c r="G783" s="106">
        <f>IF($J783="","",INDEX(LevelLabels,MATCH(F783,LevelValues,1)))</f>
        <v/>
      </c>
      <c r="H783" s="106">
        <f>IF($J783="","",IFERROR(INDEX(Stu_ContactReq,MATCH(C783,Stu_ID,0)),""))</f>
        <v/>
      </c>
      <c r="I783" s="107">
        <f>IF($J783="","",IFERROR(INDEX(Stu_Notes,MATCH(C783,Stu_ID,0)),""))</f>
        <v/>
      </c>
      <c r="J783" s="40">
        <f>IF(778&gt;$B$3,"",IFERROR(MATCH(778-1,EV_Seq,1)+1,1))</f>
        <v/>
      </c>
    </row>
    <row r="784">
      <c r="A784" s="105">
        <f>IF($J784="","",INDEX(EV_Date,$J784))</f>
        <v/>
      </c>
      <c r="B784" s="78">
        <f>IF($J784="","",INDEX(EV_Name,$J784))</f>
        <v/>
      </c>
      <c r="C784" s="106">
        <f>IF($J784="","",INDEX(EV_ID,$J784))</f>
        <v/>
      </c>
      <c r="D784" s="106">
        <f>IF($J784="","",INDEX(EV_Class,$J784))</f>
        <v/>
      </c>
      <c r="E784" s="106">
        <f>IF($J784="","",INDEX(EV_Type,$J784))</f>
        <v/>
      </c>
      <c r="F784" s="106">
        <f>IF($J784="","",INDEX(EV_Cum,$J784))</f>
        <v/>
      </c>
      <c r="G784" s="106">
        <f>IF($J784="","",INDEX(LevelLabels,MATCH(F784,LevelValues,1)))</f>
        <v/>
      </c>
      <c r="H784" s="106">
        <f>IF($J784="","",IFERROR(INDEX(Stu_ContactReq,MATCH(C784,Stu_ID,0)),""))</f>
        <v/>
      </c>
      <c r="I784" s="107">
        <f>IF($J784="","",IFERROR(INDEX(Stu_Notes,MATCH(C784,Stu_ID,0)),""))</f>
        <v/>
      </c>
      <c r="J784" s="40">
        <f>IF(779&gt;$B$3,"",IFERROR(MATCH(779-1,EV_Seq,1)+1,1))</f>
        <v/>
      </c>
    </row>
    <row r="785">
      <c r="A785" s="105">
        <f>IF($J785="","",INDEX(EV_Date,$J785))</f>
        <v/>
      </c>
      <c r="B785" s="78">
        <f>IF($J785="","",INDEX(EV_Name,$J785))</f>
        <v/>
      </c>
      <c r="C785" s="106">
        <f>IF($J785="","",INDEX(EV_ID,$J785))</f>
        <v/>
      </c>
      <c r="D785" s="106">
        <f>IF($J785="","",INDEX(EV_Class,$J785))</f>
        <v/>
      </c>
      <c r="E785" s="106">
        <f>IF($J785="","",INDEX(EV_Type,$J785))</f>
        <v/>
      </c>
      <c r="F785" s="106">
        <f>IF($J785="","",INDEX(EV_Cum,$J785))</f>
        <v/>
      </c>
      <c r="G785" s="106">
        <f>IF($J785="","",INDEX(LevelLabels,MATCH(F785,LevelValues,1)))</f>
        <v/>
      </c>
      <c r="H785" s="106">
        <f>IF($J785="","",IFERROR(INDEX(Stu_ContactReq,MATCH(C785,Stu_ID,0)),""))</f>
        <v/>
      </c>
      <c r="I785" s="107">
        <f>IF($J785="","",IFERROR(INDEX(Stu_Notes,MATCH(C785,Stu_ID,0)),""))</f>
        <v/>
      </c>
      <c r="J785" s="40">
        <f>IF(780&gt;$B$3,"",IFERROR(MATCH(780-1,EV_Seq,1)+1,1))</f>
        <v/>
      </c>
    </row>
    <row r="786">
      <c r="A786" s="105">
        <f>IF($J786="","",INDEX(EV_Date,$J786))</f>
        <v/>
      </c>
      <c r="B786" s="78">
        <f>IF($J786="","",INDEX(EV_Name,$J786))</f>
        <v/>
      </c>
      <c r="C786" s="106">
        <f>IF($J786="","",INDEX(EV_ID,$J786))</f>
        <v/>
      </c>
      <c r="D786" s="106">
        <f>IF($J786="","",INDEX(EV_Class,$J786))</f>
        <v/>
      </c>
      <c r="E786" s="106">
        <f>IF($J786="","",INDEX(EV_Type,$J786))</f>
        <v/>
      </c>
      <c r="F786" s="106">
        <f>IF($J786="","",INDEX(EV_Cum,$J786))</f>
        <v/>
      </c>
      <c r="G786" s="106">
        <f>IF($J786="","",INDEX(LevelLabels,MATCH(F786,LevelValues,1)))</f>
        <v/>
      </c>
      <c r="H786" s="106">
        <f>IF($J786="","",IFERROR(INDEX(Stu_ContactReq,MATCH(C786,Stu_ID,0)),""))</f>
        <v/>
      </c>
      <c r="I786" s="107">
        <f>IF($J786="","",IFERROR(INDEX(Stu_Notes,MATCH(C786,Stu_ID,0)),""))</f>
        <v/>
      </c>
      <c r="J786" s="40">
        <f>IF(781&gt;$B$3,"",IFERROR(MATCH(781-1,EV_Seq,1)+1,1))</f>
        <v/>
      </c>
    </row>
    <row r="787">
      <c r="A787" s="105">
        <f>IF($J787="","",INDEX(EV_Date,$J787))</f>
        <v/>
      </c>
      <c r="B787" s="78">
        <f>IF($J787="","",INDEX(EV_Name,$J787))</f>
        <v/>
      </c>
      <c r="C787" s="106">
        <f>IF($J787="","",INDEX(EV_ID,$J787))</f>
        <v/>
      </c>
      <c r="D787" s="106">
        <f>IF($J787="","",INDEX(EV_Class,$J787))</f>
        <v/>
      </c>
      <c r="E787" s="106">
        <f>IF($J787="","",INDEX(EV_Type,$J787))</f>
        <v/>
      </c>
      <c r="F787" s="106">
        <f>IF($J787="","",INDEX(EV_Cum,$J787))</f>
        <v/>
      </c>
      <c r="G787" s="106">
        <f>IF($J787="","",INDEX(LevelLabels,MATCH(F787,LevelValues,1)))</f>
        <v/>
      </c>
      <c r="H787" s="106">
        <f>IF($J787="","",IFERROR(INDEX(Stu_ContactReq,MATCH(C787,Stu_ID,0)),""))</f>
        <v/>
      </c>
      <c r="I787" s="107">
        <f>IF($J787="","",IFERROR(INDEX(Stu_Notes,MATCH(C787,Stu_ID,0)),""))</f>
        <v/>
      </c>
      <c r="J787" s="40">
        <f>IF(782&gt;$B$3,"",IFERROR(MATCH(782-1,EV_Seq,1)+1,1))</f>
        <v/>
      </c>
    </row>
    <row r="788">
      <c r="A788" s="105">
        <f>IF($J788="","",INDEX(EV_Date,$J788))</f>
        <v/>
      </c>
      <c r="B788" s="78">
        <f>IF($J788="","",INDEX(EV_Name,$J788))</f>
        <v/>
      </c>
      <c r="C788" s="106">
        <f>IF($J788="","",INDEX(EV_ID,$J788))</f>
        <v/>
      </c>
      <c r="D788" s="106">
        <f>IF($J788="","",INDEX(EV_Class,$J788))</f>
        <v/>
      </c>
      <c r="E788" s="106">
        <f>IF($J788="","",INDEX(EV_Type,$J788))</f>
        <v/>
      </c>
      <c r="F788" s="106">
        <f>IF($J788="","",INDEX(EV_Cum,$J788))</f>
        <v/>
      </c>
      <c r="G788" s="106">
        <f>IF($J788="","",INDEX(LevelLabels,MATCH(F788,LevelValues,1)))</f>
        <v/>
      </c>
      <c r="H788" s="106">
        <f>IF($J788="","",IFERROR(INDEX(Stu_ContactReq,MATCH(C788,Stu_ID,0)),""))</f>
        <v/>
      </c>
      <c r="I788" s="107">
        <f>IF($J788="","",IFERROR(INDEX(Stu_Notes,MATCH(C788,Stu_ID,0)),""))</f>
        <v/>
      </c>
      <c r="J788" s="40">
        <f>IF(783&gt;$B$3,"",IFERROR(MATCH(783-1,EV_Seq,1)+1,1))</f>
        <v/>
      </c>
    </row>
    <row r="789">
      <c r="A789" s="105">
        <f>IF($J789="","",INDEX(EV_Date,$J789))</f>
        <v/>
      </c>
      <c r="B789" s="78">
        <f>IF($J789="","",INDEX(EV_Name,$J789))</f>
        <v/>
      </c>
      <c r="C789" s="106">
        <f>IF($J789="","",INDEX(EV_ID,$J789))</f>
        <v/>
      </c>
      <c r="D789" s="106">
        <f>IF($J789="","",INDEX(EV_Class,$J789))</f>
        <v/>
      </c>
      <c r="E789" s="106">
        <f>IF($J789="","",INDEX(EV_Type,$J789))</f>
        <v/>
      </c>
      <c r="F789" s="106">
        <f>IF($J789="","",INDEX(EV_Cum,$J789))</f>
        <v/>
      </c>
      <c r="G789" s="106">
        <f>IF($J789="","",INDEX(LevelLabels,MATCH(F789,LevelValues,1)))</f>
        <v/>
      </c>
      <c r="H789" s="106">
        <f>IF($J789="","",IFERROR(INDEX(Stu_ContactReq,MATCH(C789,Stu_ID,0)),""))</f>
        <v/>
      </c>
      <c r="I789" s="107">
        <f>IF($J789="","",IFERROR(INDEX(Stu_Notes,MATCH(C789,Stu_ID,0)),""))</f>
        <v/>
      </c>
      <c r="J789" s="40">
        <f>IF(784&gt;$B$3,"",IFERROR(MATCH(784-1,EV_Seq,1)+1,1))</f>
        <v/>
      </c>
    </row>
    <row r="790">
      <c r="A790" s="105">
        <f>IF($J790="","",INDEX(EV_Date,$J790))</f>
        <v/>
      </c>
      <c r="B790" s="78">
        <f>IF($J790="","",INDEX(EV_Name,$J790))</f>
        <v/>
      </c>
      <c r="C790" s="106">
        <f>IF($J790="","",INDEX(EV_ID,$J790))</f>
        <v/>
      </c>
      <c r="D790" s="106">
        <f>IF($J790="","",INDEX(EV_Class,$J790))</f>
        <v/>
      </c>
      <c r="E790" s="106">
        <f>IF($J790="","",INDEX(EV_Type,$J790))</f>
        <v/>
      </c>
      <c r="F790" s="106">
        <f>IF($J790="","",INDEX(EV_Cum,$J790))</f>
        <v/>
      </c>
      <c r="G790" s="106">
        <f>IF($J790="","",INDEX(LevelLabels,MATCH(F790,LevelValues,1)))</f>
        <v/>
      </c>
      <c r="H790" s="106">
        <f>IF($J790="","",IFERROR(INDEX(Stu_ContactReq,MATCH(C790,Stu_ID,0)),""))</f>
        <v/>
      </c>
      <c r="I790" s="107">
        <f>IF($J790="","",IFERROR(INDEX(Stu_Notes,MATCH(C790,Stu_ID,0)),""))</f>
        <v/>
      </c>
      <c r="J790" s="40">
        <f>IF(785&gt;$B$3,"",IFERROR(MATCH(785-1,EV_Seq,1)+1,1))</f>
        <v/>
      </c>
    </row>
    <row r="791">
      <c r="A791" s="105">
        <f>IF($J791="","",INDEX(EV_Date,$J791))</f>
        <v/>
      </c>
      <c r="B791" s="78">
        <f>IF($J791="","",INDEX(EV_Name,$J791))</f>
        <v/>
      </c>
      <c r="C791" s="106">
        <f>IF($J791="","",INDEX(EV_ID,$J791))</f>
        <v/>
      </c>
      <c r="D791" s="106">
        <f>IF($J791="","",INDEX(EV_Class,$J791))</f>
        <v/>
      </c>
      <c r="E791" s="106">
        <f>IF($J791="","",INDEX(EV_Type,$J791))</f>
        <v/>
      </c>
      <c r="F791" s="106">
        <f>IF($J791="","",INDEX(EV_Cum,$J791))</f>
        <v/>
      </c>
      <c r="G791" s="106">
        <f>IF($J791="","",INDEX(LevelLabels,MATCH(F791,LevelValues,1)))</f>
        <v/>
      </c>
      <c r="H791" s="106">
        <f>IF($J791="","",IFERROR(INDEX(Stu_ContactReq,MATCH(C791,Stu_ID,0)),""))</f>
        <v/>
      </c>
      <c r="I791" s="107">
        <f>IF($J791="","",IFERROR(INDEX(Stu_Notes,MATCH(C791,Stu_ID,0)),""))</f>
        <v/>
      </c>
      <c r="J791" s="40">
        <f>IF(786&gt;$B$3,"",IFERROR(MATCH(786-1,EV_Seq,1)+1,1))</f>
        <v/>
      </c>
    </row>
    <row r="792">
      <c r="A792" s="105">
        <f>IF($J792="","",INDEX(EV_Date,$J792))</f>
        <v/>
      </c>
      <c r="B792" s="78">
        <f>IF($J792="","",INDEX(EV_Name,$J792))</f>
        <v/>
      </c>
      <c r="C792" s="106">
        <f>IF($J792="","",INDEX(EV_ID,$J792))</f>
        <v/>
      </c>
      <c r="D792" s="106">
        <f>IF($J792="","",INDEX(EV_Class,$J792))</f>
        <v/>
      </c>
      <c r="E792" s="106">
        <f>IF($J792="","",INDEX(EV_Type,$J792))</f>
        <v/>
      </c>
      <c r="F792" s="106">
        <f>IF($J792="","",INDEX(EV_Cum,$J792))</f>
        <v/>
      </c>
      <c r="G792" s="106">
        <f>IF($J792="","",INDEX(LevelLabels,MATCH(F792,LevelValues,1)))</f>
        <v/>
      </c>
      <c r="H792" s="106">
        <f>IF($J792="","",IFERROR(INDEX(Stu_ContactReq,MATCH(C792,Stu_ID,0)),""))</f>
        <v/>
      </c>
      <c r="I792" s="107">
        <f>IF($J792="","",IFERROR(INDEX(Stu_Notes,MATCH(C792,Stu_ID,0)),""))</f>
        <v/>
      </c>
      <c r="J792" s="40">
        <f>IF(787&gt;$B$3,"",IFERROR(MATCH(787-1,EV_Seq,1)+1,1))</f>
        <v/>
      </c>
    </row>
    <row r="793">
      <c r="A793" s="105">
        <f>IF($J793="","",INDEX(EV_Date,$J793))</f>
        <v/>
      </c>
      <c r="B793" s="78">
        <f>IF($J793="","",INDEX(EV_Name,$J793))</f>
        <v/>
      </c>
      <c r="C793" s="106">
        <f>IF($J793="","",INDEX(EV_ID,$J793))</f>
        <v/>
      </c>
      <c r="D793" s="106">
        <f>IF($J793="","",INDEX(EV_Class,$J793))</f>
        <v/>
      </c>
      <c r="E793" s="106">
        <f>IF($J793="","",INDEX(EV_Type,$J793))</f>
        <v/>
      </c>
      <c r="F793" s="106">
        <f>IF($J793="","",INDEX(EV_Cum,$J793))</f>
        <v/>
      </c>
      <c r="G793" s="106">
        <f>IF($J793="","",INDEX(LevelLabels,MATCH(F793,LevelValues,1)))</f>
        <v/>
      </c>
      <c r="H793" s="106">
        <f>IF($J793="","",IFERROR(INDEX(Stu_ContactReq,MATCH(C793,Stu_ID,0)),""))</f>
        <v/>
      </c>
      <c r="I793" s="107">
        <f>IF($J793="","",IFERROR(INDEX(Stu_Notes,MATCH(C793,Stu_ID,0)),""))</f>
        <v/>
      </c>
      <c r="J793" s="40">
        <f>IF(788&gt;$B$3,"",IFERROR(MATCH(788-1,EV_Seq,1)+1,1))</f>
        <v/>
      </c>
    </row>
    <row r="794">
      <c r="A794" s="105">
        <f>IF($J794="","",INDEX(EV_Date,$J794))</f>
        <v/>
      </c>
      <c r="B794" s="78">
        <f>IF($J794="","",INDEX(EV_Name,$J794))</f>
        <v/>
      </c>
      <c r="C794" s="106">
        <f>IF($J794="","",INDEX(EV_ID,$J794))</f>
        <v/>
      </c>
      <c r="D794" s="106">
        <f>IF($J794="","",INDEX(EV_Class,$J794))</f>
        <v/>
      </c>
      <c r="E794" s="106">
        <f>IF($J794="","",INDEX(EV_Type,$J794))</f>
        <v/>
      </c>
      <c r="F794" s="106">
        <f>IF($J794="","",INDEX(EV_Cum,$J794))</f>
        <v/>
      </c>
      <c r="G794" s="106">
        <f>IF($J794="","",INDEX(LevelLabels,MATCH(F794,LevelValues,1)))</f>
        <v/>
      </c>
      <c r="H794" s="106">
        <f>IF($J794="","",IFERROR(INDEX(Stu_ContactReq,MATCH(C794,Stu_ID,0)),""))</f>
        <v/>
      </c>
      <c r="I794" s="107">
        <f>IF($J794="","",IFERROR(INDEX(Stu_Notes,MATCH(C794,Stu_ID,0)),""))</f>
        <v/>
      </c>
      <c r="J794" s="40">
        <f>IF(789&gt;$B$3,"",IFERROR(MATCH(789-1,EV_Seq,1)+1,1))</f>
        <v/>
      </c>
    </row>
    <row r="795">
      <c r="A795" s="105">
        <f>IF($J795="","",INDEX(EV_Date,$J795))</f>
        <v/>
      </c>
      <c r="B795" s="78">
        <f>IF($J795="","",INDEX(EV_Name,$J795))</f>
        <v/>
      </c>
      <c r="C795" s="106">
        <f>IF($J795="","",INDEX(EV_ID,$J795))</f>
        <v/>
      </c>
      <c r="D795" s="106">
        <f>IF($J795="","",INDEX(EV_Class,$J795))</f>
        <v/>
      </c>
      <c r="E795" s="106">
        <f>IF($J795="","",INDEX(EV_Type,$J795))</f>
        <v/>
      </c>
      <c r="F795" s="106">
        <f>IF($J795="","",INDEX(EV_Cum,$J795))</f>
        <v/>
      </c>
      <c r="G795" s="106">
        <f>IF($J795="","",INDEX(LevelLabels,MATCH(F795,LevelValues,1)))</f>
        <v/>
      </c>
      <c r="H795" s="106">
        <f>IF($J795="","",IFERROR(INDEX(Stu_ContactReq,MATCH(C795,Stu_ID,0)),""))</f>
        <v/>
      </c>
      <c r="I795" s="107">
        <f>IF($J795="","",IFERROR(INDEX(Stu_Notes,MATCH(C795,Stu_ID,0)),""))</f>
        <v/>
      </c>
      <c r="J795" s="40">
        <f>IF(790&gt;$B$3,"",IFERROR(MATCH(790-1,EV_Seq,1)+1,1))</f>
        <v/>
      </c>
    </row>
    <row r="796">
      <c r="A796" s="105">
        <f>IF($J796="","",INDEX(EV_Date,$J796))</f>
        <v/>
      </c>
      <c r="B796" s="78">
        <f>IF($J796="","",INDEX(EV_Name,$J796))</f>
        <v/>
      </c>
      <c r="C796" s="106">
        <f>IF($J796="","",INDEX(EV_ID,$J796))</f>
        <v/>
      </c>
      <c r="D796" s="106">
        <f>IF($J796="","",INDEX(EV_Class,$J796))</f>
        <v/>
      </c>
      <c r="E796" s="106">
        <f>IF($J796="","",INDEX(EV_Type,$J796))</f>
        <v/>
      </c>
      <c r="F796" s="106">
        <f>IF($J796="","",INDEX(EV_Cum,$J796))</f>
        <v/>
      </c>
      <c r="G796" s="106">
        <f>IF($J796="","",INDEX(LevelLabels,MATCH(F796,LevelValues,1)))</f>
        <v/>
      </c>
      <c r="H796" s="106">
        <f>IF($J796="","",IFERROR(INDEX(Stu_ContactReq,MATCH(C796,Stu_ID,0)),""))</f>
        <v/>
      </c>
      <c r="I796" s="107">
        <f>IF($J796="","",IFERROR(INDEX(Stu_Notes,MATCH(C796,Stu_ID,0)),""))</f>
        <v/>
      </c>
      <c r="J796" s="40">
        <f>IF(791&gt;$B$3,"",IFERROR(MATCH(791-1,EV_Seq,1)+1,1))</f>
        <v/>
      </c>
    </row>
    <row r="797">
      <c r="A797" s="105">
        <f>IF($J797="","",INDEX(EV_Date,$J797))</f>
        <v/>
      </c>
      <c r="B797" s="78">
        <f>IF($J797="","",INDEX(EV_Name,$J797))</f>
        <v/>
      </c>
      <c r="C797" s="106">
        <f>IF($J797="","",INDEX(EV_ID,$J797))</f>
        <v/>
      </c>
      <c r="D797" s="106">
        <f>IF($J797="","",INDEX(EV_Class,$J797))</f>
        <v/>
      </c>
      <c r="E797" s="106">
        <f>IF($J797="","",INDEX(EV_Type,$J797))</f>
        <v/>
      </c>
      <c r="F797" s="106">
        <f>IF($J797="","",INDEX(EV_Cum,$J797))</f>
        <v/>
      </c>
      <c r="G797" s="106">
        <f>IF($J797="","",INDEX(LevelLabels,MATCH(F797,LevelValues,1)))</f>
        <v/>
      </c>
      <c r="H797" s="106">
        <f>IF($J797="","",IFERROR(INDEX(Stu_ContactReq,MATCH(C797,Stu_ID,0)),""))</f>
        <v/>
      </c>
      <c r="I797" s="107">
        <f>IF($J797="","",IFERROR(INDEX(Stu_Notes,MATCH(C797,Stu_ID,0)),""))</f>
        <v/>
      </c>
      <c r="J797" s="40">
        <f>IF(792&gt;$B$3,"",IFERROR(MATCH(792-1,EV_Seq,1)+1,1))</f>
        <v/>
      </c>
    </row>
    <row r="798">
      <c r="A798" s="105">
        <f>IF($J798="","",INDEX(EV_Date,$J798))</f>
        <v/>
      </c>
      <c r="B798" s="78">
        <f>IF($J798="","",INDEX(EV_Name,$J798))</f>
        <v/>
      </c>
      <c r="C798" s="106">
        <f>IF($J798="","",INDEX(EV_ID,$J798))</f>
        <v/>
      </c>
      <c r="D798" s="106">
        <f>IF($J798="","",INDEX(EV_Class,$J798))</f>
        <v/>
      </c>
      <c r="E798" s="106">
        <f>IF($J798="","",INDEX(EV_Type,$J798))</f>
        <v/>
      </c>
      <c r="F798" s="106">
        <f>IF($J798="","",INDEX(EV_Cum,$J798))</f>
        <v/>
      </c>
      <c r="G798" s="106">
        <f>IF($J798="","",INDEX(LevelLabels,MATCH(F798,LevelValues,1)))</f>
        <v/>
      </c>
      <c r="H798" s="106">
        <f>IF($J798="","",IFERROR(INDEX(Stu_ContactReq,MATCH(C798,Stu_ID,0)),""))</f>
        <v/>
      </c>
      <c r="I798" s="107">
        <f>IF($J798="","",IFERROR(INDEX(Stu_Notes,MATCH(C798,Stu_ID,0)),""))</f>
        <v/>
      </c>
      <c r="J798" s="40">
        <f>IF(793&gt;$B$3,"",IFERROR(MATCH(793-1,EV_Seq,1)+1,1))</f>
        <v/>
      </c>
    </row>
    <row r="799">
      <c r="A799" s="105">
        <f>IF($J799="","",INDEX(EV_Date,$J799))</f>
        <v/>
      </c>
      <c r="B799" s="78">
        <f>IF($J799="","",INDEX(EV_Name,$J799))</f>
        <v/>
      </c>
      <c r="C799" s="106">
        <f>IF($J799="","",INDEX(EV_ID,$J799))</f>
        <v/>
      </c>
      <c r="D799" s="106">
        <f>IF($J799="","",INDEX(EV_Class,$J799))</f>
        <v/>
      </c>
      <c r="E799" s="106">
        <f>IF($J799="","",INDEX(EV_Type,$J799))</f>
        <v/>
      </c>
      <c r="F799" s="106">
        <f>IF($J799="","",INDEX(EV_Cum,$J799))</f>
        <v/>
      </c>
      <c r="G799" s="106">
        <f>IF($J799="","",INDEX(LevelLabels,MATCH(F799,LevelValues,1)))</f>
        <v/>
      </c>
      <c r="H799" s="106">
        <f>IF($J799="","",IFERROR(INDEX(Stu_ContactReq,MATCH(C799,Stu_ID,0)),""))</f>
        <v/>
      </c>
      <c r="I799" s="107">
        <f>IF($J799="","",IFERROR(INDEX(Stu_Notes,MATCH(C799,Stu_ID,0)),""))</f>
        <v/>
      </c>
      <c r="J799" s="40">
        <f>IF(794&gt;$B$3,"",IFERROR(MATCH(794-1,EV_Seq,1)+1,1))</f>
        <v/>
      </c>
    </row>
    <row r="800">
      <c r="A800" s="105">
        <f>IF($J800="","",INDEX(EV_Date,$J800))</f>
        <v/>
      </c>
      <c r="B800" s="78">
        <f>IF($J800="","",INDEX(EV_Name,$J800))</f>
        <v/>
      </c>
      <c r="C800" s="106">
        <f>IF($J800="","",INDEX(EV_ID,$J800))</f>
        <v/>
      </c>
      <c r="D800" s="106">
        <f>IF($J800="","",INDEX(EV_Class,$J800))</f>
        <v/>
      </c>
      <c r="E800" s="106">
        <f>IF($J800="","",INDEX(EV_Type,$J800))</f>
        <v/>
      </c>
      <c r="F800" s="106">
        <f>IF($J800="","",INDEX(EV_Cum,$J800))</f>
        <v/>
      </c>
      <c r="G800" s="106">
        <f>IF($J800="","",INDEX(LevelLabels,MATCH(F800,LevelValues,1)))</f>
        <v/>
      </c>
      <c r="H800" s="106">
        <f>IF($J800="","",IFERROR(INDEX(Stu_ContactReq,MATCH(C800,Stu_ID,0)),""))</f>
        <v/>
      </c>
      <c r="I800" s="107">
        <f>IF($J800="","",IFERROR(INDEX(Stu_Notes,MATCH(C800,Stu_ID,0)),""))</f>
        <v/>
      </c>
      <c r="J800" s="40">
        <f>IF(795&gt;$B$3,"",IFERROR(MATCH(795-1,EV_Seq,1)+1,1))</f>
        <v/>
      </c>
    </row>
    <row r="801">
      <c r="A801" s="105">
        <f>IF($J801="","",INDEX(EV_Date,$J801))</f>
        <v/>
      </c>
      <c r="B801" s="78">
        <f>IF($J801="","",INDEX(EV_Name,$J801))</f>
        <v/>
      </c>
      <c r="C801" s="106">
        <f>IF($J801="","",INDEX(EV_ID,$J801))</f>
        <v/>
      </c>
      <c r="D801" s="106">
        <f>IF($J801="","",INDEX(EV_Class,$J801))</f>
        <v/>
      </c>
      <c r="E801" s="106">
        <f>IF($J801="","",INDEX(EV_Type,$J801))</f>
        <v/>
      </c>
      <c r="F801" s="106">
        <f>IF($J801="","",INDEX(EV_Cum,$J801))</f>
        <v/>
      </c>
      <c r="G801" s="106">
        <f>IF($J801="","",INDEX(LevelLabels,MATCH(F801,LevelValues,1)))</f>
        <v/>
      </c>
      <c r="H801" s="106">
        <f>IF($J801="","",IFERROR(INDEX(Stu_ContactReq,MATCH(C801,Stu_ID,0)),""))</f>
        <v/>
      </c>
      <c r="I801" s="107">
        <f>IF($J801="","",IFERROR(INDEX(Stu_Notes,MATCH(C801,Stu_ID,0)),""))</f>
        <v/>
      </c>
      <c r="J801" s="40">
        <f>IF(796&gt;$B$3,"",IFERROR(MATCH(796-1,EV_Seq,1)+1,1))</f>
        <v/>
      </c>
    </row>
    <row r="802">
      <c r="A802" s="105">
        <f>IF($J802="","",INDEX(EV_Date,$J802))</f>
        <v/>
      </c>
      <c r="B802" s="78">
        <f>IF($J802="","",INDEX(EV_Name,$J802))</f>
        <v/>
      </c>
      <c r="C802" s="106">
        <f>IF($J802="","",INDEX(EV_ID,$J802))</f>
        <v/>
      </c>
      <c r="D802" s="106">
        <f>IF($J802="","",INDEX(EV_Class,$J802))</f>
        <v/>
      </c>
      <c r="E802" s="106">
        <f>IF($J802="","",INDEX(EV_Type,$J802))</f>
        <v/>
      </c>
      <c r="F802" s="106">
        <f>IF($J802="","",INDEX(EV_Cum,$J802))</f>
        <v/>
      </c>
      <c r="G802" s="106">
        <f>IF($J802="","",INDEX(LevelLabels,MATCH(F802,LevelValues,1)))</f>
        <v/>
      </c>
      <c r="H802" s="106">
        <f>IF($J802="","",IFERROR(INDEX(Stu_ContactReq,MATCH(C802,Stu_ID,0)),""))</f>
        <v/>
      </c>
      <c r="I802" s="107">
        <f>IF($J802="","",IFERROR(INDEX(Stu_Notes,MATCH(C802,Stu_ID,0)),""))</f>
        <v/>
      </c>
      <c r="J802" s="40">
        <f>IF(797&gt;$B$3,"",IFERROR(MATCH(797-1,EV_Seq,1)+1,1))</f>
        <v/>
      </c>
    </row>
    <row r="803">
      <c r="A803" s="105">
        <f>IF($J803="","",INDEX(EV_Date,$J803))</f>
        <v/>
      </c>
      <c r="B803" s="78">
        <f>IF($J803="","",INDEX(EV_Name,$J803))</f>
        <v/>
      </c>
      <c r="C803" s="106">
        <f>IF($J803="","",INDEX(EV_ID,$J803))</f>
        <v/>
      </c>
      <c r="D803" s="106">
        <f>IF($J803="","",INDEX(EV_Class,$J803))</f>
        <v/>
      </c>
      <c r="E803" s="106">
        <f>IF($J803="","",INDEX(EV_Type,$J803))</f>
        <v/>
      </c>
      <c r="F803" s="106">
        <f>IF($J803="","",INDEX(EV_Cum,$J803))</f>
        <v/>
      </c>
      <c r="G803" s="106">
        <f>IF($J803="","",INDEX(LevelLabels,MATCH(F803,LevelValues,1)))</f>
        <v/>
      </c>
      <c r="H803" s="106">
        <f>IF($J803="","",IFERROR(INDEX(Stu_ContactReq,MATCH(C803,Stu_ID,0)),""))</f>
        <v/>
      </c>
      <c r="I803" s="107">
        <f>IF($J803="","",IFERROR(INDEX(Stu_Notes,MATCH(C803,Stu_ID,0)),""))</f>
        <v/>
      </c>
      <c r="J803" s="40">
        <f>IF(798&gt;$B$3,"",IFERROR(MATCH(798-1,EV_Seq,1)+1,1))</f>
        <v/>
      </c>
    </row>
    <row r="804">
      <c r="A804" s="105">
        <f>IF($J804="","",INDEX(EV_Date,$J804))</f>
        <v/>
      </c>
      <c r="B804" s="78">
        <f>IF($J804="","",INDEX(EV_Name,$J804))</f>
        <v/>
      </c>
      <c r="C804" s="106">
        <f>IF($J804="","",INDEX(EV_ID,$J804))</f>
        <v/>
      </c>
      <c r="D804" s="106">
        <f>IF($J804="","",INDEX(EV_Class,$J804))</f>
        <v/>
      </c>
      <c r="E804" s="106">
        <f>IF($J804="","",INDEX(EV_Type,$J804))</f>
        <v/>
      </c>
      <c r="F804" s="106">
        <f>IF($J804="","",INDEX(EV_Cum,$J804))</f>
        <v/>
      </c>
      <c r="G804" s="106">
        <f>IF($J804="","",INDEX(LevelLabels,MATCH(F804,LevelValues,1)))</f>
        <v/>
      </c>
      <c r="H804" s="106">
        <f>IF($J804="","",IFERROR(INDEX(Stu_ContactReq,MATCH(C804,Stu_ID,0)),""))</f>
        <v/>
      </c>
      <c r="I804" s="107">
        <f>IF($J804="","",IFERROR(INDEX(Stu_Notes,MATCH(C804,Stu_ID,0)),""))</f>
        <v/>
      </c>
      <c r="J804" s="40">
        <f>IF(799&gt;$B$3,"",IFERROR(MATCH(799-1,EV_Seq,1)+1,1))</f>
        <v/>
      </c>
    </row>
    <row r="805">
      <c r="A805" s="105">
        <f>IF($J805="","",INDEX(EV_Date,$J805))</f>
        <v/>
      </c>
      <c r="B805" s="78">
        <f>IF($J805="","",INDEX(EV_Name,$J805))</f>
        <v/>
      </c>
      <c r="C805" s="106">
        <f>IF($J805="","",INDEX(EV_ID,$J805))</f>
        <v/>
      </c>
      <c r="D805" s="106">
        <f>IF($J805="","",INDEX(EV_Class,$J805))</f>
        <v/>
      </c>
      <c r="E805" s="106">
        <f>IF($J805="","",INDEX(EV_Type,$J805))</f>
        <v/>
      </c>
      <c r="F805" s="106">
        <f>IF($J805="","",INDEX(EV_Cum,$J805))</f>
        <v/>
      </c>
      <c r="G805" s="106">
        <f>IF($J805="","",INDEX(LevelLabels,MATCH(F805,LevelValues,1)))</f>
        <v/>
      </c>
      <c r="H805" s="106">
        <f>IF($J805="","",IFERROR(INDEX(Stu_ContactReq,MATCH(C805,Stu_ID,0)),""))</f>
        <v/>
      </c>
      <c r="I805" s="107">
        <f>IF($J805="","",IFERROR(INDEX(Stu_Notes,MATCH(C805,Stu_ID,0)),""))</f>
        <v/>
      </c>
      <c r="J805" s="40">
        <f>IF(800&gt;$B$3,"",IFERROR(MATCH(800-1,EV_Seq,1)+1,1))</f>
        <v/>
      </c>
    </row>
    <row r="806">
      <c r="A806" s="105">
        <f>IF($J806="","",INDEX(EV_Date,$J806))</f>
        <v/>
      </c>
      <c r="B806" s="78">
        <f>IF($J806="","",INDEX(EV_Name,$J806))</f>
        <v/>
      </c>
      <c r="C806" s="106">
        <f>IF($J806="","",INDEX(EV_ID,$J806))</f>
        <v/>
      </c>
      <c r="D806" s="106">
        <f>IF($J806="","",INDEX(EV_Class,$J806))</f>
        <v/>
      </c>
      <c r="E806" s="106">
        <f>IF($J806="","",INDEX(EV_Type,$J806))</f>
        <v/>
      </c>
      <c r="F806" s="106">
        <f>IF($J806="","",INDEX(EV_Cum,$J806))</f>
        <v/>
      </c>
      <c r="G806" s="106">
        <f>IF($J806="","",INDEX(LevelLabels,MATCH(F806,LevelValues,1)))</f>
        <v/>
      </c>
      <c r="H806" s="106">
        <f>IF($J806="","",IFERROR(INDEX(Stu_ContactReq,MATCH(C806,Stu_ID,0)),""))</f>
        <v/>
      </c>
      <c r="I806" s="107">
        <f>IF($J806="","",IFERROR(INDEX(Stu_Notes,MATCH(C806,Stu_ID,0)),""))</f>
        <v/>
      </c>
      <c r="J806" s="40">
        <f>IF(801&gt;$B$3,"",IFERROR(MATCH(801-1,EV_Seq,1)+1,1))</f>
        <v/>
      </c>
    </row>
    <row r="807">
      <c r="A807" s="105">
        <f>IF($J807="","",INDEX(EV_Date,$J807))</f>
        <v/>
      </c>
      <c r="B807" s="78">
        <f>IF($J807="","",INDEX(EV_Name,$J807))</f>
        <v/>
      </c>
      <c r="C807" s="106">
        <f>IF($J807="","",INDEX(EV_ID,$J807))</f>
        <v/>
      </c>
      <c r="D807" s="106">
        <f>IF($J807="","",INDEX(EV_Class,$J807))</f>
        <v/>
      </c>
      <c r="E807" s="106">
        <f>IF($J807="","",INDEX(EV_Type,$J807))</f>
        <v/>
      </c>
      <c r="F807" s="106">
        <f>IF($J807="","",INDEX(EV_Cum,$J807))</f>
        <v/>
      </c>
      <c r="G807" s="106">
        <f>IF($J807="","",INDEX(LevelLabels,MATCH(F807,LevelValues,1)))</f>
        <v/>
      </c>
      <c r="H807" s="106">
        <f>IF($J807="","",IFERROR(INDEX(Stu_ContactReq,MATCH(C807,Stu_ID,0)),""))</f>
        <v/>
      </c>
      <c r="I807" s="107">
        <f>IF($J807="","",IFERROR(INDEX(Stu_Notes,MATCH(C807,Stu_ID,0)),""))</f>
        <v/>
      </c>
      <c r="J807" s="40">
        <f>IF(802&gt;$B$3,"",IFERROR(MATCH(802-1,EV_Seq,1)+1,1))</f>
        <v/>
      </c>
    </row>
    <row r="808">
      <c r="A808" s="105">
        <f>IF($J808="","",INDEX(EV_Date,$J808))</f>
        <v/>
      </c>
      <c r="B808" s="78">
        <f>IF($J808="","",INDEX(EV_Name,$J808))</f>
        <v/>
      </c>
      <c r="C808" s="106">
        <f>IF($J808="","",INDEX(EV_ID,$J808))</f>
        <v/>
      </c>
      <c r="D808" s="106">
        <f>IF($J808="","",INDEX(EV_Class,$J808))</f>
        <v/>
      </c>
      <c r="E808" s="106">
        <f>IF($J808="","",INDEX(EV_Type,$J808))</f>
        <v/>
      </c>
      <c r="F808" s="106">
        <f>IF($J808="","",INDEX(EV_Cum,$J808))</f>
        <v/>
      </c>
      <c r="G808" s="106">
        <f>IF($J808="","",INDEX(LevelLabels,MATCH(F808,LevelValues,1)))</f>
        <v/>
      </c>
      <c r="H808" s="106">
        <f>IF($J808="","",IFERROR(INDEX(Stu_ContactReq,MATCH(C808,Stu_ID,0)),""))</f>
        <v/>
      </c>
      <c r="I808" s="107">
        <f>IF($J808="","",IFERROR(INDEX(Stu_Notes,MATCH(C808,Stu_ID,0)),""))</f>
        <v/>
      </c>
      <c r="J808" s="40">
        <f>IF(803&gt;$B$3,"",IFERROR(MATCH(803-1,EV_Seq,1)+1,1))</f>
        <v/>
      </c>
    </row>
    <row r="809">
      <c r="A809" s="105">
        <f>IF($J809="","",INDEX(EV_Date,$J809))</f>
        <v/>
      </c>
      <c r="B809" s="78">
        <f>IF($J809="","",INDEX(EV_Name,$J809))</f>
        <v/>
      </c>
      <c r="C809" s="106">
        <f>IF($J809="","",INDEX(EV_ID,$J809))</f>
        <v/>
      </c>
      <c r="D809" s="106">
        <f>IF($J809="","",INDEX(EV_Class,$J809))</f>
        <v/>
      </c>
      <c r="E809" s="106">
        <f>IF($J809="","",INDEX(EV_Type,$J809))</f>
        <v/>
      </c>
      <c r="F809" s="106">
        <f>IF($J809="","",INDEX(EV_Cum,$J809))</f>
        <v/>
      </c>
      <c r="G809" s="106">
        <f>IF($J809="","",INDEX(LevelLabels,MATCH(F809,LevelValues,1)))</f>
        <v/>
      </c>
      <c r="H809" s="106">
        <f>IF($J809="","",IFERROR(INDEX(Stu_ContactReq,MATCH(C809,Stu_ID,0)),""))</f>
        <v/>
      </c>
      <c r="I809" s="107">
        <f>IF($J809="","",IFERROR(INDEX(Stu_Notes,MATCH(C809,Stu_ID,0)),""))</f>
        <v/>
      </c>
      <c r="J809" s="40">
        <f>IF(804&gt;$B$3,"",IFERROR(MATCH(804-1,EV_Seq,1)+1,1))</f>
        <v/>
      </c>
    </row>
    <row r="810">
      <c r="A810" s="105">
        <f>IF($J810="","",INDEX(EV_Date,$J810))</f>
        <v/>
      </c>
      <c r="B810" s="78">
        <f>IF($J810="","",INDEX(EV_Name,$J810))</f>
        <v/>
      </c>
      <c r="C810" s="106">
        <f>IF($J810="","",INDEX(EV_ID,$J810))</f>
        <v/>
      </c>
      <c r="D810" s="106">
        <f>IF($J810="","",INDEX(EV_Class,$J810))</f>
        <v/>
      </c>
      <c r="E810" s="106">
        <f>IF($J810="","",INDEX(EV_Type,$J810))</f>
        <v/>
      </c>
      <c r="F810" s="106">
        <f>IF($J810="","",INDEX(EV_Cum,$J810))</f>
        <v/>
      </c>
      <c r="G810" s="106">
        <f>IF($J810="","",INDEX(LevelLabels,MATCH(F810,LevelValues,1)))</f>
        <v/>
      </c>
      <c r="H810" s="106">
        <f>IF($J810="","",IFERROR(INDEX(Stu_ContactReq,MATCH(C810,Stu_ID,0)),""))</f>
        <v/>
      </c>
      <c r="I810" s="107">
        <f>IF($J810="","",IFERROR(INDEX(Stu_Notes,MATCH(C810,Stu_ID,0)),""))</f>
        <v/>
      </c>
      <c r="J810" s="40">
        <f>IF(805&gt;$B$3,"",IFERROR(MATCH(805-1,EV_Seq,1)+1,1))</f>
        <v/>
      </c>
    </row>
    <row r="811">
      <c r="A811" s="105">
        <f>IF($J811="","",INDEX(EV_Date,$J811))</f>
        <v/>
      </c>
      <c r="B811" s="78">
        <f>IF($J811="","",INDEX(EV_Name,$J811))</f>
        <v/>
      </c>
      <c r="C811" s="106">
        <f>IF($J811="","",INDEX(EV_ID,$J811))</f>
        <v/>
      </c>
      <c r="D811" s="106">
        <f>IF($J811="","",INDEX(EV_Class,$J811))</f>
        <v/>
      </c>
      <c r="E811" s="106">
        <f>IF($J811="","",INDEX(EV_Type,$J811))</f>
        <v/>
      </c>
      <c r="F811" s="106">
        <f>IF($J811="","",INDEX(EV_Cum,$J811))</f>
        <v/>
      </c>
      <c r="G811" s="106">
        <f>IF($J811="","",INDEX(LevelLabels,MATCH(F811,LevelValues,1)))</f>
        <v/>
      </c>
      <c r="H811" s="106">
        <f>IF($J811="","",IFERROR(INDEX(Stu_ContactReq,MATCH(C811,Stu_ID,0)),""))</f>
        <v/>
      </c>
      <c r="I811" s="107">
        <f>IF($J811="","",IFERROR(INDEX(Stu_Notes,MATCH(C811,Stu_ID,0)),""))</f>
        <v/>
      </c>
      <c r="J811" s="40">
        <f>IF(806&gt;$B$3,"",IFERROR(MATCH(806-1,EV_Seq,1)+1,1))</f>
        <v/>
      </c>
    </row>
    <row r="812">
      <c r="A812" s="105">
        <f>IF($J812="","",INDEX(EV_Date,$J812))</f>
        <v/>
      </c>
      <c r="B812" s="78">
        <f>IF($J812="","",INDEX(EV_Name,$J812))</f>
        <v/>
      </c>
      <c r="C812" s="106">
        <f>IF($J812="","",INDEX(EV_ID,$J812))</f>
        <v/>
      </c>
      <c r="D812" s="106">
        <f>IF($J812="","",INDEX(EV_Class,$J812))</f>
        <v/>
      </c>
      <c r="E812" s="106">
        <f>IF($J812="","",INDEX(EV_Type,$J812))</f>
        <v/>
      </c>
      <c r="F812" s="106">
        <f>IF($J812="","",INDEX(EV_Cum,$J812))</f>
        <v/>
      </c>
      <c r="G812" s="106">
        <f>IF($J812="","",INDEX(LevelLabels,MATCH(F812,LevelValues,1)))</f>
        <v/>
      </c>
      <c r="H812" s="106">
        <f>IF($J812="","",IFERROR(INDEX(Stu_ContactReq,MATCH(C812,Stu_ID,0)),""))</f>
        <v/>
      </c>
      <c r="I812" s="107">
        <f>IF($J812="","",IFERROR(INDEX(Stu_Notes,MATCH(C812,Stu_ID,0)),""))</f>
        <v/>
      </c>
      <c r="J812" s="40">
        <f>IF(807&gt;$B$3,"",IFERROR(MATCH(807-1,EV_Seq,1)+1,1))</f>
        <v/>
      </c>
    </row>
    <row r="813">
      <c r="A813" s="105">
        <f>IF($J813="","",INDEX(EV_Date,$J813))</f>
        <v/>
      </c>
      <c r="B813" s="78">
        <f>IF($J813="","",INDEX(EV_Name,$J813))</f>
        <v/>
      </c>
      <c r="C813" s="106">
        <f>IF($J813="","",INDEX(EV_ID,$J813))</f>
        <v/>
      </c>
      <c r="D813" s="106">
        <f>IF($J813="","",INDEX(EV_Class,$J813))</f>
        <v/>
      </c>
      <c r="E813" s="106">
        <f>IF($J813="","",INDEX(EV_Type,$J813))</f>
        <v/>
      </c>
      <c r="F813" s="106">
        <f>IF($J813="","",INDEX(EV_Cum,$J813))</f>
        <v/>
      </c>
      <c r="G813" s="106">
        <f>IF($J813="","",INDEX(LevelLabels,MATCH(F813,LevelValues,1)))</f>
        <v/>
      </c>
      <c r="H813" s="106">
        <f>IF($J813="","",IFERROR(INDEX(Stu_ContactReq,MATCH(C813,Stu_ID,0)),""))</f>
        <v/>
      </c>
      <c r="I813" s="107">
        <f>IF($J813="","",IFERROR(INDEX(Stu_Notes,MATCH(C813,Stu_ID,0)),""))</f>
        <v/>
      </c>
      <c r="J813" s="40">
        <f>IF(808&gt;$B$3,"",IFERROR(MATCH(808-1,EV_Seq,1)+1,1))</f>
        <v/>
      </c>
    </row>
    <row r="814">
      <c r="A814" s="105">
        <f>IF($J814="","",INDEX(EV_Date,$J814))</f>
        <v/>
      </c>
      <c r="B814" s="78">
        <f>IF($J814="","",INDEX(EV_Name,$J814))</f>
        <v/>
      </c>
      <c r="C814" s="106">
        <f>IF($J814="","",INDEX(EV_ID,$J814))</f>
        <v/>
      </c>
      <c r="D814" s="106">
        <f>IF($J814="","",INDEX(EV_Class,$J814))</f>
        <v/>
      </c>
      <c r="E814" s="106">
        <f>IF($J814="","",INDEX(EV_Type,$J814))</f>
        <v/>
      </c>
      <c r="F814" s="106">
        <f>IF($J814="","",INDEX(EV_Cum,$J814))</f>
        <v/>
      </c>
      <c r="G814" s="106">
        <f>IF($J814="","",INDEX(LevelLabels,MATCH(F814,LevelValues,1)))</f>
        <v/>
      </c>
      <c r="H814" s="106">
        <f>IF($J814="","",IFERROR(INDEX(Stu_ContactReq,MATCH(C814,Stu_ID,0)),""))</f>
        <v/>
      </c>
      <c r="I814" s="107">
        <f>IF($J814="","",IFERROR(INDEX(Stu_Notes,MATCH(C814,Stu_ID,0)),""))</f>
        <v/>
      </c>
      <c r="J814" s="40">
        <f>IF(809&gt;$B$3,"",IFERROR(MATCH(809-1,EV_Seq,1)+1,1))</f>
        <v/>
      </c>
    </row>
    <row r="815">
      <c r="A815" s="105">
        <f>IF($J815="","",INDEX(EV_Date,$J815))</f>
        <v/>
      </c>
      <c r="B815" s="78">
        <f>IF($J815="","",INDEX(EV_Name,$J815))</f>
        <v/>
      </c>
      <c r="C815" s="106">
        <f>IF($J815="","",INDEX(EV_ID,$J815))</f>
        <v/>
      </c>
      <c r="D815" s="106">
        <f>IF($J815="","",INDEX(EV_Class,$J815))</f>
        <v/>
      </c>
      <c r="E815" s="106">
        <f>IF($J815="","",INDEX(EV_Type,$J815))</f>
        <v/>
      </c>
      <c r="F815" s="106">
        <f>IF($J815="","",INDEX(EV_Cum,$J815))</f>
        <v/>
      </c>
      <c r="G815" s="106">
        <f>IF($J815="","",INDEX(LevelLabels,MATCH(F815,LevelValues,1)))</f>
        <v/>
      </c>
      <c r="H815" s="106">
        <f>IF($J815="","",IFERROR(INDEX(Stu_ContactReq,MATCH(C815,Stu_ID,0)),""))</f>
        <v/>
      </c>
      <c r="I815" s="107">
        <f>IF($J815="","",IFERROR(INDEX(Stu_Notes,MATCH(C815,Stu_ID,0)),""))</f>
        <v/>
      </c>
      <c r="J815" s="40">
        <f>IF(810&gt;$B$3,"",IFERROR(MATCH(810-1,EV_Seq,1)+1,1))</f>
        <v/>
      </c>
    </row>
    <row r="816">
      <c r="A816" s="105">
        <f>IF($J816="","",INDEX(EV_Date,$J816))</f>
        <v/>
      </c>
      <c r="B816" s="78">
        <f>IF($J816="","",INDEX(EV_Name,$J816))</f>
        <v/>
      </c>
      <c r="C816" s="106">
        <f>IF($J816="","",INDEX(EV_ID,$J816))</f>
        <v/>
      </c>
      <c r="D816" s="106">
        <f>IF($J816="","",INDEX(EV_Class,$J816))</f>
        <v/>
      </c>
      <c r="E816" s="106">
        <f>IF($J816="","",INDEX(EV_Type,$J816))</f>
        <v/>
      </c>
      <c r="F816" s="106">
        <f>IF($J816="","",INDEX(EV_Cum,$J816))</f>
        <v/>
      </c>
      <c r="G816" s="106">
        <f>IF($J816="","",INDEX(LevelLabels,MATCH(F816,LevelValues,1)))</f>
        <v/>
      </c>
      <c r="H816" s="106">
        <f>IF($J816="","",IFERROR(INDEX(Stu_ContactReq,MATCH(C816,Stu_ID,0)),""))</f>
        <v/>
      </c>
      <c r="I816" s="107">
        <f>IF($J816="","",IFERROR(INDEX(Stu_Notes,MATCH(C816,Stu_ID,0)),""))</f>
        <v/>
      </c>
      <c r="J816" s="40">
        <f>IF(811&gt;$B$3,"",IFERROR(MATCH(811-1,EV_Seq,1)+1,1))</f>
        <v/>
      </c>
    </row>
    <row r="817">
      <c r="A817" s="105">
        <f>IF($J817="","",INDEX(EV_Date,$J817))</f>
        <v/>
      </c>
      <c r="B817" s="78">
        <f>IF($J817="","",INDEX(EV_Name,$J817))</f>
        <v/>
      </c>
      <c r="C817" s="106">
        <f>IF($J817="","",INDEX(EV_ID,$J817))</f>
        <v/>
      </c>
      <c r="D817" s="106">
        <f>IF($J817="","",INDEX(EV_Class,$J817))</f>
        <v/>
      </c>
      <c r="E817" s="106">
        <f>IF($J817="","",INDEX(EV_Type,$J817))</f>
        <v/>
      </c>
      <c r="F817" s="106">
        <f>IF($J817="","",INDEX(EV_Cum,$J817))</f>
        <v/>
      </c>
      <c r="G817" s="106">
        <f>IF($J817="","",INDEX(LevelLabels,MATCH(F817,LevelValues,1)))</f>
        <v/>
      </c>
      <c r="H817" s="106">
        <f>IF($J817="","",IFERROR(INDEX(Stu_ContactReq,MATCH(C817,Stu_ID,0)),""))</f>
        <v/>
      </c>
      <c r="I817" s="107">
        <f>IF($J817="","",IFERROR(INDEX(Stu_Notes,MATCH(C817,Stu_ID,0)),""))</f>
        <v/>
      </c>
      <c r="J817" s="40">
        <f>IF(812&gt;$B$3,"",IFERROR(MATCH(812-1,EV_Seq,1)+1,1))</f>
        <v/>
      </c>
    </row>
    <row r="818">
      <c r="A818" s="105">
        <f>IF($J818="","",INDEX(EV_Date,$J818))</f>
        <v/>
      </c>
      <c r="B818" s="78">
        <f>IF($J818="","",INDEX(EV_Name,$J818))</f>
        <v/>
      </c>
      <c r="C818" s="106">
        <f>IF($J818="","",INDEX(EV_ID,$J818))</f>
        <v/>
      </c>
      <c r="D818" s="106">
        <f>IF($J818="","",INDEX(EV_Class,$J818))</f>
        <v/>
      </c>
      <c r="E818" s="106">
        <f>IF($J818="","",INDEX(EV_Type,$J818))</f>
        <v/>
      </c>
      <c r="F818" s="106">
        <f>IF($J818="","",INDEX(EV_Cum,$J818))</f>
        <v/>
      </c>
      <c r="G818" s="106">
        <f>IF($J818="","",INDEX(LevelLabels,MATCH(F818,LevelValues,1)))</f>
        <v/>
      </c>
      <c r="H818" s="106">
        <f>IF($J818="","",IFERROR(INDEX(Stu_ContactReq,MATCH(C818,Stu_ID,0)),""))</f>
        <v/>
      </c>
      <c r="I818" s="107">
        <f>IF($J818="","",IFERROR(INDEX(Stu_Notes,MATCH(C818,Stu_ID,0)),""))</f>
        <v/>
      </c>
      <c r="J818" s="40">
        <f>IF(813&gt;$B$3,"",IFERROR(MATCH(813-1,EV_Seq,1)+1,1))</f>
        <v/>
      </c>
    </row>
    <row r="819">
      <c r="A819" s="105">
        <f>IF($J819="","",INDEX(EV_Date,$J819))</f>
        <v/>
      </c>
      <c r="B819" s="78">
        <f>IF($J819="","",INDEX(EV_Name,$J819))</f>
        <v/>
      </c>
      <c r="C819" s="106">
        <f>IF($J819="","",INDEX(EV_ID,$J819))</f>
        <v/>
      </c>
      <c r="D819" s="106">
        <f>IF($J819="","",INDEX(EV_Class,$J819))</f>
        <v/>
      </c>
      <c r="E819" s="106">
        <f>IF($J819="","",INDEX(EV_Type,$J819))</f>
        <v/>
      </c>
      <c r="F819" s="106">
        <f>IF($J819="","",INDEX(EV_Cum,$J819))</f>
        <v/>
      </c>
      <c r="G819" s="106">
        <f>IF($J819="","",INDEX(LevelLabels,MATCH(F819,LevelValues,1)))</f>
        <v/>
      </c>
      <c r="H819" s="106">
        <f>IF($J819="","",IFERROR(INDEX(Stu_ContactReq,MATCH(C819,Stu_ID,0)),""))</f>
        <v/>
      </c>
      <c r="I819" s="107">
        <f>IF($J819="","",IFERROR(INDEX(Stu_Notes,MATCH(C819,Stu_ID,0)),""))</f>
        <v/>
      </c>
      <c r="J819" s="40">
        <f>IF(814&gt;$B$3,"",IFERROR(MATCH(814-1,EV_Seq,1)+1,1))</f>
        <v/>
      </c>
    </row>
    <row r="820">
      <c r="A820" s="105">
        <f>IF($J820="","",INDEX(EV_Date,$J820))</f>
        <v/>
      </c>
      <c r="B820" s="78">
        <f>IF($J820="","",INDEX(EV_Name,$J820))</f>
        <v/>
      </c>
      <c r="C820" s="106">
        <f>IF($J820="","",INDEX(EV_ID,$J820))</f>
        <v/>
      </c>
      <c r="D820" s="106">
        <f>IF($J820="","",INDEX(EV_Class,$J820))</f>
        <v/>
      </c>
      <c r="E820" s="106">
        <f>IF($J820="","",INDEX(EV_Type,$J820))</f>
        <v/>
      </c>
      <c r="F820" s="106">
        <f>IF($J820="","",INDEX(EV_Cum,$J820))</f>
        <v/>
      </c>
      <c r="G820" s="106">
        <f>IF($J820="","",INDEX(LevelLabels,MATCH(F820,LevelValues,1)))</f>
        <v/>
      </c>
      <c r="H820" s="106">
        <f>IF($J820="","",IFERROR(INDEX(Stu_ContactReq,MATCH(C820,Stu_ID,0)),""))</f>
        <v/>
      </c>
      <c r="I820" s="107">
        <f>IF($J820="","",IFERROR(INDEX(Stu_Notes,MATCH(C820,Stu_ID,0)),""))</f>
        <v/>
      </c>
      <c r="J820" s="40">
        <f>IF(815&gt;$B$3,"",IFERROR(MATCH(815-1,EV_Seq,1)+1,1))</f>
        <v/>
      </c>
    </row>
    <row r="821">
      <c r="A821" s="105">
        <f>IF($J821="","",INDEX(EV_Date,$J821))</f>
        <v/>
      </c>
      <c r="B821" s="78">
        <f>IF($J821="","",INDEX(EV_Name,$J821))</f>
        <v/>
      </c>
      <c r="C821" s="106">
        <f>IF($J821="","",INDEX(EV_ID,$J821))</f>
        <v/>
      </c>
      <c r="D821" s="106">
        <f>IF($J821="","",INDEX(EV_Class,$J821))</f>
        <v/>
      </c>
      <c r="E821" s="106">
        <f>IF($J821="","",INDEX(EV_Type,$J821))</f>
        <v/>
      </c>
      <c r="F821" s="106">
        <f>IF($J821="","",INDEX(EV_Cum,$J821))</f>
        <v/>
      </c>
      <c r="G821" s="106">
        <f>IF($J821="","",INDEX(LevelLabels,MATCH(F821,LevelValues,1)))</f>
        <v/>
      </c>
      <c r="H821" s="106">
        <f>IF($J821="","",IFERROR(INDEX(Stu_ContactReq,MATCH(C821,Stu_ID,0)),""))</f>
        <v/>
      </c>
      <c r="I821" s="107">
        <f>IF($J821="","",IFERROR(INDEX(Stu_Notes,MATCH(C821,Stu_ID,0)),""))</f>
        <v/>
      </c>
      <c r="J821" s="40">
        <f>IF(816&gt;$B$3,"",IFERROR(MATCH(816-1,EV_Seq,1)+1,1))</f>
        <v/>
      </c>
    </row>
    <row r="822">
      <c r="A822" s="105">
        <f>IF($J822="","",INDEX(EV_Date,$J822))</f>
        <v/>
      </c>
      <c r="B822" s="78">
        <f>IF($J822="","",INDEX(EV_Name,$J822))</f>
        <v/>
      </c>
      <c r="C822" s="106">
        <f>IF($J822="","",INDEX(EV_ID,$J822))</f>
        <v/>
      </c>
      <c r="D822" s="106">
        <f>IF($J822="","",INDEX(EV_Class,$J822))</f>
        <v/>
      </c>
      <c r="E822" s="106">
        <f>IF($J822="","",INDEX(EV_Type,$J822))</f>
        <v/>
      </c>
      <c r="F822" s="106">
        <f>IF($J822="","",INDEX(EV_Cum,$J822))</f>
        <v/>
      </c>
      <c r="G822" s="106">
        <f>IF($J822="","",INDEX(LevelLabels,MATCH(F822,LevelValues,1)))</f>
        <v/>
      </c>
      <c r="H822" s="106">
        <f>IF($J822="","",IFERROR(INDEX(Stu_ContactReq,MATCH(C822,Stu_ID,0)),""))</f>
        <v/>
      </c>
      <c r="I822" s="107">
        <f>IF($J822="","",IFERROR(INDEX(Stu_Notes,MATCH(C822,Stu_ID,0)),""))</f>
        <v/>
      </c>
      <c r="J822" s="40">
        <f>IF(817&gt;$B$3,"",IFERROR(MATCH(817-1,EV_Seq,1)+1,1))</f>
        <v/>
      </c>
    </row>
    <row r="823">
      <c r="A823" s="105">
        <f>IF($J823="","",INDEX(EV_Date,$J823))</f>
        <v/>
      </c>
      <c r="B823" s="78">
        <f>IF($J823="","",INDEX(EV_Name,$J823))</f>
        <v/>
      </c>
      <c r="C823" s="106">
        <f>IF($J823="","",INDEX(EV_ID,$J823))</f>
        <v/>
      </c>
      <c r="D823" s="106">
        <f>IF($J823="","",INDEX(EV_Class,$J823))</f>
        <v/>
      </c>
      <c r="E823" s="106">
        <f>IF($J823="","",INDEX(EV_Type,$J823))</f>
        <v/>
      </c>
      <c r="F823" s="106">
        <f>IF($J823="","",INDEX(EV_Cum,$J823))</f>
        <v/>
      </c>
      <c r="G823" s="106">
        <f>IF($J823="","",INDEX(LevelLabels,MATCH(F823,LevelValues,1)))</f>
        <v/>
      </c>
      <c r="H823" s="106">
        <f>IF($J823="","",IFERROR(INDEX(Stu_ContactReq,MATCH(C823,Stu_ID,0)),""))</f>
        <v/>
      </c>
      <c r="I823" s="107">
        <f>IF($J823="","",IFERROR(INDEX(Stu_Notes,MATCH(C823,Stu_ID,0)),""))</f>
        <v/>
      </c>
      <c r="J823" s="40">
        <f>IF(818&gt;$B$3,"",IFERROR(MATCH(818-1,EV_Seq,1)+1,1))</f>
        <v/>
      </c>
    </row>
    <row r="824">
      <c r="A824" s="105">
        <f>IF($J824="","",INDEX(EV_Date,$J824))</f>
        <v/>
      </c>
      <c r="B824" s="78">
        <f>IF($J824="","",INDEX(EV_Name,$J824))</f>
        <v/>
      </c>
      <c r="C824" s="106">
        <f>IF($J824="","",INDEX(EV_ID,$J824))</f>
        <v/>
      </c>
      <c r="D824" s="106">
        <f>IF($J824="","",INDEX(EV_Class,$J824))</f>
        <v/>
      </c>
      <c r="E824" s="106">
        <f>IF($J824="","",INDEX(EV_Type,$J824))</f>
        <v/>
      </c>
      <c r="F824" s="106">
        <f>IF($J824="","",INDEX(EV_Cum,$J824))</f>
        <v/>
      </c>
      <c r="G824" s="106">
        <f>IF($J824="","",INDEX(LevelLabels,MATCH(F824,LevelValues,1)))</f>
        <v/>
      </c>
      <c r="H824" s="106">
        <f>IF($J824="","",IFERROR(INDEX(Stu_ContactReq,MATCH(C824,Stu_ID,0)),""))</f>
        <v/>
      </c>
      <c r="I824" s="107">
        <f>IF($J824="","",IFERROR(INDEX(Stu_Notes,MATCH(C824,Stu_ID,0)),""))</f>
        <v/>
      </c>
      <c r="J824" s="40">
        <f>IF(819&gt;$B$3,"",IFERROR(MATCH(819-1,EV_Seq,1)+1,1))</f>
        <v/>
      </c>
    </row>
    <row r="825">
      <c r="A825" s="105">
        <f>IF($J825="","",INDEX(EV_Date,$J825))</f>
        <v/>
      </c>
      <c r="B825" s="78">
        <f>IF($J825="","",INDEX(EV_Name,$J825))</f>
        <v/>
      </c>
      <c r="C825" s="106">
        <f>IF($J825="","",INDEX(EV_ID,$J825))</f>
        <v/>
      </c>
      <c r="D825" s="106">
        <f>IF($J825="","",INDEX(EV_Class,$J825))</f>
        <v/>
      </c>
      <c r="E825" s="106">
        <f>IF($J825="","",INDEX(EV_Type,$J825))</f>
        <v/>
      </c>
      <c r="F825" s="106">
        <f>IF($J825="","",INDEX(EV_Cum,$J825))</f>
        <v/>
      </c>
      <c r="G825" s="106">
        <f>IF($J825="","",INDEX(LevelLabels,MATCH(F825,LevelValues,1)))</f>
        <v/>
      </c>
      <c r="H825" s="106">
        <f>IF($J825="","",IFERROR(INDEX(Stu_ContactReq,MATCH(C825,Stu_ID,0)),""))</f>
        <v/>
      </c>
      <c r="I825" s="107">
        <f>IF($J825="","",IFERROR(INDEX(Stu_Notes,MATCH(C825,Stu_ID,0)),""))</f>
        <v/>
      </c>
      <c r="J825" s="40">
        <f>IF(820&gt;$B$3,"",IFERROR(MATCH(820-1,EV_Seq,1)+1,1))</f>
        <v/>
      </c>
    </row>
    <row r="826">
      <c r="A826" s="105">
        <f>IF($J826="","",INDEX(EV_Date,$J826))</f>
        <v/>
      </c>
      <c r="B826" s="78">
        <f>IF($J826="","",INDEX(EV_Name,$J826))</f>
        <v/>
      </c>
      <c r="C826" s="106">
        <f>IF($J826="","",INDEX(EV_ID,$J826))</f>
        <v/>
      </c>
      <c r="D826" s="106">
        <f>IF($J826="","",INDEX(EV_Class,$J826))</f>
        <v/>
      </c>
      <c r="E826" s="106">
        <f>IF($J826="","",INDEX(EV_Type,$J826))</f>
        <v/>
      </c>
      <c r="F826" s="106">
        <f>IF($J826="","",INDEX(EV_Cum,$J826))</f>
        <v/>
      </c>
      <c r="G826" s="106">
        <f>IF($J826="","",INDEX(LevelLabels,MATCH(F826,LevelValues,1)))</f>
        <v/>
      </c>
      <c r="H826" s="106">
        <f>IF($J826="","",IFERROR(INDEX(Stu_ContactReq,MATCH(C826,Stu_ID,0)),""))</f>
        <v/>
      </c>
      <c r="I826" s="107">
        <f>IF($J826="","",IFERROR(INDEX(Stu_Notes,MATCH(C826,Stu_ID,0)),""))</f>
        <v/>
      </c>
      <c r="J826" s="40">
        <f>IF(821&gt;$B$3,"",IFERROR(MATCH(821-1,EV_Seq,1)+1,1))</f>
        <v/>
      </c>
    </row>
    <row r="827">
      <c r="A827" s="105">
        <f>IF($J827="","",INDEX(EV_Date,$J827))</f>
        <v/>
      </c>
      <c r="B827" s="78">
        <f>IF($J827="","",INDEX(EV_Name,$J827))</f>
        <v/>
      </c>
      <c r="C827" s="106">
        <f>IF($J827="","",INDEX(EV_ID,$J827))</f>
        <v/>
      </c>
      <c r="D827" s="106">
        <f>IF($J827="","",INDEX(EV_Class,$J827))</f>
        <v/>
      </c>
      <c r="E827" s="106">
        <f>IF($J827="","",INDEX(EV_Type,$J827))</f>
        <v/>
      </c>
      <c r="F827" s="106">
        <f>IF($J827="","",INDEX(EV_Cum,$J827))</f>
        <v/>
      </c>
      <c r="G827" s="106">
        <f>IF($J827="","",INDEX(LevelLabels,MATCH(F827,LevelValues,1)))</f>
        <v/>
      </c>
      <c r="H827" s="106">
        <f>IF($J827="","",IFERROR(INDEX(Stu_ContactReq,MATCH(C827,Stu_ID,0)),""))</f>
        <v/>
      </c>
      <c r="I827" s="107">
        <f>IF($J827="","",IFERROR(INDEX(Stu_Notes,MATCH(C827,Stu_ID,0)),""))</f>
        <v/>
      </c>
      <c r="J827" s="40">
        <f>IF(822&gt;$B$3,"",IFERROR(MATCH(822-1,EV_Seq,1)+1,1))</f>
        <v/>
      </c>
    </row>
    <row r="828">
      <c r="A828" s="105">
        <f>IF($J828="","",INDEX(EV_Date,$J828))</f>
        <v/>
      </c>
      <c r="B828" s="78">
        <f>IF($J828="","",INDEX(EV_Name,$J828))</f>
        <v/>
      </c>
      <c r="C828" s="106">
        <f>IF($J828="","",INDEX(EV_ID,$J828))</f>
        <v/>
      </c>
      <c r="D828" s="106">
        <f>IF($J828="","",INDEX(EV_Class,$J828))</f>
        <v/>
      </c>
      <c r="E828" s="106">
        <f>IF($J828="","",INDEX(EV_Type,$J828))</f>
        <v/>
      </c>
      <c r="F828" s="106">
        <f>IF($J828="","",INDEX(EV_Cum,$J828))</f>
        <v/>
      </c>
      <c r="G828" s="106">
        <f>IF($J828="","",INDEX(LevelLabels,MATCH(F828,LevelValues,1)))</f>
        <v/>
      </c>
      <c r="H828" s="106">
        <f>IF($J828="","",IFERROR(INDEX(Stu_ContactReq,MATCH(C828,Stu_ID,0)),""))</f>
        <v/>
      </c>
      <c r="I828" s="107">
        <f>IF($J828="","",IFERROR(INDEX(Stu_Notes,MATCH(C828,Stu_ID,0)),""))</f>
        <v/>
      </c>
      <c r="J828" s="40">
        <f>IF(823&gt;$B$3,"",IFERROR(MATCH(823-1,EV_Seq,1)+1,1))</f>
        <v/>
      </c>
    </row>
    <row r="829">
      <c r="A829" s="105">
        <f>IF($J829="","",INDEX(EV_Date,$J829))</f>
        <v/>
      </c>
      <c r="B829" s="78">
        <f>IF($J829="","",INDEX(EV_Name,$J829))</f>
        <v/>
      </c>
      <c r="C829" s="106">
        <f>IF($J829="","",INDEX(EV_ID,$J829))</f>
        <v/>
      </c>
      <c r="D829" s="106">
        <f>IF($J829="","",INDEX(EV_Class,$J829))</f>
        <v/>
      </c>
      <c r="E829" s="106">
        <f>IF($J829="","",INDEX(EV_Type,$J829))</f>
        <v/>
      </c>
      <c r="F829" s="106">
        <f>IF($J829="","",INDEX(EV_Cum,$J829))</f>
        <v/>
      </c>
      <c r="G829" s="106">
        <f>IF($J829="","",INDEX(LevelLabels,MATCH(F829,LevelValues,1)))</f>
        <v/>
      </c>
      <c r="H829" s="106">
        <f>IF($J829="","",IFERROR(INDEX(Stu_ContactReq,MATCH(C829,Stu_ID,0)),""))</f>
        <v/>
      </c>
      <c r="I829" s="107">
        <f>IF($J829="","",IFERROR(INDEX(Stu_Notes,MATCH(C829,Stu_ID,0)),""))</f>
        <v/>
      </c>
      <c r="J829" s="40">
        <f>IF(824&gt;$B$3,"",IFERROR(MATCH(824-1,EV_Seq,1)+1,1))</f>
        <v/>
      </c>
    </row>
    <row r="830">
      <c r="A830" s="105">
        <f>IF($J830="","",INDEX(EV_Date,$J830))</f>
        <v/>
      </c>
      <c r="B830" s="78">
        <f>IF($J830="","",INDEX(EV_Name,$J830))</f>
        <v/>
      </c>
      <c r="C830" s="106">
        <f>IF($J830="","",INDEX(EV_ID,$J830))</f>
        <v/>
      </c>
      <c r="D830" s="106">
        <f>IF($J830="","",INDEX(EV_Class,$J830))</f>
        <v/>
      </c>
      <c r="E830" s="106">
        <f>IF($J830="","",INDEX(EV_Type,$J830))</f>
        <v/>
      </c>
      <c r="F830" s="106">
        <f>IF($J830="","",INDEX(EV_Cum,$J830))</f>
        <v/>
      </c>
      <c r="G830" s="106">
        <f>IF($J830="","",INDEX(LevelLabels,MATCH(F830,LevelValues,1)))</f>
        <v/>
      </c>
      <c r="H830" s="106">
        <f>IF($J830="","",IFERROR(INDEX(Stu_ContactReq,MATCH(C830,Stu_ID,0)),""))</f>
        <v/>
      </c>
      <c r="I830" s="107">
        <f>IF($J830="","",IFERROR(INDEX(Stu_Notes,MATCH(C830,Stu_ID,0)),""))</f>
        <v/>
      </c>
      <c r="J830" s="40">
        <f>IF(825&gt;$B$3,"",IFERROR(MATCH(825-1,EV_Seq,1)+1,1))</f>
        <v/>
      </c>
    </row>
    <row r="831">
      <c r="A831" s="105">
        <f>IF($J831="","",INDEX(EV_Date,$J831))</f>
        <v/>
      </c>
      <c r="B831" s="78">
        <f>IF($J831="","",INDEX(EV_Name,$J831))</f>
        <v/>
      </c>
      <c r="C831" s="106">
        <f>IF($J831="","",INDEX(EV_ID,$J831))</f>
        <v/>
      </c>
      <c r="D831" s="106">
        <f>IF($J831="","",INDEX(EV_Class,$J831))</f>
        <v/>
      </c>
      <c r="E831" s="106">
        <f>IF($J831="","",INDEX(EV_Type,$J831))</f>
        <v/>
      </c>
      <c r="F831" s="106">
        <f>IF($J831="","",INDEX(EV_Cum,$J831))</f>
        <v/>
      </c>
      <c r="G831" s="106">
        <f>IF($J831="","",INDEX(LevelLabels,MATCH(F831,LevelValues,1)))</f>
        <v/>
      </c>
      <c r="H831" s="106">
        <f>IF($J831="","",IFERROR(INDEX(Stu_ContactReq,MATCH(C831,Stu_ID,0)),""))</f>
        <v/>
      </c>
      <c r="I831" s="107">
        <f>IF($J831="","",IFERROR(INDEX(Stu_Notes,MATCH(C831,Stu_ID,0)),""))</f>
        <v/>
      </c>
      <c r="J831" s="40">
        <f>IF(826&gt;$B$3,"",IFERROR(MATCH(826-1,EV_Seq,1)+1,1))</f>
        <v/>
      </c>
    </row>
    <row r="832">
      <c r="A832" s="105">
        <f>IF($J832="","",INDEX(EV_Date,$J832))</f>
        <v/>
      </c>
      <c r="B832" s="78">
        <f>IF($J832="","",INDEX(EV_Name,$J832))</f>
        <v/>
      </c>
      <c r="C832" s="106">
        <f>IF($J832="","",INDEX(EV_ID,$J832))</f>
        <v/>
      </c>
      <c r="D832" s="106">
        <f>IF($J832="","",INDEX(EV_Class,$J832))</f>
        <v/>
      </c>
      <c r="E832" s="106">
        <f>IF($J832="","",INDEX(EV_Type,$J832))</f>
        <v/>
      </c>
      <c r="F832" s="106">
        <f>IF($J832="","",INDEX(EV_Cum,$J832))</f>
        <v/>
      </c>
      <c r="G832" s="106">
        <f>IF($J832="","",INDEX(LevelLabels,MATCH(F832,LevelValues,1)))</f>
        <v/>
      </c>
      <c r="H832" s="106">
        <f>IF($J832="","",IFERROR(INDEX(Stu_ContactReq,MATCH(C832,Stu_ID,0)),""))</f>
        <v/>
      </c>
      <c r="I832" s="107">
        <f>IF($J832="","",IFERROR(INDEX(Stu_Notes,MATCH(C832,Stu_ID,0)),""))</f>
        <v/>
      </c>
      <c r="J832" s="40">
        <f>IF(827&gt;$B$3,"",IFERROR(MATCH(827-1,EV_Seq,1)+1,1))</f>
        <v/>
      </c>
    </row>
    <row r="833">
      <c r="A833" s="105">
        <f>IF($J833="","",INDEX(EV_Date,$J833))</f>
        <v/>
      </c>
      <c r="B833" s="78">
        <f>IF($J833="","",INDEX(EV_Name,$J833))</f>
        <v/>
      </c>
      <c r="C833" s="106">
        <f>IF($J833="","",INDEX(EV_ID,$J833))</f>
        <v/>
      </c>
      <c r="D833" s="106">
        <f>IF($J833="","",INDEX(EV_Class,$J833))</f>
        <v/>
      </c>
      <c r="E833" s="106">
        <f>IF($J833="","",INDEX(EV_Type,$J833))</f>
        <v/>
      </c>
      <c r="F833" s="106">
        <f>IF($J833="","",INDEX(EV_Cum,$J833))</f>
        <v/>
      </c>
      <c r="G833" s="106">
        <f>IF($J833="","",INDEX(LevelLabels,MATCH(F833,LevelValues,1)))</f>
        <v/>
      </c>
      <c r="H833" s="106">
        <f>IF($J833="","",IFERROR(INDEX(Stu_ContactReq,MATCH(C833,Stu_ID,0)),""))</f>
        <v/>
      </c>
      <c r="I833" s="107">
        <f>IF($J833="","",IFERROR(INDEX(Stu_Notes,MATCH(C833,Stu_ID,0)),""))</f>
        <v/>
      </c>
      <c r="J833" s="40">
        <f>IF(828&gt;$B$3,"",IFERROR(MATCH(828-1,EV_Seq,1)+1,1))</f>
        <v/>
      </c>
    </row>
    <row r="834">
      <c r="A834" s="105">
        <f>IF($J834="","",INDEX(EV_Date,$J834))</f>
        <v/>
      </c>
      <c r="B834" s="78">
        <f>IF($J834="","",INDEX(EV_Name,$J834))</f>
        <v/>
      </c>
      <c r="C834" s="106">
        <f>IF($J834="","",INDEX(EV_ID,$J834))</f>
        <v/>
      </c>
      <c r="D834" s="106">
        <f>IF($J834="","",INDEX(EV_Class,$J834))</f>
        <v/>
      </c>
      <c r="E834" s="106">
        <f>IF($J834="","",INDEX(EV_Type,$J834))</f>
        <v/>
      </c>
      <c r="F834" s="106">
        <f>IF($J834="","",INDEX(EV_Cum,$J834))</f>
        <v/>
      </c>
      <c r="G834" s="106">
        <f>IF($J834="","",INDEX(LevelLabels,MATCH(F834,LevelValues,1)))</f>
        <v/>
      </c>
      <c r="H834" s="106">
        <f>IF($J834="","",IFERROR(INDEX(Stu_ContactReq,MATCH(C834,Stu_ID,0)),""))</f>
        <v/>
      </c>
      <c r="I834" s="107">
        <f>IF($J834="","",IFERROR(INDEX(Stu_Notes,MATCH(C834,Stu_ID,0)),""))</f>
        <v/>
      </c>
      <c r="J834" s="40">
        <f>IF(829&gt;$B$3,"",IFERROR(MATCH(829-1,EV_Seq,1)+1,1))</f>
        <v/>
      </c>
    </row>
    <row r="835">
      <c r="A835" s="105">
        <f>IF($J835="","",INDEX(EV_Date,$J835))</f>
        <v/>
      </c>
      <c r="B835" s="78">
        <f>IF($J835="","",INDEX(EV_Name,$J835))</f>
        <v/>
      </c>
      <c r="C835" s="106">
        <f>IF($J835="","",INDEX(EV_ID,$J835))</f>
        <v/>
      </c>
      <c r="D835" s="106">
        <f>IF($J835="","",INDEX(EV_Class,$J835))</f>
        <v/>
      </c>
      <c r="E835" s="106">
        <f>IF($J835="","",INDEX(EV_Type,$J835))</f>
        <v/>
      </c>
      <c r="F835" s="106">
        <f>IF($J835="","",INDEX(EV_Cum,$J835))</f>
        <v/>
      </c>
      <c r="G835" s="106">
        <f>IF($J835="","",INDEX(LevelLabels,MATCH(F835,LevelValues,1)))</f>
        <v/>
      </c>
      <c r="H835" s="106">
        <f>IF($J835="","",IFERROR(INDEX(Stu_ContactReq,MATCH(C835,Stu_ID,0)),""))</f>
        <v/>
      </c>
      <c r="I835" s="107">
        <f>IF($J835="","",IFERROR(INDEX(Stu_Notes,MATCH(C835,Stu_ID,0)),""))</f>
        <v/>
      </c>
      <c r="J835" s="40">
        <f>IF(830&gt;$B$3,"",IFERROR(MATCH(830-1,EV_Seq,1)+1,1))</f>
        <v/>
      </c>
    </row>
    <row r="836">
      <c r="A836" s="105">
        <f>IF($J836="","",INDEX(EV_Date,$J836))</f>
        <v/>
      </c>
      <c r="B836" s="78">
        <f>IF($J836="","",INDEX(EV_Name,$J836))</f>
        <v/>
      </c>
      <c r="C836" s="106">
        <f>IF($J836="","",INDEX(EV_ID,$J836))</f>
        <v/>
      </c>
      <c r="D836" s="106">
        <f>IF($J836="","",INDEX(EV_Class,$J836))</f>
        <v/>
      </c>
      <c r="E836" s="106">
        <f>IF($J836="","",INDEX(EV_Type,$J836))</f>
        <v/>
      </c>
      <c r="F836" s="106">
        <f>IF($J836="","",INDEX(EV_Cum,$J836))</f>
        <v/>
      </c>
      <c r="G836" s="106">
        <f>IF($J836="","",INDEX(LevelLabels,MATCH(F836,LevelValues,1)))</f>
        <v/>
      </c>
      <c r="H836" s="106">
        <f>IF($J836="","",IFERROR(INDEX(Stu_ContactReq,MATCH(C836,Stu_ID,0)),""))</f>
        <v/>
      </c>
      <c r="I836" s="107">
        <f>IF($J836="","",IFERROR(INDEX(Stu_Notes,MATCH(C836,Stu_ID,0)),""))</f>
        <v/>
      </c>
      <c r="J836" s="40">
        <f>IF(831&gt;$B$3,"",IFERROR(MATCH(831-1,EV_Seq,1)+1,1))</f>
        <v/>
      </c>
    </row>
    <row r="837">
      <c r="A837" s="105">
        <f>IF($J837="","",INDEX(EV_Date,$J837))</f>
        <v/>
      </c>
      <c r="B837" s="78">
        <f>IF($J837="","",INDEX(EV_Name,$J837))</f>
        <v/>
      </c>
      <c r="C837" s="106">
        <f>IF($J837="","",INDEX(EV_ID,$J837))</f>
        <v/>
      </c>
      <c r="D837" s="106">
        <f>IF($J837="","",INDEX(EV_Class,$J837))</f>
        <v/>
      </c>
      <c r="E837" s="106">
        <f>IF($J837="","",INDEX(EV_Type,$J837))</f>
        <v/>
      </c>
      <c r="F837" s="106">
        <f>IF($J837="","",INDEX(EV_Cum,$J837))</f>
        <v/>
      </c>
      <c r="G837" s="106">
        <f>IF($J837="","",INDEX(LevelLabels,MATCH(F837,LevelValues,1)))</f>
        <v/>
      </c>
      <c r="H837" s="106">
        <f>IF($J837="","",IFERROR(INDEX(Stu_ContactReq,MATCH(C837,Stu_ID,0)),""))</f>
        <v/>
      </c>
      <c r="I837" s="107">
        <f>IF($J837="","",IFERROR(INDEX(Stu_Notes,MATCH(C837,Stu_ID,0)),""))</f>
        <v/>
      </c>
      <c r="J837" s="40">
        <f>IF(832&gt;$B$3,"",IFERROR(MATCH(832-1,EV_Seq,1)+1,1))</f>
        <v/>
      </c>
    </row>
    <row r="838">
      <c r="A838" s="105">
        <f>IF($J838="","",INDEX(EV_Date,$J838))</f>
        <v/>
      </c>
      <c r="B838" s="78">
        <f>IF($J838="","",INDEX(EV_Name,$J838))</f>
        <v/>
      </c>
      <c r="C838" s="106">
        <f>IF($J838="","",INDEX(EV_ID,$J838))</f>
        <v/>
      </c>
      <c r="D838" s="106">
        <f>IF($J838="","",INDEX(EV_Class,$J838))</f>
        <v/>
      </c>
      <c r="E838" s="106">
        <f>IF($J838="","",INDEX(EV_Type,$J838))</f>
        <v/>
      </c>
      <c r="F838" s="106">
        <f>IF($J838="","",INDEX(EV_Cum,$J838))</f>
        <v/>
      </c>
      <c r="G838" s="106">
        <f>IF($J838="","",INDEX(LevelLabels,MATCH(F838,LevelValues,1)))</f>
        <v/>
      </c>
      <c r="H838" s="106">
        <f>IF($J838="","",IFERROR(INDEX(Stu_ContactReq,MATCH(C838,Stu_ID,0)),""))</f>
        <v/>
      </c>
      <c r="I838" s="107">
        <f>IF($J838="","",IFERROR(INDEX(Stu_Notes,MATCH(C838,Stu_ID,0)),""))</f>
        <v/>
      </c>
      <c r="J838" s="40">
        <f>IF(833&gt;$B$3,"",IFERROR(MATCH(833-1,EV_Seq,1)+1,1))</f>
        <v/>
      </c>
    </row>
    <row r="839">
      <c r="A839" s="105">
        <f>IF($J839="","",INDEX(EV_Date,$J839))</f>
        <v/>
      </c>
      <c r="B839" s="78">
        <f>IF($J839="","",INDEX(EV_Name,$J839))</f>
        <v/>
      </c>
      <c r="C839" s="106">
        <f>IF($J839="","",INDEX(EV_ID,$J839))</f>
        <v/>
      </c>
      <c r="D839" s="106">
        <f>IF($J839="","",INDEX(EV_Class,$J839))</f>
        <v/>
      </c>
      <c r="E839" s="106">
        <f>IF($J839="","",INDEX(EV_Type,$J839))</f>
        <v/>
      </c>
      <c r="F839" s="106">
        <f>IF($J839="","",INDEX(EV_Cum,$J839))</f>
        <v/>
      </c>
      <c r="G839" s="106">
        <f>IF($J839="","",INDEX(LevelLabels,MATCH(F839,LevelValues,1)))</f>
        <v/>
      </c>
      <c r="H839" s="106">
        <f>IF($J839="","",IFERROR(INDEX(Stu_ContactReq,MATCH(C839,Stu_ID,0)),""))</f>
        <v/>
      </c>
      <c r="I839" s="107">
        <f>IF($J839="","",IFERROR(INDEX(Stu_Notes,MATCH(C839,Stu_ID,0)),""))</f>
        <v/>
      </c>
      <c r="J839" s="40">
        <f>IF(834&gt;$B$3,"",IFERROR(MATCH(834-1,EV_Seq,1)+1,1))</f>
        <v/>
      </c>
    </row>
    <row r="840">
      <c r="A840" s="105">
        <f>IF($J840="","",INDEX(EV_Date,$J840))</f>
        <v/>
      </c>
      <c r="B840" s="78">
        <f>IF($J840="","",INDEX(EV_Name,$J840))</f>
        <v/>
      </c>
      <c r="C840" s="106">
        <f>IF($J840="","",INDEX(EV_ID,$J840))</f>
        <v/>
      </c>
      <c r="D840" s="106">
        <f>IF($J840="","",INDEX(EV_Class,$J840))</f>
        <v/>
      </c>
      <c r="E840" s="106">
        <f>IF($J840="","",INDEX(EV_Type,$J840))</f>
        <v/>
      </c>
      <c r="F840" s="106">
        <f>IF($J840="","",INDEX(EV_Cum,$J840))</f>
        <v/>
      </c>
      <c r="G840" s="106">
        <f>IF($J840="","",INDEX(LevelLabels,MATCH(F840,LevelValues,1)))</f>
        <v/>
      </c>
      <c r="H840" s="106">
        <f>IF($J840="","",IFERROR(INDEX(Stu_ContactReq,MATCH(C840,Stu_ID,0)),""))</f>
        <v/>
      </c>
      <c r="I840" s="107">
        <f>IF($J840="","",IFERROR(INDEX(Stu_Notes,MATCH(C840,Stu_ID,0)),""))</f>
        <v/>
      </c>
      <c r="J840" s="40">
        <f>IF(835&gt;$B$3,"",IFERROR(MATCH(835-1,EV_Seq,1)+1,1))</f>
        <v/>
      </c>
    </row>
    <row r="841">
      <c r="A841" s="105">
        <f>IF($J841="","",INDEX(EV_Date,$J841))</f>
        <v/>
      </c>
      <c r="B841" s="78">
        <f>IF($J841="","",INDEX(EV_Name,$J841))</f>
        <v/>
      </c>
      <c r="C841" s="106">
        <f>IF($J841="","",INDEX(EV_ID,$J841))</f>
        <v/>
      </c>
      <c r="D841" s="106">
        <f>IF($J841="","",INDEX(EV_Class,$J841))</f>
        <v/>
      </c>
      <c r="E841" s="106">
        <f>IF($J841="","",INDEX(EV_Type,$J841))</f>
        <v/>
      </c>
      <c r="F841" s="106">
        <f>IF($J841="","",INDEX(EV_Cum,$J841))</f>
        <v/>
      </c>
      <c r="G841" s="106">
        <f>IF($J841="","",INDEX(LevelLabels,MATCH(F841,LevelValues,1)))</f>
        <v/>
      </c>
      <c r="H841" s="106">
        <f>IF($J841="","",IFERROR(INDEX(Stu_ContactReq,MATCH(C841,Stu_ID,0)),""))</f>
        <v/>
      </c>
      <c r="I841" s="107">
        <f>IF($J841="","",IFERROR(INDEX(Stu_Notes,MATCH(C841,Stu_ID,0)),""))</f>
        <v/>
      </c>
      <c r="J841" s="40">
        <f>IF(836&gt;$B$3,"",IFERROR(MATCH(836-1,EV_Seq,1)+1,1))</f>
        <v/>
      </c>
    </row>
    <row r="842">
      <c r="A842" s="105">
        <f>IF($J842="","",INDEX(EV_Date,$J842))</f>
        <v/>
      </c>
      <c r="B842" s="78">
        <f>IF($J842="","",INDEX(EV_Name,$J842))</f>
        <v/>
      </c>
      <c r="C842" s="106">
        <f>IF($J842="","",INDEX(EV_ID,$J842))</f>
        <v/>
      </c>
      <c r="D842" s="106">
        <f>IF($J842="","",INDEX(EV_Class,$J842))</f>
        <v/>
      </c>
      <c r="E842" s="106">
        <f>IF($J842="","",INDEX(EV_Type,$J842))</f>
        <v/>
      </c>
      <c r="F842" s="106">
        <f>IF($J842="","",INDEX(EV_Cum,$J842))</f>
        <v/>
      </c>
      <c r="G842" s="106">
        <f>IF($J842="","",INDEX(LevelLabels,MATCH(F842,LevelValues,1)))</f>
        <v/>
      </c>
      <c r="H842" s="106">
        <f>IF($J842="","",IFERROR(INDEX(Stu_ContactReq,MATCH(C842,Stu_ID,0)),""))</f>
        <v/>
      </c>
      <c r="I842" s="107">
        <f>IF($J842="","",IFERROR(INDEX(Stu_Notes,MATCH(C842,Stu_ID,0)),""))</f>
        <v/>
      </c>
      <c r="J842" s="40">
        <f>IF(837&gt;$B$3,"",IFERROR(MATCH(837-1,EV_Seq,1)+1,1))</f>
        <v/>
      </c>
    </row>
    <row r="843">
      <c r="A843" s="105">
        <f>IF($J843="","",INDEX(EV_Date,$J843))</f>
        <v/>
      </c>
      <c r="B843" s="78">
        <f>IF($J843="","",INDEX(EV_Name,$J843))</f>
        <v/>
      </c>
      <c r="C843" s="106">
        <f>IF($J843="","",INDEX(EV_ID,$J843))</f>
        <v/>
      </c>
      <c r="D843" s="106">
        <f>IF($J843="","",INDEX(EV_Class,$J843))</f>
        <v/>
      </c>
      <c r="E843" s="106">
        <f>IF($J843="","",INDEX(EV_Type,$J843))</f>
        <v/>
      </c>
      <c r="F843" s="106">
        <f>IF($J843="","",INDEX(EV_Cum,$J843))</f>
        <v/>
      </c>
      <c r="G843" s="106">
        <f>IF($J843="","",INDEX(LevelLabels,MATCH(F843,LevelValues,1)))</f>
        <v/>
      </c>
      <c r="H843" s="106">
        <f>IF($J843="","",IFERROR(INDEX(Stu_ContactReq,MATCH(C843,Stu_ID,0)),""))</f>
        <v/>
      </c>
      <c r="I843" s="107">
        <f>IF($J843="","",IFERROR(INDEX(Stu_Notes,MATCH(C843,Stu_ID,0)),""))</f>
        <v/>
      </c>
      <c r="J843" s="40">
        <f>IF(838&gt;$B$3,"",IFERROR(MATCH(838-1,EV_Seq,1)+1,1))</f>
        <v/>
      </c>
    </row>
    <row r="844">
      <c r="A844" s="105">
        <f>IF($J844="","",INDEX(EV_Date,$J844))</f>
        <v/>
      </c>
      <c r="B844" s="78">
        <f>IF($J844="","",INDEX(EV_Name,$J844))</f>
        <v/>
      </c>
      <c r="C844" s="106">
        <f>IF($J844="","",INDEX(EV_ID,$J844))</f>
        <v/>
      </c>
      <c r="D844" s="106">
        <f>IF($J844="","",INDEX(EV_Class,$J844))</f>
        <v/>
      </c>
      <c r="E844" s="106">
        <f>IF($J844="","",INDEX(EV_Type,$J844))</f>
        <v/>
      </c>
      <c r="F844" s="106">
        <f>IF($J844="","",INDEX(EV_Cum,$J844))</f>
        <v/>
      </c>
      <c r="G844" s="106">
        <f>IF($J844="","",INDEX(LevelLabels,MATCH(F844,LevelValues,1)))</f>
        <v/>
      </c>
      <c r="H844" s="106">
        <f>IF($J844="","",IFERROR(INDEX(Stu_ContactReq,MATCH(C844,Stu_ID,0)),""))</f>
        <v/>
      </c>
      <c r="I844" s="107">
        <f>IF($J844="","",IFERROR(INDEX(Stu_Notes,MATCH(C844,Stu_ID,0)),""))</f>
        <v/>
      </c>
      <c r="J844" s="40">
        <f>IF(839&gt;$B$3,"",IFERROR(MATCH(839-1,EV_Seq,1)+1,1))</f>
        <v/>
      </c>
    </row>
    <row r="845">
      <c r="A845" s="105">
        <f>IF($J845="","",INDEX(EV_Date,$J845))</f>
        <v/>
      </c>
      <c r="B845" s="78">
        <f>IF($J845="","",INDEX(EV_Name,$J845))</f>
        <v/>
      </c>
      <c r="C845" s="106">
        <f>IF($J845="","",INDEX(EV_ID,$J845))</f>
        <v/>
      </c>
      <c r="D845" s="106">
        <f>IF($J845="","",INDEX(EV_Class,$J845))</f>
        <v/>
      </c>
      <c r="E845" s="106">
        <f>IF($J845="","",INDEX(EV_Type,$J845))</f>
        <v/>
      </c>
      <c r="F845" s="106">
        <f>IF($J845="","",INDEX(EV_Cum,$J845))</f>
        <v/>
      </c>
      <c r="G845" s="106">
        <f>IF($J845="","",INDEX(LevelLabels,MATCH(F845,LevelValues,1)))</f>
        <v/>
      </c>
      <c r="H845" s="106">
        <f>IF($J845="","",IFERROR(INDEX(Stu_ContactReq,MATCH(C845,Stu_ID,0)),""))</f>
        <v/>
      </c>
      <c r="I845" s="107">
        <f>IF($J845="","",IFERROR(INDEX(Stu_Notes,MATCH(C845,Stu_ID,0)),""))</f>
        <v/>
      </c>
      <c r="J845" s="40">
        <f>IF(840&gt;$B$3,"",IFERROR(MATCH(840-1,EV_Seq,1)+1,1))</f>
        <v/>
      </c>
    </row>
    <row r="846">
      <c r="A846" s="105">
        <f>IF($J846="","",INDEX(EV_Date,$J846))</f>
        <v/>
      </c>
      <c r="B846" s="78">
        <f>IF($J846="","",INDEX(EV_Name,$J846))</f>
        <v/>
      </c>
      <c r="C846" s="106">
        <f>IF($J846="","",INDEX(EV_ID,$J846))</f>
        <v/>
      </c>
      <c r="D846" s="106">
        <f>IF($J846="","",INDEX(EV_Class,$J846))</f>
        <v/>
      </c>
      <c r="E846" s="106">
        <f>IF($J846="","",INDEX(EV_Type,$J846))</f>
        <v/>
      </c>
      <c r="F846" s="106">
        <f>IF($J846="","",INDEX(EV_Cum,$J846))</f>
        <v/>
      </c>
      <c r="G846" s="106">
        <f>IF($J846="","",INDEX(LevelLabels,MATCH(F846,LevelValues,1)))</f>
        <v/>
      </c>
      <c r="H846" s="106">
        <f>IF($J846="","",IFERROR(INDEX(Stu_ContactReq,MATCH(C846,Stu_ID,0)),""))</f>
        <v/>
      </c>
      <c r="I846" s="107">
        <f>IF($J846="","",IFERROR(INDEX(Stu_Notes,MATCH(C846,Stu_ID,0)),""))</f>
        <v/>
      </c>
      <c r="J846" s="40">
        <f>IF(841&gt;$B$3,"",IFERROR(MATCH(841-1,EV_Seq,1)+1,1))</f>
        <v/>
      </c>
    </row>
    <row r="847">
      <c r="A847" s="105">
        <f>IF($J847="","",INDEX(EV_Date,$J847))</f>
        <v/>
      </c>
      <c r="B847" s="78">
        <f>IF($J847="","",INDEX(EV_Name,$J847))</f>
        <v/>
      </c>
      <c r="C847" s="106">
        <f>IF($J847="","",INDEX(EV_ID,$J847))</f>
        <v/>
      </c>
      <c r="D847" s="106">
        <f>IF($J847="","",INDEX(EV_Class,$J847))</f>
        <v/>
      </c>
      <c r="E847" s="106">
        <f>IF($J847="","",INDEX(EV_Type,$J847))</f>
        <v/>
      </c>
      <c r="F847" s="106">
        <f>IF($J847="","",INDEX(EV_Cum,$J847))</f>
        <v/>
      </c>
      <c r="G847" s="106">
        <f>IF($J847="","",INDEX(LevelLabels,MATCH(F847,LevelValues,1)))</f>
        <v/>
      </c>
      <c r="H847" s="106">
        <f>IF($J847="","",IFERROR(INDEX(Stu_ContactReq,MATCH(C847,Stu_ID,0)),""))</f>
        <v/>
      </c>
      <c r="I847" s="107">
        <f>IF($J847="","",IFERROR(INDEX(Stu_Notes,MATCH(C847,Stu_ID,0)),""))</f>
        <v/>
      </c>
      <c r="J847" s="40">
        <f>IF(842&gt;$B$3,"",IFERROR(MATCH(842-1,EV_Seq,1)+1,1))</f>
        <v/>
      </c>
    </row>
    <row r="848">
      <c r="A848" s="105">
        <f>IF($J848="","",INDEX(EV_Date,$J848))</f>
        <v/>
      </c>
      <c r="B848" s="78">
        <f>IF($J848="","",INDEX(EV_Name,$J848))</f>
        <v/>
      </c>
      <c r="C848" s="106">
        <f>IF($J848="","",INDEX(EV_ID,$J848))</f>
        <v/>
      </c>
      <c r="D848" s="106">
        <f>IF($J848="","",INDEX(EV_Class,$J848))</f>
        <v/>
      </c>
      <c r="E848" s="106">
        <f>IF($J848="","",INDEX(EV_Type,$J848))</f>
        <v/>
      </c>
      <c r="F848" s="106">
        <f>IF($J848="","",INDEX(EV_Cum,$J848))</f>
        <v/>
      </c>
      <c r="G848" s="106">
        <f>IF($J848="","",INDEX(LevelLabels,MATCH(F848,LevelValues,1)))</f>
        <v/>
      </c>
      <c r="H848" s="106">
        <f>IF($J848="","",IFERROR(INDEX(Stu_ContactReq,MATCH(C848,Stu_ID,0)),""))</f>
        <v/>
      </c>
      <c r="I848" s="107">
        <f>IF($J848="","",IFERROR(INDEX(Stu_Notes,MATCH(C848,Stu_ID,0)),""))</f>
        <v/>
      </c>
      <c r="J848" s="40">
        <f>IF(843&gt;$B$3,"",IFERROR(MATCH(843-1,EV_Seq,1)+1,1))</f>
        <v/>
      </c>
    </row>
    <row r="849">
      <c r="A849" s="105">
        <f>IF($J849="","",INDEX(EV_Date,$J849))</f>
        <v/>
      </c>
      <c r="B849" s="78">
        <f>IF($J849="","",INDEX(EV_Name,$J849))</f>
        <v/>
      </c>
      <c r="C849" s="106">
        <f>IF($J849="","",INDEX(EV_ID,$J849))</f>
        <v/>
      </c>
      <c r="D849" s="106">
        <f>IF($J849="","",INDEX(EV_Class,$J849))</f>
        <v/>
      </c>
      <c r="E849" s="106">
        <f>IF($J849="","",INDEX(EV_Type,$J849))</f>
        <v/>
      </c>
      <c r="F849" s="106">
        <f>IF($J849="","",INDEX(EV_Cum,$J849))</f>
        <v/>
      </c>
      <c r="G849" s="106">
        <f>IF($J849="","",INDEX(LevelLabels,MATCH(F849,LevelValues,1)))</f>
        <v/>
      </c>
      <c r="H849" s="106">
        <f>IF($J849="","",IFERROR(INDEX(Stu_ContactReq,MATCH(C849,Stu_ID,0)),""))</f>
        <v/>
      </c>
      <c r="I849" s="107">
        <f>IF($J849="","",IFERROR(INDEX(Stu_Notes,MATCH(C849,Stu_ID,0)),""))</f>
        <v/>
      </c>
      <c r="J849" s="40">
        <f>IF(844&gt;$B$3,"",IFERROR(MATCH(844-1,EV_Seq,1)+1,1))</f>
        <v/>
      </c>
    </row>
    <row r="850">
      <c r="A850" s="105">
        <f>IF($J850="","",INDEX(EV_Date,$J850))</f>
        <v/>
      </c>
      <c r="B850" s="78">
        <f>IF($J850="","",INDEX(EV_Name,$J850))</f>
        <v/>
      </c>
      <c r="C850" s="106">
        <f>IF($J850="","",INDEX(EV_ID,$J850))</f>
        <v/>
      </c>
      <c r="D850" s="106">
        <f>IF($J850="","",INDEX(EV_Class,$J850))</f>
        <v/>
      </c>
      <c r="E850" s="106">
        <f>IF($J850="","",INDEX(EV_Type,$J850))</f>
        <v/>
      </c>
      <c r="F850" s="106">
        <f>IF($J850="","",INDEX(EV_Cum,$J850))</f>
        <v/>
      </c>
      <c r="G850" s="106">
        <f>IF($J850="","",INDEX(LevelLabels,MATCH(F850,LevelValues,1)))</f>
        <v/>
      </c>
      <c r="H850" s="106">
        <f>IF($J850="","",IFERROR(INDEX(Stu_ContactReq,MATCH(C850,Stu_ID,0)),""))</f>
        <v/>
      </c>
      <c r="I850" s="107">
        <f>IF($J850="","",IFERROR(INDEX(Stu_Notes,MATCH(C850,Stu_ID,0)),""))</f>
        <v/>
      </c>
      <c r="J850" s="40">
        <f>IF(845&gt;$B$3,"",IFERROR(MATCH(845-1,EV_Seq,1)+1,1))</f>
        <v/>
      </c>
    </row>
    <row r="851">
      <c r="A851" s="105">
        <f>IF($J851="","",INDEX(EV_Date,$J851))</f>
        <v/>
      </c>
      <c r="B851" s="78">
        <f>IF($J851="","",INDEX(EV_Name,$J851))</f>
        <v/>
      </c>
      <c r="C851" s="106">
        <f>IF($J851="","",INDEX(EV_ID,$J851))</f>
        <v/>
      </c>
      <c r="D851" s="106">
        <f>IF($J851="","",INDEX(EV_Class,$J851))</f>
        <v/>
      </c>
      <c r="E851" s="106">
        <f>IF($J851="","",INDEX(EV_Type,$J851))</f>
        <v/>
      </c>
      <c r="F851" s="106">
        <f>IF($J851="","",INDEX(EV_Cum,$J851))</f>
        <v/>
      </c>
      <c r="G851" s="106">
        <f>IF($J851="","",INDEX(LevelLabels,MATCH(F851,LevelValues,1)))</f>
        <v/>
      </c>
      <c r="H851" s="106">
        <f>IF($J851="","",IFERROR(INDEX(Stu_ContactReq,MATCH(C851,Stu_ID,0)),""))</f>
        <v/>
      </c>
      <c r="I851" s="107">
        <f>IF($J851="","",IFERROR(INDEX(Stu_Notes,MATCH(C851,Stu_ID,0)),""))</f>
        <v/>
      </c>
      <c r="J851" s="40">
        <f>IF(846&gt;$B$3,"",IFERROR(MATCH(846-1,EV_Seq,1)+1,1))</f>
        <v/>
      </c>
    </row>
    <row r="852">
      <c r="A852" s="105">
        <f>IF($J852="","",INDEX(EV_Date,$J852))</f>
        <v/>
      </c>
      <c r="B852" s="78">
        <f>IF($J852="","",INDEX(EV_Name,$J852))</f>
        <v/>
      </c>
      <c r="C852" s="106">
        <f>IF($J852="","",INDEX(EV_ID,$J852))</f>
        <v/>
      </c>
      <c r="D852" s="106">
        <f>IF($J852="","",INDEX(EV_Class,$J852))</f>
        <v/>
      </c>
      <c r="E852" s="106">
        <f>IF($J852="","",INDEX(EV_Type,$J852))</f>
        <v/>
      </c>
      <c r="F852" s="106">
        <f>IF($J852="","",INDEX(EV_Cum,$J852))</f>
        <v/>
      </c>
      <c r="G852" s="106">
        <f>IF($J852="","",INDEX(LevelLabels,MATCH(F852,LevelValues,1)))</f>
        <v/>
      </c>
      <c r="H852" s="106">
        <f>IF($J852="","",IFERROR(INDEX(Stu_ContactReq,MATCH(C852,Stu_ID,0)),""))</f>
        <v/>
      </c>
      <c r="I852" s="107">
        <f>IF($J852="","",IFERROR(INDEX(Stu_Notes,MATCH(C852,Stu_ID,0)),""))</f>
        <v/>
      </c>
      <c r="J852" s="40">
        <f>IF(847&gt;$B$3,"",IFERROR(MATCH(847-1,EV_Seq,1)+1,1))</f>
        <v/>
      </c>
    </row>
    <row r="853">
      <c r="A853" s="105">
        <f>IF($J853="","",INDEX(EV_Date,$J853))</f>
        <v/>
      </c>
      <c r="B853" s="78">
        <f>IF($J853="","",INDEX(EV_Name,$J853))</f>
        <v/>
      </c>
      <c r="C853" s="106">
        <f>IF($J853="","",INDEX(EV_ID,$J853))</f>
        <v/>
      </c>
      <c r="D853" s="106">
        <f>IF($J853="","",INDEX(EV_Class,$J853))</f>
        <v/>
      </c>
      <c r="E853" s="106">
        <f>IF($J853="","",INDEX(EV_Type,$J853))</f>
        <v/>
      </c>
      <c r="F853" s="106">
        <f>IF($J853="","",INDEX(EV_Cum,$J853))</f>
        <v/>
      </c>
      <c r="G853" s="106">
        <f>IF($J853="","",INDEX(LevelLabels,MATCH(F853,LevelValues,1)))</f>
        <v/>
      </c>
      <c r="H853" s="106">
        <f>IF($J853="","",IFERROR(INDEX(Stu_ContactReq,MATCH(C853,Stu_ID,0)),""))</f>
        <v/>
      </c>
      <c r="I853" s="107">
        <f>IF($J853="","",IFERROR(INDEX(Stu_Notes,MATCH(C853,Stu_ID,0)),""))</f>
        <v/>
      </c>
      <c r="J853" s="40">
        <f>IF(848&gt;$B$3,"",IFERROR(MATCH(848-1,EV_Seq,1)+1,1))</f>
        <v/>
      </c>
    </row>
    <row r="854">
      <c r="A854" s="105">
        <f>IF($J854="","",INDEX(EV_Date,$J854))</f>
        <v/>
      </c>
      <c r="B854" s="78">
        <f>IF($J854="","",INDEX(EV_Name,$J854))</f>
        <v/>
      </c>
      <c r="C854" s="106">
        <f>IF($J854="","",INDEX(EV_ID,$J854))</f>
        <v/>
      </c>
      <c r="D854" s="106">
        <f>IF($J854="","",INDEX(EV_Class,$J854))</f>
        <v/>
      </c>
      <c r="E854" s="106">
        <f>IF($J854="","",INDEX(EV_Type,$J854))</f>
        <v/>
      </c>
      <c r="F854" s="106">
        <f>IF($J854="","",INDEX(EV_Cum,$J854))</f>
        <v/>
      </c>
      <c r="G854" s="106">
        <f>IF($J854="","",INDEX(LevelLabels,MATCH(F854,LevelValues,1)))</f>
        <v/>
      </c>
      <c r="H854" s="106">
        <f>IF($J854="","",IFERROR(INDEX(Stu_ContactReq,MATCH(C854,Stu_ID,0)),""))</f>
        <v/>
      </c>
      <c r="I854" s="107">
        <f>IF($J854="","",IFERROR(INDEX(Stu_Notes,MATCH(C854,Stu_ID,0)),""))</f>
        <v/>
      </c>
      <c r="J854" s="40">
        <f>IF(849&gt;$B$3,"",IFERROR(MATCH(849-1,EV_Seq,1)+1,1))</f>
        <v/>
      </c>
    </row>
    <row r="855">
      <c r="A855" s="105">
        <f>IF($J855="","",INDEX(EV_Date,$J855))</f>
        <v/>
      </c>
      <c r="B855" s="78">
        <f>IF($J855="","",INDEX(EV_Name,$J855))</f>
        <v/>
      </c>
      <c r="C855" s="106">
        <f>IF($J855="","",INDEX(EV_ID,$J855))</f>
        <v/>
      </c>
      <c r="D855" s="106">
        <f>IF($J855="","",INDEX(EV_Class,$J855))</f>
        <v/>
      </c>
      <c r="E855" s="106">
        <f>IF($J855="","",INDEX(EV_Type,$J855))</f>
        <v/>
      </c>
      <c r="F855" s="106">
        <f>IF($J855="","",INDEX(EV_Cum,$J855))</f>
        <v/>
      </c>
      <c r="G855" s="106">
        <f>IF($J855="","",INDEX(LevelLabels,MATCH(F855,LevelValues,1)))</f>
        <v/>
      </c>
      <c r="H855" s="106">
        <f>IF($J855="","",IFERROR(INDEX(Stu_ContactReq,MATCH(C855,Stu_ID,0)),""))</f>
        <v/>
      </c>
      <c r="I855" s="107">
        <f>IF($J855="","",IFERROR(INDEX(Stu_Notes,MATCH(C855,Stu_ID,0)),""))</f>
        <v/>
      </c>
      <c r="J855" s="40">
        <f>IF(850&gt;$B$3,"",IFERROR(MATCH(850-1,EV_Seq,1)+1,1))</f>
        <v/>
      </c>
    </row>
    <row r="856">
      <c r="A856" s="105">
        <f>IF($J856="","",INDEX(EV_Date,$J856))</f>
        <v/>
      </c>
      <c r="B856" s="78">
        <f>IF($J856="","",INDEX(EV_Name,$J856))</f>
        <v/>
      </c>
      <c r="C856" s="106">
        <f>IF($J856="","",INDEX(EV_ID,$J856))</f>
        <v/>
      </c>
      <c r="D856" s="106">
        <f>IF($J856="","",INDEX(EV_Class,$J856))</f>
        <v/>
      </c>
      <c r="E856" s="106">
        <f>IF($J856="","",INDEX(EV_Type,$J856))</f>
        <v/>
      </c>
      <c r="F856" s="106">
        <f>IF($J856="","",INDEX(EV_Cum,$J856))</f>
        <v/>
      </c>
      <c r="G856" s="106">
        <f>IF($J856="","",INDEX(LevelLabels,MATCH(F856,LevelValues,1)))</f>
        <v/>
      </c>
      <c r="H856" s="106">
        <f>IF($J856="","",IFERROR(INDEX(Stu_ContactReq,MATCH(C856,Stu_ID,0)),""))</f>
        <v/>
      </c>
      <c r="I856" s="107">
        <f>IF($J856="","",IFERROR(INDEX(Stu_Notes,MATCH(C856,Stu_ID,0)),""))</f>
        <v/>
      </c>
      <c r="J856" s="40">
        <f>IF(851&gt;$B$3,"",IFERROR(MATCH(851-1,EV_Seq,1)+1,1))</f>
        <v/>
      </c>
    </row>
    <row r="857">
      <c r="A857" s="105">
        <f>IF($J857="","",INDEX(EV_Date,$J857))</f>
        <v/>
      </c>
      <c r="B857" s="78">
        <f>IF($J857="","",INDEX(EV_Name,$J857))</f>
        <v/>
      </c>
      <c r="C857" s="106">
        <f>IF($J857="","",INDEX(EV_ID,$J857))</f>
        <v/>
      </c>
      <c r="D857" s="106">
        <f>IF($J857="","",INDEX(EV_Class,$J857))</f>
        <v/>
      </c>
      <c r="E857" s="106">
        <f>IF($J857="","",INDEX(EV_Type,$J857))</f>
        <v/>
      </c>
      <c r="F857" s="106">
        <f>IF($J857="","",INDEX(EV_Cum,$J857))</f>
        <v/>
      </c>
      <c r="G857" s="106">
        <f>IF($J857="","",INDEX(LevelLabels,MATCH(F857,LevelValues,1)))</f>
        <v/>
      </c>
      <c r="H857" s="106">
        <f>IF($J857="","",IFERROR(INDEX(Stu_ContactReq,MATCH(C857,Stu_ID,0)),""))</f>
        <v/>
      </c>
      <c r="I857" s="107">
        <f>IF($J857="","",IFERROR(INDEX(Stu_Notes,MATCH(C857,Stu_ID,0)),""))</f>
        <v/>
      </c>
      <c r="J857" s="40">
        <f>IF(852&gt;$B$3,"",IFERROR(MATCH(852-1,EV_Seq,1)+1,1))</f>
        <v/>
      </c>
    </row>
    <row r="858">
      <c r="A858" s="105">
        <f>IF($J858="","",INDEX(EV_Date,$J858))</f>
        <v/>
      </c>
      <c r="B858" s="78">
        <f>IF($J858="","",INDEX(EV_Name,$J858))</f>
        <v/>
      </c>
      <c r="C858" s="106">
        <f>IF($J858="","",INDEX(EV_ID,$J858))</f>
        <v/>
      </c>
      <c r="D858" s="106">
        <f>IF($J858="","",INDEX(EV_Class,$J858))</f>
        <v/>
      </c>
      <c r="E858" s="106">
        <f>IF($J858="","",INDEX(EV_Type,$J858))</f>
        <v/>
      </c>
      <c r="F858" s="106">
        <f>IF($J858="","",INDEX(EV_Cum,$J858))</f>
        <v/>
      </c>
      <c r="G858" s="106">
        <f>IF($J858="","",INDEX(LevelLabels,MATCH(F858,LevelValues,1)))</f>
        <v/>
      </c>
      <c r="H858" s="106">
        <f>IF($J858="","",IFERROR(INDEX(Stu_ContactReq,MATCH(C858,Stu_ID,0)),""))</f>
        <v/>
      </c>
      <c r="I858" s="107">
        <f>IF($J858="","",IFERROR(INDEX(Stu_Notes,MATCH(C858,Stu_ID,0)),""))</f>
        <v/>
      </c>
      <c r="J858" s="40">
        <f>IF(853&gt;$B$3,"",IFERROR(MATCH(853-1,EV_Seq,1)+1,1))</f>
        <v/>
      </c>
    </row>
    <row r="859">
      <c r="A859" s="105">
        <f>IF($J859="","",INDEX(EV_Date,$J859))</f>
        <v/>
      </c>
      <c r="B859" s="78">
        <f>IF($J859="","",INDEX(EV_Name,$J859))</f>
        <v/>
      </c>
      <c r="C859" s="106">
        <f>IF($J859="","",INDEX(EV_ID,$J859))</f>
        <v/>
      </c>
      <c r="D859" s="106">
        <f>IF($J859="","",INDEX(EV_Class,$J859))</f>
        <v/>
      </c>
      <c r="E859" s="106">
        <f>IF($J859="","",INDEX(EV_Type,$J859))</f>
        <v/>
      </c>
      <c r="F859" s="106">
        <f>IF($J859="","",INDEX(EV_Cum,$J859))</f>
        <v/>
      </c>
      <c r="G859" s="106">
        <f>IF($J859="","",INDEX(LevelLabels,MATCH(F859,LevelValues,1)))</f>
        <v/>
      </c>
      <c r="H859" s="106">
        <f>IF($J859="","",IFERROR(INDEX(Stu_ContactReq,MATCH(C859,Stu_ID,0)),""))</f>
        <v/>
      </c>
      <c r="I859" s="107">
        <f>IF($J859="","",IFERROR(INDEX(Stu_Notes,MATCH(C859,Stu_ID,0)),""))</f>
        <v/>
      </c>
      <c r="J859" s="40">
        <f>IF(854&gt;$B$3,"",IFERROR(MATCH(854-1,EV_Seq,1)+1,1))</f>
        <v/>
      </c>
    </row>
    <row r="860">
      <c r="A860" s="105">
        <f>IF($J860="","",INDEX(EV_Date,$J860))</f>
        <v/>
      </c>
      <c r="B860" s="78">
        <f>IF($J860="","",INDEX(EV_Name,$J860))</f>
        <v/>
      </c>
      <c r="C860" s="106">
        <f>IF($J860="","",INDEX(EV_ID,$J860))</f>
        <v/>
      </c>
      <c r="D860" s="106">
        <f>IF($J860="","",INDEX(EV_Class,$J860))</f>
        <v/>
      </c>
      <c r="E860" s="106">
        <f>IF($J860="","",INDEX(EV_Type,$J860))</f>
        <v/>
      </c>
      <c r="F860" s="106">
        <f>IF($J860="","",INDEX(EV_Cum,$J860))</f>
        <v/>
      </c>
      <c r="G860" s="106">
        <f>IF($J860="","",INDEX(LevelLabels,MATCH(F860,LevelValues,1)))</f>
        <v/>
      </c>
      <c r="H860" s="106">
        <f>IF($J860="","",IFERROR(INDEX(Stu_ContactReq,MATCH(C860,Stu_ID,0)),""))</f>
        <v/>
      </c>
      <c r="I860" s="107">
        <f>IF($J860="","",IFERROR(INDEX(Stu_Notes,MATCH(C860,Stu_ID,0)),""))</f>
        <v/>
      </c>
      <c r="J860" s="40">
        <f>IF(855&gt;$B$3,"",IFERROR(MATCH(855-1,EV_Seq,1)+1,1))</f>
        <v/>
      </c>
    </row>
    <row r="861">
      <c r="A861" s="105">
        <f>IF($J861="","",INDEX(EV_Date,$J861))</f>
        <v/>
      </c>
      <c r="B861" s="78">
        <f>IF($J861="","",INDEX(EV_Name,$J861))</f>
        <v/>
      </c>
      <c r="C861" s="106">
        <f>IF($J861="","",INDEX(EV_ID,$J861))</f>
        <v/>
      </c>
      <c r="D861" s="106">
        <f>IF($J861="","",INDEX(EV_Class,$J861))</f>
        <v/>
      </c>
      <c r="E861" s="106">
        <f>IF($J861="","",INDEX(EV_Type,$J861))</f>
        <v/>
      </c>
      <c r="F861" s="106">
        <f>IF($J861="","",INDEX(EV_Cum,$J861))</f>
        <v/>
      </c>
      <c r="G861" s="106">
        <f>IF($J861="","",INDEX(LevelLabels,MATCH(F861,LevelValues,1)))</f>
        <v/>
      </c>
      <c r="H861" s="106">
        <f>IF($J861="","",IFERROR(INDEX(Stu_ContactReq,MATCH(C861,Stu_ID,0)),""))</f>
        <v/>
      </c>
      <c r="I861" s="107">
        <f>IF($J861="","",IFERROR(INDEX(Stu_Notes,MATCH(C861,Stu_ID,0)),""))</f>
        <v/>
      </c>
      <c r="J861" s="40">
        <f>IF(856&gt;$B$3,"",IFERROR(MATCH(856-1,EV_Seq,1)+1,1))</f>
        <v/>
      </c>
    </row>
    <row r="862">
      <c r="A862" s="105">
        <f>IF($J862="","",INDEX(EV_Date,$J862))</f>
        <v/>
      </c>
      <c r="B862" s="78">
        <f>IF($J862="","",INDEX(EV_Name,$J862))</f>
        <v/>
      </c>
      <c r="C862" s="106">
        <f>IF($J862="","",INDEX(EV_ID,$J862))</f>
        <v/>
      </c>
      <c r="D862" s="106">
        <f>IF($J862="","",INDEX(EV_Class,$J862))</f>
        <v/>
      </c>
      <c r="E862" s="106">
        <f>IF($J862="","",INDEX(EV_Type,$J862))</f>
        <v/>
      </c>
      <c r="F862" s="106">
        <f>IF($J862="","",INDEX(EV_Cum,$J862))</f>
        <v/>
      </c>
      <c r="G862" s="106">
        <f>IF($J862="","",INDEX(LevelLabels,MATCH(F862,LevelValues,1)))</f>
        <v/>
      </c>
      <c r="H862" s="106">
        <f>IF($J862="","",IFERROR(INDEX(Stu_ContactReq,MATCH(C862,Stu_ID,0)),""))</f>
        <v/>
      </c>
      <c r="I862" s="107">
        <f>IF($J862="","",IFERROR(INDEX(Stu_Notes,MATCH(C862,Stu_ID,0)),""))</f>
        <v/>
      </c>
      <c r="J862" s="40">
        <f>IF(857&gt;$B$3,"",IFERROR(MATCH(857-1,EV_Seq,1)+1,1))</f>
        <v/>
      </c>
    </row>
    <row r="863">
      <c r="A863" s="105">
        <f>IF($J863="","",INDEX(EV_Date,$J863))</f>
        <v/>
      </c>
      <c r="B863" s="78">
        <f>IF($J863="","",INDEX(EV_Name,$J863))</f>
        <v/>
      </c>
      <c r="C863" s="106">
        <f>IF($J863="","",INDEX(EV_ID,$J863))</f>
        <v/>
      </c>
      <c r="D863" s="106">
        <f>IF($J863="","",INDEX(EV_Class,$J863))</f>
        <v/>
      </c>
      <c r="E863" s="106">
        <f>IF($J863="","",INDEX(EV_Type,$J863))</f>
        <v/>
      </c>
      <c r="F863" s="106">
        <f>IF($J863="","",INDEX(EV_Cum,$J863))</f>
        <v/>
      </c>
      <c r="G863" s="106">
        <f>IF($J863="","",INDEX(LevelLabels,MATCH(F863,LevelValues,1)))</f>
        <v/>
      </c>
      <c r="H863" s="106">
        <f>IF($J863="","",IFERROR(INDEX(Stu_ContactReq,MATCH(C863,Stu_ID,0)),""))</f>
        <v/>
      </c>
      <c r="I863" s="107">
        <f>IF($J863="","",IFERROR(INDEX(Stu_Notes,MATCH(C863,Stu_ID,0)),""))</f>
        <v/>
      </c>
      <c r="J863" s="40">
        <f>IF(858&gt;$B$3,"",IFERROR(MATCH(858-1,EV_Seq,1)+1,1))</f>
        <v/>
      </c>
    </row>
    <row r="864">
      <c r="A864" s="105">
        <f>IF($J864="","",INDEX(EV_Date,$J864))</f>
        <v/>
      </c>
      <c r="B864" s="78">
        <f>IF($J864="","",INDEX(EV_Name,$J864))</f>
        <v/>
      </c>
      <c r="C864" s="106">
        <f>IF($J864="","",INDEX(EV_ID,$J864))</f>
        <v/>
      </c>
      <c r="D864" s="106">
        <f>IF($J864="","",INDEX(EV_Class,$J864))</f>
        <v/>
      </c>
      <c r="E864" s="106">
        <f>IF($J864="","",INDEX(EV_Type,$J864))</f>
        <v/>
      </c>
      <c r="F864" s="106">
        <f>IF($J864="","",INDEX(EV_Cum,$J864))</f>
        <v/>
      </c>
      <c r="G864" s="106">
        <f>IF($J864="","",INDEX(LevelLabels,MATCH(F864,LevelValues,1)))</f>
        <v/>
      </c>
      <c r="H864" s="106">
        <f>IF($J864="","",IFERROR(INDEX(Stu_ContactReq,MATCH(C864,Stu_ID,0)),""))</f>
        <v/>
      </c>
      <c r="I864" s="107">
        <f>IF($J864="","",IFERROR(INDEX(Stu_Notes,MATCH(C864,Stu_ID,0)),""))</f>
        <v/>
      </c>
      <c r="J864" s="40">
        <f>IF(859&gt;$B$3,"",IFERROR(MATCH(859-1,EV_Seq,1)+1,1))</f>
        <v/>
      </c>
    </row>
    <row r="865">
      <c r="A865" s="105">
        <f>IF($J865="","",INDEX(EV_Date,$J865))</f>
        <v/>
      </c>
      <c r="B865" s="78">
        <f>IF($J865="","",INDEX(EV_Name,$J865))</f>
        <v/>
      </c>
      <c r="C865" s="106">
        <f>IF($J865="","",INDEX(EV_ID,$J865))</f>
        <v/>
      </c>
      <c r="D865" s="106">
        <f>IF($J865="","",INDEX(EV_Class,$J865))</f>
        <v/>
      </c>
      <c r="E865" s="106">
        <f>IF($J865="","",INDEX(EV_Type,$J865))</f>
        <v/>
      </c>
      <c r="F865" s="106">
        <f>IF($J865="","",INDEX(EV_Cum,$J865))</f>
        <v/>
      </c>
      <c r="G865" s="106">
        <f>IF($J865="","",INDEX(LevelLabels,MATCH(F865,LevelValues,1)))</f>
        <v/>
      </c>
      <c r="H865" s="106">
        <f>IF($J865="","",IFERROR(INDEX(Stu_ContactReq,MATCH(C865,Stu_ID,0)),""))</f>
        <v/>
      </c>
      <c r="I865" s="107">
        <f>IF($J865="","",IFERROR(INDEX(Stu_Notes,MATCH(C865,Stu_ID,0)),""))</f>
        <v/>
      </c>
      <c r="J865" s="40">
        <f>IF(860&gt;$B$3,"",IFERROR(MATCH(860-1,EV_Seq,1)+1,1))</f>
        <v/>
      </c>
    </row>
    <row r="866">
      <c r="A866" s="105">
        <f>IF($J866="","",INDEX(EV_Date,$J866))</f>
        <v/>
      </c>
      <c r="B866" s="78">
        <f>IF($J866="","",INDEX(EV_Name,$J866))</f>
        <v/>
      </c>
      <c r="C866" s="106">
        <f>IF($J866="","",INDEX(EV_ID,$J866))</f>
        <v/>
      </c>
      <c r="D866" s="106">
        <f>IF($J866="","",INDEX(EV_Class,$J866))</f>
        <v/>
      </c>
      <c r="E866" s="106">
        <f>IF($J866="","",INDEX(EV_Type,$J866))</f>
        <v/>
      </c>
      <c r="F866" s="106">
        <f>IF($J866="","",INDEX(EV_Cum,$J866))</f>
        <v/>
      </c>
      <c r="G866" s="106">
        <f>IF($J866="","",INDEX(LevelLabels,MATCH(F866,LevelValues,1)))</f>
        <v/>
      </c>
      <c r="H866" s="106">
        <f>IF($J866="","",IFERROR(INDEX(Stu_ContactReq,MATCH(C866,Stu_ID,0)),""))</f>
        <v/>
      </c>
      <c r="I866" s="107">
        <f>IF($J866="","",IFERROR(INDEX(Stu_Notes,MATCH(C866,Stu_ID,0)),""))</f>
        <v/>
      </c>
      <c r="J866" s="40">
        <f>IF(861&gt;$B$3,"",IFERROR(MATCH(861-1,EV_Seq,1)+1,1))</f>
        <v/>
      </c>
    </row>
    <row r="867">
      <c r="A867" s="105">
        <f>IF($J867="","",INDEX(EV_Date,$J867))</f>
        <v/>
      </c>
      <c r="B867" s="78">
        <f>IF($J867="","",INDEX(EV_Name,$J867))</f>
        <v/>
      </c>
      <c r="C867" s="106">
        <f>IF($J867="","",INDEX(EV_ID,$J867))</f>
        <v/>
      </c>
      <c r="D867" s="106">
        <f>IF($J867="","",INDEX(EV_Class,$J867))</f>
        <v/>
      </c>
      <c r="E867" s="106">
        <f>IF($J867="","",INDEX(EV_Type,$J867))</f>
        <v/>
      </c>
      <c r="F867" s="106">
        <f>IF($J867="","",INDEX(EV_Cum,$J867))</f>
        <v/>
      </c>
      <c r="G867" s="106">
        <f>IF($J867="","",INDEX(LevelLabels,MATCH(F867,LevelValues,1)))</f>
        <v/>
      </c>
      <c r="H867" s="106">
        <f>IF($J867="","",IFERROR(INDEX(Stu_ContactReq,MATCH(C867,Stu_ID,0)),""))</f>
        <v/>
      </c>
      <c r="I867" s="107">
        <f>IF($J867="","",IFERROR(INDEX(Stu_Notes,MATCH(C867,Stu_ID,0)),""))</f>
        <v/>
      </c>
      <c r="J867" s="40">
        <f>IF(862&gt;$B$3,"",IFERROR(MATCH(862-1,EV_Seq,1)+1,1))</f>
        <v/>
      </c>
    </row>
    <row r="868">
      <c r="A868" s="105">
        <f>IF($J868="","",INDEX(EV_Date,$J868))</f>
        <v/>
      </c>
      <c r="B868" s="78">
        <f>IF($J868="","",INDEX(EV_Name,$J868))</f>
        <v/>
      </c>
      <c r="C868" s="106">
        <f>IF($J868="","",INDEX(EV_ID,$J868))</f>
        <v/>
      </c>
      <c r="D868" s="106">
        <f>IF($J868="","",INDEX(EV_Class,$J868))</f>
        <v/>
      </c>
      <c r="E868" s="106">
        <f>IF($J868="","",INDEX(EV_Type,$J868))</f>
        <v/>
      </c>
      <c r="F868" s="106">
        <f>IF($J868="","",INDEX(EV_Cum,$J868))</f>
        <v/>
      </c>
      <c r="G868" s="106">
        <f>IF($J868="","",INDEX(LevelLabels,MATCH(F868,LevelValues,1)))</f>
        <v/>
      </c>
      <c r="H868" s="106">
        <f>IF($J868="","",IFERROR(INDEX(Stu_ContactReq,MATCH(C868,Stu_ID,0)),""))</f>
        <v/>
      </c>
      <c r="I868" s="107">
        <f>IF($J868="","",IFERROR(INDEX(Stu_Notes,MATCH(C868,Stu_ID,0)),""))</f>
        <v/>
      </c>
      <c r="J868" s="40">
        <f>IF(863&gt;$B$3,"",IFERROR(MATCH(863-1,EV_Seq,1)+1,1))</f>
        <v/>
      </c>
    </row>
    <row r="869">
      <c r="A869" s="105">
        <f>IF($J869="","",INDEX(EV_Date,$J869))</f>
        <v/>
      </c>
      <c r="B869" s="78">
        <f>IF($J869="","",INDEX(EV_Name,$J869))</f>
        <v/>
      </c>
      <c r="C869" s="106">
        <f>IF($J869="","",INDEX(EV_ID,$J869))</f>
        <v/>
      </c>
      <c r="D869" s="106">
        <f>IF($J869="","",INDEX(EV_Class,$J869))</f>
        <v/>
      </c>
      <c r="E869" s="106">
        <f>IF($J869="","",INDEX(EV_Type,$J869))</f>
        <v/>
      </c>
      <c r="F869" s="106">
        <f>IF($J869="","",INDEX(EV_Cum,$J869))</f>
        <v/>
      </c>
      <c r="G869" s="106">
        <f>IF($J869="","",INDEX(LevelLabels,MATCH(F869,LevelValues,1)))</f>
        <v/>
      </c>
      <c r="H869" s="106">
        <f>IF($J869="","",IFERROR(INDEX(Stu_ContactReq,MATCH(C869,Stu_ID,0)),""))</f>
        <v/>
      </c>
      <c r="I869" s="107">
        <f>IF($J869="","",IFERROR(INDEX(Stu_Notes,MATCH(C869,Stu_ID,0)),""))</f>
        <v/>
      </c>
      <c r="J869" s="40">
        <f>IF(864&gt;$B$3,"",IFERROR(MATCH(864-1,EV_Seq,1)+1,1))</f>
        <v/>
      </c>
    </row>
    <row r="870">
      <c r="A870" s="105">
        <f>IF($J870="","",INDEX(EV_Date,$J870))</f>
        <v/>
      </c>
      <c r="B870" s="78">
        <f>IF($J870="","",INDEX(EV_Name,$J870))</f>
        <v/>
      </c>
      <c r="C870" s="106">
        <f>IF($J870="","",INDEX(EV_ID,$J870))</f>
        <v/>
      </c>
      <c r="D870" s="106">
        <f>IF($J870="","",INDEX(EV_Class,$J870))</f>
        <v/>
      </c>
      <c r="E870" s="106">
        <f>IF($J870="","",INDEX(EV_Type,$J870))</f>
        <v/>
      </c>
      <c r="F870" s="106">
        <f>IF($J870="","",INDEX(EV_Cum,$J870))</f>
        <v/>
      </c>
      <c r="G870" s="106">
        <f>IF($J870="","",INDEX(LevelLabels,MATCH(F870,LevelValues,1)))</f>
        <v/>
      </c>
      <c r="H870" s="106">
        <f>IF($J870="","",IFERROR(INDEX(Stu_ContactReq,MATCH(C870,Stu_ID,0)),""))</f>
        <v/>
      </c>
      <c r="I870" s="107">
        <f>IF($J870="","",IFERROR(INDEX(Stu_Notes,MATCH(C870,Stu_ID,0)),""))</f>
        <v/>
      </c>
      <c r="J870" s="40">
        <f>IF(865&gt;$B$3,"",IFERROR(MATCH(865-1,EV_Seq,1)+1,1))</f>
        <v/>
      </c>
    </row>
    <row r="871">
      <c r="A871" s="105">
        <f>IF($J871="","",INDEX(EV_Date,$J871))</f>
        <v/>
      </c>
      <c r="B871" s="78">
        <f>IF($J871="","",INDEX(EV_Name,$J871))</f>
        <v/>
      </c>
      <c r="C871" s="106">
        <f>IF($J871="","",INDEX(EV_ID,$J871))</f>
        <v/>
      </c>
      <c r="D871" s="106">
        <f>IF($J871="","",INDEX(EV_Class,$J871))</f>
        <v/>
      </c>
      <c r="E871" s="106">
        <f>IF($J871="","",INDEX(EV_Type,$J871))</f>
        <v/>
      </c>
      <c r="F871" s="106">
        <f>IF($J871="","",INDEX(EV_Cum,$J871))</f>
        <v/>
      </c>
      <c r="G871" s="106">
        <f>IF($J871="","",INDEX(LevelLabels,MATCH(F871,LevelValues,1)))</f>
        <v/>
      </c>
      <c r="H871" s="106">
        <f>IF($J871="","",IFERROR(INDEX(Stu_ContactReq,MATCH(C871,Stu_ID,0)),""))</f>
        <v/>
      </c>
      <c r="I871" s="107">
        <f>IF($J871="","",IFERROR(INDEX(Stu_Notes,MATCH(C871,Stu_ID,0)),""))</f>
        <v/>
      </c>
      <c r="J871" s="40">
        <f>IF(866&gt;$B$3,"",IFERROR(MATCH(866-1,EV_Seq,1)+1,1))</f>
        <v/>
      </c>
    </row>
    <row r="872">
      <c r="A872" s="105">
        <f>IF($J872="","",INDEX(EV_Date,$J872))</f>
        <v/>
      </c>
      <c r="B872" s="78">
        <f>IF($J872="","",INDEX(EV_Name,$J872))</f>
        <v/>
      </c>
      <c r="C872" s="106">
        <f>IF($J872="","",INDEX(EV_ID,$J872))</f>
        <v/>
      </c>
      <c r="D872" s="106">
        <f>IF($J872="","",INDEX(EV_Class,$J872))</f>
        <v/>
      </c>
      <c r="E872" s="106">
        <f>IF($J872="","",INDEX(EV_Type,$J872))</f>
        <v/>
      </c>
      <c r="F872" s="106">
        <f>IF($J872="","",INDEX(EV_Cum,$J872))</f>
        <v/>
      </c>
      <c r="G872" s="106">
        <f>IF($J872="","",INDEX(LevelLabels,MATCH(F872,LevelValues,1)))</f>
        <v/>
      </c>
      <c r="H872" s="106">
        <f>IF($J872="","",IFERROR(INDEX(Stu_ContactReq,MATCH(C872,Stu_ID,0)),""))</f>
        <v/>
      </c>
      <c r="I872" s="107">
        <f>IF($J872="","",IFERROR(INDEX(Stu_Notes,MATCH(C872,Stu_ID,0)),""))</f>
        <v/>
      </c>
      <c r="J872" s="40">
        <f>IF(867&gt;$B$3,"",IFERROR(MATCH(867-1,EV_Seq,1)+1,1))</f>
        <v/>
      </c>
    </row>
    <row r="873">
      <c r="A873" s="105">
        <f>IF($J873="","",INDEX(EV_Date,$J873))</f>
        <v/>
      </c>
      <c r="B873" s="78">
        <f>IF($J873="","",INDEX(EV_Name,$J873))</f>
        <v/>
      </c>
      <c r="C873" s="106">
        <f>IF($J873="","",INDEX(EV_ID,$J873))</f>
        <v/>
      </c>
      <c r="D873" s="106">
        <f>IF($J873="","",INDEX(EV_Class,$J873))</f>
        <v/>
      </c>
      <c r="E873" s="106">
        <f>IF($J873="","",INDEX(EV_Type,$J873))</f>
        <v/>
      </c>
      <c r="F873" s="106">
        <f>IF($J873="","",INDEX(EV_Cum,$J873))</f>
        <v/>
      </c>
      <c r="G873" s="106">
        <f>IF($J873="","",INDEX(LevelLabels,MATCH(F873,LevelValues,1)))</f>
        <v/>
      </c>
      <c r="H873" s="106">
        <f>IF($J873="","",IFERROR(INDEX(Stu_ContactReq,MATCH(C873,Stu_ID,0)),""))</f>
        <v/>
      </c>
      <c r="I873" s="107">
        <f>IF($J873="","",IFERROR(INDEX(Stu_Notes,MATCH(C873,Stu_ID,0)),""))</f>
        <v/>
      </c>
      <c r="J873" s="40">
        <f>IF(868&gt;$B$3,"",IFERROR(MATCH(868-1,EV_Seq,1)+1,1))</f>
        <v/>
      </c>
    </row>
    <row r="874">
      <c r="A874" s="105">
        <f>IF($J874="","",INDEX(EV_Date,$J874))</f>
        <v/>
      </c>
      <c r="B874" s="78">
        <f>IF($J874="","",INDEX(EV_Name,$J874))</f>
        <v/>
      </c>
      <c r="C874" s="106">
        <f>IF($J874="","",INDEX(EV_ID,$J874))</f>
        <v/>
      </c>
      <c r="D874" s="106">
        <f>IF($J874="","",INDEX(EV_Class,$J874))</f>
        <v/>
      </c>
      <c r="E874" s="106">
        <f>IF($J874="","",INDEX(EV_Type,$J874))</f>
        <v/>
      </c>
      <c r="F874" s="106">
        <f>IF($J874="","",INDEX(EV_Cum,$J874))</f>
        <v/>
      </c>
      <c r="G874" s="106">
        <f>IF($J874="","",INDEX(LevelLabels,MATCH(F874,LevelValues,1)))</f>
        <v/>
      </c>
      <c r="H874" s="106">
        <f>IF($J874="","",IFERROR(INDEX(Stu_ContactReq,MATCH(C874,Stu_ID,0)),""))</f>
        <v/>
      </c>
      <c r="I874" s="107">
        <f>IF($J874="","",IFERROR(INDEX(Stu_Notes,MATCH(C874,Stu_ID,0)),""))</f>
        <v/>
      </c>
      <c r="J874" s="40">
        <f>IF(869&gt;$B$3,"",IFERROR(MATCH(869-1,EV_Seq,1)+1,1))</f>
        <v/>
      </c>
    </row>
    <row r="875">
      <c r="A875" s="105">
        <f>IF($J875="","",INDEX(EV_Date,$J875))</f>
        <v/>
      </c>
      <c r="B875" s="78">
        <f>IF($J875="","",INDEX(EV_Name,$J875))</f>
        <v/>
      </c>
      <c r="C875" s="106">
        <f>IF($J875="","",INDEX(EV_ID,$J875))</f>
        <v/>
      </c>
      <c r="D875" s="106">
        <f>IF($J875="","",INDEX(EV_Class,$J875))</f>
        <v/>
      </c>
      <c r="E875" s="106">
        <f>IF($J875="","",INDEX(EV_Type,$J875))</f>
        <v/>
      </c>
      <c r="F875" s="106">
        <f>IF($J875="","",INDEX(EV_Cum,$J875))</f>
        <v/>
      </c>
      <c r="G875" s="106">
        <f>IF($J875="","",INDEX(LevelLabels,MATCH(F875,LevelValues,1)))</f>
        <v/>
      </c>
      <c r="H875" s="106">
        <f>IF($J875="","",IFERROR(INDEX(Stu_ContactReq,MATCH(C875,Stu_ID,0)),""))</f>
        <v/>
      </c>
      <c r="I875" s="107">
        <f>IF($J875="","",IFERROR(INDEX(Stu_Notes,MATCH(C875,Stu_ID,0)),""))</f>
        <v/>
      </c>
      <c r="J875" s="40">
        <f>IF(870&gt;$B$3,"",IFERROR(MATCH(870-1,EV_Seq,1)+1,1))</f>
        <v/>
      </c>
    </row>
    <row r="876">
      <c r="A876" s="105">
        <f>IF($J876="","",INDEX(EV_Date,$J876))</f>
        <v/>
      </c>
      <c r="B876" s="78">
        <f>IF($J876="","",INDEX(EV_Name,$J876))</f>
        <v/>
      </c>
      <c r="C876" s="106">
        <f>IF($J876="","",INDEX(EV_ID,$J876))</f>
        <v/>
      </c>
      <c r="D876" s="106">
        <f>IF($J876="","",INDEX(EV_Class,$J876))</f>
        <v/>
      </c>
      <c r="E876" s="106">
        <f>IF($J876="","",INDEX(EV_Type,$J876))</f>
        <v/>
      </c>
      <c r="F876" s="106">
        <f>IF($J876="","",INDEX(EV_Cum,$J876))</f>
        <v/>
      </c>
      <c r="G876" s="106">
        <f>IF($J876="","",INDEX(LevelLabels,MATCH(F876,LevelValues,1)))</f>
        <v/>
      </c>
      <c r="H876" s="106">
        <f>IF($J876="","",IFERROR(INDEX(Stu_ContactReq,MATCH(C876,Stu_ID,0)),""))</f>
        <v/>
      </c>
      <c r="I876" s="107">
        <f>IF($J876="","",IFERROR(INDEX(Stu_Notes,MATCH(C876,Stu_ID,0)),""))</f>
        <v/>
      </c>
      <c r="J876" s="40">
        <f>IF(871&gt;$B$3,"",IFERROR(MATCH(871-1,EV_Seq,1)+1,1))</f>
        <v/>
      </c>
    </row>
    <row r="877">
      <c r="A877" s="105">
        <f>IF($J877="","",INDEX(EV_Date,$J877))</f>
        <v/>
      </c>
      <c r="B877" s="78">
        <f>IF($J877="","",INDEX(EV_Name,$J877))</f>
        <v/>
      </c>
      <c r="C877" s="106">
        <f>IF($J877="","",INDEX(EV_ID,$J877))</f>
        <v/>
      </c>
      <c r="D877" s="106">
        <f>IF($J877="","",INDEX(EV_Class,$J877))</f>
        <v/>
      </c>
      <c r="E877" s="106">
        <f>IF($J877="","",INDEX(EV_Type,$J877))</f>
        <v/>
      </c>
      <c r="F877" s="106">
        <f>IF($J877="","",INDEX(EV_Cum,$J877))</f>
        <v/>
      </c>
      <c r="G877" s="106">
        <f>IF($J877="","",INDEX(LevelLabels,MATCH(F877,LevelValues,1)))</f>
        <v/>
      </c>
      <c r="H877" s="106">
        <f>IF($J877="","",IFERROR(INDEX(Stu_ContactReq,MATCH(C877,Stu_ID,0)),""))</f>
        <v/>
      </c>
      <c r="I877" s="107">
        <f>IF($J877="","",IFERROR(INDEX(Stu_Notes,MATCH(C877,Stu_ID,0)),""))</f>
        <v/>
      </c>
      <c r="J877" s="40">
        <f>IF(872&gt;$B$3,"",IFERROR(MATCH(872-1,EV_Seq,1)+1,1))</f>
        <v/>
      </c>
    </row>
    <row r="878">
      <c r="A878" s="105">
        <f>IF($J878="","",INDEX(EV_Date,$J878))</f>
        <v/>
      </c>
      <c r="B878" s="78">
        <f>IF($J878="","",INDEX(EV_Name,$J878))</f>
        <v/>
      </c>
      <c r="C878" s="106">
        <f>IF($J878="","",INDEX(EV_ID,$J878))</f>
        <v/>
      </c>
      <c r="D878" s="106">
        <f>IF($J878="","",INDEX(EV_Class,$J878))</f>
        <v/>
      </c>
      <c r="E878" s="106">
        <f>IF($J878="","",INDEX(EV_Type,$J878))</f>
        <v/>
      </c>
      <c r="F878" s="106">
        <f>IF($J878="","",INDEX(EV_Cum,$J878))</f>
        <v/>
      </c>
      <c r="G878" s="106">
        <f>IF($J878="","",INDEX(LevelLabels,MATCH(F878,LevelValues,1)))</f>
        <v/>
      </c>
      <c r="H878" s="106">
        <f>IF($J878="","",IFERROR(INDEX(Stu_ContactReq,MATCH(C878,Stu_ID,0)),""))</f>
        <v/>
      </c>
      <c r="I878" s="107">
        <f>IF($J878="","",IFERROR(INDEX(Stu_Notes,MATCH(C878,Stu_ID,0)),""))</f>
        <v/>
      </c>
      <c r="J878" s="40">
        <f>IF(873&gt;$B$3,"",IFERROR(MATCH(873-1,EV_Seq,1)+1,1))</f>
        <v/>
      </c>
    </row>
    <row r="879">
      <c r="A879" s="105">
        <f>IF($J879="","",INDEX(EV_Date,$J879))</f>
        <v/>
      </c>
      <c r="B879" s="78">
        <f>IF($J879="","",INDEX(EV_Name,$J879))</f>
        <v/>
      </c>
      <c r="C879" s="106">
        <f>IF($J879="","",INDEX(EV_ID,$J879))</f>
        <v/>
      </c>
      <c r="D879" s="106">
        <f>IF($J879="","",INDEX(EV_Class,$J879))</f>
        <v/>
      </c>
      <c r="E879" s="106">
        <f>IF($J879="","",INDEX(EV_Type,$J879))</f>
        <v/>
      </c>
      <c r="F879" s="106">
        <f>IF($J879="","",INDEX(EV_Cum,$J879))</f>
        <v/>
      </c>
      <c r="G879" s="106">
        <f>IF($J879="","",INDEX(LevelLabels,MATCH(F879,LevelValues,1)))</f>
        <v/>
      </c>
      <c r="H879" s="106">
        <f>IF($J879="","",IFERROR(INDEX(Stu_ContactReq,MATCH(C879,Stu_ID,0)),""))</f>
        <v/>
      </c>
      <c r="I879" s="107">
        <f>IF($J879="","",IFERROR(INDEX(Stu_Notes,MATCH(C879,Stu_ID,0)),""))</f>
        <v/>
      </c>
      <c r="J879" s="40">
        <f>IF(874&gt;$B$3,"",IFERROR(MATCH(874-1,EV_Seq,1)+1,1))</f>
        <v/>
      </c>
    </row>
    <row r="880">
      <c r="A880" s="105">
        <f>IF($J880="","",INDEX(EV_Date,$J880))</f>
        <v/>
      </c>
      <c r="B880" s="78">
        <f>IF($J880="","",INDEX(EV_Name,$J880))</f>
        <v/>
      </c>
      <c r="C880" s="106">
        <f>IF($J880="","",INDEX(EV_ID,$J880))</f>
        <v/>
      </c>
      <c r="D880" s="106">
        <f>IF($J880="","",INDEX(EV_Class,$J880))</f>
        <v/>
      </c>
      <c r="E880" s="106">
        <f>IF($J880="","",INDEX(EV_Type,$J880))</f>
        <v/>
      </c>
      <c r="F880" s="106">
        <f>IF($J880="","",INDEX(EV_Cum,$J880))</f>
        <v/>
      </c>
      <c r="G880" s="106">
        <f>IF($J880="","",INDEX(LevelLabels,MATCH(F880,LevelValues,1)))</f>
        <v/>
      </c>
      <c r="H880" s="106">
        <f>IF($J880="","",IFERROR(INDEX(Stu_ContactReq,MATCH(C880,Stu_ID,0)),""))</f>
        <v/>
      </c>
      <c r="I880" s="107">
        <f>IF($J880="","",IFERROR(INDEX(Stu_Notes,MATCH(C880,Stu_ID,0)),""))</f>
        <v/>
      </c>
      <c r="J880" s="40">
        <f>IF(875&gt;$B$3,"",IFERROR(MATCH(875-1,EV_Seq,1)+1,1))</f>
        <v/>
      </c>
    </row>
    <row r="881">
      <c r="A881" s="105">
        <f>IF($J881="","",INDEX(EV_Date,$J881))</f>
        <v/>
      </c>
      <c r="B881" s="78">
        <f>IF($J881="","",INDEX(EV_Name,$J881))</f>
        <v/>
      </c>
      <c r="C881" s="106">
        <f>IF($J881="","",INDEX(EV_ID,$J881))</f>
        <v/>
      </c>
      <c r="D881" s="106">
        <f>IF($J881="","",INDEX(EV_Class,$J881))</f>
        <v/>
      </c>
      <c r="E881" s="106">
        <f>IF($J881="","",INDEX(EV_Type,$J881))</f>
        <v/>
      </c>
      <c r="F881" s="106">
        <f>IF($J881="","",INDEX(EV_Cum,$J881))</f>
        <v/>
      </c>
      <c r="G881" s="106">
        <f>IF($J881="","",INDEX(LevelLabels,MATCH(F881,LevelValues,1)))</f>
        <v/>
      </c>
      <c r="H881" s="106">
        <f>IF($J881="","",IFERROR(INDEX(Stu_ContactReq,MATCH(C881,Stu_ID,0)),""))</f>
        <v/>
      </c>
      <c r="I881" s="107">
        <f>IF($J881="","",IFERROR(INDEX(Stu_Notes,MATCH(C881,Stu_ID,0)),""))</f>
        <v/>
      </c>
      <c r="J881" s="40">
        <f>IF(876&gt;$B$3,"",IFERROR(MATCH(876-1,EV_Seq,1)+1,1))</f>
        <v/>
      </c>
    </row>
    <row r="882">
      <c r="A882" s="105">
        <f>IF($J882="","",INDEX(EV_Date,$J882))</f>
        <v/>
      </c>
      <c r="B882" s="78">
        <f>IF($J882="","",INDEX(EV_Name,$J882))</f>
        <v/>
      </c>
      <c r="C882" s="106">
        <f>IF($J882="","",INDEX(EV_ID,$J882))</f>
        <v/>
      </c>
      <c r="D882" s="106">
        <f>IF($J882="","",INDEX(EV_Class,$J882))</f>
        <v/>
      </c>
      <c r="E882" s="106">
        <f>IF($J882="","",INDEX(EV_Type,$J882))</f>
        <v/>
      </c>
      <c r="F882" s="106">
        <f>IF($J882="","",INDEX(EV_Cum,$J882))</f>
        <v/>
      </c>
      <c r="G882" s="106">
        <f>IF($J882="","",INDEX(LevelLabels,MATCH(F882,LevelValues,1)))</f>
        <v/>
      </c>
      <c r="H882" s="106">
        <f>IF($J882="","",IFERROR(INDEX(Stu_ContactReq,MATCH(C882,Stu_ID,0)),""))</f>
        <v/>
      </c>
      <c r="I882" s="107">
        <f>IF($J882="","",IFERROR(INDEX(Stu_Notes,MATCH(C882,Stu_ID,0)),""))</f>
        <v/>
      </c>
      <c r="J882" s="40">
        <f>IF(877&gt;$B$3,"",IFERROR(MATCH(877-1,EV_Seq,1)+1,1))</f>
        <v/>
      </c>
    </row>
    <row r="883">
      <c r="A883" s="105">
        <f>IF($J883="","",INDEX(EV_Date,$J883))</f>
        <v/>
      </c>
      <c r="B883" s="78">
        <f>IF($J883="","",INDEX(EV_Name,$J883))</f>
        <v/>
      </c>
      <c r="C883" s="106">
        <f>IF($J883="","",INDEX(EV_ID,$J883))</f>
        <v/>
      </c>
      <c r="D883" s="106">
        <f>IF($J883="","",INDEX(EV_Class,$J883))</f>
        <v/>
      </c>
      <c r="E883" s="106">
        <f>IF($J883="","",INDEX(EV_Type,$J883))</f>
        <v/>
      </c>
      <c r="F883" s="106">
        <f>IF($J883="","",INDEX(EV_Cum,$J883))</f>
        <v/>
      </c>
      <c r="G883" s="106">
        <f>IF($J883="","",INDEX(LevelLabels,MATCH(F883,LevelValues,1)))</f>
        <v/>
      </c>
      <c r="H883" s="106">
        <f>IF($J883="","",IFERROR(INDEX(Stu_ContactReq,MATCH(C883,Stu_ID,0)),""))</f>
        <v/>
      </c>
      <c r="I883" s="107">
        <f>IF($J883="","",IFERROR(INDEX(Stu_Notes,MATCH(C883,Stu_ID,0)),""))</f>
        <v/>
      </c>
      <c r="J883" s="40">
        <f>IF(878&gt;$B$3,"",IFERROR(MATCH(878-1,EV_Seq,1)+1,1))</f>
        <v/>
      </c>
    </row>
    <row r="884">
      <c r="A884" s="105">
        <f>IF($J884="","",INDEX(EV_Date,$J884))</f>
        <v/>
      </c>
      <c r="B884" s="78">
        <f>IF($J884="","",INDEX(EV_Name,$J884))</f>
        <v/>
      </c>
      <c r="C884" s="106">
        <f>IF($J884="","",INDEX(EV_ID,$J884))</f>
        <v/>
      </c>
      <c r="D884" s="106">
        <f>IF($J884="","",INDEX(EV_Class,$J884))</f>
        <v/>
      </c>
      <c r="E884" s="106">
        <f>IF($J884="","",INDEX(EV_Type,$J884))</f>
        <v/>
      </c>
      <c r="F884" s="106">
        <f>IF($J884="","",INDEX(EV_Cum,$J884))</f>
        <v/>
      </c>
      <c r="G884" s="106">
        <f>IF($J884="","",INDEX(LevelLabels,MATCH(F884,LevelValues,1)))</f>
        <v/>
      </c>
      <c r="H884" s="106">
        <f>IF($J884="","",IFERROR(INDEX(Stu_ContactReq,MATCH(C884,Stu_ID,0)),""))</f>
        <v/>
      </c>
      <c r="I884" s="107">
        <f>IF($J884="","",IFERROR(INDEX(Stu_Notes,MATCH(C884,Stu_ID,0)),""))</f>
        <v/>
      </c>
      <c r="J884" s="40">
        <f>IF(879&gt;$B$3,"",IFERROR(MATCH(879-1,EV_Seq,1)+1,1))</f>
        <v/>
      </c>
    </row>
    <row r="885">
      <c r="A885" s="105">
        <f>IF($J885="","",INDEX(EV_Date,$J885))</f>
        <v/>
      </c>
      <c r="B885" s="78">
        <f>IF($J885="","",INDEX(EV_Name,$J885))</f>
        <v/>
      </c>
      <c r="C885" s="106">
        <f>IF($J885="","",INDEX(EV_ID,$J885))</f>
        <v/>
      </c>
      <c r="D885" s="106">
        <f>IF($J885="","",INDEX(EV_Class,$J885))</f>
        <v/>
      </c>
      <c r="E885" s="106">
        <f>IF($J885="","",INDEX(EV_Type,$J885))</f>
        <v/>
      </c>
      <c r="F885" s="106">
        <f>IF($J885="","",INDEX(EV_Cum,$J885))</f>
        <v/>
      </c>
      <c r="G885" s="106">
        <f>IF($J885="","",INDEX(LevelLabels,MATCH(F885,LevelValues,1)))</f>
        <v/>
      </c>
      <c r="H885" s="106">
        <f>IF($J885="","",IFERROR(INDEX(Stu_ContactReq,MATCH(C885,Stu_ID,0)),""))</f>
        <v/>
      </c>
      <c r="I885" s="107">
        <f>IF($J885="","",IFERROR(INDEX(Stu_Notes,MATCH(C885,Stu_ID,0)),""))</f>
        <v/>
      </c>
      <c r="J885" s="40">
        <f>IF(880&gt;$B$3,"",IFERROR(MATCH(880-1,EV_Seq,1)+1,1))</f>
        <v/>
      </c>
    </row>
    <row r="886">
      <c r="A886" s="105">
        <f>IF($J886="","",INDEX(EV_Date,$J886))</f>
        <v/>
      </c>
      <c r="B886" s="78">
        <f>IF($J886="","",INDEX(EV_Name,$J886))</f>
        <v/>
      </c>
      <c r="C886" s="106">
        <f>IF($J886="","",INDEX(EV_ID,$J886))</f>
        <v/>
      </c>
      <c r="D886" s="106">
        <f>IF($J886="","",INDEX(EV_Class,$J886))</f>
        <v/>
      </c>
      <c r="E886" s="106">
        <f>IF($J886="","",INDEX(EV_Type,$J886))</f>
        <v/>
      </c>
      <c r="F886" s="106">
        <f>IF($J886="","",INDEX(EV_Cum,$J886))</f>
        <v/>
      </c>
      <c r="G886" s="106">
        <f>IF($J886="","",INDEX(LevelLabels,MATCH(F886,LevelValues,1)))</f>
        <v/>
      </c>
      <c r="H886" s="106">
        <f>IF($J886="","",IFERROR(INDEX(Stu_ContactReq,MATCH(C886,Stu_ID,0)),""))</f>
        <v/>
      </c>
      <c r="I886" s="107">
        <f>IF($J886="","",IFERROR(INDEX(Stu_Notes,MATCH(C886,Stu_ID,0)),""))</f>
        <v/>
      </c>
      <c r="J886" s="40">
        <f>IF(881&gt;$B$3,"",IFERROR(MATCH(881-1,EV_Seq,1)+1,1))</f>
        <v/>
      </c>
    </row>
    <row r="887">
      <c r="A887" s="105">
        <f>IF($J887="","",INDEX(EV_Date,$J887))</f>
        <v/>
      </c>
      <c r="B887" s="78">
        <f>IF($J887="","",INDEX(EV_Name,$J887))</f>
        <v/>
      </c>
      <c r="C887" s="106">
        <f>IF($J887="","",INDEX(EV_ID,$J887))</f>
        <v/>
      </c>
      <c r="D887" s="106">
        <f>IF($J887="","",INDEX(EV_Class,$J887))</f>
        <v/>
      </c>
      <c r="E887" s="106">
        <f>IF($J887="","",INDEX(EV_Type,$J887))</f>
        <v/>
      </c>
      <c r="F887" s="106">
        <f>IF($J887="","",INDEX(EV_Cum,$J887))</f>
        <v/>
      </c>
      <c r="G887" s="106">
        <f>IF($J887="","",INDEX(LevelLabels,MATCH(F887,LevelValues,1)))</f>
        <v/>
      </c>
      <c r="H887" s="106">
        <f>IF($J887="","",IFERROR(INDEX(Stu_ContactReq,MATCH(C887,Stu_ID,0)),""))</f>
        <v/>
      </c>
      <c r="I887" s="107">
        <f>IF($J887="","",IFERROR(INDEX(Stu_Notes,MATCH(C887,Stu_ID,0)),""))</f>
        <v/>
      </c>
      <c r="J887" s="40">
        <f>IF(882&gt;$B$3,"",IFERROR(MATCH(882-1,EV_Seq,1)+1,1))</f>
        <v/>
      </c>
    </row>
    <row r="888">
      <c r="A888" s="105">
        <f>IF($J888="","",INDEX(EV_Date,$J888))</f>
        <v/>
      </c>
      <c r="B888" s="78">
        <f>IF($J888="","",INDEX(EV_Name,$J888))</f>
        <v/>
      </c>
      <c r="C888" s="106">
        <f>IF($J888="","",INDEX(EV_ID,$J888))</f>
        <v/>
      </c>
      <c r="D888" s="106">
        <f>IF($J888="","",INDEX(EV_Class,$J888))</f>
        <v/>
      </c>
      <c r="E888" s="106">
        <f>IF($J888="","",INDEX(EV_Type,$J888))</f>
        <v/>
      </c>
      <c r="F888" s="106">
        <f>IF($J888="","",INDEX(EV_Cum,$J888))</f>
        <v/>
      </c>
      <c r="G888" s="106">
        <f>IF($J888="","",INDEX(LevelLabels,MATCH(F888,LevelValues,1)))</f>
        <v/>
      </c>
      <c r="H888" s="106">
        <f>IF($J888="","",IFERROR(INDEX(Stu_ContactReq,MATCH(C888,Stu_ID,0)),""))</f>
        <v/>
      </c>
      <c r="I888" s="107">
        <f>IF($J888="","",IFERROR(INDEX(Stu_Notes,MATCH(C888,Stu_ID,0)),""))</f>
        <v/>
      </c>
      <c r="J888" s="40">
        <f>IF(883&gt;$B$3,"",IFERROR(MATCH(883-1,EV_Seq,1)+1,1))</f>
        <v/>
      </c>
    </row>
    <row r="889">
      <c r="A889" s="105">
        <f>IF($J889="","",INDEX(EV_Date,$J889))</f>
        <v/>
      </c>
      <c r="B889" s="78">
        <f>IF($J889="","",INDEX(EV_Name,$J889))</f>
        <v/>
      </c>
      <c r="C889" s="106">
        <f>IF($J889="","",INDEX(EV_ID,$J889))</f>
        <v/>
      </c>
      <c r="D889" s="106">
        <f>IF($J889="","",INDEX(EV_Class,$J889))</f>
        <v/>
      </c>
      <c r="E889" s="106">
        <f>IF($J889="","",INDEX(EV_Type,$J889))</f>
        <v/>
      </c>
      <c r="F889" s="106">
        <f>IF($J889="","",INDEX(EV_Cum,$J889))</f>
        <v/>
      </c>
      <c r="G889" s="106">
        <f>IF($J889="","",INDEX(LevelLabels,MATCH(F889,LevelValues,1)))</f>
        <v/>
      </c>
      <c r="H889" s="106">
        <f>IF($J889="","",IFERROR(INDEX(Stu_ContactReq,MATCH(C889,Stu_ID,0)),""))</f>
        <v/>
      </c>
      <c r="I889" s="107">
        <f>IF($J889="","",IFERROR(INDEX(Stu_Notes,MATCH(C889,Stu_ID,0)),""))</f>
        <v/>
      </c>
      <c r="J889" s="40">
        <f>IF(884&gt;$B$3,"",IFERROR(MATCH(884-1,EV_Seq,1)+1,1))</f>
        <v/>
      </c>
    </row>
    <row r="890">
      <c r="A890" s="105">
        <f>IF($J890="","",INDEX(EV_Date,$J890))</f>
        <v/>
      </c>
      <c r="B890" s="78">
        <f>IF($J890="","",INDEX(EV_Name,$J890))</f>
        <v/>
      </c>
      <c r="C890" s="106">
        <f>IF($J890="","",INDEX(EV_ID,$J890))</f>
        <v/>
      </c>
      <c r="D890" s="106">
        <f>IF($J890="","",INDEX(EV_Class,$J890))</f>
        <v/>
      </c>
      <c r="E890" s="106">
        <f>IF($J890="","",INDEX(EV_Type,$J890))</f>
        <v/>
      </c>
      <c r="F890" s="106">
        <f>IF($J890="","",INDEX(EV_Cum,$J890))</f>
        <v/>
      </c>
      <c r="G890" s="106">
        <f>IF($J890="","",INDEX(LevelLabels,MATCH(F890,LevelValues,1)))</f>
        <v/>
      </c>
      <c r="H890" s="106">
        <f>IF($J890="","",IFERROR(INDEX(Stu_ContactReq,MATCH(C890,Stu_ID,0)),""))</f>
        <v/>
      </c>
      <c r="I890" s="107">
        <f>IF($J890="","",IFERROR(INDEX(Stu_Notes,MATCH(C890,Stu_ID,0)),""))</f>
        <v/>
      </c>
      <c r="J890" s="40">
        <f>IF(885&gt;$B$3,"",IFERROR(MATCH(885-1,EV_Seq,1)+1,1))</f>
        <v/>
      </c>
    </row>
    <row r="891">
      <c r="A891" s="105">
        <f>IF($J891="","",INDEX(EV_Date,$J891))</f>
        <v/>
      </c>
      <c r="B891" s="78">
        <f>IF($J891="","",INDEX(EV_Name,$J891))</f>
        <v/>
      </c>
      <c r="C891" s="106">
        <f>IF($J891="","",INDEX(EV_ID,$J891))</f>
        <v/>
      </c>
      <c r="D891" s="106">
        <f>IF($J891="","",INDEX(EV_Class,$J891))</f>
        <v/>
      </c>
      <c r="E891" s="106">
        <f>IF($J891="","",INDEX(EV_Type,$J891))</f>
        <v/>
      </c>
      <c r="F891" s="106">
        <f>IF($J891="","",INDEX(EV_Cum,$J891))</f>
        <v/>
      </c>
      <c r="G891" s="106">
        <f>IF($J891="","",INDEX(LevelLabels,MATCH(F891,LevelValues,1)))</f>
        <v/>
      </c>
      <c r="H891" s="106">
        <f>IF($J891="","",IFERROR(INDEX(Stu_ContactReq,MATCH(C891,Stu_ID,0)),""))</f>
        <v/>
      </c>
      <c r="I891" s="107">
        <f>IF($J891="","",IFERROR(INDEX(Stu_Notes,MATCH(C891,Stu_ID,0)),""))</f>
        <v/>
      </c>
      <c r="J891" s="40">
        <f>IF(886&gt;$B$3,"",IFERROR(MATCH(886-1,EV_Seq,1)+1,1))</f>
        <v/>
      </c>
    </row>
    <row r="892">
      <c r="A892" s="105">
        <f>IF($J892="","",INDEX(EV_Date,$J892))</f>
        <v/>
      </c>
      <c r="B892" s="78">
        <f>IF($J892="","",INDEX(EV_Name,$J892))</f>
        <v/>
      </c>
      <c r="C892" s="106">
        <f>IF($J892="","",INDEX(EV_ID,$J892))</f>
        <v/>
      </c>
      <c r="D892" s="106">
        <f>IF($J892="","",INDEX(EV_Class,$J892))</f>
        <v/>
      </c>
      <c r="E892" s="106">
        <f>IF($J892="","",INDEX(EV_Type,$J892))</f>
        <v/>
      </c>
      <c r="F892" s="106">
        <f>IF($J892="","",INDEX(EV_Cum,$J892))</f>
        <v/>
      </c>
      <c r="G892" s="106">
        <f>IF($J892="","",INDEX(LevelLabels,MATCH(F892,LevelValues,1)))</f>
        <v/>
      </c>
      <c r="H892" s="106">
        <f>IF($J892="","",IFERROR(INDEX(Stu_ContactReq,MATCH(C892,Stu_ID,0)),""))</f>
        <v/>
      </c>
      <c r="I892" s="107">
        <f>IF($J892="","",IFERROR(INDEX(Stu_Notes,MATCH(C892,Stu_ID,0)),""))</f>
        <v/>
      </c>
      <c r="J892" s="40">
        <f>IF(887&gt;$B$3,"",IFERROR(MATCH(887-1,EV_Seq,1)+1,1))</f>
        <v/>
      </c>
    </row>
    <row r="893">
      <c r="A893" s="105">
        <f>IF($J893="","",INDEX(EV_Date,$J893))</f>
        <v/>
      </c>
      <c r="B893" s="78">
        <f>IF($J893="","",INDEX(EV_Name,$J893))</f>
        <v/>
      </c>
      <c r="C893" s="106">
        <f>IF($J893="","",INDEX(EV_ID,$J893))</f>
        <v/>
      </c>
      <c r="D893" s="106">
        <f>IF($J893="","",INDEX(EV_Class,$J893))</f>
        <v/>
      </c>
      <c r="E893" s="106">
        <f>IF($J893="","",INDEX(EV_Type,$J893))</f>
        <v/>
      </c>
      <c r="F893" s="106">
        <f>IF($J893="","",INDEX(EV_Cum,$J893))</f>
        <v/>
      </c>
      <c r="G893" s="106">
        <f>IF($J893="","",INDEX(LevelLabels,MATCH(F893,LevelValues,1)))</f>
        <v/>
      </c>
      <c r="H893" s="106">
        <f>IF($J893="","",IFERROR(INDEX(Stu_ContactReq,MATCH(C893,Stu_ID,0)),""))</f>
        <v/>
      </c>
      <c r="I893" s="107">
        <f>IF($J893="","",IFERROR(INDEX(Stu_Notes,MATCH(C893,Stu_ID,0)),""))</f>
        <v/>
      </c>
      <c r="J893" s="40">
        <f>IF(888&gt;$B$3,"",IFERROR(MATCH(888-1,EV_Seq,1)+1,1))</f>
        <v/>
      </c>
    </row>
    <row r="894">
      <c r="A894" s="105">
        <f>IF($J894="","",INDEX(EV_Date,$J894))</f>
        <v/>
      </c>
      <c r="B894" s="78">
        <f>IF($J894="","",INDEX(EV_Name,$J894))</f>
        <v/>
      </c>
      <c r="C894" s="106">
        <f>IF($J894="","",INDEX(EV_ID,$J894))</f>
        <v/>
      </c>
      <c r="D894" s="106">
        <f>IF($J894="","",INDEX(EV_Class,$J894))</f>
        <v/>
      </c>
      <c r="E894" s="106">
        <f>IF($J894="","",INDEX(EV_Type,$J894))</f>
        <v/>
      </c>
      <c r="F894" s="106">
        <f>IF($J894="","",INDEX(EV_Cum,$J894))</f>
        <v/>
      </c>
      <c r="G894" s="106">
        <f>IF($J894="","",INDEX(LevelLabels,MATCH(F894,LevelValues,1)))</f>
        <v/>
      </c>
      <c r="H894" s="106">
        <f>IF($J894="","",IFERROR(INDEX(Stu_ContactReq,MATCH(C894,Stu_ID,0)),""))</f>
        <v/>
      </c>
      <c r="I894" s="107">
        <f>IF($J894="","",IFERROR(INDEX(Stu_Notes,MATCH(C894,Stu_ID,0)),""))</f>
        <v/>
      </c>
      <c r="J894" s="40">
        <f>IF(889&gt;$B$3,"",IFERROR(MATCH(889-1,EV_Seq,1)+1,1))</f>
        <v/>
      </c>
    </row>
    <row r="895">
      <c r="A895" s="105">
        <f>IF($J895="","",INDEX(EV_Date,$J895))</f>
        <v/>
      </c>
      <c r="B895" s="78">
        <f>IF($J895="","",INDEX(EV_Name,$J895))</f>
        <v/>
      </c>
      <c r="C895" s="106">
        <f>IF($J895="","",INDEX(EV_ID,$J895))</f>
        <v/>
      </c>
      <c r="D895" s="106">
        <f>IF($J895="","",INDEX(EV_Class,$J895))</f>
        <v/>
      </c>
      <c r="E895" s="106">
        <f>IF($J895="","",INDEX(EV_Type,$J895))</f>
        <v/>
      </c>
      <c r="F895" s="106">
        <f>IF($J895="","",INDEX(EV_Cum,$J895))</f>
        <v/>
      </c>
      <c r="G895" s="106">
        <f>IF($J895="","",INDEX(LevelLabels,MATCH(F895,LevelValues,1)))</f>
        <v/>
      </c>
      <c r="H895" s="106">
        <f>IF($J895="","",IFERROR(INDEX(Stu_ContactReq,MATCH(C895,Stu_ID,0)),""))</f>
        <v/>
      </c>
      <c r="I895" s="107">
        <f>IF($J895="","",IFERROR(INDEX(Stu_Notes,MATCH(C895,Stu_ID,0)),""))</f>
        <v/>
      </c>
      <c r="J895" s="40">
        <f>IF(890&gt;$B$3,"",IFERROR(MATCH(890-1,EV_Seq,1)+1,1))</f>
        <v/>
      </c>
    </row>
    <row r="896">
      <c r="A896" s="105">
        <f>IF($J896="","",INDEX(EV_Date,$J896))</f>
        <v/>
      </c>
      <c r="B896" s="78">
        <f>IF($J896="","",INDEX(EV_Name,$J896))</f>
        <v/>
      </c>
      <c r="C896" s="106">
        <f>IF($J896="","",INDEX(EV_ID,$J896))</f>
        <v/>
      </c>
      <c r="D896" s="106">
        <f>IF($J896="","",INDEX(EV_Class,$J896))</f>
        <v/>
      </c>
      <c r="E896" s="106">
        <f>IF($J896="","",INDEX(EV_Type,$J896))</f>
        <v/>
      </c>
      <c r="F896" s="106">
        <f>IF($J896="","",INDEX(EV_Cum,$J896))</f>
        <v/>
      </c>
      <c r="G896" s="106">
        <f>IF($J896="","",INDEX(LevelLabels,MATCH(F896,LevelValues,1)))</f>
        <v/>
      </c>
      <c r="H896" s="106">
        <f>IF($J896="","",IFERROR(INDEX(Stu_ContactReq,MATCH(C896,Stu_ID,0)),""))</f>
        <v/>
      </c>
      <c r="I896" s="107">
        <f>IF($J896="","",IFERROR(INDEX(Stu_Notes,MATCH(C896,Stu_ID,0)),""))</f>
        <v/>
      </c>
      <c r="J896" s="40">
        <f>IF(891&gt;$B$3,"",IFERROR(MATCH(891-1,EV_Seq,1)+1,1))</f>
        <v/>
      </c>
    </row>
    <row r="897">
      <c r="A897" s="105">
        <f>IF($J897="","",INDEX(EV_Date,$J897))</f>
        <v/>
      </c>
      <c r="B897" s="78">
        <f>IF($J897="","",INDEX(EV_Name,$J897))</f>
        <v/>
      </c>
      <c r="C897" s="106">
        <f>IF($J897="","",INDEX(EV_ID,$J897))</f>
        <v/>
      </c>
      <c r="D897" s="106">
        <f>IF($J897="","",INDEX(EV_Class,$J897))</f>
        <v/>
      </c>
      <c r="E897" s="106">
        <f>IF($J897="","",INDEX(EV_Type,$J897))</f>
        <v/>
      </c>
      <c r="F897" s="106">
        <f>IF($J897="","",INDEX(EV_Cum,$J897))</f>
        <v/>
      </c>
      <c r="G897" s="106">
        <f>IF($J897="","",INDEX(LevelLabels,MATCH(F897,LevelValues,1)))</f>
        <v/>
      </c>
      <c r="H897" s="106">
        <f>IF($J897="","",IFERROR(INDEX(Stu_ContactReq,MATCH(C897,Stu_ID,0)),""))</f>
        <v/>
      </c>
      <c r="I897" s="107">
        <f>IF($J897="","",IFERROR(INDEX(Stu_Notes,MATCH(C897,Stu_ID,0)),""))</f>
        <v/>
      </c>
      <c r="J897" s="40">
        <f>IF(892&gt;$B$3,"",IFERROR(MATCH(892-1,EV_Seq,1)+1,1))</f>
        <v/>
      </c>
    </row>
    <row r="898">
      <c r="A898" s="105">
        <f>IF($J898="","",INDEX(EV_Date,$J898))</f>
        <v/>
      </c>
      <c r="B898" s="78">
        <f>IF($J898="","",INDEX(EV_Name,$J898))</f>
        <v/>
      </c>
      <c r="C898" s="106">
        <f>IF($J898="","",INDEX(EV_ID,$J898))</f>
        <v/>
      </c>
      <c r="D898" s="106">
        <f>IF($J898="","",INDEX(EV_Class,$J898))</f>
        <v/>
      </c>
      <c r="E898" s="106">
        <f>IF($J898="","",INDEX(EV_Type,$J898))</f>
        <v/>
      </c>
      <c r="F898" s="106">
        <f>IF($J898="","",INDEX(EV_Cum,$J898))</f>
        <v/>
      </c>
      <c r="G898" s="106">
        <f>IF($J898="","",INDEX(LevelLabels,MATCH(F898,LevelValues,1)))</f>
        <v/>
      </c>
      <c r="H898" s="106">
        <f>IF($J898="","",IFERROR(INDEX(Stu_ContactReq,MATCH(C898,Stu_ID,0)),""))</f>
        <v/>
      </c>
      <c r="I898" s="107">
        <f>IF($J898="","",IFERROR(INDEX(Stu_Notes,MATCH(C898,Stu_ID,0)),""))</f>
        <v/>
      </c>
      <c r="J898" s="40">
        <f>IF(893&gt;$B$3,"",IFERROR(MATCH(893-1,EV_Seq,1)+1,1))</f>
        <v/>
      </c>
    </row>
    <row r="899">
      <c r="A899" s="105">
        <f>IF($J899="","",INDEX(EV_Date,$J899))</f>
        <v/>
      </c>
      <c r="B899" s="78">
        <f>IF($J899="","",INDEX(EV_Name,$J899))</f>
        <v/>
      </c>
      <c r="C899" s="106">
        <f>IF($J899="","",INDEX(EV_ID,$J899))</f>
        <v/>
      </c>
      <c r="D899" s="106">
        <f>IF($J899="","",INDEX(EV_Class,$J899))</f>
        <v/>
      </c>
      <c r="E899" s="106">
        <f>IF($J899="","",INDEX(EV_Type,$J899))</f>
        <v/>
      </c>
      <c r="F899" s="106">
        <f>IF($J899="","",INDEX(EV_Cum,$J899))</f>
        <v/>
      </c>
      <c r="G899" s="106">
        <f>IF($J899="","",INDEX(LevelLabels,MATCH(F899,LevelValues,1)))</f>
        <v/>
      </c>
      <c r="H899" s="106">
        <f>IF($J899="","",IFERROR(INDEX(Stu_ContactReq,MATCH(C899,Stu_ID,0)),""))</f>
        <v/>
      </c>
      <c r="I899" s="107">
        <f>IF($J899="","",IFERROR(INDEX(Stu_Notes,MATCH(C899,Stu_ID,0)),""))</f>
        <v/>
      </c>
      <c r="J899" s="40">
        <f>IF(894&gt;$B$3,"",IFERROR(MATCH(894-1,EV_Seq,1)+1,1))</f>
        <v/>
      </c>
    </row>
    <row r="900">
      <c r="A900" s="105">
        <f>IF($J900="","",INDEX(EV_Date,$J900))</f>
        <v/>
      </c>
      <c r="B900" s="78">
        <f>IF($J900="","",INDEX(EV_Name,$J900))</f>
        <v/>
      </c>
      <c r="C900" s="106">
        <f>IF($J900="","",INDEX(EV_ID,$J900))</f>
        <v/>
      </c>
      <c r="D900" s="106">
        <f>IF($J900="","",INDEX(EV_Class,$J900))</f>
        <v/>
      </c>
      <c r="E900" s="106">
        <f>IF($J900="","",INDEX(EV_Type,$J900))</f>
        <v/>
      </c>
      <c r="F900" s="106">
        <f>IF($J900="","",INDEX(EV_Cum,$J900))</f>
        <v/>
      </c>
      <c r="G900" s="106">
        <f>IF($J900="","",INDEX(LevelLabels,MATCH(F900,LevelValues,1)))</f>
        <v/>
      </c>
      <c r="H900" s="106">
        <f>IF($J900="","",IFERROR(INDEX(Stu_ContactReq,MATCH(C900,Stu_ID,0)),""))</f>
        <v/>
      </c>
      <c r="I900" s="107">
        <f>IF($J900="","",IFERROR(INDEX(Stu_Notes,MATCH(C900,Stu_ID,0)),""))</f>
        <v/>
      </c>
      <c r="J900" s="40">
        <f>IF(895&gt;$B$3,"",IFERROR(MATCH(895-1,EV_Seq,1)+1,1))</f>
        <v/>
      </c>
    </row>
    <row r="901">
      <c r="A901" s="105">
        <f>IF($J901="","",INDEX(EV_Date,$J901))</f>
        <v/>
      </c>
      <c r="B901" s="78">
        <f>IF($J901="","",INDEX(EV_Name,$J901))</f>
        <v/>
      </c>
      <c r="C901" s="106">
        <f>IF($J901="","",INDEX(EV_ID,$J901))</f>
        <v/>
      </c>
      <c r="D901" s="106">
        <f>IF($J901="","",INDEX(EV_Class,$J901))</f>
        <v/>
      </c>
      <c r="E901" s="106">
        <f>IF($J901="","",INDEX(EV_Type,$J901))</f>
        <v/>
      </c>
      <c r="F901" s="106">
        <f>IF($J901="","",INDEX(EV_Cum,$J901))</f>
        <v/>
      </c>
      <c r="G901" s="106">
        <f>IF($J901="","",INDEX(LevelLabels,MATCH(F901,LevelValues,1)))</f>
        <v/>
      </c>
      <c r="H901" s="106">
        <f>IF($J901="","",IFERROR(INDEX(Stu_ContactReq,MATCH(C901,Stu_ID,0)),""))</f>
        <v/>
      </c>
      <c r="I901" s="107">
        <f>IF($J901="","",IFERROR(INDEX(Stu_Notes,MATCH(C901,Stu_ID,0)),""))</f>
        <v/>
      </c>
      <c r="J901" s="40">
        <f>IF(896&gt;$B$3,"",IFERROR(MATCH(896-1,EV_Seq,1)+1,1))</f>
        <v/>
      </c>
    </row>
    <row r="902">
      <c r="A902" s="105">
        <f>IF($J902="","",INDEX(EV_Date,$J902))</f>
        <v/>
      </c>
      <c r="B902" s="78">
        <f>IF($J902="","",INDEX(EV_Name,$J902))</f>
        <v/>
      </c>
      <c r="C902" s="106">
        <f>IF($J902="","",INDEX(EV_ID,$J902))</f>
        <v/>
      </c>
      <c r="D902" s="106">
        <f>IF($J902="","",INDEX(EV_Class,$J902))</f>
        <v/>
      </c>
      <c r="E902" s="106">
        <f>IF($J902="","",INDEX(EV_Type,$J902))</f>
        <v/>
      </c>
      <c r="F902" s="106">
        <f>IF($J902="","",INDEX(EV_Cum,$J902))</f>
        <v/>
      </c>
      <c r="G902" s="106">
        <f>IF($J902="","",INDEX(LevelLabels,MATCH(F902,LevelValues,1)))</f>
        <v/>
      </c>
      <c r="H902" s="106">
        <f>IF($J902="","",IFERROR(INDEX(Stu_ContactReq,MATCH(C902,Stu_ID,0)),""))</f>
        <v/>
      </c>
      <c r="I902" s="107">
        <f>IF($J902="","",IFERROR(INDEX(Stu_Notes,MATCH(C902,Stu_ID,0)),""))</f>
        <v/>
      </c>
      <c r="J902" s="40">
        <f>IF(897&gt;$B$3,"",IFERROR(MATCH(897-1,EV_Seq,1)+1,1))</f>
        <v/>
      </c>
    </row>
    <row r="903">
      <c r="A903" s="105">
        <f>IF($J903="","",INDEX(EV_Date,$J903))</f>
        <v/>
      </c>
      <c r="B903" s="78">
        <f>IF($J903="","",INDEX(EV_Name,$J903))</f>
        <v/>
      </c>
      <c r="C903" s="106">
        <f>IF($J903="","",INDEX(EV_ID,$J903))</f>
        <v/>
      </c>
      <c r="D903" s="106">
        <f>IF($J903="","",INDEX(EV_Class,$J903))</f>
        <v/>
      </c>
      <c r="E903" s="106">
        <f>IF($J903="","",INDEX(EV_Type,$J903))</f>
        <v/>
      </c>
      <c r="F903" s="106">
        <f>IF($J903="","",INDEX(EV_Cum,$J903))</f>
        <v/>
      </c>
      <c r="G903" s="106">
        <f>IF($J903="","",INDEX(LevelLabels,MATCH(F903,LevelValues,1)))</f>
        <v/>
      </c>
      <c r="H903" s="106">
        <f>IF($J903="","",IFERROR(INDEX(Stu_ContactReq,MATCH(C903,Stu_ID,0)),""))</f>
        <v/>
      </c>
      <c r="I903" s="107">
        <f>IF($J903="","",IFERROR(INDEX(Stu_Notes,MATCH(C903,Stu_ID,0)),""))</f>
        <v/>
      </c>
      <c r="J903" s="40">
        <f>IF(898&gt;$B$3,"",IFERROR(MATCH(898-1,EV_Seq,1)+1,1))</f>
        <v/>
      </c>
    </row>
    <row r="904">
      <c r="A904" s="105">
        <f>IF($J904="","",INDEX(EV_Date,$J904))</f>
        <v/>
      </c>
      <c r="B904" s="78">
        <f>IF($J904="","",INDEX(EV_Name,$J904))</f>
        <v/>
      </c>
      <c r="C904" s="106">
        <f>IF($J904="","",INDEX(EV_ID,$J904))</f>
        <v/>
      </c>
      <c r="D904" s="106">
        <f>IF($J904="","",INDEX(EV_Class,$J904))</f>
        <v/>
      </c>
      <c r="E904" s="106">
        <f>IF($J904="","",INDEX(EV_Type,$J904))</f>
        <v/>
      </c>
      <c r="F904" s="106">
        <f>IF($J904="","",INDEX(EV_Cum,$J904))</f>
        <v/>
      </c>
      <c r="G904" s="106">
        <f>IF($J904="","",INDEX(LevelLabels,MATCH(F904,LevelValues,1)))</f>
        <v/>
      </c>
      <c r="H904" s="106">
        <f>IF($J904="","",IFERROR(INDEX(Stu_ContactReq,MATCH(C904,Stu_ID,0)),""))</f>
        <v/>
      </c>
      <c r="I904" s="107">
        <f>IF($J904="","",IFERROR(INDEX(Stu_Notes,MATCH(C904,Stu_ID,0)),""))</f>
        <v/>
      </c>
      <c r="J904" s="40">
        <f>IF(899&gt;$B$3,"",IFERROR(MATCH(899-1,EV_Seq,1)+1,1))</f>
        <v/>
      </c>
    </row>
    <row r="905">
      <c r="A905" s="105">
        <f>IF($J905="","",INDEX(EV_Date,$J905))</f>
        <v/>
      </c>
      <c r="B905" s="78">
        <f>IF($J905="","",INDEX(EV_Name,$J905))</f>
        <v/>
      </c>
      <c r="C905" s="106">
        <f>IF($J905="","",INDEX(EV_ID,$J905))</f>
        <v/>
      </c>
      <c r="D905" s="106">
        <f>IF($J905="","",INDEX(EV_Class,$J905))</f>
        <v/>
      </c>
      <c r="E905" s="106">
        <f>IF($J905="","",INDEX(EV_Type,$J905))</f>
        <v/>
      </c>
      <c r="F905" s="106">
        <f>IF($J905="","",INDEX(EV_Cum,$J905))</f>
        <v/>
      </c>
      <c r="G905" s="106">
        <f>IF($J905="","",INDEX(LevelLabels,MATCH(F905,LevelValues,1)))</f>
        <v/>
      </c>
      <c r="H905" s="106">
        <f>IF($J905="","",IFERROR(INDEX(Stu_ContactReq,MATCH(C905,Stu_ID,0)),""))</f>
        <v/>
      </c>
      <c r="I905" s="107">
        <f>IF($J905="","",IFERROR(INDEX(Stu_Notes,MATCH(C905,Stu_ID,0)),""))</f>
        <v/>
      </c>
      <c r="J905" s="40">
        <f>IF(900&gt;$B$3,"",IFERROR(MATCH(900-1,EV_Seq,1)+1,1))</f>
        <v/>
      </c>
    </row>
    <row r="906">
      <c r="A906" s="105">
        <f>IF($J906="","",INDEX(EV_Date,$J906))</f>
        <v/>
      </c>
      <c r="B906" s="78">
        <f>IF($J906="","",INDEX(EV_Name,$J906))</f>
        <v/>
      </c>
      <c r="C906" s="106">
        <f>IF($J906="","",INDEX(EV_ID,$J906))</f>
        <v/>
      </c>
      <c r="D906" s="106">
        <f>IF($J906="","",INDEX(EV_Class,$J906))</f>
        <v/>
      </c>
      <c r="E906" s="106">
        <f>IF($J906="","",INDEX(EV_Type,$J906))</f>
        <v/>
      </c>
      <c r="F906" s="106">
        <f>IF($J906="","",INDEX(EV_Cum,$J906))</f>
        <v/>
      </c>
      <c r="G906" s="106">
        <f>IF($J906="","",INDEX(LevelLabels,MATCH(F906,LevelValues,1)))</f>
        <v/>
      </c>
      <c r="H906" s="106">
        <f>IF($J906="","",IFERROR(INDEX(Stu_ContactReq,MATCH(C906,Stu_ID,0)),""))</f>
        <v/>
      </c>
      <c r="I906" s="107">
        <f>IF($J906="","",IFERROR(INDEX(Stu_Notes,MATCH(C906,Stu_ID,0)),""))</f>
        <v/>
      </c>
      <c r="J906" s="40">
        <f>IF(901&gt;$B$3,"",IFERROR(MATCH(901-1,EV_Seq,1)+1,1))</f>
        <v/>
      </c>
    </row>
    <row r="907">
      <c r="A907" s="105">
        <f>IF($J907="","",INDEX(EV_Date,$J907))</f>
        <v/>
      </c>
      <c r="B907" s="78">
        <f>IF($J907="","",INDEX(EV_Name,$J907))</f>
        <v/>
      </c>
      <c r="C907" s="106">
        <f>IF($J907="","",INDEX(EV_ID,$J907))</f>
        <v/>
      </c>
      <c r="D907" s="106">
        <f>IF($J907="","",INDEX(EV_Class,$J907))</f>
        <v/>
      </c>
      <c r="E907" s="106">
        <f>IF($J907="","",INDEX(EV_Type,$J907))</f>
        <v/>
      </c>
      <c r="F907" s="106">
        <f>IF($J907="","",INDEX(EV_Cum,$J907))</f>
        <v/>
      </c>
      <c r="G907" s="106">
        <f>IF($J907="","",INDEX(LevelLabels,MATCH(F907,LevelValues,1)))</f>
        <v/>
      </c>
      <c r="H907" s="106">
        <f>IF($J907="","",IFERROR(INDEX(Stu_ContactReq,MATCH(C907,Stu_ID,0)),""))</f>
        <v/>
      </c>
      <c r="I907" s="107">
        <f>IF($J907="","",IFERROR(INDEX(Stu_Notes,MATCH(C907,Stu_ID,0)),""))</f>
        <v/>
      </c>
      <c r="J907" s="40">
        <f>IF(902&gt;$B$3,"",IFERROR(MATCH(902-1,EV_Seq,1)+1,1))</f>
        <v/>
      </c>
    </row>
    <row r="908">
      <c r="A908" s="105">
        <f>IF($J908="","",INDEX(EV_Date,$J908))</f>
        <v/>
      </c>
      <c r="B908" s="78">
        <f>IF($J908="","",INDEX(EV_Name,$J908))</f>
        <v/>
      </c>
      <c r="C908" s="106">
        <f>IF($J908="","",INDEX(EV_ID,$J908))</f>
        <v/>
      </c>
      <c r="D908" s="106">
        <f>IF($J908="","",INDEX(EV_Class,$J908))</f>
        <v/>
      </c>
      <c r="E908" s="106">
        <f>IF($J908="","",INDEX(EV_Type,$J908))</f>
        <v/>
      </c>
      <c r="F908" s="106">
        <f>IF($J908="","",INDEX(EV_Cum,$J908))</f>
        <v/>
      </c>
      <c r="G908" s="106">
        <f>IF($J908="","",INDEX(LevelLabels,MATCH(F908,LevelValues,1)))</f>
        <v/>
      </c>
      <c r="H908" s="106">
        <f>IF($J908="","",IFERROR(INDEX(Stu_ContactReq,MATCH(C908,Stu_ID,0)),""))</f>
        <v/>
      </c>
      <c r="I908" s="107">
        <f>IF($J908="","",IFERROR(INDEX(Stu_Notes,MATCH(C908,Stu_ID,0)),""))</f>
        <v/>
      </c>
      <c r="J908" s="40">
        <f>IF(903&gt;$B$3,"",IFERROR(MATCH(903-1,EV_Seq,1)+1,1))</f>
        <v/>
      </c>
    </row>
    <row r="909">
      <c r="A909" s="105">
        <f>IF($J909="","",INDEX(EV_Date,$J909))</f>
        <v/>
      </c>
      <c r="B909" s="78">
        <f>IF($J909="","",INDEX(EV_Name,$J909))</f>
        <v/>
      </c>
      <c r="C909" s="106">
        <f>IF($J909="","",INDEX(EV_ID,$J909))</f>
        <v/>
      </c>
      <c r="D909" s="106">
        <f>IF($J909="","",INDEX(EV_Class,$J909))</f>
        <v/>
      </c>
      <c r="E909" s="106">
        <f>IF($J909="","",INDEX(EV_Type,$J909))</f>
        <v/>
      </c>
      <c r="F909" s="106">
        <f>IF($J909="","",INDEX(EV_Cum,$J909))</f>
        <v/>
      </c>
      <c r="G909" s="106">
        <f>IF($J909="","",INDEX(LevelLabels,MATCH(F909,LevelValues,1)))</f>
        <v/>
      </c>
      <c r="H909" s="106">
        <f>IF($J909="","",IFERROR(INDEX(Stu_ContactReq,MATCH(C909,Stu_ID,0)),""))</f>
        <v/>
      </c>
      <c r="I909" s="107">
        <f>IF($J909="","",IFERROR(INDEX(Stu_Notes,MATCH(C909,Stu_ID,0)),""))</f>
        <v/>
      </c>
      <c r="J909" s="40">
        <f>IF(904&gt;$B$3,"",IFERROR(MATCH(904-1,EV_Seq,1)+1,1))</f>
        <v/>
      </c>
    </row>
    <row r="910">
      <c r="A910" s="105">
        <f>IF($J910="","",INDEX(EV_Date,$J910))</f>
        <v/>
      </c>
      <c r="B910" s="78">
        <f>IF($J910="","",INDEX(EV_Name,$J910))</f>
        <v/>
      </c>
      <c r="C910" s="106">
        <f>IF($J910="","",INDEX(EV_ID,$J910))</f>
        <v/>
      </c>
      <c r="D910" s="106">
        <f>IF($J910="","",INDEX(EV_Class,$J910))</f>
        <v/>
      </c>
      <c r="E910" s="106">
        <f>IF($J910="","",INDEX(EV_Type,$J910))</f>
        <v/>
      </c>
      <c r="F910" s="106">
        <f>IF($J910="","",INDEX(EV_Cum,$J910))</f>
        <v/>
      </c>
      <c r="G910" s="106">
        <f>IF($J910="","",INDEX(LevelLabels,MATCH(F910,LevelValues,1)))</f>
        <v/>
      </c>
      <c r="H910" s="106">
        <f>IF($J910="","",IFERROR(INDEX(Stu_ContactReq,MATCH(C910,Stu_ID,0)),""))</f>
        <v/>
      </c>
      <c r="I910" s="107">
        <f>IF($J910="","",IFERROR(INDEX(Stu_Notes,MATCH(C910,Stu_ID,0)),""))</f>
        <v/>
      </c>
      <c r="J910" s="40">
        <f>IF(905&gt;$B$3,"",IFERROR(MATCH(905-1,EV_Seq,1)+1,1))</f>
        <v/>
      </c>
    </row>
    <row r="911">
      <c r="A911" s="105">
        <f>IF($J911="","",INDEX(EV_Date,$J911))</f>
        <v/>
      </c>
      <c r="B911" s="78">
        <f>IF($J911="","",INDEX(EV_Name,$J911))</f>
        <v/>
      </c>
      <c r="C911" s="106">
        <f>IF($J911="","",INDEX(EV_ID,$J911))</f>
        <v/>
      </c>
      <c r="D911" s="106">
        <f>IF($J911="","",INDEX(EV_Class,$J911))</f>
        <v/>
      </c>
      <c r="E911" s="106">
        <f>IF($J911="","",INDEX(EV_Type,$J911))</f>
        <v/>
      </c>
      <c r="F911" s="106">
        <f>IF($J911="","",INDEX(EV_Cum,$J911))</f>
        <v/>
      </c>
      <c r="G911" s="106">
        <f>IF($J911="","",INDEX(LevelLabels,MATCH(F911,LevelValues,1)))</f>
        <v/>
      </c>
      <c r="H911" s="106">
        <f>IF($J911="","",IFERROR(INDEX(Stu_ContactReq,MATCH(C911,Stu_ID,0)),""))</f>
        <v/>
      </c>
      <c r="I911" s="107">
        <f>IF($J911="","",IFERROR(INDEX(Stu_Notes,MATCH(C911,Stu_ID,0)),""))</f>
        <v/>
      </c>
      <c r="J911" s="40">
        <f>IF(906&gt;$B$3,"",IFERROR(MATCH(906-1,EV_Seq,1)+1,1))</f>
        <v/>
      </c>
    </row>
    <row r="912">
      <c r="A912" s="105">
        <f>IF($J912="","",INDEX(EV_Date,$J912))</f>
        <v/>
      </c>
      <c r="B912" s="78">
        <f>IF($J912="","",INDEX(EV_Name,$J912))</f>
        <v/>
      </c>
      <c r="C912" s="106">
        <f>IF($J912="","",INDEX(EV_ID,$J912))</f>
        <v/>
      </c>
      <c r="D912" s="106">
        <f>IF($J912="","",INDEX(EV_Class,$J912))</f>
        <v/>
      </c>
      <c r="E912" s="106">
        <f>IF($J912="","",INDEX(EV_Type,$J912))</f>
        <v/>
      </c>
      <c r="F912" s="106">
        <f>IF($J912="","",INDEX(EV_Cum,$J912))</f>
        <v/>
      </c>
      <c r="G912" s="106">
        <f>IF($J912="","",INDEX(LevelLabels,MATCH(F912,LevelValues,1)))</f>
        <v/>
      </c>
      <c r="H912" s="106">
        <f>IF($J912="","",IFERROR(INDEX(Stu_ContactReq,MATCH(C912,Stu_ID,0)),""))</f>
        <v/>
      </c>
      <c r="I912" s="107">
        <f>IF($J912="","",IFERROR(INDEX(Stu_Notes,MATCH(C912,Stu_ID,0)),""))</f>
        <v/>
      </c>
      <c r="J912" s="40">
        <f>IF(907&gt;$B$3,"",IFERROR(MATCH(907-1,EV_Seq,1)+1,1))</f>
        <v/>
      </c>
    </row>
    <row r="913">
      <c r="A913" s="105">
        <f>IF($J913="","",INDEX(EV_Date,$J913))</f>
        <v/>
      </c>
      <c r="B913" s="78">
        <f>IF($J913="","",INDEX(EV_Name,$J913))</f>
        <v/>
      </c>
      <c r="C913" s="106">
        <f>IF($J913="","",INDEX(EV_ID,$J913))</f>
        <v/>
      </c>
      <c r="D913" s="106">
        <f>IF($J913="","",INDEX(EV_Class,$J913))</f>
        <v/>
      </c>
      <c r="E913" s="106">
        <f>IF($J913="","",INDEX(EV_Type,$J913))</f>
        <v/>
      </c>
      <c r="F913" s="106">
        <f>IF($J913="","",INDEX(EV_Cum,$J913))</f>
        <v/>
      </c>
      <c r="G913" s="106">
        <f>IF($J913="","",INDEX(LevelLabels,MATCH(F913,LevelValues,1)))</f>
        <v/>
      </c>
      <c r="H913" s="106">
        <f>IF($J913="","",IFERROR(INDEX(Stu_ContactReq,MATCH(C913,Stu_ID,0)),""))</f>
        <v/>
      </c>
      <c r="I913" s="107">
        <f>IF($J913="","",IFERROR(INDEX(Stu_Notes,MATCH(C913,Stu_ID,0)),""))</f>
        <v/>
      </c>
      <c r="J913" s="40">
        <f>IF(908&gt;$B$3,"",IFERROR(MATCH(908-1,EV_Seq,1)+1,1))</f>
        <v/>
      </c>
    </row>
    <row r="914">
      <c r="A914" s="105">
        <f>IF($J914="","",INDEX(EV_Date,$J914))</f>
        <v/>
      </c>
      <c r="B914" s="78">
        <f>IF($J914="","",INDEX(EV_Name,$J914))</f>
        <v/>
      </c>
      <c r="C914" s="106">
        <f>IF($J914="","",INDEX(EV_ID,$J914))</f>
        <v/>
      </c>
      <c r="D914" s="106">
        <f>IF($J914="","",INDEX(EV_Class,$J914))</f>
        <v/>
      </c>
      <c r="E914" s="106">
        <f>IF($J914="","",INDEX(EV_Type,$J914))</f>
        <v/>
      </c>
      <c r="F914" s="106">
        <f>IF($J914="","",INDEX(EV_Cum,$J914))</f>
        <v/>
      </c>
      <c r="G914" s="106">
        <f>IF($J914="","",INDEX(LevelLabels,MATCH(F914,LevelValues,1)))</f>
        <v/>
      </c>
      <c r="H914" s="106">
        <f>IF($J914="","",IFERROR(INDEX(Stu_ContactReq,MATCH(C914,Stu_ID,0)),""))</f>
        <v/>
      </c>
      <c r="I914" s="107">
        <f>IF($J914="","",IFERROR(INDEX(Stu_Notes,MATCH(C914,Stu_ID,0)),""))</f>
        <v/>
      </c>
      <c r="J914" s="40">
        <f>IF(909&gt;$B$3,"",IFERROR(MATCH(909-1,EV_Seq,1)+1,1))</f>
        <v/>
      </c>
    </row>
    <row r="915">
      <c r="A915" s="105">
        <f>IF($J915="","",INDEX(EV_Date,$J915))</f>
        <v/>
      </c>
      <c r="B915" s="78">
        <f>IF($J915="","",INDEX(EV_Name,$J915))</f>
        <v/>
      </c>
      <c r="C915" s="106">
        <f>IF($J915="","",INDEX(EV_ID,$J915))</f>
        <v/>
      </c>
      <c r="D915" s="106">
        <f>IF($J915="","",INDEX(EV_Class,$J915))</f>
        <v/>
      </c>
      <c r="E915" s="106">
        <f>IF($J915="","",INDEX(EV_Type,$J915))</f>
        <v/>
      </c>
      <c r="F915" s="106">
        <f>IF($J915="","",INDEX(EV_Cum,$J915))</f>
        <v/>
      </c>
      <c r="G915" s="106">
        <f>IF($J915="","",INDEX(LevelLabels,MATCH(F915,LevelValues,1)))</f>
        <v/>
      </c>
      <c r="H915" s="106">
        <f>IF($J915="","",IFERROR(INDEX(Stu_ContactReq,MATCH(C915,Stu_ID,0)),""))</f>
        <v/>
      </c>
      <c r="I915" s="107">
        <f>IF($J915="","",IFERROR(INDEX(Stu_Notes,MATCH(C915,Stu_ID,0)),""))</f>
        <v/>
      </c>
      <c r="J915" s="40">
        <f>IF(910&gt;$B$3,"",IFERROR(MATCH(910-1,EV_Seq,1)+1,1))</f>
        <v/>
      </c>
    </row>
    <row r="916">
      <c r="A916" s="105">
        <f>IF($J916="","",INDEX(EV_Date,$J916))</f>
        <v/>
      </c>
      <c r="B916" s="78">
        <f>IF($J916="","",INDEX(EV_Name,$J916))</f>
        <v/>
      </c>
      <c r="C916" s="106">
        <f>IF($J916="","",INDEX(EV_ID,$J916))</f>
        <v/>
      </c>
      <c r="D916" s="106">
        <f>IF($J916="","",INDEX(EV_Class,$J916))</f>
        <v/>
      </c>
      <c r="E916" s="106">
        <f>IF($J916="","",INDEX(EV_Type,$J916))</f>
        <v/>
      </c>
      <c r="F916" s="106">
        <f>IF($J916="","",INDEX(EV_Cum,$J916))</f>
        <v/>
      </c>
      <c r="G916" s="106">
        <f>IF($J916="","",INDEX(LevelLabels,MATCH(F916,LevelValues,1)))</f>
        <v/>
      </c>
      <c r="H916" s="106">
        <f>IF($J916="","",IFERROR(INDEX(Stu_ContactReq,MATCH(C916,Stu_ID,0)),""))</f>
        <v/>
      </c>
      <c r="I916" s="107">
        <f>IF($J916="","",IFERROR(INDEX(Stu_Notes,MATCH(C916,Stu_ID,0)),""))</f>
        <v/>
      </c>
      <c r="J916" s="40">
        <f>IF(911&gt;$B$3,"",IFERROR(MATCH(911-1,EV_Seq,1)+1,1))</f>
        <v/>
      </c>
    </row>
    <row r="917">
      <c r="A917" s="105">
        <f>IF($J917="","",INDEX(EV_Date,$J917))</f>
        <v/>
      </c>
      <c r="B917" s="78">
        <f>IF($J917="","",INDEX(EV_Name,$J917))</f>
        <v/>
      </c>
      <c r="C917" s="106">
        <f>IF($J917="","",INDEX(EV_ID,$J917))</f>
        <v/>
      </c>
      <c r="D917" s="106">
        <f>IF($J917="","",INDEX(EV_Class,$J917))</f>
        <v/>
      </c>
      <c r="E917" s="106">
        <f>IF($J917="","",INDEX(EV_Type,$J917))</f>
        <v/>
      </c>
      <c r="F917" s="106">
        <f>IF($J917="","",INDEX(EV_Cum,$J917))</f>
        <v/>
      </c>
      <c r="G917" s="106">
        <f>IF($J917="","",INDEX(LevelLabels,MATCH(F917,LevelValues,1)))</f>
        <v/>
      </c>
      <c r="H917" s="106">
        <f>IF($J917="","",IFERROR(INDEX(Stu_ContactReq,MATCH(C917,Stu_ID,0)),""))</f>
        <v/>
      </c>
      <c r="I917" s="107">
        <f>IF($J917="","",IFERROR(INDEX(Stu_Notes,MATCH(C917,Stu_ID,0)),""))</f>
        <v/>
      </c>
      <c r="J917" s="40">
        <f>IF(912&gt;$B$3,"",IFERROR(MATCH(912-1,EV_Seq,1)+1,1))</f>
        <v/>
      </c>
    </row>
    <row r="918">
      <c r="A918" s="105">
        <f>IF($J918="","",INDEX(EV_Date,$J918))</f>
        <v/>
      </c>
      <c r="B918" s="78">
        <f>IF($J918="","",INDEX(EV_Name,$J918))</f>
        <v/>
      </c>
      <c r="C918" s="106">
        <f>IF($J918="","",INDEX(EV_ID,$J918))</f>
        <v/>
      </c>
      <c r="D918" s="106">
        <f>IF($J918="","",INDEX(EV_Class,$J918))</f>
        <v/>
      </c>
      <c r="E918" s="106">
        <f>IF($J918="","",INDEX(EV_Type,$J918))</f>
        <v/>
      </c>
      <c r="F918" s="106">
        <f>IF($J918="","",INDEX(EV_Cum,$J918))</f>
        <v/>
      </c>
      <c r="G918" s="106">
        <f>IF($J918="","",INDEX(LevelLabels,MATCH(F918,LevelValues,1)))</f>
        <v/>
      </c>
      <c r="H918" s="106">
        <f>IF($J918="","",IFERROR(INDEX(Stu_ContactReq,MATCH(C918,Stu_ID,0)),""))</f>
        <v/>
      </c>
      <c r="I918" s="107">
        <f>IF($J918="","",IFERROR(INDEX(Stu_Notes,MATCH(C918,Stu_ID,0)),""))</f>
        <v/>
      </c>
      <c r="J918" s="40">
        <f>IF(913&gt;$B$3,"",IFERROR(MATCH(913-1,EV_Seq,1)+1,1))</f>
        <v/>
      </c>
    </row>
    <row r="919">
      <c r="A919" s="105">
        <f>IF($J919="","",INDEX(EV_Date,$J919))</f>
        <v/>
      </c>
      <c r="B919" s="78">
        <f>IF($J919="","",INDEX(EV_Name,$J919))</f>
        <v/>
      </c>
      <c r="C919" s="106">
        <f>IF($J919="","",INDEX(EV_ID,$J919))</f>
        <v/>
      </c>
      <c r="D919" s="106">
        <f>IF($J919="","",INDEX(EV_Class,$J919))</f>
        <v/>
      </c>
      <c r="E919" s="106">
        <f>IF($J919="","",INDEX(EV_Type,$J919))</f>
        <v/>
      </c>
      <c r="F919" s="106">
        <f>IF($J919="","",INDEX(EV_Cum,$J919))</f>
        <v/>
      </c>
      <c r="G919" s="106">
        <f>IF($J919="","",INDEX(LevelLabels,MATCH(F919,LevelValues,1)))</f>
        <v/>
      </c>
      <c r="H919" s="106">
        <f>IF($J919="","",IFERROR(INDEX(Stu_ContactReq,MATCH(C919,Stu_ID,0)),""))</f>
        <v/>
      </c>
      <c r="I919" s="107">
        <f>IF($J919="","",IFERROR(INDEX(Stu_Notes,MATCH(C919,Stu_ID,0)),""))</f>
        <v/>
      </c>
      <c r="J919" s="40">
        <f>IF(914&gt;$B$3,"",IFERROR(MATCH(914-1,EV_Seq,1)+1,1))</f>
        <v/>
      </c>
    </row>
    <row r="920">
      <c r="A920" s="105">
        <f>IF($J920="","",INDEX(EV_Date,$J920))</f>
        <v/>
      </c>
      <c r="B920" s="78">
        <f>IF($J920="","",INDEX(EV_Name,$J920))</f>
        <v/>
      </c>
      <c r="C920" s="106">
        <f>IF($J920="","",INDEX(EV_ID,$J920))</f>
        <v/>
      </c>
      <c r="D920" s="106">
        <f>IF($J920="","",INDEX(EV_Class,$J920))</f>
        <v/>
      </c>
      <c r="E920" s="106">
        <f>IF($J920="","",INDEX(EV_Type,$J920))</f>
        <v/>
      </c>
      <c r="F920" s="106">
        <f>IF($J920="","",INDEX(EV_Cum,$J920))</f>
        <v/>
      </c>
      <c r="G920" s="106">
        <f>IF($J920="","",INDEX(LevelLabels,MATCH(F920,LevelValues,1)))</f>
        <v/>
      </c>
      <c r="H920" s="106">
        <f>IF($J920="","",IFERROR(INDEX(Stu_ContactReq,MATCH(C920,Stu_ID,0)),""))</f>
        <v/>
      </c>
      <c r="I920" s="107">
        <f>IF($J920="","",IFERROR(INDEX(Stu_Notes,MATCH(C920,Stu_ID,0)),""))</f>
        <v/>
      </c>
      <c r="J920" s="40">
        <f>IF(915&gt;$B$3,"",IFERROR(MATCH(915-1,EV_Seq,1)+1,1))</f>
        <v/>
      </c>
    </row>
    <row r="921">
      <c r="A921" s="105">
        <f>IF($J921="","",INDEX(EV_Date,$J921))</f>
        <v/>
      </c>
      <c r="B921" s="78">
        <f>IF($J921="","",INDEX(EV_Name,$J921))</f>
        <v/>
      </c>
      <c r="C921" s="106">
        <f>IF($J921="","",INDEX(EV_ID,$J921))</f>
        <v/>
      </c>
      <c r="D921" s="106">
        <f>IF($J921="","",INDEX(EV_Class,$J921))</f>
        <v/>
      </c>
      <c r="E921" s="106">
        <f>IF($J921="","",INDEX(EV_Type,$J921))</f>
        <v/>
      </c>
      <c r="F921" s="106">
        <f>IF($J921="","",INDEX(EV_Cum,$J921))</f>
        <v/>
      </c>
      <c r="G921" s="106">
        <f>IF($J921="","",INDEX(LevelLabels,MATCH(F921,LevelValues,1)))</f>
        <v/>
      </c>
      <c r="H921" s="106">
        <f>IF($J921="","",IFERROR(INDEX(Stu_ContactReq,MATCH(C921,Stu_ID,0)),""))</f>
        <v/>
      </c>
      <c r="I921" s="107">
        <f>IF($J921="","",IFERROR(INDEX(Stu_Notes,MATCH(C921,Stu_ID,0)),""))</f>
        <v/>
      </c>
      <c r="J921" s="40">
        <f>IF(916&gt;$B$3,"",IFERROR(MATCH(916-1,EV_Seq,1)+1,1))</f>
        <v/>
      </c>
    </row>
    <row r="922">
      <c r="A922" s="105">
        <f>IF($J922="","",INDEX(EV_Date,$J922))</f>
        <v/>
      </c>
      <c r="B922" s="78">
        <f>IF($J922="","",INDEX(EV_Name,$J922))</f>
        <v/>
      </c>
      <c r="C922" s="106">
        <f>IF($J922="","",INDEX(EV_ID,$J922))</f>
        <v/>
      </c>
      <c r="D922" s="106">
        <f>IF($J922="","",INDEX(EV_Class,$J922))</f>
        <v/>
      </c>
      <c r="E922" s="106">
        <f>IF($J922="","",INDEX(EV_Type,$J922))</f>
        <v/>
      </c>
      <c r="F922" s="106">
        <f>IF($J922="","",INDEX(EV_Cum,$J922))</f>
        <v/>
      </c>
      <c r="G922" s="106">
        <f>IF($J922="","",INDEX(LevelLabels,MATCH(F922,LevelValues,1)))</f>
        <v/>
      </c>
      <c r="H922" s="106">
        <f>IF($J922="","",IFERROR(INDEX(Stu_ContactReq,MATCH(C922,Stu_ID,0)),""))</f>
        <v/>
      </c>
      <c r="I922" s="107">
        <f>IF($J922="","",IFERROR(INDEX(Stu_Notes,MATCH(C922,Stu_ID,0)),""))</f>
        <v/>
      </c>
      <c r="J922" s="40">
        <f>IF(917&gt;$B$3,"",IFERROR(MATCH(917-1,EV_Seq,1)+1,1))</f>
        <v/>
      </c>
    </row>
    <row r="923">
      <c r="A923" s="105">
        <f>IF($J923="","",INDEX(EV_Date,$J923))</f>
        <v/>
      </c>
      <c r="B923" s="78">
        <f>IF($J923="","",INDEX(EV_Name,$J923))</f>
        <v/>
      </c>
      <c r="C923" s="106">
        <f>IF($J923="","",INDEX(EV_ID,$J923))</f>
        <v/>
      </c>
      <c r="D923" s="106">
        <f>IF($J923="","",INDEX(EV_Class,$J923))</f>
        <v/>
      </c>
      <c r="E923" s="106">
        <f>IF($J923="","",INDEX(EV_Type,$J923))</f>
        <v/>
      </c>
      <c r="F923" s="106">
        <f>IF($J923="","",INDEX(EV_Cum,$J923))</f>
        <v/>
      </c>
      <c r="G923" s="106">
        <f>IF($J923="","",INDEX(LevelLabels,MATCH(F923,LevelValues,1)))</f>
        <v/>
      </c>
      <c r="H923" s="106">
        <f>IF($J923="","",IFERROR(INDEX(Stu_ContactReq,MATCH(C923,Stu_ID,0)),""))</f>
        <v/>
      </c>
      <c r="I923" s="107">
        <f>IF($J923="","",IFERROR(INDEX(Stu_Notes,MATCH(C923,Stu_ID,0)),""))</f>
        <v/>
      </c>
      <c r="J923" s="40">
        <f>IF(918&gt;$B$3,"",IFERROR(MATCH(918-1,EV_Seq,1)+1,1))</f>
        <v/>
      </c>
    </row>
    <row r="924">
      <c r="A924" s="105">
        <f>IF($J924="","",INDEX(EV_Date,$J924))</f>
        <v/>
      </c>
      <c r="B924" s="78">
        <f>IF($J924="","",INDEX(EV_Name,$J924))</f>
        <v/>
      </c>
      <c r="C924" s="106">
        <f>IF($J924="","",INDEX(EV_ID,$J924))</f>
        <v/>
      </c>
      <c r="D924" s="106">
        <f>IF($J924="","",INDEX(EV_Class,$J924))</f>
        <v/>
      </c>
      <c r="E924" s="106">
        <f>IF($J924="","",INDEX(EV_Type,$J924))</f>
        <v/>
      </c>
      <c r="F924" s="106">
        <f>IF($J924="","",INDEX(EV_Cum,$J924))</f>
        <v/>
      </c>
      <c r="G924" s="106">
        <f>IF($J924="","",INDEX(LevelLabels,MATCH(F924,LevelValues,1)))</f>
        <v/>
      </c>
      <c r="H924" s="106">
        <f>IF($J924="","",IFERROR(INDEX(Stu_ContactReq,MATCH(C924,Stu_ID,0)),""))</f>
        <v/>
      </c>
      <c r="I924" s="107">
        <f>IF($J924="","",IFERROR(INDEX(Stu_Notes,MATCH(C924,Stu_ID,0)),""))</f>
        <v/>
      </c>
      <c r="J924" s="40">
        <f>IF(919&gt;$B$3,"",IFERROR(MATCH(919-1,EV_Seq,1)+1,1))</f>
        <v/>
      </c>
    </row>
    <row r="925">
      <c r="A925" s="105">
        <f>IF($J925="","",INDEX(EV_Date,$J925))</f>
        <v/>
      </c>
      <c r="B925" s="78">
        <f>IF($J925="","",INDEX(EV_Name,$J925))</f>
        <v/>
      </c>
      <c r="C925" s="106">
        <f>IF($J925="","",INDEX(EV_ID,$J925))</f>
        <v/>
      </c>
      <c r="D925" s="106">
        <f>IF($J925="","",INDEX(EV_Class,$J925))</f>
        <v/>
      </c>
      <c r="E925" s="106">
        <f>IF($J925="","",INDEX(EV_Type,$J925))</f>
        <v/>
      </c>
      <c r="F925" s="106">
        <f>IF($J925="","",INDEX(EV_Cum,$J925))</f>
        <v/>
      </c>
      <c r="G925" s="106">
        <f>IF($J925="","",INDEX(LevelLabels,MATCH(F925,LevelValues,1)))</f>
        <v/>
      </c>
      <c r="H925" s="106">
        <f>IF($J925="","",IFERROR(INDEX(Stu_ContactReq,MATCH(C925,Stu_ID,0)),""))</f>
        <v/>
      </c>
      <c r="I925" s="107">
        <f>IF($J925="","",IFERROR(INDEX(Stu_Notes,MATCH(C925,Stu_ID,0)),""))</f>
        <v/>
      </c>
      <c r="J925" s="40">
        <f>IF(920&gt;$B$3,"",IFERROR(MATCH(920-1,EV_Seq,1)+1,1))</f>
        <v/>
      </c>
    </row>
    <row r="926">
      <c r="A926" s="105">
        <f>IF($J926="","",INDEX(EV_Date,$J926))</f>
        <v/>
      </c>
      <c r="B926" s="78">
        <f>IF($J926="","",INDEX(EV_Name,$J926))</f>
        <v/>
      </c>
      <c r="C926" s="106">
        <f>IF($J926="","",INDEX(EV_ID,$J926))</f>
        <v/>
      </c>
      <c r="D926" s="106">
        <f>IF($J926="","",INDEX(EV_Class,$J926))</f>
        <v/>
      </c>
      <c r="E926" s="106">
        <f>IF($J926="","",INDEX(EV_Type,$J926))</f>
        <v/>
      </c>
      <c r="F926" s="106">
        <f>IF($J926="","",INDEX(EV_Cum,$J926))</f>
        <v/>
      </c>
      <c r="G926" s="106">
        <f>IF($J926="","",INDEX(LevelLabels,MATCH(F926,LevelValues,1)))</f>
        <v/>
      </c>
      <c r="H926" s="106">
        <f>IF($J926="","",IFERROR(INDEX(Stu_ContactReq,MATCH(C926,Stu_ID,0)),""))</f>
        <v/>
      </c>
      <c r="I926" s="107">
        <f>IF($J926="","",IFERROR(INDEX(Stu_Notes,MATCH(C926,Stu_ID,0)),""))</f>
        <v/>
      </c>
      <c r="J926" s="40">
        <f>IF(921&gt;$B$3,"",IFERROR(MATCH(921-1,EV_Seq,1)+1,1))</f>
        <v/>
      </c>
    </row>
    <row r="927">
      <c r="A927" s="105">
        <f>IF($J927="","",INDEX(EV_Date,$J927))</f>
        <v/>
      </c>
      <c r="B927" s="78">
        <f>IF($J927="","",INDEX(EV_Name,$J927))</f>
        <v/>
      </c>
      <c r="C927" s="106">
        <f>IF($J927="","",INDEX(EV_ID,$J927))</f>
        <v/>
      </c>
      <c r="D927" s="106">
        <f>IF($J927="","",INDEX(EV_Class,$J927))</f>
        <v/>
      </c>
      <c r="E927" s="106">
        <f>IF($J927="","",INDEX(EV_Type,$J927))</f>
        <v/>
      </c>
      <c r="F927" s="106">
        <f>IF($J927="","",INDEX(EV_Cum,$J927))</f>
        <v/>
      </c>
      <c r="G927" s="106">
        <f>IF($J927="","",INDEX(LevelLabels,MATCH(F927,LevelValues,1)))</f>
        <v/>
      </c>
      <c r="H927" s="106">
        <f>IF($J927="","",IFERROR(INDEX(Stu_ContactReq,MATCH(C927,Stu_ID,0)),""))</f>
        <v/>
      </c>
      <c r="I927" s="107">
        <f>IF($J927="","",IFERROR(INDEX(Stu_Notes,MATCH(C927,Stu_ID,0)),""))</f>
        <v/>
      </c>
      <c r="J927" s="40">
        <f>IF(922&gt;$B$3,"",IFERROR(MATCH(922-1,EV_Seq,1)+1,1))</f>
        <v/>
      </c>
    </row>
    <row r="928">
      <c r="A928" s="105">
        <f>IF($J928="","",INDEX(EV_Date,$J928))</f>
        <v/>
      </c>
      <c r="B928" s="78">
        <f>IF($J928="","",INDEX(EV_Name,$J928))</f>
        <v/>
      </c>
      <c r="C928" s="106">
        <f>IF($J928="","",INDEX(EV_ID,$J928))</f>
        <v/>
      </c>
      <c r="D928" s="106">
        <f>IF($J928="","",INDEX(EV_Class,$J928))</f>
        <v/>
      </c>
      <c r="E928" s="106">
        <f>IF($J928="","",INDEX(EV_Type,$J928))</f>
        <v/>
      </c>
      <c r="F928" s="106">
        <f>IF($J928="","",INDEX(EV_Cum,$J928))</f>
        <v/>
      </c>
      <c r="G928" s="106">
        <f>IF($J928="","",INDEX(LevelLabels,MATCH(F928,LevelValues,1)))</f>
        <v/>
      </c>
      <c r="H928" s="106">
        <f>IF($J928="","",IFERROR(INDEX(Stu_ContactReq,MATCH(C928,Stu_ID,0)),""))</f>
        <v/>
      </c>
      <c r="I928" s="107">
        <f>IF($J928="","",IFERROR(INDEX(Stu_Notes,MATCH(C928,Stu_ID,0)),""))</f>
        <v/>
      </c>
      <c r="J928" s="40">
        <f>IF(923&gt;$B$3,"",IFERROR(MATCH(923-1,EV_Seq,1)+1,1))</f>
        <v/>
      </c>
    </row>
    <row r="929">
      <c r="A929" s="105">
        <f>IF($J929="","",INDEX(EV_Date,$J929))</f>
        <v/>
      </c>
      <c r="B929" s="78">
        <f>IF($J929="","",INDEX(EV_Name,$J929))</f>
        <v/>
      </c>
      <c r="C929" s="106">
        <f>IF($J929="","",INDEX(EV_ID,$J929))</f>
        <v/>
      </c>
      <c r="D929" s="106">
        <f>IF($J929="","",INDEX(EV_Class,$J929))</f>
        <v/>
      </c>
      <c r="E929" s="106">
        <f>IF($J929="","",INDEX(EV_Type,$J929))</f>
        <v/>
      </c>
      <c r="F929" s="106">
        <f>IF($J929="","",INDEX(EV_Cum,$J929))</f>
        <v/>
      </c>
      <c r="G929" s="106">
        <f>IF($J929="","",INDEX(LevelLabels,MATCH(F929,LevelValues,1)))</f>
        <v/>
      </c>
      <c r="H929" s="106">
        <f>IF($J929="","",IFERROR(INDEX(Stu_ContactReq,MATCH(C929,Stu_ID,0)),""))</f>
        <v/>
      </c>
      <c r="I929" s="107">
        <f>IF($J929="","",IFERROR(INDEX(Stu_Notes,MATCH(C929,Stu_ID,0)),""))</f>
        <v/>
      </c>
      <c r="J929" s="40">
        <f>IF(924&gt;$B$3,"",IFERROR(MATCH(924-1,EV_Seq,1)+1,1))</f>
        <v/>
      </c>
    </row>
    <row r="930">
      <c r="A930" s="105">
        <f>IF($J930="","",INDEX(EV_Date,$J930))</f>
        <v/>
      </c>
      <c r="B930" s="78">
        <f>IF($J930="","",INDEX(EV_Name,$J930))</f>
        <v/>
      </c>
      <c r="C930" s="106">
        <f>IF($J930="","",INDEX(EV_ID,$J930))</f>
        <v/>
      </c>
      <c r="D930" s="106">
        <f>IF($J930="","",INDEX(EV_Class,$J930))</f>
        <v/>
      </c>
      <c r="E930" s="106">
        <f>IF($J930="","",INDEX(EV_Type,$J930))</f>
        <v/>
      </c>
      <c r="F930" s="106">
        <f>IF($J930="","",INDEX(EV_Cum,$J930))</f>
        <v/>
      </c>
      <c r="G930" s="106">
        <f>IF($J930="","",INDEX(LevelLabels,MATCH(F930,LevelValues,1)))</f>
        <v/>
      </c>
      <c r="H930" s="106">
        <f>IF($J930="","",IFERROR(INDEX(Stu_ContactReq,MATCH(C930,Stu_ID,0)),""))</f>
        <v/>
      </c>
      <c r="I930" s="107">
        <f>IF($J930="","",IFERROR(INDEX(Stu_Notes,MATCH(C930,Stu_ID,0)),""))</f>
        <v/>
      </c>
      <c r="J930" s="40">
        <f>IF(925&gt;$B$3,"",IFERROR(MATCH(925-1,EV_Seq,1)+1,1))</f>
        <v/>
      </c>
    </row>
    <row r="931">
      <c r="A931" s="105">
        <f>IF($J931="","",INDEX(EV_Date,$J931))</f>
        <v/>
      </c>
      <c r="B931" s="78">
        <f>IF($J931="","",INDEX(EV_Name,$J931))</f>
        <v/>
      </c>
      <c r="C931" s="106">
        <f>IF($J931="","",INDEX(EV_ID,$J931))</f>
        <v/>
      </c>
      <c r="D931" s="106">
        <f>IF($J931="","",INDEX(EV_Class,$J931))</f>
        <v/>
      </c>
      <c r="E931" s="106">
        <f>IF($J931="","",INDEX(EV_Type,$J931))</f>
        <v/>
      </c>
      <c r="F931" s="106">
        <f>IF($J931="","",INDEX(EV_Cum,$J931))</f>
        <v/>
      </c>
      <c r="G931" s="106">
        <f>IF($J931="","",INDEX(LevelLabels,MATCH(F931,LevelValues,1)))</f>
        <v/>
      </c>
      <c r="H931" s="106">
        <f>IF($J931="","",IFERROR(INDEX(Stu_ContactReq,MATCH(C931,Stu_ID,0)),""))</f>
        <v/>
      </c>
      <c r="I931" s="107">
        <f>IF($J931="","",IFERROR(INDEX(Stu_Notes,MATCH(C931,Stu_ID,0)),""))</f>
        <v/>
      </c>
      <c r="J931" s="40">
        <f>IF(926&gt;$B$3,"",IFERROR(MATCH(926-1,EV_Seq,1)+1,1))</f>
        <v/>
      </c>
    </row>
    <row r="932">
      <c r="A932" s="105">
        <f>IF($J932="","",INDEX(EV_Date,$J932))</f>
        <v/>
      </c>
      <c r="B932" s="78">
        <f>IF($J932="","",INDEX(EV_Name,$J932))</f>
        <v/>
      </c>
      <c r="C932" s="106">
        <f>IF($J932="","",INDEX(EV_ID,$J932))</f>
        <v/>
      </c>
      <c r="D932" s="106">
        <f>IF($J932="","",INDEX(EV_Class,$J932))</f>
        <v/>
      </c>
      <c r="E932" s="106">
        <f>IF($J932="","",INDEX(EV_Type,$J932))</f>
        <v/>
      </c>
      <c r="F932" s="106">
        <f>IF($J932="","",INDEX(EV_Cum,$J932))</f>
        <v/>
      </c>
      <c r="G932" s="106">
        <f>IF($J932="","",INDEX(LevelLabels,MATCH(F932,LevelValues,1)))</f>
        <v/>
      </c>
      <c r="H932" s="106">
        <f>IF($J932="","",IFERROR(INDEX(Stu_ContactReq,MATCH(C932,Stu_ID,0)),""))</f>
        <v/>
      </c>
      <c r="I932" s="107">
        <f>IF($J932="","",IFERROR(INDEX(Stu_Notes,MATCH(C932,Stu_ID,0)),""))</f>
        <v/>
      </c>
      <c r="J932" s="40">
        <f>IF(927&gt;$B$3,"",IFERROR(MATCH(927-1,EV_Seq,1)+1,1))</f>
        <v/>
      </c>
    </row>
    <row r="933">
      <c r="A933" s="105">
        <f>IF($J933="","",INDEX(EV_Date,$J933))</f>
        <v/>
      </c>
      <c r="B933" s="78">
        <f>IF($J933="","",INDEX(EV_Name,$J933))</f>
        <v/>
      </c>
      <c r="C933" s="106">
        <f>IF($J933="","",INDEX(EV_ID,$J933))</f>
        <v/>
      </c>
      <c r="D933" s="106">
        <f>IF($J933="","",INDEX(EV_Class,$J933))</f>
        <v/>
      </c>
      <c r="E933" s="106">
        <f>IF($J933="","",INDEX(EV_Type,$J933))</f>
        <v/>
      </c>
      <c r="F933" s="106">
        <f>IF($J933="","",INDEX(EV_Cum,$J933))</f>
        <v/>
      </c>
      <c r="G933" s="106">
        <f>IF($J933="","",INDEX(LevelLabels,MATCH(F933,LevelValues,1)))</f>
        <v/>
      </c>
      <c r="H933" s="106">
        <f>IF($J933="","",IFERROR(INDEX(Stu_ContactReq,MATCH(C933,Stu_ID,0)),""))</f>
        <v/>
      </c>
      <c r="I933" s="107">
        <f>IF($J933="","",IFERROR(INDEX(Stu_Notes,MATCH(C933,Stu_ID,0)),""))</f>
        <v/>
      </c>
      <c r="J933" s="40">
        <f>IF(928&gt;$B$3,"",IFERROR(MATCH(928-1,EV_Seq,1)+1,1))</f>
        <v/>
      </c>
    </row>
    <row r="934">
      <c r="A934" s="105">
        <f>IF($J934="","",INDEX(EV_Date,$J934))</f>
        <v/>
      </c>
      <c r="B934" s="78">
        <f>IF($J934="","",INDEX(EV_Name,$J934))</f>
        <v/>
      </c>
      <c r="C934" s="106">
        <f>IF($J934="","",INDEX(EV_ID,$J934))</f>
        <v/>
      </c>
      <c r="D934" s="106">
        <f>IF($J934="","",INDEX(EV_Class,$J934))</f>
        <v/>
      </c>
      <c r="E934" s="106">
        <f>IF($J934="","",INDEX(EV_Type,$J934))</f>
        <v/>
      </c>
      <c r="F934" s="106">
        <f>IF($J934="","",INDEX(EV_Cum,$J934))</f>
        <v/>
      </c>
      <c r="G934" s="106">
        <f>IF($J934="","",INDEX(LevelLabels,MATCH(F934,LevelValues,1)))</f>
        <v/>
      </c>
      <c r="H934" s="106">
        <f>IF($J934="","",IFERROR(INDEX(Stu_ContactReq,MATCH(C934,Stu_ID,0)),""))</f>
        <v/>
      </c>
      <c r="I934" s="107">
        <f>IF($J934="","",IFERROR(INDEX(Stu_Notes,MATCH(C934,Stu_ID,0)),""))</f>
        <v/>
      </c>
      <c r="J934" s="40">
        <f>IF(929&gt;$B$3,"",IFERROR(MATCH(929-1,EV_Seq,1)+1,1))</f>
        <v/>
      </c>
    </row>
    <row r="935">
      <c r="A935" s="105">
        <f>IF($J935="","",INDEX(EV_Date,$J935))</f>
        <v/>
      </c>
      <c r="B935" s="78">
        <f>IF($J935="","",INDEX(EV_Name,$J935))</f>
        <v/>
      </c>
      <c r="C935" s="106">
        <f>IF($J935="","",INDEX(EV_ID,$J935))</f>
        <v/>
      </c>
      <c r="D935" s="106">
        <f>IF($J935="","",INDEX(EV_Class,$J935))</f>
        <v/>
      </c>
      <c r="E935" s="106">
        <f>IF($J935="","",INDEX(EV_Type,$J935))</f>
        <v/>
      </c>
      <c r="F935" s="106">
        <f>IF($J935="","",INDEX(EV_Cum,$J935))</f>
        <v/>
      </c>
      <c r="G935" s="106">
        <f>IF($J935="","",INDEX(LevelLabels,MATCH(F935,LevelValues,1)))</f>
        <v/>
      </c>
      <c r="H935" s="106">
        <f>IF($J935="","",IFERROR(INDEX(Stu_ContactReq,MATCH(C935,Stu_ID,0)),""))</f>
        <v/>
      </c>
      <c r="I935" s="107">
        <f>IF($J935="","",IFERROR(INDEX(Stu_Notes,MATCH(C935,Stu_ID,0)),""))</f>
        <v/>
      </c>
      <c r="J935" s="40">
        <f>IF(930&gt;$B$3,"",IFERROR(MATCH(930-1,EV_Seq,1)+1,1))</f>
        <v/>
      </c>
    </row>
    <row r="936">
      <c r="A936" s="105">
        <f>IF($J936="","",INDEX(EV_Date,$J936))</f>
        <v/>
      </c>
      <c r="B936" s="78">
        <f>IF($J936="","",INDEX(EV_Name,$J936))</f>
        <v/>
      </c>
      <c r="C936" s="106">
        <f>IF($J936="","",INDEX(EV_ID,$J936))</f>
        <v/>
      </c>
      <c r="D936" s="106">
        <f>IF($J936="","",INDEX(EV_Class,$J936))</f>
        <v/>
      </c>
      <c r="E936" s="106">
        <f>IF($J936="","",INDEX(EV_Type,$J936))</f>
        <v/>
      </c>
      <c r="F936" s="106">
        <f>IF($J936="","",INDEX(EV_Cum,$J936))</f>
        <v/>
      </c>
      <c r="G936" s="106">
        <f>IF($J936="","",INDEX(LevelLabels,MATCH(F936,LevelValues,1)))</f>
        <v/>
      </c>
      <c r="H936" s="106">
        <f>IF($J936="","",IFERROR(INDEX(Stu_ContactReq,MATCH(C936,Stu_ID,0)),""))</f>
        <v/>
      </c>
      <c r="I936" s="107">
        <f>IF($J936="","",IFERROR(INDEX(Stu_Notes,MATCH(C936,Stu_ID,0)),""))</f>
        <v/>
      </c>
      <c r="J936" s="40">
        <f>IF(931&gt;$B$3,"",IFERROR(MATCH(931-1,EV_Seq,1)+1,1))</f>
        <v/>
      </c>
    </row>
    <row r="937">
      <c r="A937" s="105">
        <f>IF($J937="","",INDEX(EV_Date,$J937))</f>
        <v/>
      </c>
      <c r="B937" s="78">
        <f>IF($J937="","",INDEX(EV_Name,$J937))</f>
        <v/>
      </c>
      <c r="C937" s="106">
        <f>IF($J937="","",INDEX(EV_ID,$J937))</f>
        <v/>
      </c>
      <c r="D937" s="106">
        <f>IF($J937="","",INDEX(EV_Class,$J937))</f>
        <v/>
      </c>
      <c r="E937" s="106">
        <f>IF($J937="","",INDEX(EV_Type,$J937))</f>
        <v/>
      </c>
      <c r="F937" s="106">
        <f>IF($J937="","",INDEX(EV_Cum,$J937))</f>
        <v/>
      </c>
      <c r="G937" s="106">
        <f>IF($J937="","",INDEX(LevelLabels,MATCH(F937,LevelValues,1)))</f>
        <v/>
      </c>
      <c r="H937" s="106">
        <f>IF($J937="","",IFERROR(INDEX(Stu_ContactReq,MATCH(C937,Stu_ID,0)),""))</f>
        <v/>
      </c>
      <c r="I937" s="107">
        <f>IF($J937="","",IFERROR(INDEX(Stu_Notes,MATCH(C937,Stu_ID,0)),""))</f>
        <v/>
      </c>
      <c r="J937" s="40">
        <f>IF(932&gt;$B$3,"",IFERROR(MATCH(932-1,EV_Seq,1)+1,1))</f>
        <v/>
      </c>
    </row>
    <row r="938">
      <c r="A938" s="105">
        <f>IF($J938="","",INDEX(EV_Date,$J938))</f>
        <v/>
      </c>
      <c r="B938" s="78">
        <f>IF($J938="","",INDEX(EV_Name,$J938))</f>
        <v/>
      </c>
      <c r="C938" s="106">
        <f>IF($J938="","",INDEX(EV_ID,$J938))</f>
        <v/>
      </c>
      <c r="D938" s="106">
        <f>IF($J938="","",INDEX(EV_Class,$J938))</f>
        <v/>
      </c>
      <c r="E938" s="106">
        <f>IF($J938="","",INDEX(EV_Type,$J938))</f>
        <v/>
      </c>
      <c r="F938" s="106">
        <f>IF($J938="","",INDEX(EV_Cum,$J938))</f>
        <v/>
      </c>
      <c r="G938" s="106">
        <f>IF($J938="","",INDEX(LevelLabels,MATCH(F938,LevelValues,1)))</f>
        <v/>
      </c>
      <c r="H938" s="106">
        <f>IF($J938="","",IFERROR(INDEX(Stu_ContactReq,MATCH(C938,Stu_ID,0)),""))</f>
        <v/>
      </c>
      <c r="I938" s="107">
        <f>IF($J938="","",IFERROR(INDEX(Stu_Notes,MATCH(C938,Stu_ID,0)),""))</f>
        <v/>
      </c>
      <c r="J938" s="40">
        <f>IF(933&gt;$B$3,"",IFERROR(MATCH(933-1,EV_Seq,1)+1,1))</f>
        <v/>
      </c>
    </row>
    <row r="939">
      <c r="A939" s="105">
        <f>IF($J939="","",INDEX(EV_Date,$J939))</f>
        <v/>
      </c>
      <c r="B939" s="78">
        <f>IF($J939="","",INDEX(EV_Name,$J939))</f>
        <v/>
      </c>
      <c r="C939" s="106">
        <f>IF($J939="","",INDEX(EV_ID,$J939))</f>
        <v/>
      </c>
      <c r="D939" s="106">
        <f>IF($J939="","",INDEX(EV_Class,$J939))</f>
        <v/>
      </c>
      <c r="E939" s="106">
        <f>IF($J939="","",INDEX(EV_Type,$J939))</f>
        <v/>
      </c>
      <c r="F939" s="106">
        <f>IF($J939="","",INDEX(EV_Cum,$J939))</f>
        <v/>
      </c>
      <c r="G939" s="106">
        <f>IF($J939="","",INDEX(LevelLabels,MATCH(F939,LevelValues,1)))</f>
        <v/>
      </c>
      <c r="H939" s="106">
        <f>IF($J939="","",IFERROR(INDEX(Stu_ContactReq,MATCH(C939,Stu_ID,0)),""))</f>
        <v/>
      </c>
      <c r="I939" s="107">
        <f>IF($J939="","",IFERROR(INDEX(Stu_Notes,MATCH(C939,Stu_ID,0)),""))</f>
        <v/>
      </c>
      <c r="J939" s="40">
        <f>IF(934&gt;$B$3,"",IFERROR(MATCH(934-1,EV_Seq,1)+1,1))</f>
        <v/>
      </c>
    </row>
    <row r="940">
      <c r="A940" s="105">
        <f>IF($J940="","",INDEX(EV_Date,$J940))</f>
        <v/>
      </c>
      <c r="B940" s="78">
        <f>IF($J940="","",INDEX(EV_Name,$J940))</f>
        <v/>
      </c>
      <c r="C940" s="106">
        <f>IF($J940="","",INDEX(EV_ID,$J940))</f>
        <v/>
      </c>
      <c r="D940" s="106">
        <f>IF($J940="","",INDEX(EV_Class,$J940))</f>
        <v/>
      </c>
      <c r="E940" s="106">
        <f>IF($J940="","",INDEX(EV_Type,$J940))</f>
        <v/>
      </c>
      <c r="F940" s="106">
        <f>IF($J940="","",INDEX(EV_Cum,$J940))</f>
        <v/>
      </c>
      <c r="G940" s="106">
        <f>IF($J940="","",INDEX(LevelLabels,MATCH(F940,LevelValues,1)))</f>
        <v/>
      </c>
      <c r="H940" s="106">
        <f>IF($J940="","",IFERROR(INDEX(Stu_ContactReq,MATCH(C940,Stu_ID,0)),""))</f>
        <v/>
      </c>
      <c r="I940" s="107">
        <f>IF($J940="","",IFERROR(INDEX(Stu_Notes,MATCH(C940,Stu_ID,0)),""))</f>
        <v/>
      </c>
      <c r="J940" s="40">
        <f>IF(935&gt;$B$3,"",IFERROR(MATCH(935-1,EV_Seq,1)+1,1))</f>
        <v/>
      </c>
    </row>
    <row r="941">
      <c r="A941" s="105">
        <f>IF($J941="","",INDEX(EV_Date,$J941))</f>
        <v/>
      </c>
      <c r="B941" s="78">
        <f>IF($J941="","",INDEX(EV_Name,$J941))</f>
        <v/>
      </c>
      <c r="C941" s="106">
        <f>IF($J941="","",INDEX(EV_ID,$J941))</f>
        <v/>
      </c>
      <c r="D941" s="106">
        <f>IF($J941="","",INDEX(EV_Class,$J941))</f>
        <v/>
      </c>
      <c r="E941" s="106">
        <f>IF($J941="","",INDEX(EV_Type,$J941))</f>
        <v/>
      </c>
      <c r="F941" s="106">
        <f>IF($J941="","",INDEX(EV_Cum,$J941))</f>
        <v/>
      </c>
      <c r="G941" s="106">
        <f>IF($J941="","",INDEX(LevelLabels,MATCH(F941,LevelValues,1)))</f>
        <v/>
      </c>
      <c r="H941" s="106">
        <f>IF($J941="","",IFERROR(INDEX(Stu_ContactReq,MATCH(C941,Stu_ID,0)),""))</f>
        <v/>
      </c>
      <c r="I941" s="107">
        <f>IF($J941="","",IFERROR(INDEX(Stu_Notes,MATCH(C941,Stu_ID,0)),""))</f>
        <v/>
      </c>
      <c r="J941" s="40">
        <f>IF(936&gt;$B$3,"",IFERROR(MATCH(936-1,EV_Seq,1)+1,1))</f>
        <v/>
      </c>
    </row>
    <row r="942">
      <c r="A942" s="105">
        <f>IF($J942="","",INDEX(EV_Date,$J942))</f>
        <v/>
      </c>
      <c r="B942" s="78">
        <f>IF($J942="","",INDEX(EV_Name,$J942))</f>
        <v/>
      </c>
      <c r="C942" s="106">
        <f>IF($J942="","",INDEX(EV_ID,$J942))</f>
        <v/>
      </c>
      <c r="D942" s="106">
        <f>IF($J942="","",INDEX(EV_Class,$J942))</f>
        <v/>
      </c>
      <c r="E942" s="106">
        <f>IF($J942="","",INDEX(EV_Type,$J942))</f>
        <v/>
      </c>
      <c r="F942" s="106">
        <f>IF($J942="","",INDEX(EV_Cum,$J942))</f>
        <v/>
      </c>
      <c r="G942" s="106">
        <f>IF($J942="","",INDEX(LevelLabels,MATCH(F942,LevelValues,1)))</f>
        <v/>
      </c>
      <c r="H942" s="106">
        <f>IF($J942="","",IFERROR(INDEX(Stu_ContactReq,MATCH(C942,Stu_ID,0)),""))</f>
        <v/>
      </c>
      <c r="I942" s="107">
        <f>IF($J942="","",IFERROR(INDEX(Stu_Notes,MATCH(C942,Stu_ID,0)),""))</f>
        <v/>
      </c>
      <c r="J942" s="40">
        <f>IF(937&gt;$B$3,"",IFERROR(MATCH(937-1,EV_Seq,1)+1,1))</f>
        <v/>
      </c>
    </row>
    <row r="943">
      <c r="A943" s="105">
        <f>IF($J943="","",INDEX(EV_Date,$J943))</f>
        <v/>
      </c>
      <c r="B943" s="78">
        <f>IF($J943="","",INDEX(EV_Name,$J943))</f>
        <v/>
      </c>
      <c r="C943" s="106">
        <f>IF($J943="","",INDEX(EV_ID,$J943))</f>
        <v/>
      </c>
      <c r="D943" s="106">
        <f>IF($J943="","",INDEX(EV_Class,$J943))</f>
        <v/>
      </c>
      <c r="E943" s="106">
        <f>IF($J943="","",INDEX(EV_Type,$J943))</f>
        <v/>
      </c>
      <c r="F943" s="106">
        <f>IF($J943="","",INDEX(EV_Cum,$J943))</f>
        <v/>
      </c>
      <c r="G943" s="106">
        <f>IF($J943="","",INDEX(LevelLabels,MATCH(F943,LevelValues,1)))</f>
        <v/>
      </c>
      <c r="H943" s="106">
        <f>IF($J943="","",IFERROR(INDEX(Stu_ContactReq,MATCH(C943,Stu_ID,0)),""))</f>
        <v/>
      </c>
      <c r="I943" s="107">
        <f>IF($J943="","",IFERROR(INDEX(Stu_Notes,MATCH(C943,Stu_ID,0)),""))</f>
        <v/>
      </c>
      <c r="J943" s="40">
        <f>IF(938&gt;$B$3,"",IFERROR(MATCH(938-1,EV_Seq,1)+1,1))</f>
        <v/>
      </c>
    </row>
    <row r="944">
      <c r="A944" s="105">
        <f>IF($J944="","",INDEX(EV_Date,$J944))</f>
        <v/>
      </c>
      <c r="B944" s="78">
        <f>IF($J944="","",INDEX(EV_Name,$J944))</f>
        <v/>
      </c>
      <c r="C944" s="106">
        <f>IF($J944="","",INDEX(EV_ID,$J944))</f>
        <v/>
      </c>
      <c r="D944" s="106">
        <f>IF($J944="","",INDEX(EV_Class,$J944))</f>
        <v/>
      </c>
      <c r="E944" s="106">
        <f>IF($J944="","",INDEX(EV_Type,$J944))</f>
        <v/>
      </c>
      <c r="F944" s="106">
        <f>IF($J944="","",INDEX(EV_Cum,$J944))</f>
        <v/>
      </c>
      <c r="G944" s="106">
        <f>IF($J944="","",INDEX(LevelLabels,MATCH(F944,LevelValues,1)))</f>
        <v/>
      </c>
      <c r="H944" s="106">
        <f>IF($J944="","",IFERROR(INDEX(Stu_ContactReq,MATCH(C944,Stu_ID,0)),""))</f>
        <v/>
      </c>
      <c r="I944" s="107">
        <f>IF($J944="","",IFERROR(INDEX(Stu_Notes,MATCH(C944,Stu_ID,0)),""))</f>
        <v/>
      </c>
      <c r="J944" s="40">
        <f>IF(939&gt;$B$3,"",IFERROR(MATCH(939-1,EV_Seq,1)+1,1))</f>
        <v/>
      </c>
    </row>
    <row r="945">
      <c r="A945" s="105">
        <f>IF($J945="","",INDEX(EV_Date,$J945))</f>
        <v/>
      </c>
      <c r="B945" s="78">
        <f>IF($J945="","",INDEX(EV_Name,$J945))</f>
        <v/>
      </c>
      <c r="C945" s="106">
        <f>IF($J945="","",INDEX(EV_ID,$J945))</f>
        <v/>
      </c>
      <c r="D945" s="106">
        <f>IF($J945="","",INDEX(EV_Class,$J945))</f>
        <v/>
      </c>
      <c r="E945" s="106">
        <f>IF($J945="","",INDEX(EV_Type,$J945))</f>
        <v/>
      </c>
      <c r="F945" s="106">
        <f>IF($J945="","",INDEX(EV_Cum,$J945))</f>
        <v/>
      </c>
      <c r="G945" s="106">
        <f>IF($J945="","",INDEX(LevelLabels,MATCH(F945,LevelValues,1)))</f>
        <v/>
      </c>
      <c r="H945" s="106">
        <f>IF($J945="","",IFERROR(INDEX(Stu_ContactReq,MATCH(C945,Stu_ID,0)),""))</f>
        <v/>
      </c>
      <c r="I945" s="107">
        <f>IF($J945="","",IFERROR(INDEX(Stu_Notes,MATCH(C945,Stu_ID,0)),""))</f>
        <v/>
      </c>
      <c r="J945" s="40">
        <f>IF(940&gt;$B$3,"",IFERROR(MATCH(940-1,EV_Seq,1)+1,1))</f>
        <v/>
      </c>
    </row>
    <row r="946">
      <c r="A946" s="105">
        <f>IF($J946="","",INDEX(EV_Date,$J946))</f>
        <v/>
      </c>
      <c r="B946" s="78">
        <f>IF($J946="","",INDEX(EV_Name,$J946))</f>
        <v/>
      </c>
      <c r="C946" s="106">
        <f>IF($J946="","",INDEX(EV_ID,$J946))</f>
        <v/>
      </c>
      <c r="D946" s="106">
        <f>IF($J946="","",INDEX(EV_Class,$J946))</f>
        <v/>
      </c>
      <c r="E946" s="106">
        <f>IF($J946="","",INDEX(EV_Type,$J946))</f>
        <v/>
      </c>
      <c r="F946" s="106">
        <f>IF($J946="","",INDEX(EV_Cum,$J946))</f>
        <v/>
      </c>
      <c r="G946" s="106">
        <f>IF($J946="","",INDEX(LevelLabels,MATCH(F946,LevelValues,1)))</f>
        <v/>
      </c>
      <c r="H946" s="106">
        <f>IF($J946="","",IFERROR(INDEX(Stu_ContactReq,MATCH(C946,Stu_ID,0)),""))</f>
        <v/>
      </c>
      <c r="I946" s="107">
        <f>IF($J946="","",IFERROR(INDEX(Stu_Notes,MATCH(C946,Stu_ID,0)),""))</f>
        <v/>
      </c>
      <c r="J946" s="40">
        <f>IF(941&gt;$B$3,"",IFERROR(MATCH(941-1,EV_Seq,1)+1,1))</f>
        <v/>
      </c>
    </row>
    <row r="947">
      <c r="A947" s="105">
        <f>IF($J947="","",INDEX(EV_Date,$J947))</f>
        <v/>
      </c>
      <c r="B947" s="78">
        <f>IF($J947="","",INDEX(EV_Name,$J947))</f>
        <v/>
      </c>
      <c r="C947" s="106">
        <f>IF($J947="","",INDEX(EV_ID,$J947))</f>
        <v/>
      </c>
      <c r="D947" s="106">
        <f>IF($J947="","",INDEX(EV_Class,$J947))</f>
        <v/>
      </c>
      <c r="E947" s="106">
        <f>IF($J947="","",INDEX(EV_Type,$J947))</f>
        <v/>
      </c>
      <c r="F947" s="106">
        <f>IF($J947="","",INDEX(EV_Cum,$J947))</f>
        <v/>
      </c>
      <c r="G947" s="106">
        <f>IF($J947="","",INDEX(LevelLabels,MATCH(F947,LevelValues,1)))</f>
        <v/>
      </c>
      <c r="H947" s="106">
        <f>IF($J947="","",IFERROR(INDEX(Stu_ContactReq,MATCH(C947,Stu_ID,0)),""))</f>
        <v/>
      </c>
      <c r="I947" s="107">
        <f>IF($J947="","",IFERROR(INDEX(Stu_Notes,MATCH(C947,Stu_ID,0)),""))</f>
        <v/>
      </c>
      <c r="J947" s="40">
        <f>IF(942&gt;$B$3,"",IFERROR(MATCH(942-1,EV_Seq,1)+1,1))</f>
        <v/>
      </c>
    </row>
    <row r="948">
      <c r="A948" s="105">
        <f>IF($J948="","",INDEX(EV_Date,$J948))</f>
        <v/>
      </c>
      <c r="B948" s="78">
        <f>IF($J948="","",INDEX(EV_Name,$J948))</f>
        <v/>
      </c>
      <c r="C948" s="106">
        <f>IF($J948="","",INDEX(EV_ID,$J948))</f>
        <v/>
      </c>
      <c r="D948" s="106">
        <f>IF($J948="","",INDEX(EV_Class,$J948))</f>
        <v/>
      </c>
      <c r="E948" s="106">
        <f>IF($J948="","",INDEX(EV_Type,$J948))</f>
        <v/>
      </c>
      <c r="F948" s="106">
        <f>IF($J948="","",INDEX(EV_Cum,$J948))</f>
        <v/>
      </c>
      <c r="G948" s="106">
        <f>IF($J948="","",INDEX(LevelLabels,MATCH(F948,LevelValues,1)))</f>
        <v/>
      </c>
      <c r="H948" s="106">
        <f>IF($J948="","",IFERROR(INDEX(Stu_ContactReq,MATCH(C948,Stu_ID,0)),""))</f>
        <v/>
      </c>
      <c r="I948" s="107">
        <f>IF($J948="","",IFERROR(INDEX(Stu_Notes,MATCH(C948,Stu_ID,0)),""))</f>
        <v/>
      </c>
      <c r="J948" s="40">
        <f>IF(943&gt;$B$3,"",IFERROR(MATCH(943-1,EV_Seq,1)+1,1))</f>
        <v/>
      </c>
    </row>
    <row r="949">
      <c r="A949" s="105">
        <f>IF($J949="","",INDEX(EV_Date,$J949))</f>
        <v/>
      </c>
      <c r="B949" s="78">
        <f>IF($J949="","",INDEX(EV_Name,$J949))</f>
        <v/>
      </c>
      <c r="C949" s="106">
        <f>IF($J949="","",INDEX(EV_ID,$J949))</f>
        <v/>
      </c>
      <c r="D949" s="106">
        <f>IF($J949="","",INDEX(EV_Class,$J949))</f>
        <v/>
      </c>
      <c r="E949" s="106">
        <f>IF($J949="","",INDEX(EV_Type,$J949))</f>
        <v/>
      </c>
      <c r="F949" s="106">
        <f>IF($J949="","",INDEX(EV_Cum,$J949))</f>
        <v/>
      </c>
      <c r="G949" s="106">
        <f>IF($J949="","",INDEX(LevelLabels,MATCH(F949,LevelValues,1)))</f>
        <v/>
      </c>
      <c r="H949" s="106">
        <f>IF($J949="","",IFERROR(INDEX(Stu_ContactReq,MATCH(C949,Stu_ID,0)),""))</f>
        <v/>
      </c>
      <c r="I949" s="107">
        <f>IF($J949="","",IFERROR(INDEX(Stu_Notes,MATCH(C949,Stu_ID,0)),""))</f>
        <v/>
      </c>
      <c r="J949" s="40">
        <f>IF(944&gt;$B$3,"",IFERROR(MATCH(944-1,EV_Seq,1)+1,1))</f>
        <v/>
      </c>
    </row>
    <row r="950">
      <c r="A950" s="105">
        <f>IF($J950="","",INDEX(EV_Date,$J950))</f>
        <v/>
      </c>
      <c r="B950" s="78">
        <f>IF($J950="","",INDEX(EV_Name,$J950))</f>
        <v/>
      </c>
      <c r="C950" s="106">
        <f>IF($J950="","",INDEX(EV_ID,$J950))</f>
        <v/>
      </c>
      <c r="D950" s="106">
        <f>IF($J950="","",INDEX(EV_Class,$J950))</f>
        <v/>
      </c>
      <c r="E950" s="106">
        <f>IF($J950="","",INDEX(EV_Type,$J950))</f>
        <v/>
      </c>
      <c r="F950" s="106">
        <f>IF($J950="","",INDEX(EV_Cum,$J950))</f>
        <v/>
      </c>
      <c r="G950" s="106">
        <f>IF($J950="","",INDEX(LevelLabels,MATCH(F950,LevelValues,1)))</f>
        <v/>
      </c>
      <c r="H950" s="106">
        <f>IF($J950="","",IFERROR(INDEX(Stu_ContactReq,MATCH(C950,Stu_ID,0)),""))</f>
        <v/>
      </c>
      <c r="I950" s="107">
        <f>IF($J950="","",IFERROR(INDEX(Stu_Notes,MATCH(C950,Stu_ID,0)),""))</f>
        <v/>
      </c>
      <c r="J950" s="40">
        <f>IF(945&gt;$B$3,"",IFERROR(MATCH(945-1,EV_Seq,1)+1,1))</f>
        <v/>
      </c>
    </row>
    <row r="951">
      <c r="A951" s="105">
        <f>IF($J951="","",INDEX(EV_Date,$J951))</f>
        <v/>
      </c>
      <c r="B951" s="78">
        <f>IF($J951="","",INDEX(EV_Name,$J951))</f>
        <v/>
      </c>
      <c r="C951" s="106">
        <f>IF($J951="","",INDEX(EV_ID,$J951))</f>
        <v/>
      </c>
      <c r="D951" s="106">
        <f>IF($J951="","",INDEX(EV_Class,$J951))</f>
        <v/>
      </c>
      <c r="E951" s="106">
        <f>IF($J951="","",INDEX(EV_Type,$J951))</f>
        <v/>
      </c>
      <c r="F951" s="106">
        <f>IF($J951="","",INDEX(EV_Cum,$J951))</f>
        <v/>
      </c>
      <c r="G951" s="106">
        <f>IF($J951="","",INDEX(LevelLabels,MATCH(F951,LevelValues,1)))</f>
        <v/>
      </c>
      <c r="H951" s="106">
        <f>IF($J951="","",IFERROR(INDEX(Stu_ContactReq,MATCH(C951,Stu_ID,0)),""))</f>
        <v/>
      </c>
      <c r="I951" s="107">
        <f>IF($J951="","",IFERROR(INDEX(Stu_Notes,MATCH(C951,Stu_ID,0)),""))</f>
        <v/>
      </c>
      <c r="J951" s="40">
        <f>IF(946&gt;$B$3,"",IFERROR(MATCH(946-1,EV_Seq,1)+1,1))</f>
        <v/>
      </c>
    </row>
    <row r="952">
      <c r="A952" s="105">
        <f>IF($J952="","",INDEX(EV_Date,$J952))</f>
        <v/>
      </c>
      <c r="B952" s="78">
        <f>IF($J952="","",INDEX(EV_Name,$J952))</f>
        <v/>
      </c>
      <c r="C952" s="106">
        <f>IF($J952="","",INDEX(EV_ID,$J952))</f>
        <v/>
      </c>
      <c r="D952" s="106">
        <f>IF($J952="","",INDEX(EV_Class,$J952))</f>
        <v/>
      </c>
      <c r="E952" s="106">
        <f>IF($J952="","",INDEX(EV_Type,$J952))</f>
        <v/>
      </c>
      <c r="F952" s="106">
        <f>IF($J952="","",INDEX(EV_Cum,$J952))</f>
        <v/>
      </c>
      <c r="G952" s="106">
        <f>IF($J952="","",INDEX(LevelLabels,MATCH(F952,LevelValues,1)))</f>
        <v/>
      </c>
      <c r="H952" s="106">
        <f>IF($J952="","",IFERROR(INDEX(Stu_ContactReq,MATCH(C952,Stu_ID,0)),""))</f>
        <v/>
      </c>
      <c r="I952" s="107">
        <f>IF($J952="","",IFERROR(INDEX(Stu_Notes,MATCH(C952,Stu_ID,0)),""))</f>
        <v/>
      </c>
      <c r="J952" s="40">
        <f>IF(947&gt;$B$3,"",IFERROR(MATCH(947-1,EV_Seq,1)+1,1))</f>
        <v/>
      </c>
    </row>
    <row r="953">
      <c r="A953" s="105">
        <f>IF($J953="","",INDEX(EV_Date,$J953))</f>
        <v/>
      </c>
      <c r="B953" s="78">
        <f>IF($J953="","",INDEX(EV_Name,$J953))</f>
        <v/>
      </c>
      <c r="C953" s="106">
        <f>IF($J953="","",INDEX(EV_ID,$J953))</f>
        <v/>
      </c>
      <c r="D953" s="106">
        <f>IF($J953="","",INDEX(EV_Class,$J953))</f>
        <v/>
      </c>
      <c r="E953" s="106">
        <f>IF($J953="","",INDEX(EV_Type,$J953))</f>
        <v/>
      </c>
      <c r="F953" s="106">
        <f>IF($J953="","",INDEX(EV_Cum,$J953))</f>
        <v/>
      </c>
      <c r="G953" s="106">
        <f>IF($J953="","",INDEX(LevelLabels,MATCH(F953,LevelValues,1)))</f>
        <v/>
      </c>
      <c r="H953" s="106">
        <f>IF($J953="","",IFERROR(INDEX(Stu_ContactReq,MATCH(C953,Stu_ID,0)),""))</f>
        <v/>
      </c>
      <c r="I953" s="107">
        <f>IF($J953="","",IFERROR(INDEX(Stu_Notes,MATCH(C953,Stu_ID,0)),""))</f>
        <v/>
      </c>
      <c r="J953" s="40">
        <f>IF(948&gt;$B$3,"",IFERROR(MATCH(948-1,EV_Seq,1)+1,1))</f>
        <v/>
      </c>
    </row>
    <row r="954">
      <c r="A954" s="105">
        <f>IF($J954="","",INDEX(EV_Date,$J954))</f>
        <v/>
      </c>
      <c r="B954" s="78">
        <f>IF($J954="","",INDEX(EV_Name,$J954))</f>
        <v/>
      </c>
      <c r="C954" s="106">
        <f>IF($J954="","",INDEX(EV_ID,$J954))</f>
        <v/>
      </c>
      <c r="D954" s="106">
        <f>IF($J954="","",INDEX(EV_Class,$J954))</f>
        <v/>
      </c>
      <c r="E954" s="106">
        <f>IF($J954="","",INDEX(EV_Type,$J954))</f>
        <v/>
      </c>
      <c r="F954" s="106">
        <f>IF($J954="","",INDEX(EV_Cum,$J954))</f>
        <v/>
      </c>
      <c r="G954" s="106">
        <f>IF($J954="","",INDEX(LevelLabels,MATCH(F954,LevelValues,1)))</f>
        <v/>
      </c>
      <c r="H954" s="106">
        <f>IF($J954="","",IFERROR(INDEX(Stu_ContactReq,MATCH(C954,Stu_ID,0)),""))</f>
        <v/>
      </c>
      <c r="I954" s="107">
        <f>IF($J954="","",IFERROR(INDEX(Stu_Notes,MATCH(C954,Stu_ID,0)),""))</f>
        <v/>
      </c>
      <c r="J954" s="40">
        <f>IF(949&gt;$B$3,"",IFERROR(MATCH(949-1,EV_Seq,1)+1,1))</f>
        <v/>
      </c>
    </row>
    <row r="955">
      <c r="A955" s="105">
        <f>IF($J955="","",INDEX(EV_Date,$J955))</f>
        <v/>
      </c>
      <c r="B955" s="78">
        <f>IF($J955="","",INDEX(EV_Name,$J955))</f>
        <v/>
      </c>
      <c r="C955" s="106">
        <f>IF($J955="","",INDEX(EV_ID,$J955))</f>
        <v/>
      </c>
      <c r="D955" s="106">
        <f>IF($J955="","",INDEX(EV_Class,$J955))</f>
        <v/>
      </c>
      <c r="E955" s="106">
        <f>IF($J955="","",INDEX(EV_Type,$J955))</f>
        <v/>
      </c>
      <c r="F955" s="106">
        <f>IF($J955="","",INDEX(EV_Cum,$J955))</f>
        <v/>
      </c>
      <c r="G955" s="106">
        <f>IF($J955="","",INDEX(LevelLabels,MATCH(F955,LevelValues,1)))</f>
        <v/>
      </c>
      <c r="H955" s="106">
        <f>IF($J955="","",IFERROR(INDEX(Stu_ContactReq,MATCH(C955,Stu_ID,0)),""))</f>
        <v/>
      </c>
      <c r="I955" s="107">
        <f>IF($J955="","",IFERROR(INDEX(Stu_Notes,MATCH(C955,Stu_ID,0)),""))</f>
        <v/>
      </c>
      <c r="J955" s="40">
        <f>IF(950&gt;$B$3,"",IFERROR(MATCH(950-1,EV_Seq,1)+1,1))</f>
        <v/>
      </c>
    </row>
    <row r="956">
      <c r="A956" s="105">
        <f>IF($J956="","",INDEX(EV_Date,$J956))</f>
        <v/>
      </c>
      <c r="B956" s="78">
        <f>IF($J956="","",INDEX(EV_Name,$J956))</f>
        <v/>
      </c>
      <c r="C956" s="106">
        <f>IF($J956="","",INDEX(EV_ID,$J956))</f>
        <v/>
      </c>
      <c r="D956" s="106">
        <f>IF($J956="","",INDEX(EV_Class,$J956))</f>
        <v/>
      </c>
      <c r="E956" s="106">
        <f>IF($J956="","",INDEX(EV_Type,$J956))</f>
        <v/>
      </c>
      <c r="F956" s="106">
        <f>IF($J956="","",INDEX(EV_Cum,$J956))</f>
        <v/>
      </c>
      <c r="G956" s="106">
        <f>IF($J956="","",INDEX(LevelLabels,MATCH(F956,LevelValues,1)))</f>
        <v/>
      </c>
      <c r="H956" s="106">
        <f>IF($J956="","",IFERROR(INDEX(Stu_ContactReq,MATCH(C956,Stu_ID,0)),""))</f>
        <v/>
      </c>
      <c r="I956" s="107">
        <f>IF($J956="","",IFERROR(INDEX(Stu_Notes,MATCH(C956,Stu_ID,0)),""))</f>
        <v/>
      </c>
      <c r="J956" s="40">
        <f>IF(951&gt;$B$3,"",IFERROR(MATCH(951-1,EV_Seq,1)+1,1))</f>
        <v/>
      </c>
    </row>
    <row r="957">
      <c r="A957" s="105">
        <f>IF($J957="","",INDEX(EV_Date,$J957))</f>
        <v/>
      </c>
      <c r="B957" s="78">
        <f>IF($J957="","",INDEX(EV_Name,$J957))</f>
        <v/>
      </c>
      <c r="C957" s="106">
        <f>IF($J957="","",INDEX(EV_ID,$J957))</f>
        <v/>
      </c>
      <c r="D957" s="106">
        <f>IF($J957="","",INDEX(EV_Class,$J957))</f>
        <v/>
      </c>
      <c r="E957" s="106">
        <f>IF($J957="","",INDEX(EV_Type,$J957))</f>
        <v/>
      </c>
      <c r="F957" s="106">
        <f>IF($J957="","",INDEX(EV_Cum,$J957))</f>
        <v/>
      </c>
      <c r="G957" s="106">
        <f>IF($J957="","",INDEX(LevelLabels,MATCH(F957,LevelValues,1)))</f>
        <v/>
      </c>
      <c r="H957" s="106">
        <f>IF($J957="","",IFERROR(INDEX(Stu_ContactReq,MATCH(C957,Stu_ID,0)),""))</f>
        <v/>
      </c>
      <c r="I957" s="107">
        <f>IF($J957="","",IFERROR(INDEX(Stu_Notes,MATCH(C957,Stu_ID,0)),""))</f>
        <v/>
      </c>
      <c r="J957" s="40">
        <f>IF(952&gt;$B$3,"",IFERROR(MATCH(952-1,EV_Seq,1)+1,1))</f>
        <v/>
      </c>
    </row>
    <row r="958">
      <c r="A958" s="105">
        <f>IF($J958="","",INDEX(EV_Date,$J958))</f>
        <v/>
      </c>
      <c r="B958" s="78">
        <f>IF($J958="","",INDEX(EV_Name,$J958))</f>
        <v/>
      </c>
      <c r="C958" s="106">
        <f>IF($J958="","",INDEX(EV_ID,$J958))</f>
        <v/>
      </c>
      <c r="D958" s="106">
        <f>IF($J958="","",INDEX(EV_Class,$J958))</f>
        <v/>
      </c>
      <c r="E958" s="106">
        <f>IF($J958="","",INDEX(EV_Type,$J958))</f>
        <v/>
      </c>
      <c r="F958" s="106">
        <f>IF($J958="","",INDEX(EV_Cum,$J958))</f>
        <v/>
      </c>
      <c r="G958" s="106">
        <f>IF($J958="","",INDEX(LevelLabels,MATCH(F958,LevelValues,1)))</f>
        <v/>
      </c>
      <c r="H958" s="106">
        <f>IF($J958="","",IFERROR(INDEX(Stu_ContactReq,MATCH(C958,Stu_ID,0)),""))</f>
        <v/>
      </c>
      <c r="I958" s="107">
        <f>IF($J958="","",IFERROR(INDEX(Stu_Notes,MATCH(C958,Stu_ID,0)),""))</f>
        <v/>
      </c>
      <c r="J958" s="40">
        <f>IF(953&gt;$B$3,"",IFERROR(MATCH(953-1,EV_Seq,1)+1,1))</f>
        <v/>
      </c>
    </row>
    <row r="959">
      <c r="A959" s="105">
        <f>IF($J959="","",INDEX(EV_Date,$J959))</f>
        <v/>
      </c>
      <c r="B959" s="78">
        <f>IF($J959="","",INDEX(EV_Name,$J959))</f>
        <v/>
      </c>
      <c r="C959" s="106">
        <f>IF($J959="","",INDEX(EV_ID,$J959))</f>
        <v/>
      </c>
      <c r="D959" s="106">
        <f>IF($J959="","",INDEX(EV_Class,$J959))</f>
        <v/>
      </c>
      <c r="E959" s="106">
        <f>IF($J959="","",INDEX(EV_Type,$J959))</f>
        <v/>
      </c>
      <c r="F959" s="106">
        <f>IF($J959="","",INDEX(EV_Cum,$J959))</f>
        <v/>
      </c>
      <c r="G959" s="106">
        <f>IF($J959="","",INDEX(LevelLabels,MATCH(F959,LevelValues,1)))</f>
        <v/>
      </c>
      <c r="H959" s="106">
        <f>IF($J959="","",IFERROR(INDEX(Stu_ContactReq,MATCH(C959,Stu_ID,0)),""))</f>
        <v/>
      </c>
      <c r="I959" s="107">
        <f>IF($J959="","",IFERROR(INDEX(Stu_Notes,MATCH(C959,Stu_ID,0)),""))</f>
        <v/>
      </c>
      <c r="J959" s="40">
        <f>IF(954&gt;$B$3,"",IFERROR(MATCH(954-1,EV_Seq,1)+1,1))</f>
        <v/>
      </c>
    </row>
    <row r="960">
      <c r="A960" s="105">
        <f>IF($J960="","",INDEX(EV_Date,$J960))</f>
        <v/>
      </c>
      <c r="B960" s="78">
        <f>IF($J960="","",INDEX(EV_Name,$J960))</f>
        <v/>
      </c>
      <c r="C960" s="106">
        <f>IF($J960="","",INDEX(EV_ID,$J960))</f>
        <v/>
      </c>
      <c r="D960" s="106">
        <f>IF($J960="","",INDEX(EV_Class,$J960))</f>
        <v/>
      </c>
      <c r="E960" s="106">
        <f>IF($J960="","",INDEX(EV_Type,$J960))</f>
        <v/>
      </c>
      <c r="F960" s="106">
        <f>IF($J960="","",INDEX(EV_Cum,$J960))</f>
        <v/>
      </c>
      <c r="G960" s="106">
        <f>IF($J960="","",INDEX(LevelLabels,MATCH(F960,LevelValues,1)))</f>
        <v/>
      </c>
      <c r="H960" s="106">
        <f>IF($J960="","",IFERROR(INDEX(Stu_ContactReq,MATCH(C960,Stu_ID,0)),""))</f>
        <v/>
      </c>
      <c r="I960" s="107">
        <f>IF($J960="","",IFERROR(INDEX(Stu_Notes,MATCH(C960,Stu_ID,0)),""))</f>
        <v/>
      </c>
      <c r="J960" s="40">
        <f>IF(955&gt;$B$3,"",IFERROR(MATCH(955-1,EV_Seq,1)+1,1))</f>
        <v/>
      </c>
    </row>
    <row r="961">
      <c r="A961" s="105">
        <f>IF($J961="","",INDEX(EV_Date,$J961))</f>
        <v/>
      </c>
      <c r="B961" s="78">
        <f>IF($J961="","",INDEX(EV_Name,$J961))</f>
        <v/>
      </c>
      <c r="C961" s="106">
        <f>IF($J961="","",INDEX(EV_ID,$J961))</f>
        <v/>
      </c>
      <c r="D961" s="106">
        <f>IF($J961="","",INDEX(EV_Class,$J961))</f>
        <v/>
      </c>
      <c r="E961" s="106">
        <f>IF($J961="","",INDEX(EV_Type,$J961))</f>
        <v/>
      </c>
      <c r="F961" s="106">
        <f>IF($J961="","",INDEX(EV_Cum,$J961))</f>
        <v/>
      </c>
      <c r="G961" s="106">
        <f>IF($J961="","",INDEX(LevelLabels,MATCH(F961,LevelValues,1)))</f>
        <v/>
      </c>
      <c r="H961" s="106">
        <f>IF($J961="","",IFERROR(INDEX(Stu_ContactReq,MATCH(C961,Stu_ID,0)),""))</f>
        <v/>
      </c>
      <c r="I961" s="107">
        <f>IF($J961="","",IFERROR(INDEX(Stu_Notes,MATCH(C961,Stu_ID,0)),""))</f>
        <v/>
      </c>
      <c r="J961" s="40">
        <f>IF(956&gt;$B$3,"",IFERROR(MATCH(956-1,EV_Seq,1)+1,1))</f>
        <v/>
      </c>
    </row>
    <row r="962">
      <c r="A962" s="105">
        <f>IF($J962="","",INDEX(EV_Date,$J962))</f>
        <v/>
      </c>
      <c r="B962" s="78">
        <f>IF($J962="","",INDEX(EV_Name,$J962))</f>
        <v/>
      </c>
      <c r="C962" s="106">
        <f>IF($J962="","",INDEX(EV_ID,$J962))</f>
        <v/>
      </c>
      <c r="D962" s="106">
        <f>IF($J962="","",INDEX(EV_Class,$J962))</f>
        <v/>
      </c>
      <c r="E962" s="106">
        <f>IF($J962="","",INDEX(EV_Type,$J962))</f>
        <v/>
      </c>
      <c r="F962" s="106">
        <f>IF($J962="","",INDEX(EV_Cum,$J962))</f>
        <v/>
      </c>
      <c r="G962" s="106">
        <f>IF($J962="","",INDEX(LevelLabels,MATCH(F962,LevelValues,1)))</f>
        <v/>
      </c>
      <c r="H962" s="106">
        <f>IF($J962="","",IFERROR(INDEX(Stu_ContactReq,MATCH(C962,Stu_ID,0)),""))</f>
        <v/>
      </c>
      <c r="I962" s="107">
        <f>IF($J962="","",IFERROR(INDEX(Stu_Notes,MATCH(C962,Stu_ID,0)),""))</f>
        <v/>
      </c>
      <c r="J962" s="40">
        <f>IF(957&gt;$B$3,"",IFERROR(MATCH(957-1,EV_Seq,1)+1,1))</f>
        <v/>
      </c>
    </row>
    <row r="963">
      <c r="A963" s="105">
        <f>IF($J963="","",INDEX(EV_Date,$J963))</f>
        <v/>
      </c>
      <c r="B963" s="78">
        <f>IF($J963="","",INDEX(EV_Name,$J963))</f>
        <v/>
      </c>
      <c r="C963" s="106">
        <f>IF($J963="","",INDEX(EV_ID,$J963))</f>
        <v/>
      </c>
      <c r="D963" s="106">
        <f>IF($J963="","",INDEX(EV_Class,$J963))</f>
        <v/>
      </c>
      <c r="E963" s="106">
        <f>IF($J963="","",INDEX(EV_Type,$J963))</f>
        <v/>
      </c>
      <c r="F963" s="106">
        <f>IF($J963="","",INDEX(EV_Cum,$J963))</f>
        <v/>
      </c>
      <c r="G963" s="106">
        <f>IF($J963="","",INDEX(LevelLabels,MATCH(F963,LevelValues,1)))</f>
        <v/>
      </c>
      <c r="H963" s="106">
        <f>IF($J963="","",IFERROR(INDEX(Stu_ContactReq,MATCH(C963,Stu_ID,0)),""))</f>
        <v/>
      </c>
      <c r="I963" s="107">
        <f>IF($J963="","",IFERROR(INDEX(Stu_Notes,MATCH(C963,Stu_ID,0)),""))</f>
        <v/>
      </c>
      <c r="J963" s="40">
        <f>IF(958&gt;$B$3,"",IFERROR(MATCH(958-1,EV_Seq,1)+1,1))</f>
        <v/>
      </c>
    </row>
    <row r="964">
      <c r="A964" s="105">
        <f>IF($J964="","",INDEX(EV_Date,$J964))</f>
        <v/>
      </c>
      <c r="B964" s="78">
        <f>IF($J964="","",INDEX(EV_Name,$J964))</f>
        <v/>
      </c>
      <c r="C964" s="106">
        <f>IF($J964="","",INDEX(EV_ID,$J964))</f>
        <v/>
      </c>
      <c r="D964" s="106">
        <f>IF($J964="","",INDEX(EV_Class,$J964))</f>
        <v/>
      </c>
      <c r="E964" s="106">
        <f>IF($J964="","",INDEX(EV_Type,$J964))</f>
        <v/>
      </c>
      <c r="F964" s="106">
        <f>IF($J964="","",INDEX(EV_Cum,$J964))</f>
        <v/>
      </c>
      <c r="G964" s="106">
        <f>IF($J964="","",INDEX(LevelLabels,MATCH(F964,LevelValues,1)))</f>
        <v/>
      </c>
      <c r="H964" s="106">
        <f>IF($J964="","",IFERROR(INDEX(Stu_ContactReq,MATCH(C964,Stu_ID,0)),""))</f>
        <v/>
      </c>
      <c r="I964" s="107">
        <f>IF($J964="","",IFERROR(INDEX(Stu_Notes,MATCH(C964,Stu_ID,0)),""))</f>
        <v/>
      </c>
      <c r="J964" s="40">
        <f>IF(959&gt;$B$3,"",IFERROR(MATCH(959-1,EV_Seq,1)+1,1))</f>
        <v/>
      </c>
    </row>
    <row r="965">
      <c r="A965" s="105">
        <f>IF($J965="","",INDEX(EV_Date,$J965))</f>
        <v/>
      </c>
      <c r="B965" s="78">
        <f>IF($J965="","",INDEX(EV_Name,$J965))</f>
        <v/>
      </c>
      <c r="C965" s="106">
        <f>IF($J965="","",INDEX(EV_ID,$J965))</f>
        <v/>
      </c>
      <c r="D965" s="106">
        <f>IF($J965="","",INDEX(EV_Class,$J965))</f>
        <v/>
      </c>
      <c r="E965" s="106">
        <f>IF($J965="","",INDEX(EV_Type,$J965))</f>
        <v/>
      </c>
      <c r="F965" s="106">
        <f>IF($J965="","",INDEX(EV_Cum,$J965))</f>
        <v/>
      </c>
      <c r="G965" s="106">
        <f>IF($J965="","",INDEX(LevelLabels,MATCH(F965,LevelValues,1)))</f>
        <v/>
      </c>
      <c r="H965" s="106">
        <f>IF($J965="","",IFERROR(INDEX(Stu_ContactReq,MATCH(C965,Stu_ID,0)),""))</f>
        <v/>
      </c>
      <c r="I965" s="107">
        <f>IF($J965="","",IFERROR(INDEX(Stu_Notes,MATCH(C965,Stu_ID,0)),""))</f>
        <v/>
      </c>
      <c r="J965" s="40">
        <f>IF(960&gt;$B$3,"",IFERROR(MATCH(960-1,EV_Seq,1)+1,1))</f>
        <v/>
      </c>
    </row>
    <row r="966">
      <c r="A966" s="105">
        <f>IF($J966="","",INDEX(EV_Date,$J966))</f>
        <v/>
      </c>
      <c r="B966" s="78">
        <f>IF($J966="","",INDEX(EV_Name,$J966))</f>
        <v/>
      </c>
      <c r="C966" s="106">
        <f>IF($J966="","",INDEX(EV_ID,$J966))</f>
        <v/>
      </c>
      <c r="D966" s="106">
        <f>IF($J966="","",INDEX(EV_Class,$J966))</f>
        <v/>
      </c>
      <c r="E966" s="106">
        <f>IF($J966="","",INDEX(EV_Type,$J966))</f>
        <v/>
      </c>
      <c r="F966" s="106">
        <f>IF($J966="","",INDEX(EV_Cum,$J966))</f>
        <v/>
      </c>
      <c r="G966" s="106">
        <f>IF($J966="","",INDEX(LevelLabels,MATCH(F966,LevelValues,1)))</f>
        <v/>
      </c>
      <c r="H966" s="106">
        <f>IF($J966="","",IFERROR(INDEX(Stu_ContactReq,MATCH(C966,Stu_ID,0)),""))</f>
        <v/>
      </c>
      <c r="I966" s="107">
        <f>IF($J966="","",IFERROR(INDEX(Stu_Notes,MATCH(C966,Stu_ID,0)),""))</f>
        <v/>
      </c>
      <c r="J966" s="40">
        <f>IF(961&gt;$B$3,"",IFERROR(MATCH(961-1,EV_Seq,1)+1,1))</f>
        <v/>
      </c>
    </row>
    <row r="967">
      <c r="A967" s="105">
        <f>IF($J967="","",INDEX(EV_Date,$J967))</f>
        <v/>
      </c>
      <c r="B967" s="78">
        <f>IF($J967="","",INDEX(EV_Name,$J967))</f>
        <v/>
      </c>
      <c r="C967" s="106">
        <f>IF($J967="","",INDEX(EV_ID,$J967))</f>
        <v/>
      </c>
      <c r="D967" s="106">
        <f>IF($J967="","",INDEX(EV_Class,$J967))</f>
        <v/>
      </c>
      <c r="E967" s="106">
        <f>IF($J967="","",INDEX(EV_Type,$J967))</f>
        <v/>
      </c>
      <c r="F967" s="106">
        <f>IF($J967="","",INDEX(EV_Cum,$J967))</f>
        <v/>
      </c>
      <c r="G967" s="106">
        <f>IF($J967="","",INDEX(LevelLabels,MATCH(F967,LevelValues,1)))</f>
        <v/>
      </c>
      <c r="H967" s="106">
        <f>IF($J967="","",IFERROR(INDEX(Stu_ContactReq,MATCH(C967,Stu_ID,0)),""))</f>
        <v/>
      </c>
      <c r="I967" s="107">
        <f>IF($J967="","",IFERROR(INDEX(Stu_Notes,MATCH(C967,Stu_ID,0)),""))</f>
        <v/>
      </c>
      <c r="J967" s="40">
        <f>IF(962&gt;$B$3,"",IFERROR(MATCH(962-1,EV_Seq,1)+1,1))</f>
        <v/>
      </c>
    </row>
    <row r="968">
      <c r="A968" s="105">
        <f>IF($J968="","",INDEX(EV_Date,$J968))</f>
        <v/>
      </c>
      <c r="B968" s="78">
        <f>IF($J968="","",INDEX(EV_Name,$J968))</f>
        <v/>
      </c>
      <c r="C968" s="106">
        <f>IF($J968="","",INDEX(EV_ID,$J968))</f>
        <v/>
      </c>
      <c r="D968" s="106">
        <f>IF($J968="","",INDEX(EV_Class,$J968))</f>
        <v/>
      </c>
      <c r="E968" s="106">
        <f>IF($J968="","",INDEX(EV_Type,$J968))</f>
        <v/>
      </c>
      <c r="F968" s="106">
        <f>IF($J968="","",INDEX(EV_Cum,$J968))</f>
        <v/>
      </c>
      <c r="G968" s="106">
        <f>IF($J968="","",INDEX(LevelLabels,MATCH(F968,LevelValues,1)))</f>
        <v/>
      </c>
      <c r="H968" s="106">
        <f>IF($J968="","",IFERROR(INDEX(Stu_ContactReq,MATCH(C968,Stu_ID,0)),""))</f>
        <v/>
      </c>
      <c r="I968" s="107">
        <f>IF($J968="","",IFERROR(INDEX(Stu_Notes,MATCH(C968,Stu_ID,0)),""))</f>
        <v/>
      </c>
      <c r="J968" s="40">
        <f>IF(963&gt;$B$3,"",IFERROR(MATCH(963-1,EV_Seq,1)+1,1))</f>
        <v/>
      </c>
    </row>
    <row r="969">
      <c r="A969" s="105">
        <f>IF($J969="","",INDEX(EV_Date,$J969))</f>
        <v/>
      </c>
      <c r="B969" s="78">
        <f>IF($J969="","",INDEX(EV_Name,$J969))</f>
        <v/>
      </c>
      <c r="C969" s="106">
        <f>IF($J969="","",INDEX(EV_ID,$J969))</f>
        <v/>
      </c>
      <c r="D969" s="106">
        <f>IF($J969="","",INDEX(EV_Class,$J969))</f>
        <v/>
      </c>
      <c r="E969" s="106">
        <f>IF($J969="","",INDEX(EV_Type,$J969))</f>
        <v/>
      </c>
      <c r="F969" s="106">
        <f>IF($J969="","",INDEX(EV_Cum,$J969))</f>
        <v/>
      </c>
      <c r="G969" s="106">
        <f>IF($J969="","",INDEX(LevelLabels,MATCH(F969,LevelValues,1)))</f>
        <v/>
      </c>
      <c r="H969" s="106">
        <f>IF($J969="","",IFERROR(INDEX(Stu_ContactReq,MATCH(C969,Stu_ID,0)),""))</f>
        <v/>
      </c>
      <c r="I969" s="107">
        <f>IF($J969="","",IFERROR(INDEX(Stu_Notes,MATCH(C969,Stu_ID,0)),""))</f>
        <v/>
      </c>
      <c r="J969" s="40">
        <f>IF(964&gt;$B$3,"",IFERROR(MATCH(964-1,EV_Seq,1)+1,1))</f>
        <v/>
      </c>
    </row>
    <row r="970">
      <c r="A970" s="105">
        <f>IF($J970="","",INDEX(EV_Date,$J970))</f>
        <v/>
      </c>
      <c r="B970" s="78">
        <f>IF($J970="","",INDEX(EV_Name,$J970))</f>
        <v/>
      </c>
      <c r="C970" s="106">
        <f>IF($J970="","",INDEX(EV_ID,$J970))</f>
        <v/>
      </c>
      <c r="D970" s="106">
        <f>IF($J970="","",INDEX(EV_Class,$J970))</f>
        <v/>
      </c>
      <c r="E970" s="106">
        <f>IF($J970="","",INDEX(EV_Type,$J970))</f>
        <v/>
      </c>
      <c r="F970" s="106">
        <f>IF($J970="","",INDEX(EV_Cum,$J970))</f>
        <v/>
      </c>
      <c r="G970" s="106">
        <f>IF($J970="","",INDEX(LevelLabels,MATCH(F970,LevelValues,1)))</f>
        <v/>
      </c>
      <c r="H970" s="106">
        <f>IF($J970="","",IFERROR(INDEX(Stu_ContactReq,MATCH(C970,Stu_ID,0)),""))</f>
        <v/>
      </c>
      <c r="I970" s="107">
        <f>IF($J970="","",IFERROR(INDEX(Stu_Notes,MATCH(C970,Stu_ID,0)),""))</f>
        <v/>
      </c>
      <c r="J970" s="40">
        <f>IF(965&gt;$B$3,"",IFERROR(MATCH(965-1,EV_Seq,1)+1,1))</f>
        <v/>
      </c>
    </row>
    <row r="971">
      <c r="A971" s="105">
        <f>IF($J971="","",INDEX(EV_Date,$J971))</f>
        <v/>
      </c>
      <c r="B971" s="78">
        <f>IF($J971="","",INDEX(EV_Name,$J971))</f>
        <v/>
      </c>
      <c r="C971" s="106">
        <f>IF($J971="","",INDEX(EV_ID,$J971))</f>
        <v/>
      </c>
      <c r="D971" s="106">
        <f>IF($J971="","",INDEX(EV_Class,$J971))</f>
        <v/>
      </c>
      <c r="E971" s="106">
        <f>IF($J971="","",INDEX(EV_Type,$J971))</f>
        <v/>
      </c>
      <c r="F971" s="106">
        <f>IF($J971="","",INDEX(EV_Cum,$J971))</f>
        <v/>
      </c>
      <c r="G971" s="106">
        <f>IF($J971="","",INDEX(LevelLabels,MATCH(F971,LevelValues,1)))</f>
        <v/>
      </c>
      <c r="H971" s="106">
        <f>IF($J971="","",IFERROR(INDEX(Stu_ContactReq,MATCH(C971,Stu_ID,0)),""))</f>
        <v/>
      </c>
      <c r="I971" s="107">
        <f>IF($J971="","",IFERROR(INDEX(Stu_Notes,MATCH(C971,Stu_ID,0)),""))</f>
        <v/>
      </c>
      <c r="J971" s="40">
        <f>IF(966&gt;$B$3,"",IFERROR(MATCH(966-1,EV_Seq,1)+1,1))</f>
        <v/>
      </c>
    </row>
    <row r="972">
      <c r="A972" s="105">
        <f>IF($J972="","",INDEX(EV_Date,$J972))</f>
        <v/>
      </c>
      <c r="B972" s="78">
        <f>IF($J972="","",INDEX(EV_Name,$J972))</f>
        <v/>
      </c>
      <c r="C972" s="106">
        <f>IF($J972="","",INDEX(EV_ID,$J972))</f>
        <v/>
      </c>
      <c r="D972" s="106">
        <f>IF($J972="","",INDEX(EV_Class,$J972))</f>
        <v/>
      </c>
      <c r="E972" s="106">
        <f>IF($J972="","",INDEX(EV_Type,$J972))</f>
        <v/>
      </c>
      <c r="F972" s="106">
        <f>IF($J972="","",INDEX(EV_Cum,$J972))</f>
        <v/>
      </c>
      <c r="G972" s="106">
        <f>IF($J972="","",INDEX(LevelLabels,MATCH(F972,LevelValues,1)))</f>
        <v/>
      </c>
      <c r="H972" s="106">
        <f>IF($J972="","",IFERROR(INDEX(Stu_ContactReq,MATCH(C972,Stu_ID,0)),""))</f>
        <v/>
      </c>
      <c r="I972" s="107">
        <f>IF($J972="","",IFERROR(INDEX(Stu_Notes,MATCH(C972,Stu_ID,0)),""))</f>
        <v/>
      </c>
      <c r="J972" s="40">
        <f>IF(967&gt;$B$3,"",IFERROR(MATCH(967-1,EV_Seq,1)+1,1))</f>
        <v/>
      </c>
    </row>
    <row r="973">
      <c r="A973" s="105">
        <f>IF($J973="","",INDEX(EV_Date,$J973))</f>
        <v/>
      </c>
      <c r="B973" s="78">
        <f>IF($J973="","",INDEX(EV_Name,$J973))</f>
        <v/>
      </c>
      <c r="C973" s="106">
        <f>IF($J973="","",INDEX(EV_ID,$J973))</f>
        <v/>
      </c>
      <c r="D973" s="106">
        <f>IF($J973="","",INDEX(EV_Class,$J973))</f>
        <v/>
      </c>
      <c r="E973" s="106">
        <f>IF($J973="","",INDEX(EV_Type,$J973))</f>
        <v/>
      </c>
      <c r="F973" s="106">
        <f>IF($J973="","",INDEX(EV_Cum,$J973))</f>
        <v/>
      </c>
      <c r="G973" s="106">
        <f>IF($J973="","",INDEX(LevelLabels,MATCH(F973,LevelValues,1)))</f>
        <v/>
      </c>
      <c r="H973" s="106">
        <f>IF($J973="","",IFERROR(INDEX(Stu_ContactReq,MATCH(C973,Stu_ID,0)),""))</f>
        <v/>
      </c>
      <c r="I973" s="107">
        <f>IF($J973="","",IFERROR(INDEX(Stu_Notes,MATCH(C973,Stu_ID,0)),""))</f>
        <v/>
      </c>
      <c r="J973" s="40">
        <f>IF(968&gt;$B$3,"",IFERROR(MATCH(968-1,EV_Seq,1)+1,1))</f>
        <v/>
      </c>
    </row>
    <row r="974">
      <c r="A974" s="105">
        <f>IF($J974="","",INDEX(EV_Date,$J974))</f>
        <v/>
      </c>
      <c r="B974" s="78">
        <f>IF($J974="","",INDEX(EV_Name,$J974))</f>
        <v/>
      </c>
      <c r="C974" s="106">
        <f>IF($J974="","",INDEX(EV_ID,$J974))</f>
        <v/>
      </c>
      <c r="D974" s="106">
        <f>IF($J974="","",INDEX(EV_Class,$J974))</f>
        <v/>
      </c>
      <c r="E974" s="106">
        <f>IF($J974="","",INDEX(EV_Type,$J974))</f>
        <v/>
      </c>
      <c r="F974" s="106">
        <f>IF($J974="","",INDEX(EV_Cum,$J974))</f>
        <v/>
      </c>
      <c r="G974" s="106">
        <f>IF($J974="","",INDEX(LevelLabels,MATCH(F974,LevelValues,1)))</f>
        <v/>
      </c>
      <c r="H974" s="106">
        <f>IF($J974="","",IFERROR(INDEX(Stu_ContactReq,MATCH(C974,Stu_ID,0)),""))</f>
        <v/>
      </c>
      <c r="I974" s="107">
        <f>IF($J974="","",IFERROR(INDEX(Stu_Notes,MATCH(C974,Stu_ID,0)),""))</f>
        <v/>
      </c>
      <c r="J974" s="40">
        <f>IF(969&gt;$B$3,"",IFERROR(MATCH(969-1,EV_Seq,1)+1,1))</f>
        <v/>
      </c>
    </row>
    <row r="975">
      <c r="A975" s="105">
        <f>IF($J975="","",INDEX(EV_Date,$J975))</f>
        <v/>
      </c>
      <c r="B975" s="78">
        <f>IF($J975="","",INDEX(EV_Name,$J975))</f>
        <v/>
      </c>
      <c r="C975" s="106">
        <f>IF($J975="","",INDEX(EV_ID,$J975))</f>
        <v/>
      </c>
      <c r="D975" s="106">
        <f>IF($J975="","",INDEX(EV_Class,$J975))</f>
        <v/>
      </c>
      <c r="E975" s="106">
        <f>IF($J975="","",INDEX(EV_Type,$J975))</f>
        <v/>
      </c>
      <c r="F975" s="106">
        <f>IF($J975="","",INDEX(EV_Cum,$J975))</f>
        <v/>
      </c>
      <c r="G975" s="106">
        <f>IF($J975="","",INDEX(LevelLabels,MATCH(F975,LevelValues,1)))</f>
        <v/>
      </c>
      <c r="H975" s="106">
        <f>IF($J975="","",IFERROR(INDEX(Stu_ContactReq,MATCH(C975,Stu_ID,0)),""))</f>
        <v/>
      </c>
      <c r="I975" s="107">
        <f>IF($J975="","",IFERROR(INDEX(Stu_Notes,MATCH(C975,Stu_ID,0)),""))</f>
        <v/>
      </c>
      <c r="J975" s="40">
        <f>IF(970&gt;$B$3,"",IFERROR(MATCH(970-1,EV_Seq,1)+1,1))</f>
        <v/>
      </c>
    </row>
    <row r="976">
      <c r="A976" s="105">
        <f>IF($J976="","",INDEX(EV_Date,$J976))</f>
        <v/>
      </c>
      <c r="B976" s="78">
        <f>IF($J976="","",INDEX(EV_Name,$J976))</f>
        <v/>
      </c>
      <c r="C976" s="106">
        <f>IF($J976="","",INDEX(EV_ID,$J976))</f>
        <v/>
      </c>
      <c r="D976" s="106">
        <f>IF($J976="","",INDEX(EV_Class,$J976))</f>
        <v/>
      </c>
      <c r="E976" s="106">
        <f>IF($J976="","",INDEX(EV_Type,$J976))</f>
        <v/>
      </c>
      <c r="F976" s="106">
        <f>IF($J976="","",INDEX(EV_Cum,$J976))</f>
        <v/>
      </c>
      <c r="G976" s="106">
        <f>IF($J976="","",INDEX(LevelLabels,MATCH(F976,LevelValues,1)))</f>
        <v/>
      </c>
      <c r="H976" s="106">
        <f>IF($J976="","",IFERROR(INDEX(Stu_ContactReq,MATCH(C976,Stu_ID,0)),""))</f>
        <v/>
      </c>
      <c r="I976" s="107">
        <f>IF($J976="","",IFERROR(INDEX(Stu_Notes,MATCH(C976,Stu_ID,0)),""))</f>
        <v/>
      </c>
      <c r="J976" s="40">
        <f>IF(971&gt;$B$3,"",IFERROR(MATCH(971-1,EV_Seq,1)+1,1))</f>
        <v/>
      </c>
    </row>
    <row r="977">
      <c r="A977" s="105">
        <f>IF($J977="","",INDEX(EV_Date,$J977))</f>
        <v/>
      </c>
      <c r="B977" s="78">
        <f>IF($J977="","",INDEX(EV_Name,$J977))</f>
        <v/>
      </c>
      <c r="C977" s="106">
        <f>IF($J977="","",INDEX(EV_ID,$J977))</f>
        <v/>
      </c>
      <c r="D977" s="106">
        <f>IF($J977="","",INDEX(EV_Class,$J977))</f>
        <v/>
      </c>
      <c r="E977" s="106">
        <f>IF($J977="","",INDEX(EV_Type,$J977))</f>
        <v/>
      </c>
      <c r="F977" s="106">
        <f>IF($J977="","",INDEX(EV_Cum,$J977))</f>
        <v/>
      </c>
      <c r="G977" s="106">
        <f>IF($J977="","",INDEX(LevelLabels,MATCH(F977,LevelValues,1)))</f>
        <v/>
      </c>
      <c r="H977" s="106">
        <f>IF($J977="","",IFERROR(INDEX(Stu_ContactReq,MATCH(C977,Stu_ID,0)),""))</f>
        <v/>
      </c>
      <c r="I977" s="107">
        <f>IF($J977="","",IFERROR(INDEX(Stu_Notes,MATCH(C977,Stu_ID,0)),""))</f>
        <v/>
      </c>
      <c r="J977" s="40">
        <f>IF(972&gt;$B$3,"",IFERROR(MATCH(972-1,EV_Seq,1)+1,1))</f>
        <v/>
      </c>
    </row>
    <row r="978">
      <c r="A978" s="105">
        <f>IF($J978="","",INDEX(EV_Date,$J978))</f>
        <v/>
      </c>
      <c r="B978" s="78">
        <f>IF($J978="","",INDEX(EV_Name,$J978))</f>
        <v/>
      </c>
      <c r="C978" s="106">
        <f>IF($J978="","",INDEX(EV_ID,$J978))</f>
        <v/>
      </c>
      <c r="D978" s="106">
        <f>IF($J978="","",INDEX(EV_Class,$J978))</f>
        <v/>
      </c>
      <c r="E978" s="106">
        <f>IF($J978="","",INDEX(EV_Type,$J978))</f>
        <v/>
      </c>
      <c r="F978" s="106">
        <f>IF($J978="","",INDEX(EV_Cum,$J978))</f>
        <v/>
      </c>
      <c r="G978" s="106">
        <f>IF($J978="","",INDEX(LevelLabels,MATCH(F978,LevelValues,1)))</f>
        <v/>
      </c>
      <c r="H978" s="106">
        <f>IF($J978="","",IFERROR(INDEX(Stu_ContactReq,MATCH(C978,Stu_ID,0)),""))</f>
        <v/>
      </c>
      <c r="I978" s="107">
        <f>IF($J978="","",IFERROR(INDEX(Stu_Notes,MATCH(C978,Stu_ID,0)),""))</f>
        <v/>
      </c>
      <c r="J978" s="40">
        <f>IF(973&gt;$B$3,"",IFERROR(MATCH(973-1,EV_Seq,1)+1,1))</f>
        <v/>
      </c>
    </row>
    <row r="979">
      <c r="A979" s="105">
        <f>IF($J979="","",INDEX(EV_Date,$J979))</f>
        <v/>
      </c>
      <c r="B979" s="78">
        <f>IF($J979="","",INDEX(EV_Name,$J979))</f>
        <v/>
      </c>
      <c r="C979" s="106">
        <f>IF($J979="","",INDEX(EV_ID,$J979))</f>
        <v/>
      </c>
      <c r="D979" s="106">
        <f>IF($J979="","",INDEX(EV_Class,$J979))</f>
        <v/>
      </c>
      <c r="E979" s="106">
        <f>IF($J979="","",INDEX(EV_Type,$J979))</f>
        <v/>
      </c>
      <c r="F979" s="106">
        <f>IF($J979="","",INDEX(EV_Cum,$J979))</f>
        <v/>
      </c>
      <c r="G979" s="106">
        <f>IF($J979="","",INDEX(LevelLabels,MATCH(F979,LevelValues,1)))</f>
        <v/>
      </c>
      <c r="H979" s="106">
        <f>IF($J979="","",IFERROR(INDEX(Stu_ContactReq,MATCH(C979,Stu_ID,0)),""))</f>
        <v/>
      </c>
      <c r="I979" s="107">
        <f>IF($J979="","",IFERROR(INDEX(Stu_Notes,MATCH(C979,Stu_ID,0)),""))</f>
        <v/>
      </c>
      <c r="J979" s="40">
        <f>IF(974&gt;$B$3,"",IFERROR(MATCH(974-1,EV_Seq,1)+1,1))</f>
        <v/>
      </c>
    </row>
    <row r="980">
      <c r="A980" s="105">
        <f>IF($J980="","",INDEX(EV_Date,$J980))</f>
        <v/>
      </c>
      <c r="B980" s="78">
        <f>IF($J980="","",INDEX(EV_Name,$J980))</f>
        <v/>
      </c>
      <c r="C980" s="106">
        <f>IF($J980="","",INDEX(EV_ID,$J980))</f>
        <v/>
      </c>
      <c r="D980" s="106">
        <f>IF($J980="","",INDEX(EV_Class,$J980))</f>
        <v/>
      </c>
      <c r="E980" s="106">
        <f>IF($J980="","",INDEX(EV_Type,$J980))</f>
        <v/>
      </c>
      <c r="F980" s="106">
        <f>IF($J980="","",INDEX(EV_Cum,$J980))</f>
        <v/>
      </c>
      <c r="G980" s="106">
        <f>IF($J980="","",INDEX(LevelLabels,MATCH(F980,LevelValues,1)))</f>
        <v/>
      </c>
      <c r="H980" s="106">
        <f>IF($J980="","",IFERROR(INDEX(Stu_ContactReq,MATCH(C980,Stu_ID,0)),""))</f>
        <v/>
      </c>
      <c r="I980" s="107">
        <f>IF($J980="","",IFERROR(INDEX(Stu_Notes,MATCH(C980,Stu_ID,0)),""))</f>
        <v/>
      </c>
      <c r="J980" s="40">
        <f>IF(975&gt;$B$3,"",IFERROR(MATCH(975-1,EV_Seq,1)+1,1))</f>
        <v/>
      </c>
    </row>
    <row r="981">
      <c r="A981" s="105">
        <f>IF($J981="","",INDEX(EV_Date,$J981))</f>
        <v/>
      </c>
      <c r="B981" s="78">
        <f>IF($J981="","",INDEX(EV_Name,$J981))</f>
        <v/>
      </c>
      <c r="C981" s="106">
        <f>IF($J981="","",INDEX(EV_ID,$J981))</f>
        <v/>
      </c>
      <c r="D981" s="106">
        <f>IF($J981="","",INDEX(EV_Class,$J981))</f>
        <v/>
      </c>
      <c r="E981" s="106">
        <f>IF($J981="","",INDEX(EV_Type,$J981))</f>
        <v/>
      </c>
      <c r="F981" s="106">
        <f>IF($J981="","",INDEX(EV_Cum,$J981))</f>
        <v/>
      </c>
      <c r="G981" s="106">
        <f>IF($J981="","",INDEX(LevelLabels,MATCH(F981,LevelValues,1)))</f>
        <v/>
      </c>
      <c r="H981" s="106">
        <f>IF($J981="","",IFERROR(INDEX(Stu_ContactReq,MATCH(C981,Stu_ID,0)),""))</f>
        <v/>
      </c>
      <c r="I981" s="107">
        <f>IF($J981="","",IFERROR(INDEX(Stu_Notes,MATCH(C981,Stu_ID,0)),""))</f>
        <v/>
      </c>
      <c r="J981" s="40">
        <f>IF(976&gt;$B$3,"",IFERROR(MATCH(976-1,EV_Seq,1)+1,1))</f>
        <v/>
      </c>
    </row>
    <row r="982">
      <c r="A982" s="105">
        <f>IF($J982="","",INDEX(EV_Date,$J982))</f>
        <v/>
      </c>
      <c r="B982" s="78">
        <f>IF($J982="","",INDEX(EV_Name,$J982))</f>
        <v/>
      </c>
      <c r="C982" s="106">
        <f>IF($J982="","",INDEX(EV_ID,$J982))</f>
        <v/>
      </c>
      <c r="D982" s="106">
        <f>IF($J982="","",INDEX(EV_Class,$J982))</f>
        <v/>
      </c>
      <c r="E982" s="106">
        <f>IF($J982="","",INDEX(EV_Type,$J982))</f>
        <v/>
      </c>
      <c r="F982" s="106">
        <f>IF($J982="","",INDEX(EV_Cum,$J982))</f>
        <v/>
      </c>
      <c r="G982" s="106">
        <f>IF($J982="","",INDEX(LevelLabels,MATCH(F982,LevelValues,1)))</f>
        <v/>
      </c>
      <c r="H982" s="106">
        <f>IF($J982="","",IFERROR(INDEX(Stu_ContactReq,MATCH(C982,Stu_ID,0)),""))</f>
        <v/>
      </c>
      <c r="I982" s="107">
        <f>IF($J982="","",IFERROR(INDEX(Stu_Notes,MATCH(C982,Stu_ID,0)),""))</f>
        <v/>
      </c>
      <c r="J982" s="40">
        <f>IF(977&gt;$B$3,"",IFERROR(MATCH(977-1,EV_Seq,1)+1,1))</f>
        <v/>
      </c>
    </row>
    <row r="983">
      <c r="A983" s="105">
        <f>IF($J983="","",INDEX(EV_Date,$J983))</f>
        <v/>
      </c>
      <c r="B983" s="78">
        <f>IF($J983="","",INDEX(EV_Name,$J983))</f>
        <v/>
      </c>
      <c r="C983" s="106">
        <f>IF($J983="","",INDEX(EV_ID,$J983))</f>
        <v/>
      </c>
      <c r="D983" s="106">
        <f>IF($J983="","",INDEX(EV_Class,$J983))</f>
        <v/>
      </c>
      <c r="E983" s="106">
        <f>IF($J983="","",INDEX(EV_Type,$J983))</f>
        <v/>
      </c>
      <c r="F983" s="106">
        <f>IF($J983="","",INDEX(EV_Cum,$J983))</f>
        <v/>
      </c>
      <c r="G983" s="106">
        <f>IF($J983="","",INDEX(LevelLabels,MATCH(F983,LevelValues,1)))</f>
        <v/>
      </c>
      <c r="H983" s="106">
        <f>IF($J983="","",IFERROR(INDEX(Stu_ContactReq,MATCH(C983,Stu_ID,0)),""))</f>
        <v/>
      </c>
      <c r="I983" s="107">
        <f>IF($J983="","",IFERROR(INDEX(Stu_Notes,MATCH(C983,Stu_ID,0)),""))</f>
        <v/>
      </c>
      <c r="J983" s="40">
        <f>IF(978&gt;$B$3,"",IFERROR(MATCH(978-1,EV_Seq,1)+1,1))</f>
        <v/>
      </c>
    </row>
    <row r="984">
      <c r="A984" s="105">
        <f>IF($J984="","",INDEX(EV_Date,$J984))</f>
        <v/>
      </c>
      <c r="B984" s="78">
        <f>IF($J984="","",INDEX(EV_Name,$J984))</f>
        <v/>
      </c>
      <c r="C984" s="106">
        <f>IF($J984="","",INDEX(EV_ID,$J984))</f>
        <v/>
      </c>
      <c r="D984" s="106">
        <f>IF($J984="","",INDEX(EV_Class,$J984))</f>
        <v/>
      </c>
      <c r="E984" s="106">
        <f>IF($J984="","",INDEX(EV_Type,$J984))</f>
        <v/>
      </c>
      <c r="F984" s="106">
        <f>IF($J984="","",INDEX(EV_Cum,$J984))</f>
        <v/>
      </c>
      <c r="G984" s="106">
        <f>IF($J984="","",INDEX(LevelLabels,MATCH(F984,LevelValues,1)))</f>
        <v/>
      </c>
      <c r="H984" s="106">
        <f>IF($J984="","",IFERROR(INDEX(Stu_ContactReq,MATCH(C984,Stu_ID,0)),""))</f>
        <v/>
      </c>
      <c r="I984" s="107">
        <f>IF($J984="","",IFERROR(INDEX(Stu_Notes,MATCH(C984,Stu_ID,0)),""))</f>
        <v/>
      </c>
      <c r="J984" s="40">
        <f>IF(979&gt;$B$3,"",IFERROR(MATCH(979-1,EV_Seq,1)+1,1))</f>
        <v/>
      </c>
    </row>
    <row r="985">
      <c r="A985" s="105">
        <f>IF($J985="","",INDEX(EV_Date,$J985))</f>
        <v/>
      </c>
      <c r="B985" s="78">
        <f>IF($J985="","",INDEX(EV_Name,$J985))</f>
        <v/>
      </c>
      <c r="C985" s="106">
        <f>IF($J985="","",INDEX(EV_ID,$J985))</f>
        <v/>
      </c>
      <c r="D985" s="106">
        <f>IF($J985="","",INDEX(EV_Class,$J985))</f>
        <v/>
      </c>
      <c r="E985" s="106">
        <f>IF($J985="","",INDEX(EV_Type,$J985))</f>
        <v/>
      </c>
      <c r="F985" s="106">
        <f>IF($J985="","",INDEX(EV_Cum,$J985))</f>
        <v/>
      </c>
      <c r="G985" s="106">
        <f>IF($J985="","",INDEX(LevelLabels,MATCH(F985,LevelValues,1)))</f>
        <v/>
      </c>
      <c r="H985" s="106">
        <f>IF($J985="","",IFERROR(INDEX(Stu_ContactReq,MATCH(C985,Stu_ID,0)),""))</f>
        <v/>
      </c>
      <c r="I985" s="107">
        <f>IF($J985="","",IFERROR(INDEX(Stu_Notes,MATCH(C985,Stu_ID,0)),""))</f>
        <v/>
      </c>
      <c r="J985" s="40">
        <f>IF(980&gt;$B$3,"",IFERROR(MATCH(980-1,EV_Seq,1)+1,1))</f>
        <v/>
      </c>
    </row>
    <row r="986">
      <c r="A986" s="105">
        <f>IF($J986="","",INDEX(EV_Date,$J986))</f>
        <v/>
      </c>
      <c r="B986" s="78">
        <f>IF($J986="","",INDEX(EV_Name,$J986))</f>
        <v/>
      </c>
      <c r="C986" s="106">
        <f>IF($J986="","",INDEX(EV_ID,$J986))</f>
        <v/>
      </c>
      <c r="D986" s="106">
        <f>IF($J986="","",INDEX(EV_Class,$J986))</f>
        <v/>
      </c>
      <c r="E986" s="106">
        <f>IF($J986="","",INDEX(EV_Type,$J986))</f>
        <v/>
      </c>
      <c r="F986" s="106">
        <f>IF($J986="","",INDEX(EV_Cum,$J986))</f>
        <v/>
      </c>
      <c r="G986" s="106">
        <f>IF($J986="","",INDEX(LevelLabels,MATCH(F986,LevelValues,1)))</f>
        <v/>
      </c>
      <c r="H986" s="106">
        <f>IF($J986="","",IFERROR(INDEX(Stu_ContactReq,MATCH(C986,Stu_ID,0)),""))</f>
        <v/>
      </c>
      <c r="I986" s="107">
        <f>IF($J986="","",IFERROR(INDEX(Stu_Notes,MATCH(C986,Stu_ID,0)),""))</f>
        <v/>
      </c>
      <c r="J986" s="40">
        <f>IF(981&gt;$B$3,"",IFERROR(MATCH(981-1,EV_Seq,1)+1,1))</f>
        <v/>
      </c>
    </row>
    <row r="987">
      <c r="A987" s="105">
        <f>IF($J987="","",INDEX(EV_Date,$J987))</f>
        <v/>
      </c>
      <c r="B987" s="78">
        <f>IF($J987="","",INDEX(EV_Name,$J987))</f>
        <v/>
      </c>
      <c r="C987" s="106">
        <f>IF($J987="","",INDEX(EV_ID,$J987))</f>
        <v/>
      </c>
      <c r="D987" s="106">
        <f>IF($J987="","",INDEX(EV_Class,$J987))</f>
        <v/>
      </c>
      <c r="E987" s="106">
        <f>IF($J987="","",INDEX(EV_Type,$J987))</f>
        <v/>
      </c>
      <c r="F987" s="106">
        <f>IF($J987="","",INDEX(EV_Cum,$J987))</f>
        <v/>
      </c>
      <c r="G987" s="106">
        <f>IF($J987="","",INDEX(LevelLabels,MATCH(F987,LevelValues,1)))</f>
        <v/>
      </c>
      <c r="H987" s="106">
        <f>IF($J987="","",IFERROR(INDEX(Stu_ContactReq,MATCH(C987,Stu_ID,0)),""))</f>
        <v/>
      </c>
      <c r="I987" s="107">
        <f>IF($J987="","",IFERROR(INDEX(Stu_Notes,MATCH(C987,Stu_ID,0)),""))</f>
        <v/>
      </c>
      <c r="J987" s="40">
        <f>IF(982&gt;$B$3,"",IFERROR(MATCH(982-1,EV_Seq,1)+1,1))</f>
        <v/>
      </c>
    </row>
    <row r="988">
      <c r="A988" s="105">
        <f>IF($J988="","",INDEX(EV_Date,$J988))</f>
        <v/>
      </c>
      <c r="B988" s="78">
        <f>IF($J988="","",INDEX(EV_Name,$J988))</f>
        <v/>
      </c>
      <c r="C988" s="106">
        <f>IF($J988="","",INDEX(EV_ID,$J988))</f>
        <v/>
      </c>
      <c r="D988" s="106">
        <f>IF($J988="","",INDEX(EV_Class,$J988))</f>
        <v/>
      </c>
      <c r="E988" s="106">
        <f>IF($J988="","",INDEX(EV_Type,$J988))</f>
        <v/>
      </c>
      <c r="F988" s="106">
        <f>IF($J988="","",INDEX(EV_Cum,$J988))</f>
        <v/>
      </c>
      <c r="G988" s="106">
        <f>IF($J988="","",INDEX(LevelLabels,MATCH(F988,LevelValues,1)))</f>
        <v/>
      </c>
      <c r="H988" s="106">
        <f>IF($J988="","",IFERROR(INDEX(Stu_ContactReq,MATCH(C988,Stu_ID,0)),""))</f>
        <v/>
      </c>
      <c r="I988" s="107">
        <f>IF($J988="","",IFERROR(INDEX(Stu_Notes,MATCH(C988,Stu_ID,0)),""))</f>
        <v/>
      </c>
      <c r="J988" s="40">
        <f>IF(983&gt;$B$3,"",IFERROR(MATCH(983-1,EV_Seq,1)+1,1))</f>
        <v/>
      </c>
    </row>
    <row r="989">
      <c r="A989" s="105">
        <f>IF($J989="","",INDEX(EV_Date,$J989))</f>
        <v/>
      </c>
      <c r="B989" s="78">
        <f>IF($J989="","",INDEX(EV_Name,$J989))</f>
        <v/>
      </c>
      <c r="C989" s="106">
        <f>IF($J989="","",INDEX(EV_ID,$J989))</f>
        <v/>
      </c>
      <c r="D989" s="106">
        <f>IF($J989="","",INDEX(EV_Class,$J989))</f>
        <v/>
      </c>
      <c r="E989" s="106">
        <f>IF($J989="","",INDEX(EV_Type,$J989))</f>
        <v/>
      </c>
      <c r="F989" s="106">
        <f>IF($J989="","",INDEX(EV_Cum,$J989))</f>
        <v/>
      </c>
      <c r="G989" s="106">
        <f>IF($J989="","",INDEX(LevelLabels,MATCH(F989,LevelValues,1)))</f>
        <v/>
      </c>
      <c r="H989" s="106">
        <f>IF($J989="","",IFERROR(INDEX(Stu_ContactReq,MATCH(C989,Stu_ID,0)),""))</f>
        <v/>
      </c>
      <c r="I989" s="107">
        <f>IF($J989="","",IFERROR(INDEX(Stu_Notes,MATCH(C989,Stu_ID,0)),""))</f>
        <v/>
      </c>
      <c r="J989" s="40">
        <f>IF(984&gt;$B$3,"",IFERROR(MATCH(984-1,EV_Seq,1)+1,1))</f>
        <v/>
      </c>
    </row>
    <row r="990">
      <c r="A990" s="105">
        <f>IF($J990="","",INDEX(EV_Date,$J990))</f>
        <v/>
      </c>
      <c r="B990" s="78">
        <f>IF($J990="","",INDEX(EV_Name,$J990))</f>
        <v/>
      </c>
      <c r="C990" s="106">
        <f>IF($J990="","",INDEX(EV_ID,$J990))</f>
        <v/>
      </c>
      <c r="D990" s="106">
        <f>IF($J990="","",INDEX(EV_Class,$J990))</f>
        <v/>
      </c>
      <c r="E990" s="106">
        <f>IF($J990="","",INDEX(EV_Type,$J990))</f>
        <v/>
      </c>
      <c r="F990" s="106">
        <f>IF($J990="","",INDEX(EV_Cum,$J990))</f>
        <v/>
      </c>
      <c r="G990" s="106">
        <f>IF($J990="","",INDEX(LevelLabels,MATCH(F990,LevelValues,1)))</f>
        <v/>
      </c>
      <c r="H990" s="106">
        <f>IF($J990="","",IFERROR(INDEX(Stu_ContactReq,MATCH(C990,Stu_ID,0)),""))</f>
        <v/>
      </c>
      <c r="I990" s="107">
        <f>IF($J990="","",IFERROR(INDEX(Stu_Notes,MATCH(C990,Stu_ID,0)),""))</f>
        <v/>
      </c>
      <c r="J990" s="40">
        <f>IF(985&gt;$B$3,"",IFERROR(MATCH(985-1,EV_Seq,1)+1,1))</f>
        <v/>
      </c>
    </row>
    <row r="991">
      <c r="A991" s="105">
        <f>IF($J991="","",INDEX(EV_Date,$J991))</f>
        <v/>
      </c>
      <c r="B991" s="78">
        <f>IF($J991="","",INDEX(EV_Name,$J991))</f>
        <v/>
      </c>
      <c r="C991" s="106">
        <f>IF($J991="","",INDEX(EV_ID,$J991))</f>
        <v/>
      </c>
      <c r="D991" s="106">
        <f>IF($J991="","",INDEX(EV_Class,$J991))</f>
        <v/>
      </c>
      <c r="E991" s="106">
        <f>IF($J991="","",INDEX(EV_Type,$J991))</f>
        <v/>
      </c>
      <c r="F991" s="106">
        <f>IF($J991="","",INDEX(EV_Cum,$J991))</f>
        <v/>
      </c>
      <c r="G991" s="106">
        <f>IF($J991="","",INDEX(LevelLabels,MATCH(F991,LevelValues,1)))</f>
        <v/>
      </c>
      <c r="H991" s="106">
        <f>IF($J991="","",IFERROR(INDEX(Stu_ContactReq,MATCH(C991,Stu_ID,0)),""))</f>
        <v/>
      </c>
      <c r="I991" s="107">
        <f>IF($J991="","",IFERROR(INDEX(Stu_Notes,MATCH(C991,Stu_ID,0)),""))</f>
        <v/>
      </c>
      <c r="J991" s="40">
        <f>IF(986&gt;$B$3,"",IFERROR(MATCH(986-1,EV_Seq,1)+1,1))</f>
        <v/>
      </c>
    </row>
    <row r="992">
      <c r="A992" s="105">
        <f>IF($J992="","",INDEX(EV_Date,$J992))</f>
        <v/>
      </c>
      <c r="B992" s="78">
        <f>IF($J992="","",INDEX(EV_Name,$J992))</f>
        <v/>
      </c>
      <c r="C992" s="106">
        <f>IF($J992="","",INDEX(EV_ID,$J992))</f>
        <v/>
      </c>
      <c r="D992" s="106">
        <f>IF($J992="","",INDEX(EV_Class,$J992))</f>
        <v/>
      </c>
      <c r="E992" s="106">
        <f>IF($J992="","",INDEX(EV_Type,$J992))</f>
        <v/>
      </c>
      <c r="F992" s="106">
        <f>IF($J992="","",INDEX(EV_Cum,$J992))</f>
        <v/>
      </c>
      <c r="G992" s="106">
        <f>IF($J992="","",INDEX(LevelLabels,MATCH(F992,LevelValues,1)))</f>
        <v/>
      </c>
      <c r="H992" s="106">
        <f>IF($J992="","",IFERROR(INDEX(Stu_ContactReq,MATCH(C992,Stu_ID,0)),""))</f>
        <v/>
      </c>
      <c r="I992" s="107">
        <f>IF($J992="","",IFERROR(INDEX(Stu_Notes,MATCH(C992,Stu_ID,0)),""))</f>
        <v/>
      </c>
      <c r="J992" s="40">
        <f>IF(987&gt;$B$3,"",IFERROR(MATCH(987-1,EV_Seq,1)+1,1))</f>
        <v/>
      </c>
    </row>
    <row r="993">
      <c r="A993" s="105">
        <f>IF($J993="","",INDEX(EV_Date,$J993))</f>
        <v/>
      </c>
      <c r="B993" s="78">
        <f>IF($J993="","",INDEX(EV_Name,$J993))</f>
        <v/>
      </c>
      <c r="C993" s="106">
        <f>IF($J993="","",INDEX(EV_ID,$J993))</f>
        <v/>
      </c>
      <c r="D993" s="106">
        <f>IF($J993="","",INDEX(EV_Class,$J993))</f>
        <v/>
      </c>
      <c r="E993" s="106">
        <f>IF($J993="","",INDEX(EV_Type,$J993))</f>
        <v/>
      </c>
      <c r="F993" s="106">
        <f>IF($J993="","",INDEX(EV_Cum,$J993))</f>
        <v/>
      </c>
      <c r="G993" s="106">
        <f>IF($J993="","",INDEX(LevelLabels,MATCH(F993,LevelValues,1)))</f>
        <v/>
      </c>
      <c r="H993" s="106">
        <f>IF($J993="","",IFERROR(INDEX(Stu_ContactReq,MATCH(C993,Stu_ID,0)),""))</f>
        <v/>
      </c>
      <c r="I993" s="107">
        <f>IF($J993="","",IFERROR(INDEX(Stu_Notes,MATCH(C993,Stu_ID,0)),""))</f>
        <v/>
      </c>
      <c r="J993" s="40">
        <f>IF(988&gt;$B$3,"",IFERROR(MATCH(988-1,EV_Seq,1)+1,1))</f>
        <v/>
      </c>
    </row>
    <row r="994">
      <c r="A994" s="105">
        <f>IF($J994="","",INDEX(EV_Date,$J994))</f>
        <v/>
      </c>
      <c r="B994" s="78">
        <f>IF($J994="","",INDEX(EV_Name,$J994))</f>
        <v/>
      </c>
      <c r="C994" s="106">
        <f>IF($J994="","",INDEX(EV_ID,$J994))</f>
        <v/>
      </c>
      <c r="D994" s="106">
        <f>IF($J994="","",INDEX(EV_Class,$J994))</f>
        <v/>
      </c>
      <c r="E994" s="106">
        <f>IF($J994="","",INDEX(EV_Type,$J994))</f>
        <v/>
      </c>
      <c r="F994" s="106">
        <f>IF($J994="","",INDEX(EV_Cum,$J994))</f>
        <v/>
      </c>
      <c r="G994" s="106">
        <f>IF($J994="","",INDEX(LevelLabels,MATCH(F994,LevelValues,1)))</f>
        <v/>
      </c>
      <c r="H994" s="106">
        <f>IF($J994="","",IFERROR(INDEX(Stu_ContactReq,MATCH(C994,Stu_ID,0)),""))</f>
        <v/>
      </c>
      <c r="I994" s="107">
        <f>IF($J994="","",IFERROR(INDEX(Stu_Notes,MATCH(C994,Stu_ID,0)),""))</f>
        <v/>
      </c>
      <c r="J994" s="40">
        <f>IF(989&gt;$B$3,"",IFERROR(MATCH(989-1,EV_Seq,1)+1,1))</f>
        <v/>
      </c>
    </row>
    <row r="995">
      <c r="A995" s="105">
        <f>IF($J995="","",INDEX(EV_Date,$J995))</f>
        <v/>
      </c>
      <c r="B995" s="78">
        <f>IF($J995="","",INDEX(EV_Name,$J995))</f>
        <v/>
      </c>
      <c r="C995" s="106">
        <f>IF($J995="","",INDEX(EV_ID,$J995))</f>
        <v/>
      </c>
      <c r="D995" s="106">
        <f>IF($J995="","",INDEX(EV_Class,$J995))</f>
        <v/>
      </c>
      <c r="E995" s="106">
        <f>IF($J995="","",INDEX(EV_Type,$J995))</f>
        <v/>
      </c>
      <c r="F995" s="106">
        <f>IF($J995="","",INDEX(EV_Cum,$J995))</f>
        <v/>
      </c>
      <c r="G995" s="106">
        <f>IF($J995="","",INDEX(LevelLabels,MATCH(F995,LevelValues,1)))</f>
        <v/>
      </c>
      <c r="H995" s="106">
        <f>IF($J995="","",IFERROR(INDEX(Stu_ContactReq,MATCH(C995,Stu_ID,0)),""))</f>
        <v/>
      </c>
      <c r="I995" s="107">
        <f>IF($J995="","",IFERROR(INDEX(Stu_Notes,MATCH(C995,Stu_ID,0)),""))</f>
        <v/>
      </c>
      <c r="J995" s="40">
        <f>IF(990&gt;$B$3,"",IFERROR(MATCH(990-1,EV_Seq,1)+1,1))</f>
        <v/>
      </c>
    </row>
    <row r="996">
      <c r="A996" s="105">
        <f>IF($J996="","",INDEX(EV_Date,$J996))</f>
        <v/>
      </c>
      <c r="B996" s="78">
        <f>IF($J996="","",INDEX(EV_Name,$J996))</f>
        <v/>
      </c>
      <c r="C996" s="106">
        <f>IF($J996="","",INDEX(EV_ID,$J996))</f>
        <v/>
      </c>
      <c r="D996" s="106">
        <f>IF($J996="","",INDEX(EV_Class,$J996))</f>
        <v/>
      </c>
      <c r="E996" s="106">
        <f>IF($J996="","",INDEX(EV_Type,$J996))</f>
        <v/>
      </c>
      <c r="F996" s="106">
        <f>IF($J996="","",INDEX(EV_Cum,$J996))</f>
        <v/>
      </c>
      <c r="G996" s="106">
        <f>IF($J996="","",INDEX(LevelLabels,MATCH(F996,LevelValues,1)))</f>
        <v/>
      </c>
      <c r="H996" s="106">
        <f>IF($J996="","",IFERROR(INDEX(Stu_ContactReq,MATCH(C996,Stu_ID,0)),""))</f>
        <v/>
      </c>
      <c r="I996" s="107">
        <f>IF($J996="","",IFERROR(INDEX(Stu_Notes,MATCH(C996,Stu_ID,0)),""))</f>
        <v/>
      </c>
      <c r="J996" s="40">
        <f>IF(991&gt;$B$3,"",IFERROR(MATCH(991-1,EV_Seq,1)+1,1))</f>
        <v/>
      </c>
    </row>
    <row r="997">
      <c r="A997" s="105">
        <f>IF($J997="","",INDEX(EV_Date,$J997))</f>
        <v/>
      </c>
      <c r="B997" s="78">
        <f>IF($J997="","",INDEX(EV_Name,$J997))</f>
        <v/>
      </c>
      <c r="C997" s="106">
        <f>IF($J997="","",INDEX(EV_ID,$J997))</f>
        <v/>
      </c>
      <c r="D997" s="106">
        <f>IF($J997="","",INDEX(EV_Class,$J997))</f>
        <v/>
      </c>
      <c r="E997" s="106">
        <f>IF($J997="","",INDEX(EV_Type,$J997))</f>
        <v/>
      </c>
      <c r="F997" s="106">
        <f>IF($J997="","",INDEX(EV_Cum,$J997))</f>
        <v/>
      </c>
      <c r="G997" s="106">
        <f>IF($J997="","",INDEX(LevelLabels,MATCH(F997,LevelValues,1)))</f>
        <v/>
      </c>
      <c r="H997" s="106">
        <f>IF($J997="","",IFERROR(INDEX(Stu_ContactReq,MATCH(C997,Stu_ID,0)),""))</f>
        <v/>
      </c>
      <c r="I997" s="107">
        <f>IF($J997="","",IFERROR(INDEX(Stu_Notes,MATCH(C997,Stu_ID,0)),""))</f>
        <v/>
      </c>
      <c r="J997" s="40">
        <f>IF(992&gt;$B$3,"",IFERROR(MATCH(992-1,EV_Seq,1)+1,1))</f>
        <v/>
      </c>
    </row>
    <row r="998">
      <c r="A998" s="105">
        <f>IF($J998="","",INDEX(EV_Date,$J998))</f>
        <v/>
      </c>
      <c r="B998" s="78">
        <f>IF($J998="","",INDEX(EV_Name,$J998))</f>
        <v/>
      </c>
      <c r="C998" s="106">
        <f>IF($J998="","",INDEX(EV_ID,$J998))</f>
        <v/>
      </c>
      <c r="D998" s="106">
        <f>IF($J998="","",INDEX(EV_Class,$J998))</f>
        <v/>
      </c>
      <c r="E998" s="106">
        <f>IF($J998="","",INDEX(EV_Type,$J998))</f>
        <v/>
      </c>
      <c r="F998" s="106">
        <f>IF($J998="","",INDEX(EV_Cum,$J998))</f>
        <v/>
      </c>
      <c r="G998" s="106">
        <f>IF($J998="","",INDEX(LevelLabels,MATCH(F998,LevelValues,1)))</f>
        <v/>
      </c>
      <c r="H998" s="106">
        <f>IF($J998="","",IFERROR(INDEX(Stu_ContactReq,MATCH(C998,Stu_ID,0)),""))</f>
        <v/>
      </c>
      <c r="I998" s="107">
        <f>IF($J998="","",IFERROR(INDEX(Stu_Notes,MATCH(C998,Stu_ID,0)),""))</f>
        <v/>
      </c>
      <c r="J998" s="40">
        <f>IF(993&gt;$B$3,"",IFERROR(MATCH(993-1,EV_Seq,1)+1,1))</f>
        <v/>
      </c>
    </row>
    <row r="999">
      <c r="A999" s="105">
        <f>IF($J999="","",INDEX(EV_Date,$J999))</f>
        <v/>
      </c>
      <c r="B999" s="78">
        <f>IF($J999="","",INDEX(EV_Name,$J999))</f>
        <v/>
      </c>
      <c r="C999" s="106">
        <f>IF($J999="","",INDEX(EV_ID,$J999))</f>
        <v/>
      </c>
      <c r="D999" s="106">
        <f>IF($J999="","",INDEX(EV_Class,$J999))</f>
        <v/>
      </c>
      <c r="E999" s="106">
        <f>IF($J999="","",INDEX(EV_Type,$J999))</f>
        <v/>
      </c>
      <c r="F999" s="106">
        <f>IF($J999="","",INDEX(EV_Cum,$J999))</f>
        <v/>
      </c>
      <c r="G999" s="106">
        <f>IF($J999="","",INDEX(LevelLabels,MATCH(F999,LevelValues,1)))</f>
        <v/>
      </c>
      <c r="H999" s="106">
        <f>IF($J999="","",IFERROR(INDEX(Stu_ContactReq,MATCH(C999,Stu_ID,0)),""))</f>
        <v/>
      </c>
      <c r="I999" s="107">
        <f>IF($J999="","",IFERROR(INDEX(Stu_Notes,MATCH(C999,Stu_ID,0)),""))</f>
        <v/>
      </c>
      <c r="J999" s="40">
        <f>IF(994&gt;$B$3,"",IFERROR(MATCH(994-1,EV_Seq,1)+1,1))</f>
        <v/>
      </c>
    </row>
    <row r="1000">
      <c r="A1000" s="105">
        <f>IF($J1000="","",INDEX(EV_Date,$J1000))</f>
        <v/>
      </c>
      <c r="B1000" s="78">
        <f>IF($J1000="","",INDEX(EV_Name,$J1000))</f>
        <v/>
      </c>
      <c r="C1000" s="106">
        <f>IF($J1000="","",INDEX(EV_ID,$J1000))</f>
        <v/>
      </c>
      <c r="D1000" s="106">
        <f>IF($J1000="","",INDEX(EV_Class,$J1000))</f>
        <v/>
      </c>
      <c r="E1000" s="106">
        <f>IF($J1000="","",INDEX(EV_Type,$J1000))</f>
        <v/>
      </c>
      <c r="F1000" s="106">
        <f>IF($J1000="","",INDEX(EV_Cum,$J1000))</f>
        <v/>
      </c>
      <c r="G1000" s="106">
        <f>IF($J1000="","",INDEX(LevelLabels,MATCH(F1000,LevelValues,1)))</f>
        <v/>
      </c>
      <c r="H1000" s="106">
        <f>IF($J1000="","",IFERROR(INDEX(Stu_ContactReq,MATCH(C1000,Stu_ID,0)),""))</f>
        <v/>
      </c>
      <c r="I1000" s="107">
        <f>IF($J1000="","",IFERROR(INDEX(Stu_Notes,MATCH(C1000,Stu_ID,0)),""))</f>
        <v/>
      </c>
      <c r="J1000" s="40">
        <f>IF(995&gt;$B$3,"",IFERROR(MATCH(995-1,EV_Seq,1)+1,1))</f>
        <v/>
      </c>
    </row>
    <row r="1001">
      <c r="A1001" s="105">
        <f>IF($J1001="","",INDEX(EV_Date,$J1001))</f>
        <v/>
      </c>
      <c r="B1001" s="78">
        <f>IF($J1001="","",INDEX(EV_Name,$J1001))</f>
        <v/>
      </c>
      <c r="C1001" s="106">
        <f>IF($J1001="","",INDEX(EV_ID,$J1001))</f>
        <v/>
      </c>
      <c r="D1001" s="106">
        <f>IF($J1001="","",INDEX(EV_Class,$J1001))</f>
        <v/>
      </c>
      <c r="E1001" s="106">
        <f>IF($J1001="","",INDEX(EV_Type,$J1001))</f>
        <v/>
      </c>
      <c r="F1001" s="106">
        <f>IF($J1001="","",INDEX(EV_Cum,$J1001))</f>
        <v/>
      </c>
      <c r="G1001" s="106">
        <f>IF($J1001="","",INDEX(LevelLabels,MATCH(F1001,LevelValues,1)))</f>
        <v/>
      </c>
      <c r="H1001" s="106">
        <f>IF($J1001="","",IFERROR(INDEX(Stu_ContactReq,MATCH(C1001,Stu_ID,0)),""))</f>
        <v/>
      </c>
      <c r="I1001" s="107">
        <f>IF($J1001="","",IFERROR(INDEX(Stu_Notes,MATCH(C1001,Stu_ID,0)),""))</f>
        <v/>
      </c>
      <c r="J1001" s="40">
        <f>IF(996&gt;$B$3,"",IFERROR(MATCH(996-1,EV_Seq,1)+1,1))</f>
        <v/>
      </c>
    </row>
    <row r="1002">
      <c r="A1002" s="105">
        <f>IF($J1002="","",INDEX(EV_Date,$J1002))</f>
        <v/>
      </c>
      <c r="B1002" s="78">
        <f>IF($J1002="","",INDEX(EV_Name,$J1002))</f>
        <v/>
      </c>
      <c r="C1002" s="106">
        <f>IF($J1002="","",INDEX(EV_ID,$J1002))</f>
        <v/>
      </c>
      <c r="D1002" s="106">
        <f>IF($J1002="","",INDEX(EV_Class,$J1002))</f>
        <v/>
      </c>
      <c r="E1002" s="106">
        <f>IF($J1002="","",INDEX(EV_Type,$J1002))</f>
        <v/>
      </c>
      <c r="F1002" s="106">
        <f>IF($J1002="","",INDEX(EV_Cum,$J1002))</f>
        <v/>
      </c>
      <c r="G1002" s="106">
        <f>IF($J1002="","",INDEX(LevelLabels,MATCH(F1002,LevelValues,1)))</f>
        <v/>
      </c>
      <c r="H1002" s="106">
        <f>IF($J1002="","",IFERROR(INDEX(Stu_ContactReq,MATCH(C1002,Stu_ID,0)),""))</f>
        <v/>
      </c>
      <c r="I1002" s="107">
        <f>IF($J1002="","",IFERROR(INDEX(Stu_Notes,MATCH(C1002,Stu_ID,0)),""))</f>
        <v/>
      </c>
      <c r="J1002" s="40">
        <f>IF(997&gt;$B$3,"",IFERROR(MATCH(997-1,EV_Seq,1)+1,1))</f>
        <v/>
      </c>
    </row>
    <row r="1003">
      <c r="A1003" s="105">
        <f>IF($J1003="","",INDEX(EV_Date,$J1003))</f>
        <v/>
      </c>
      <c r="B1003" s="78">
        <f>IF($J1003="","",INDEX(EV_Name,$J1003))</f>
        <v/>
      </c>
      <c r="C1003" s="106">
        <f>IF($J1003="","",INDEX(EV_ID,$J1003))</f>
        <v/>
      </c>
      <c r="D1003" s="106">
        <f>IF($J1003="","",INDEX(EV_Class,$J1003))</f>
        <v/>
      </c>
      <c r="E1003" s="106">
        <f>IF($J1003="","",INDEX(EV_Type,$J1003))</f>
        <v/>
      </c>
      <c r="F1003" s="106">
        <f>IF($J1003="","",INDEX(EV_Cum,$J1003))</f>
        <v/>
      </c>
      <c r="G1003" s="106">
        <f>IF($J1003="","",INDEX(LevelLabels,MATCH(F1003,LevelValues,1)))</f>
        <v/>
      </c>
      <c r="H1003" s="106">
        <f>IF($J1003="","",IFERROR(INDEX(Stu_ContactReq,MATCH(C1003,Stu_ID,0)),""))</f>
        <v/>
      </c>
      <c r="I1003" s="107">
        <f>IF($J1003="","",IFERROR(INDEX(Stu_Notes,MATCH(C1003,Stu_ID,0)),""))</f>
        <v/>
      </c>
      <c r="J1003" s="40">
        <f>IF(998&gt;$B$3,"",IFERROR(MATCH(998-1,EV_Seq,1)+1,1))</f>
        <v/>
      </c>
    </row>
    <row r="1004">
      <c r="A1004" s="105">
        <f>IF($J1004="","",INDEX(EV_Date,$J1004))</f>
        <v/>
      </c>
      <c r="B1004" s="78">
        <f>IF($J1004="","",INDEX(EV_Name,$J1004))</f>
        <v/>
      </c>
      <c r="C1004" s="106">
        <f>IF($J1004="","",INDEX(EV_ID,$J1004))</f>
        <v/>
      </c>
      <c r="D1004" s="106">
        <f>IF($J1004="","",INDEX(EV_Class,$J1004))</f>
        <v/>
      </c>
      <c r="E1004" s="106">
        <f>IF($J1004="","",INDEX(EV_Type,$J1004))</f>
        <v/>
      </c>
      <c r="F1004" s="106">
        <f>IF($J1004="","",INDEX(EV_Cum,$J1004))</f>
        <v/>
      </c>
      <c r="G1004" s="106">
        <f>IF($J1004="","",INDEX(LevelLabels,MATCH(F1004,LevelValues,1)))</f>
        <v/>
      </c>
      <c r="H1004" s="106">
        <f>IF($J1004="","",IFERROR(INDEX(Stu_ContactReq,MATCH(C1004,Stu_ID,0)),""))</f>
        <v/>
      </c>
      <c r="I1004" s="107">
        <f>IF($J1004="","",IFERROR(INDEX(Stu_Notes,MATCH(C1004,Stu_ID,0)),""))</f>
        <v/>
      </c>
      <c r="J1004" s="40">
        <f>IF(999&gt;$B$3,"",IFERROR(MATCH(999-1,EV_Seq,1)+1,1))</f>
        <v/>
      </c>
    </row>
    <row r="1005">
      <c r="A1005" s="105">
        <f>IF($J1005="","",INDEX(EV_Date,$J1005))</f>
        <v/>
      </c>
      <c r="B1005" s="78">
        <f>IF($J1005="","",INDEX(EV_Name,$J1005))</f>
        <v/>
      </c>
      <c r="C1005" s="106">
        <f>IF($J1005="","",INDEX(EV_ID,$J1005))</f>
        <v/>
      </c>
      <c r="D1005" s="106">
        <f>IF($J1005="","",INDEX(EV_Class,$J1005))</f>
        <v/>
      </c>
      <c r="E1005" s="106">
        <f>IF($J1005="","",INDEX(EV_Type,$J1005))</f>
        <v/>
      </c>
      <c r="F1005" s="106">
        <f>IF($J1005="","",INDEX(EV_Cum,$J1005))</f>
        <v/>
      </c>
      <c r="G1005" s="106">
        <f>IF($J1005="","",INDEX(LevelLabels,MATCH(F1005,LevelValues,1)))</f>
        <v/>
      </c>
      <c r="H1005" s="106">
        <f>IF($J1005="","",IFERROR(INDEX(Stu_ContactReq,MATCH(C1005,Stu_ID,0)),""))</f>
        <v/>
      </c>
      <c r="I1005" s="107">
        <f>IF($J1005="","",IFERROR(INDEX(Stu_Notes,MATCH(C1005,Stu_ID,0)),""))</f>
        <v/>
      </c>
      <c r="J1005" s="40">
        <f>IF(1000&gt;$B$3,"",IFERROR(MATCH(1000-1,EV_Seq,1)+1,1))</f>
        <v/>
      </c>
    </row>
    <row r="1006">
      <c r="A1006" s="105">
        <f>IF($J1006="","",INDEX(EV_Date,$J1006))</f>
        <v/>
      </c>
      <c r="B1006" s="78">
        <f>IF($J1006="","",INDEX(EV_Name,$J1006))</f>
        <v/>
      </c>
      <c r="C1006" s="106">
        <f>IF($J1006="","",INDEX(EV_ID,$J1006))</f>
        <v/>
      </c>
      <c r="D1006" s="106">
        <f>IF($J1006="","",INDEX(EV_Class,$J1006))</f>
        <v/>
      </c>
      <c r="E1006" s="106">
        <f>IF($J1006="","",INDEX(EV_Type,$J1006))</f>
        <v/>
      </c>
      <c r="F1006" s="106">
        <f>IF($J1006="","",INDEX(EV_Cum,$J1006))</f>
        <v/>
      </c>
      <c r="G1006" s="106">
        <f>IF($J1006="","",INDEX(LevelLabels,MATCH(F1006,LevelValues,1)))</f>
        <v/>
      </c>
      <c r="H1006" s="106">
        <f>IF($J1006="","",IFERROR(INDEX(Stu_ContactReq,MATCH(C1006,Stu_ID,0)),""))</f>
        <v/>
      </c>
      <c r="I1006" s="107">
        <f>IF($J1006="","",IFERROR(INDEX(Stu_Notes,MATCH(C1006,Stu_ID,0)),""))</f>
        <v/>
      </c>
      <c r="J1006" s="40">
        <f>IF(1001&gt;$B$3,"",IFERROR(MATCH(1001-1,EV_Seq,1)+1,1))</f>
        <v/>
      </c>
    </row>
    <row r="1007">
      <c r="A1007" s="105">
        <f>IF($J1007="","",INDEX(EV_Date,$J1007))</f>
        <v/>
      </c>
      <c r="B1007" s="78">
        <f>IF($J1007="","",INDEX(EV_Name,$J1007))</f>
        <v/>
      </c>
      <c r="C1007" s="106">
        <f>IF($J1007="","",INDEX(EV_ID,$J1007))</f>
        <v/>
      </c>
      <c r="D1007" s="106">
        <f>IF($J1007="","",INDEX(EV_Class,$J1007))</f>
        <v/>
      </c>
      <c r="E1007" s="106">
        <f>IF($J1007="","",INDEX(EV_Type,$J1007))</f>
        <v/>
      </c>
      <c r="F1007" s="106">
        <f>IF($J1007="","",INDEX(EV_Cum,$J1007))</f>
        <v/>
      </c>
      <c r="G1007" s="106">
        <f>IF($J1007="","",INDEX(LevelLabels,MATCH(F1007,LevelValues,1)))</f>
        <v/>
      </c>
      <c r="H1007" s="106">
        <f>IF($J1007="","",IFERROR(INDEX(Stu_ContactReq,MATCH(C1007,Stu_ID,0)),""))</f>
        <v/>
      </c>
      <c r="I1007" s="107">
        <f>IF($J1007="","",IFERROR(INDEX(Stu_Notes,MATCH(C1007,Stu_ID,0)),""))</f>
        <v/>
      </c>
      <c r="J1007" s="40">
        <f>IF(1002&gt;$B$3,"",IFERROR(MATCH(1002-1,EV_Seq,1)+1,1))</f>
        <v/>
      </c>
    </row>
    <row r="1008">
      <c r="A1008" s="105">
        <f>IF($J1008="","",INDEX(EV_Date,$J1008))</f>
        <v/>
      </c>
      <c r="B1008" s="78">
        <f>IF($J1008="","",INDEX(EV_Name,$J1008))</f>
        <v/>
      </c>
      <c r="C1008" s="106">
        <f>IF($J1008="","",INDEX(EV_ID,$J1008))</f>
        <v/>
      </c>
      <c r="D1008" s="106">
        <f>IF($J1008="","",INDEX(EV_Class,$J1008))</f>
        <v/>
      </c>
      <c r="E1008" s="106">
        <f>IF($J1008="","",INDEX(EV_Type,$J1008))</f>
        <v/>
      </c>
      <c r="F1008" s="106">
        <f>IF($J1008="","",INDEX(EV_Cum,$J1008))</f>
        <v/>
      </c>
      <c r="G1008" s="106">
        <f>IF($J1008="","",INDEX(LevelLabels,MATCH(F1008,LevelValues,1)))</f>
        <v/>
      </c>
      <c r="H1008" s="106">
        <f>IF($J1008="","",IFERROR(INDEX(Stu_ContactReq,MATCH(C1008,Stu_ID,0)),""))</f>
        <v/>
      </c>
      <c r="I1008" s="107">
        <f>IF($J1008="","",IFERROR(INDEX(Stu_Notes,MATCH(C1008,Stu_ID,0)),""))</f>
        <v/>
      </c>
      <c r="J1008" s="40">
        <f>IF(1003&gt;$B$3,"",IFERROR(MATCH(1003-1,EV_Seq,1)+1,1))</f>
        <v/>
      </c>
    </row>
    <row r="1009">
      <c r="A1009" s="105">
        <f>IF($J1009="","",INDEX(EV_Date,$J1009))</f>
        <v/>
      </c>
      <c r="B1009" s="78">
        <f>IF($J1009="","",INDEX(EV_Name,$J1009))</f>
        <v/>
      </c>
      <c r="C1009" s="106">
        <f>IF($J1009="","",INDEX(EV_ID,$J1009))</f>
        <v/>
      </c>
      <c r="D1009" s="106">
        <f>IF($J1009="","",INDEX(EV_Class,$J1009))</f>
        <v/>
      </c>
      <c r="E1009" s="106">
        <f>IF($J1009="","",INDEX(EV_Type,$J1009))</f>
        <v/>
      </c>
      <c r="F1009" s="106">
        <f>IF($J1009="","",INDEX(EV_Cum,$J1009))</f>
        <v/>
      </c>
      <c r="G1009" s="106">
        <f>IF($J1009="","",INDEX(LevelLabels,MATCH(F1009,LevelValues,1)))</f>
        <v/>
      </c>
      <c r="H1009" s="106">
        <f>IF($J1009="","",IFERROR(INDEX(Stu_ContactReq,MATCH(C1009,Stu_ID,0)),""))</f>
        <v/>
      </c>
      <c r="I1009" s="107">
        <f>IF($J1009="","",IFERROR(INDEX(Stu_Notes,MATCH(C1009,Stu_ID,0)),""))</f>
        <v/>
      </c>
      <c r="J1009" s="40">
        <f>IF(1004&gt;$B$3,"",IFERROR(MATCH(1004-1,EV_Seq,1)+1,1))</f>
        <v/>
      </c>
    </row>
    <row r="1010">
      <c r="A1010" s="105">
        <f>IF($J1010="","",INDEX(EV_Date,$J1010))</f>
        <v/>
      </c>
      <c r="B1010" s="78">
        <f>IF($J1010="","",INDEX(EV_Name,$J1010))</f>
        <v/>
      </c>
      <c r="C1010" s="106">
        <f>IF($J1010="","",INDEX(EV_ID,$J1010))</f>
        <v/>
      </c>
      <c r="D1010" s="106">
        <f>IF($J1010="","",INDEX(EV_Class,$J1010))</f>
        <v/>
      </c>
      <c r="E1010" s="106">
        <f>IF($J1010="","",INDEX(EV_Type,$J1010))</f>
        <v/>
      </c>
      <c r="F1010" s="106">
        <f>IF($J1010="","",INDEX(EV_Cum,$J1010))</f>
        <v/>
      </c>
      <c r="G1010" s="106">
        <f>IF($J1010="","",INDEX(LevelLabels,MATCH(F1010,LevelValues,1)))</f>
        <v/>
      </c>
      <c r="H1010" s="106">
        <f>IF($J1010="","",IFERROR(INDEX(Stu_ContactReq,MATCH(C1010,Stu_ID,0)),""))</f>
        <v/>
      </c>
      <c r="I1010" s="107">
        <f>IF($J1010="","",IFERROR(INDEX(Stu_Notes,MATCH(C1010,Stu_ID,0)),""))</f>
        <v/>
      </c>
      <c r="J1010" s="40">
        <f>IF(1005&gt;$B$3,"",IFERROR(MATCH(1005-1,EV_Seq,1)+1,1))</f>
        <v/>
      </c>
    </row>
    <row r="1011">
      <c r="A1011" s="105">
        <f>IF($J1011="","",INDEX(EV_Date,$J1011))</f>
        <v/>
      </c>
      <c r="B1011" s="78">
        <f>IF($J1011="","",INDEX(EV_Name,$J1011))</f>
        <v/>
      </c>
      <c r="C1011" s="106">
        <f>IF($J1011="","",INDEX(EV_ID,$J1011))</f>
        <v/>
      </c>
      <c r="D1011" s="106">
        <f>IF($J1011="","",INDEX(EV_Class,$J1011))</f>
        <v/>
      </c>
      <c r="E1011" s="106">
        <f>IF($J1011="","",INDEX(EV_Type,$J1011))</f>
        <v/>
      </c>
      <c r="F1011" s="106">
        <f>IF($J1011="","",INDEX(EV_Cum,$J1011))</f>
        <v/>
      </c>
      <c r="G1011" s="106">
        <f>IF($J1011="","",INDEX(LevelLabels,MATCH(F1011,LevelValues,1)))</f>
        <v/>
      </c>
      <c r="H1011" s="106">
        <f>IF($J1011="","",IFERROR(INDEX(Stu_ContactReq,MATCH(C1011,Stu_ID,0)),""))</f>
        <v/>
      </c>
      <c r="I1011" s="107">
        <f>IF($J1011="","",IFERROR(INDEX(Stu_Notes,MATCH(C1011,Stu_ID,0)),""))</f>
        <v/>
      </c>
      <c r="J1011" s="40">
        <f>IF(1006&gt;$B$3,"",IFERROR(MATCH(1006-1,EV_Seq,1)+1,1))</f>
        <v/>
      </c>
    </row>
    <row r="1012">
      <c r="A1012" s="105">
        <f>IF($J1012="","",INDEX(EV_Date,$J1012))</f>
        <v/>
      </c>
      <c r="B1012" s="78">
        <f>IF($J1012="","",INDEX(EV_Name,$J1012))</f>
        <v/>
      </c>
      <c r="C1012" s="106">
        <f>IF($J1012="","",INDEX(EV_ID,$J1012))</f>
        <v/>
      </c>
      <c r="D1012" s="106">
        <f>IF($J1012="","",INDEX(EV_Class,$J1012))</f>
        <v/>
      </c>
      <c r="E1012" s="106">
        <f>IF($J1012="","",INDEX(EV_Type,$J1012))</f>
        <v/>
      </c>
      <c r="F1012" s="106">
        <f>IF($J1012="","",INDEX(EV_Cum,$J1012))</f>
        <v/>
      </c>
      <c r="G1012" s="106">
        <f>IF($J1012="","",INDEX(LevelLabels,MATCH(F1012,LevelValues,1)))</f>
        <v/>
      </c>
      <c r="H1012" s="106">
        <f>IF($J1012="","",IFERROR(INDEX(Stu_ContactReq,MATCH(C1012,Stu_ID,0)),""))</f>
        <v/>
      </c>
      <c r="I1012" s="107">
        <f>IF($J1012="","",IFERROR(INDEX(Stu_Notes,MATCH(C1012,Stu_ID,0)),""))</f>
        <v/>
      </c>
      <c r="J1012" s="40">
        <f>IF(1007&gt;$B$3,"",IFERROR(MATCH(1007-1,EV_Seq,1)+1,1))</f>
        <v/>
      </c>
    </row>
    <row r="1013">
      <c r="A1013" s="105">
        <f>IF($J1013="","",INDEX(EV_Date,$J1013))</f>
        <v/>
      </c>
      <c r="B1013" s="78">
        <f>IF($J1013="","",INDEX(EV_Name,$J1013))</f>
        <v/>
      </c>
      <c r="C1013" s="106">
        <f>IF($J1013="","",INDEX(EV_ID,$J1013))</f>
        <v/>
      </c>
      <c r="D1013" s="106">
        <f>IF($J1013="","",INDEX(EV_Class,$J1013))</f>
        <v/>
      </c>
      <c r="E1013" s="106">
        <f>IF($J1013="","",INDEX(EV_Type,$J1013))</f>
        <v/>
      </c>
      <c r="F1013" s="106">
        <f>IF($J1013="","",INDEX(EV_Cum,$J1013))</f>
        <v/>
      </c>
      <c r="G1013" s="106">
        <f>IF($J1013="","",INDEX(LevelLabels,MATCH(F1013,LevelValues,1)))</f>
        <v/>
      </c>
      <c r="H1013" s="106">
        <f>IF($J1013="","",IFERROR(INDEX(Stu_ContactReq,MATCH(C1013,Stu_ID,0)),""))</f>
        <v/>
      </c>
      <c r="I1013" s="107">
        <f>IF($J1013="","",IFERROR(INDEX(Stu_Notes,MATCH(C1013,Stu_ID,0)),""))</f>
        <v/>
      </c>
      <c r="J1013" s="40">
        <f>IF(1008&gt;$B$3,"",IFERROR(MATCH(1008-1,EV_Seq,1)+1,1))</f>
        <v/>
      </c>
    </row>
    <row r="1014">
      <c r="A1014" s="105">
        <f>IF($J1014="","",INDEX(EV_Date,$J1014))</f>
        <v/>
      </c>
      <c r="B1014" s="78">
        <f>IF($J1014="","",INDEX(EV_Name,$J1014))</f>
        <v/>
      </c>
      <c r="C1014" s="106">
        <f>IF($J1014="","",INDEX(EV_ID,$J1014))</f>
        <v/>
      </c>
      <c r="D1014" s="106">
        <f>IF($J1014="","",INDEX(EV_Class,$J1014))</f>
        <v/>
      </c>
      <c r="E1014" s="106">
        <f>IF($J1014="","",INDEX(EV_Type,$J1014))</f>
        <v/>
      </c>
      <c r="F1014" s="106">
        <f>IF($J1014="","",INDEX(EV_Cum,$J1014))</f>
        <v/>
      </c>
      <c r="G1014" s="106">
        <f>IF($J1014="","",INDEX(LevelLabels,MATCH(F1014,LevelValues,1)))</f>
        <v/>
      </c>
      <c r="H1014" s="106">
        <f>IF($J1014="","",IFERROR(INDEX(Stu_ContactReq,MATCH(C1014,Stu_ID,0)),""))</f>
        <v/>
      </c>
      <c r="I1014" s="107">
        <f>IF($J1014="","",IFERROR(INDEX(Stu_Notes,MATCH(C1014,Stu_ID,0)),""))</f>
        <v/>
      </c>
      <c r="J1014" s="40">
        <f>IF(1009&gt;$B$3,"",IFERROR(MATCH(1009-1,EV_Seq,1)+1,1))</f>
        <v/>
      </c>
    </row>
    <row r="1015">
      <c r="A1015" s="105">
        <f>IF($J1015="","",INDEX(EV_Date,$J1015))</f>
        <v/>
      </c>
      <c r="B1015" s="78">
        <f>IF($J1015="","",INDEX(EV_Name,$J1015))</f>
        <v/>
      </c>
      <c r="C1015" s="106">
        <f>IF($J1015="","",INDEX(EV_ID,$J1015))</f>
        <v/>
      </c>
      <c r="D1015" s="106">
        <f>IF($J1015="","",INDEX(EV_Class,$J1015))</f>
        <v/>
      </c>
      <c r="E1015" s="106">
        <f>IF($J1015="","",INDEX(EV_Type,$J1015))</f>
        <v/>
      </c>
      <c r="F1015" s="106">
        <f>IF($J1015="","",INDEX(EV_Cum,$J1015))</f>
        <v/>
      </c>
      <c r="G1015" s="106">
        <f>IF($J1015="","",INDEX(LevelLabels,MATCH(F1015,LevelValues,1)))</f>
        <v/>
      </c>
      <c r="H1015" s="106">
        <f>IF($J1015="","",IFERROR(INDEX(Stu_ContactReq,MATCH(C1015,Stu_ID,0)),""))</f>
        <v/>
      </c>
      <c r="I1015" s="107">
        <f>IF($J1015="","",IFERROR(INDEX(Stu_Notes,MATCH(C1015,Stu_ID,0)),""))</f>
        <v/>
      </c>
      <c r="J1015" s="40">
        <f>IF(1010&gt;$B$3,"",IFERROR(MATCH(1010-1,EV_Seq,1)+1,1))</f>
        <v/>
      </c>
    </row>
    <row r="1016">
      <c r="A1016" s="105">
        <f>IF($J1016="","",INDEX(EV_Date,$J1016))</f>
        <v/>
      </c>
      <c r="B1016" s="78">
        <f>IF($J1016="","",INDEX(EV_Name,$J1016))</f>
        <v/>
      </c>
      <c r="C1016" s="106">
        <f>IF($J1016="","",INDEX(EV_ID,$J1016))</f>
        <v/>
      </c>
      <c r="D1016" s="106">
        <f>IF($J1016="","",INDEX(EV_Class,$J1016))</f>
        <v/>
      </c>
      <c r="E1016" s="106">
        <f>IF($J1016="","",INDEX(EV_Type,$J1016))</f>
        <v/>
      </c>
      <c r="F1016" s="106">
        <f>IF($J1016="","",INDEX(EV_Cum,$J1016))</f>
        <v/>
      </c>
      <c r="G1016" s="106">
        <f>IF($J1016="","",INDEX(LevelLabels,MATCH(F1016,LevelValues,1)))</f>
        <v/>
      </c>
      <c r="H1016" s="106">
        <f>IF($J1016="","",IFERROR(INDEX(Stu_ContactReq,MATCH(C1016,Stu_ID,0)),""))</f>
        <v/>
      </c>
      <c r="I1016" s="107">
        <f>IF($J1016="","",IFERROR(INDEX(Stu_Notes,MATCH(C1016,Stu_ID,0)),""))</f>
        <v/>
      </c>
      <c r="J1016" s="40">
        <f>IF(1011&gt;$B$3,"",IFERROR(MATCH(1011-1,EV_Seq,1)+1,1))</f>
        <v/>
      </c>
    </row>
    <row r="1017">
      <c r="A1017" s="105">
        <f>IF($J1017="","",INDEX(EV_Date,$J1017))</f>
        <v/>
      </c>
      <c r="B1017" s="78">
        <f>IF($J1017="","",INDEX(EV_Name,$J1017))</f>
        <v/>
      </c>
      <c r="C1017" s="106">
        <f>IF($J1017="","",INDEX(EV_ID,$J1017))</f>
        <v/>
      </c>
      <c r="D1017" s="106">
        <f>IF($J1017="","",INDEX(EV_Class,$J1017))</f>
        <v/>
      </c>
      <c r="E1017" s="106">
        <f>IF($J1017="","",INDEX(EV_Type,$J1017))</f>
        <v/>
      </c>
      <c r="F1017" s="106">
        <f>IF($J1017="","",INDEX(EV_Cum,$J1017))</f>
        <v/>
      </c>
      <c r="G1017" s="106">
        <f>IF($J1017="","",INDEX(LevelLabels,MATCH(F1017,LevelValues,1)))</f>
        <v/>
      </c>
      <c r="H1017" s="106">
        <f>IF($J1017="","",IFERROR(INDEX(Stu_ContactReq,MATCH(C1017,Stu_ID,0)),""))</f>
        <v/>
      </c>
      <c r="I1017" s="107">
        <f>IF($J1017="","",IFERROR(INDEX(Stu_Notes,MATCH(C1017,Stu_ID,0)),""))</f>
        <v/>
      </c>
      <c r="J1017" s="40">
        <f>IF(1012&gt;$B$3,"",IFERROR(MATCH(1012-1,EV_Seq,1)+1,1))</f>
        <v/>
      </c>
    </row>
    <row r="1018">
      <c r="A1018" s="105">
        <f>IF($J1018="","",INDEX(EV_Date,$J1018))</f>
        <v/>
      </c>
      <c r="B1018" s="78">
        <f>IF($J1018="","",INDEX(EV_Name,$J1018))</f>
        <v/>
      </c>
      <c r="C1018" s="106">
        <f>IF($J1018="","",INDEX(EV_ID,$J1018))</f>
        <v/>
      </c>
      <c r="D1018" s="106">
        <f>IF($J1018="","",INDEX(EV_Class,$J1018))</f>
        <v/>
      </c>
      <c r="E1018" s="106">
        <f>IF($J1018="","",INDEX(EV_Type,$J1018))</f>
        <v/>
      </c>
      <c r="F1018" s="106">
        <f>IF($J1018="","",INDEX(EV_Cum,$J1018))</f>
        <v/>
      </c>
      <c r="G1018" s="106">
        <f>IF($J1018="","",INDEX(LevelLabels,MATCH(F1018,LevelValues,1)))</f>
        <v/>
      </c>
      <c r="H1018" s="106">
        <f>IF($J1018="","",IFERROR(INDEX(Stu_ContactReq,MATCH(C1018,Stu_ID,0)),""))</f>
        <v/>
      </c>
      <c r="I1018" s="107">
        <f>IF($J1018="","",IFERROR(INDEX(Stu_Notes,MATCH(C1018,Stu_ID,0)),""))</f>
        <v/>
      </c>
      <c r="J1018" s="40">
        <f>IF(1013&gt;$B$3,"",IFERROR(MATCH(1013-1,EV_Seq,1)+1,1))</f>
        <v/>
      </c>
    </row>
    <row r="1019">
      <c r="A1019" s="105">
        <f>IF($J1019="","",INDEX(EV_Date,$J1019))</f>
        <v/>
      </c>
      <c r="B1019" s="78">
        <f>IF($J1019="","",INDEX(EV_Name,$J1019))</f>
        <v/>
      </c>
      <c r="C1019" s="106">
        <f>IF($J1019="","",INDEX(EV_ID,$J1019))</f>
        <v/>
      </c>
      <c r="D1019" s="106">
        <f>IF($J1019="","",INDEX(EV_Class,$J1019))</f>
        <v/>
      </c>
      <c r="E1019" s="106">
        <f>IF($J1019="","",INDEX(EV_Type,$J1019))</f>
        <v/>
      </c>
      <c r="F1019" s="106">
        <f>IF($J1019="","",INDEX(EV_Cum,$J1019))</f>
        <v/>
      </c>
      <c r="G1019" s="106">
        <f>IF($J1019="","",INDEX(LevelLabels,MATCH(F1019,LevelValues,1)))</f>
        <v/>
      </c>
      <c r="H1019" s="106">
        <f>IF($J1019="","",IFERROR(INDEX(Stu_ContactReq,MATCH(C1019,Stu_ID,0)),""))</f>
        <v/>
      </c>
      <c r="I1019" s="107">
        <f>IF($J1019="","",IFERROR(INDEX(Stu_Notes,MATCH(C1019,Stu_ID,0)),""))</f>
        <v/>
      </c>
      <c r="J1019" s="40">
        <f>IF(1014&gt;$B$3,"",IFERROR(MATCH(1014-1,EV_Seq,1)+1,1))</f>
        <v/>
      </c>
    </row>
    <row r="1020">
      <c r="A1020" s="105">
        <f>IF($J1020="","",INDEX(EV_Date,$J1020))</f>
        <v/>
      </c>
      <c r="B1020" s="78">
        <f>IF($J1020="","",INDEX(EV_Name,$J1020))</f>
        <v/>
      </c>
      <c r="C1020" s="106">
        <f>IF($J1020="","",INDEX(EV_ID,$J1020))</f>
        <v/>
      </c>
      <c r="D1020" s="106">
        <f>IF($J1020="","",INDEX(EV_Class,$J1020))</f>
        <v/>
      </c>
      <c r="E1020" s="106">
        <f>IF($J1020="","",INDEX(EV_Type,$J1020))</f>
        <v/>
      </c>
      <c r="F1020" s="106">
        <f>IF($J1020="","",INDEX(EV_Cum,$J1020))</f>
        <v/>
      </c>
      <c r="G1020" s="106">
        <f>IF($J1020="","",INDEX(LevelLabels,MATCH(F1020,LevelValues,1)))</f>
        <v/>
      </c>
      <c r="H1020" s="106">
        <f>IF($J1020="","",IFERROR(INDEX(Stu_ContactReq,MATCH(C1020,Stu_ID,0)),""))</f>
        <v/>
      </c>
      <c r="I1020" s="107">
        <f>IF($J1020="","",IFERROR(INDEX(Stu_Notes,MATCH(C1020,Stu_ID,0)),""))</f>
        <v/>
      </c>
      <c r="J1020" s="40">
        <f>IF(1015&gt;$B$3,"",IFERROR(MATCH(1015-1,EV_Seq,1)+1,1))</f>
        <v/>
      </c>
    </row>
    <row r="1021">
      <c r="A1021" s="105">
        <f>IF($J1021="","",INDEX(EV_Date,$J1021))</f>
        <v/>
      </c>
      <c r="B1021" s="78">
        <f>IF($J1021="","",INDEX(EV_Name,$J1021))</f>
        <v/>
      </c>
      <c r="C1021" s="106">
        <f>IF($J1021="","",INDEX(EV_ID,$J1021))</f>
        <v/>
      </c>
      <c r="D1021" s="106">
        <f>IF($J1021="","",INDEX(EV_Class,$J1021))</f>
        <v/>
      </c>
      <c r="E1021" s="106">
        <f>IF($J1021="","",INDEX(EV_Type,$J1021))</f>
        <v/>
      </c>
      <c r="F1021" s="106">
        <f>IF($J1021="","",INDEX(EV_Cum,$J1021))</f>
        <v/>
      </c>
      <c r="G1021" s="106">
        <f>IF($J1021="","",INDEX(LevelLabels,MATCH(F1021,LevelValues,1)))</f>
        <v/>
      </c>
      <c r="H1021" s="106">
        <f>IF($J1021="","",IFERROR(INDEX(Stu_ContactReq,MATCH(C1021,Stu_ID,0)),""))</f>
        <v/>
      </c>
      <c r="I1021" s="107">
        <f>IF($J1021="","",IFERROR(INDEX(Stu_Notes,MATCH(C1021,Stu_ID,0)),""))</f>
        <v/>
      </c>
      <c r="J1021" s="40">
        <f>IF(1016&gt;$B$3,"",IFERROR(MATCH(1016-1,EV_Seq,1)+1,1))</f>
        <v/>
      </c>
    </row>
    <row r="1022">
      <c r="A1022" s="105">
        <f>IF($J1022="","",INDEX(EV_Date,$J1022))</f>
        <v/>
      </c>
      <c r="B1022" s="78">
        <f>IF($J1022="","",INDEX(EV_Name,$J1022))</f>
        <v/>
      </c>
      <c r="C1022" s="106">
        <f>IF($J1022="","",INDEX(EV_ID,$J1022))</f>
        <v/>
      </c>
      <c r="D1022" s="106">
        <f>IF($J1022="","",INDEX(EV_Class,$J1022))</f>
        <v/>
      </c>
      <c r="E1022" s="106">
        <f>IF($J1022="","",INDEX(EV_Type,$J1022))</f>
        <v/>
      </c>
      <c r="F1022" s="106">
        <f>IF($J1022="","",INDEX(EV_Cum,$J1022))</f>
        <v/>
      </c>
      <c r="G1022" s="106">
        <f>IF($J1022="","",INDEX(LevelLabels,MATCH(F1022,LevelValues,1)))</f>
        <v/>
      </c>
      <c r="H1022" s="106">
        <f>IF($J1022="","",IFERROR(INDEX(Stu_ContactReq,MATCH(C1022,Stu_ID,0)),""))</f>
        <v/>
      </c>
      <c r="I1022" s="107">
        <f>IF($J1022="","",IFERROR(INDEX(Stu_Notes,MATCH(C1022,Stu_ID,0)),""))</f>
        <v/>
      </c>
      <c r="J1022" s="40">
        <f>IF(1017&gt;$B$3,"",IFERROR(MATCH(1017-1,EV_Seq,1)+1,1))</f>
        <v/>
      </c>
    </row>
    <row r="1023">
      <c r="A1023" s="105">
        <f>IF($J1023="","",INDEX(EV_Date,$J1023))</f>
        <v/>
      </c>
      <c r="B1023" s="78">
        <f>IF($J1023="","",INDEX(EV_Name,$J1023))</f>
        <v/>
      </c>
      <c r="C1023" s="106">
        <f>IF($J1023="","",INDEX(EV_ID,$J1023))</f>
        <v/>
      </c>
      <c r="D1023" s="106">
        <f>IF($J1023="","",INDEX(EV_Class,$J1023))</f>
        <v/>
      </c>
      <c r="E1023" s="106">
        <f>IF($J1023="","",INDEX(EV_Type,$J1023))</f>
        <v/>
      </c>
      <c r="F1023" s="106">
        <f>IF($J1023="","",INDEX(EV_Cum,$J1023))</f>
        <v/>
      </c>
      <c r="G1023" s="106">
        <f>IF($J1023="","",INDEX(LevelLabels,MATCH(F1023,LevelValues,1)))</f>
        <v/>
      </c>
      <c r="H1023" s="106">
        <f>IF($J1023="","",IFERROR(INDEX(Stu_ContactReq,MATCH(C1023,Stu_ID,0)),""))</f>
        <v/>
      </c>
      <c r="I1023" s="107">
        <f>IF($J1023="","",IFERROR(INDEX(Stu_Notes,MATCH(C1023,Stu_ID,0)),""))</f>
        <v/>
      </c>
      <c r="J1023" s="40">
        <f>IF(1018&gt;$B$3,"",IFERROR(MATCH(1018-1,EV_Seq,1)+1,1))</f>
        <v/>
      </c>
    </row>
    <row r="1024">
      <c r="A1024" s="105">
        <f>IF($J1024="","",INDEX(EV_Date,$J1024))</f>
        <v/>
      </c>
      <c r="B1024" s="78">
        <f>IF($J1024="","",INDEX(EV_Name,$J1024))</f>
        <v/>
      </c>
      <c r="C1024" s="106">
        <f>IF($J1024="","",INDEX(EV_ID,$J1024))</f>
        <v/>
      </c>
      <c r="D1024" s="106">
        <f>IF($J1024="","",INDEX(EV_Class,$J1024))</f>
        <v/>
      </c>
      <c r="E1024" s="106">
        <f>IF($J1024="","",INDEX(EV_Type,$J1024))</f>
        <v/>
      </c>
      <c r="F1024" s="106">
        <f>IF($J1024="","",INDEX(EV_Cum,$J1024))</f>
        <v/>
      </c>
      <c r="G1024" s="106">
        <f>IF($J1024="","",INDEX(LevelLabels,MATCH(F1024,LevelValues,1)))</f>
        <v/>
      </c>
      <c r="H1024" s="106">
        <f>IF($J1024="","",IFERROR(INDEX(Stu_ContactReq,MATCH(C1024,Stu_ID,0)),""))</f>
        <v/>
      </c>
      <c r="I1024" s="107">
        <f>IF($J1024="","",IFERROR(INDEX(Stu_Notes,MATCH(C1024,Stu_ID,0)),""))</f>
        <v/>
      </c>
      <c r="J1024" s="40">
        <f>IF(1019&gt;$B$3,"",IFERROR(MATCH(1019-1,EV_Seq,1)+1,1))</f>
        <v/>
      </c>
    </row>
    <row r="1025">
      <c r="A1025" s="105">
        <f>IF($J1025="","",INDEX(EV_Date,$J1025))</f>
        <v/>
      </c>
      <c r="B1025" s="78">
        <f>IF($J1025="","",INDEX(EV_Name,$J1025))</f>
        <v/>
      </c>
      <c r="C1025" s="106">
        <f>IF($J1025="","",INDEX(EV_ID,$J1025))</f>
        <v/>
      </c>
      <c r="D1025" s="106">
        <f>IF($J1025="","",INDEX(EV_Class,$J1025))</f>
        <v/>
      </c>
      <c r="E1025" s="106">
        <f>IF($J1025="","",INDEX(EV_Type,$J1025))</f>
        <v/>
      </c>
      <c r="F1025" s="106">
        <f>IF($J1025="","",INDEX(EV_Cum,$J1025))</f>
        <v/>
      </c>
      <c r="G1025" s="106">
        <f>IF($J1025="","",INDEX(LevelLabels,MATCH(F1025,LevelValues,1)))</f>
        <v/>
      </c>
      <c r="H1025" s="106">
        <f>IF($J1025="","",IFERROR(INDEX(Stu_ContactReq,MATCH(C1025,Stu_ID,0)),""))</f>
        <v/>
      </c>
      <c r="I1025" s="107">
        <f>IF($J1025="","",IFERROR(INDEX(Stu_Notes,MATCH(C1025,Stu_ID,0)),""))</f>
        <v/>
      </c>
      <c r="J1025" s="40">
        <f>IF(1020&gt;$B$3,"",IFERROR(MATCH(1020-1,EV_Seq,1)+1,1))</f>
        <v/>
      </c>
    </row>
    <row r="1026">
      <c r="A1026" s="105">
        <f>IF($J1026="","",INDEX(EV_Date,$J1026))</f>
        <v/>
      </c>
      <c r="B1026" s="78">
        <f>IF($J1026="","",INDEX(EV_Name,$J1026))</f>
        <v/>
      </c>
      <c r="C1026" s="106">
        <f>IF($J1026="","",INDEX(EV_ID,$J1026))</f>
        <v/>
      </c>
      <c r="D1026" s="106">
        <f>IF($J1026="","",INDEX(EV_Class,$J1026))</f>
        <v/>
      </c>
      <c r="E1026" s="106">
        <f>IF($J1026="","",INDEX(EV_Type,$J1026))</f>
        <v/>
      </c>
      <c r="F1026" s="106">
        <f>IF($J1026="","",INDEX(EV_Cum,$J1026))</f>
        <v/>
      </c>
      <c r="G1026" s="106">
        <f>IF($J1026="","",INDEX(LevelLabels,MATCH(F1026,LevelValues,1)))</f>
        <v/>
      </c>
      <c r="H1026" s="106">
        <f>IF($J1026="","",IFERROR(INDEX(Stu_ContactReq,MATCH(C1026,Stu_ID,0)),""))</f>
        <v/>
      </c>
      <c r="I1026" s="107">
        <f>IF($J1026="","",IFERROR(INDEX(Stu_Notes,MATCH(C1026,Stu_ID,0)),""))</f>
        <v/>
      </c>
      <c r="J1026" s="40">
        <f>IF(1021&gt;$B$3,"",IFERROR(MATCH(1021-1,EV_Seq,1)+1,1))</f>
        <v/>
      </c>
    </row>
    <row r="1027">
      <c r="A1027" s="105">
        <f>IF($J1027="","",INDEX(EV_Date,$J1027))</f>
        <v/>
      </c>
      <c r="B1027" s="78">
        <f>IF($J1027="","",INDEX(EV_Name,$J1027))</f>
        <v/>
      </c>
      <c r="C1027" s="106">
        <f>IF($J1027="","",INDEX(EV_ID,$J1027))</f>
        <v/>
      </c>
      <c r="D1027" s="106">
        <f>IF($J1027="","",INDEX(EV_Class,$J1027))</f>
        <v/>
      </c>
      <c r="E1027" s="106">
        <f>IF($J1027="","",INDEX(EV_Type,$J1027))</f>
        <v/>
      </c>
      <c r="F1027" s="106">
        <f>IF($J1027="","",INDEX(EV_Cum,$J1027))</f>
        <v/>
      </c>
      <c r="G1027" s="106">
        <f>IF($J1027="","",INDEX(LevelLabels,MATCH(F1027,LevelValues,1)))</f>
        <v/>
      </c>
      <c r="H1027" s="106">
        <f>IF($J1027="","",IFERROR(INDEX(Stu_ContactReq,MATCH(C1027,Stu_ID,0)),""))</f>
        <v/>
      </c>
      <c r="I1027" s="107">
        <f>IF($J1027="","",IFERROR(INDEX(Stu_Notes,MATCH(C1027,Stu_ID,0)),""))</f>
        <v/>
      </c>
      <c r="J1027" s="40">
        <f>IF(1022&gt;$B$3,"",IFERROR(MATCH(1022-1,EV_Seq,1)+1,1))</f>
        <v/>
      </c>
    </row>
    <row r="1028">
      <c r="A1028" s="105">
        <f>IF($J1028="","",INDEX(EV_Date,$J1028))</f>
        <v/>
      </c>
      <c r="B1028" s="78">
        <f>IF($J1028="","",INDEX(EV_Name,$J1028))</f>
        <v/>
      </c>
      <c r="C1028" s="106">
        <f>IF($J1028="","",INDEX(EV_ID,$J1028))</f>
        <v/>
      </c>
      <c r="D1028" s="106">
        <f>IF($J1028="","",INDEX(EV_Class,$J1028))</f>
        <v/>
      </c>
      <c r="E1028" s="106">
        <f>IF($J1028="","",INDEX(EV_Type,$J1028))</f>
        <v/>
      </c>
      <c r="F1028" s="106">
        <f>IF($J1028="","",INDEX(EV_Cum,$J1028))</f>
        <v/>
      </c>
      <c r="G1028" s="106">
        <f>IF($J1028="","",INDEX(LevelLabels,MATCH(F1028,LevelValues,1)))</f>
        <v/>
      </c>
      <c r="H1028" s="106">
        <f>IF($J1028="","",IFERROR(INDEX(Stu_ContactReq,MATCH(C1028,Stu_ID,0)),""))</f>
        <v/>
      </c>
      <c r="I1028" s="107">
        <f>IF($J1028="","",IFERROR(INDEX(Stu_Notes,MATCH(C1028,Stu_ID,0)),""))</f>
        <v/>
      </c>
      <c r="J1028" s="40">
        <f>IF(1023&gt;$B$3,"",IFERROR(MATCH(1023-1,EV_Seq,1)+1,1))</f>
        <v/>
      </c>
    </row>
    <row r="1029">
      <c r="A1029" s="105">
        <f>IF($J1029="","",INDEX(EV_Date,$J1029))</f>
        <v/>
      </c>
      <c r="B1029" s="78">
        <f>IF($J1029="","",INDEX(EV_Name,$J1029))</f>
        <v/>
      </c>
      <c r="C1029" s="106">
        <f>IF($J1029="","",INDEX(EV_ID,$J1029))</f>
        <v/>
      </c>
      <c r="D1029" s="106">
        <f>IF($J1029="","",INDEX(EV_Class,$J1029))</f>
        <v/>
      </c>
      <c r="E1029" s="106">
        <f>IF($J1029="","",INDEX(EV_Type,$J1029))</f>
        <v/>
      </c>
      <c r="F1029" s="106">
        <f>IF($J1029="","",INDEX(EV_Cum,$J1029))</f>
        <v/>
      </c>
      <c r="G1029" s="106">
        <f>IF($J1029="","",INDEX(LevelLabels,MATCH(F1029,LevelValues,1)))</f>
        <v/>
      </c>
      <c r="H1029" s="106">
        <f>IF($J1029="","",IFERROR(INDEX(Stu_ContactReq,MATCH(C1029,Stu_ID,0)),""))</f>
        <v/>
      </c>
      <c r="I1029" s="107">
        <f>IF($J1029="","",IFERROR(INDEX(Stu_Notes,MATCH(C1029,Stu_ID,0)),""))</f>
        <v/>
      </c>
      <c r="J1029" s="40">
        <f>IF(1024&gt;$B$3,"",IFERROR(MATCH(1024-1,EV_Seq,1)+1,1))</f>
        <v/>
      </c>
    </row>
    <row r="1030">
      <c r="A1030" s="105">
        <f>IF($J1030="","",INDEX(EV_Date,$J1030))</f>
        <v/>
      </c>
      <c r="B1030" s="78">
        <f>IF($J1030="","",INDEX(EV_Name,$J1030))</f>
        <v/>
      </c>
      <c r="C1030" s="106">
        <f>IF($J1030="","",INDEX(EV_ID,$J1030))</f>
        <v/>
      </c>
      <c r="D1030" s="106">
        <f>IF($J1030="","",INDEX(EV_Class,$J1030))</f>
        <v/>
      </c>
      <c r="E1030" s="106">
        <f>IF($J1030="","",INDEX(EV_Type,$J1030))</f>
        <v/>
      </c>
      <c r="F1030" s="106">
        <f>IF($J1030="","",INDEX(EV_Cum,$J1030))</f>
        <v/>
      </c>
      <c r="G1030" s="106">
        <f>IF($J1030="","",INDEX(LevelLabels,MATCH(F1030,LevelValues,1)))</f>
        <v/>
      </c>
      <c r="H1030" s="106">
        <f>IF($J1030="","",IFERROR(INDEX(Stu_ContactReq,MATCH(C1030,Stu_ID,0)),""))</f>
        <v/>
      </c>
      <c r="I1030" s="107">
        <f>IF($J1030="","",IFERROR(INDEX(Stu_Notes,MATCH(C1030,Stu_ID,0)),""))</f>
        <v/>
      </c>
      <c r="J1030" s="40">
        <f>IF(1025&gt;$B$3,"",IFERROR(MATCH(1025-1,EV_Seq,1)+1,1))</f>
        <v/>
      </c>
    </row>
    <row r="1031">
      <c r="A1031" s="105">
        <f>IF($J1031="","",INDEX(EV_Date,$J1031))</f>
        <v/>
      </c>
      <c r="B1031" s="78">
        <f>IF($J1031="","",INDEX(EV_Name,$J1031))</f>
        <v/>
      </c>
      <c r="C1031" s="106">
        <f>IF($J1031="","",INDEX(EV_ID,$J1031))</f>
        <v/>
      </c>
      <c r="D1031" s="106">
        <f>IF($J1031="","",INDEX(EV_Class,$J1031))</f>
        <v/>
      </c>
      <c r="E1031" s="106">
        <f>IF($J1031="","",INDEX(EV_Type,$J1031))</f>
        <v/>
      </c>
      <c r="F1031" s="106">
        <f>IF($J1031="","",INDEX(EV_Cum,$J1031))</f>
        <v/>
      </c>
      <c r="G1031" s="106">
        <f>IF($J1031="","",INDEX(LevelLabels,MATCH(F1031,LevelValues,1)))</f>
        <v/>
      </c>
      <c r="H1031" s="106">
        <f>IF($J1031="","",IFERROR(INDEX(Stu_ContactReq,MATCH(C1031,Stu_ID,0)),""))</f>
        <v/>
      </c>
      <c r="I1031" s="107">
        <f>IF($J1031="","",IFERROR(INDEX(Stu_Notes,MATCH(C1031,Stu_ID,0)),""))</f>
        <v/>
      </c>
      <c r="J1031" s="40">
        <f>IF(1026&gt;$B$3,"",IFERROR(MATCH(1026-1,EV_Seq,1)+1,1))</f>
        <v/>
      </c>
    </row>
    <row r="1032">
      <c r="A1032" s="105">
        <f>IF($J1032="","",INDEX(EV_Date,$J1032))</f>
        <v/>
      </c>
      <c r="B1032" s="78">
        <f>IF($J1032="","",INDEX(EV_Name,$J1032))</f>
        <v/>
      </c>
      <c r="C1032" s="106">
        <f>IF($J1032="","",INDEX(EV_ID,$J1032))</f>
        <v/>
      </c>
      <c r="D1032" s="106">
        <f>IF($J1032="","",INDEX(EV_Class,$J1032))</f>
        <v/>
      </c>
      <c r="E1032" s="106">
        <f>IF($J1032="","",INDEX(EV_Type,$J1032))</f>
        <v/>
      </c>
      <c r="F1032" s="106">
        <f>IF($J1032="","",INDEX(EV_Cum,$J1032))</f>
        <v/>
      </c>
      <c r="G1032" s="106">
        <f>IF($J1032="","",INDEX(LevelLabels,MATCH(F1032,LevelValues,1)))</f>
        <v/>
      </c>
      <c r="H1032" s="106">
        <f>IF($J1032="","",IFERROR(INDEX(Stu_ContactReq,MATCH(C1032,Stu_ID,0)),""))</f>
        <v/>
      </c>
      <c r="I1032" s="107">
        <f>IF($J1032="","",IFERROR(INDEX(Stu_Notes,MATCH(C1032,Stu_ID,0)),""))</f>
        <v/>
      </c>
      <c r="J1032" s="40">
        <f>IF(1027&gt;$B$3,"",IFERROR(MATCH(1027-1,EV_Seq,1)+1,1))</f>
        <v/>
      </c>
    </row>
    <row r="1033">
      <c r="A1033" s="105">
        <f>IF($J1033="","",INDEX(EV_Date,$J1033))</f>
        <v/>
      </c>
      <c r="B1033" s="78">
        <f>IF($J1033="","",INDEX(EV_Name,$J1033))</f>
        <v/>
      </c>
      <c r="C1033" s="106">
        <f>IF($J1033="","",INDEX(EV_ID,$J1033))</f>
        <v/>
      </c>
      <c r="D1033" s="106">
        <f>IF($J1033="","",INDEX(EV_Class,$J1033))</f>
        <v/>
      </c>
      <c r="E1033" s="106">
        <f>IF($J1033="","",INDEX(EV_Type,$J1033))</f>
        <v/>
      </c>
      <c r="F1033" s="106">
        <f>IF($J1033="","",INDEX(EV_Cum,$J1033))</f>
        <v/>
      </c>
      <c r="G1033" s="106">
        <f>IF($J1033="","",INDEX(LevelLabels,MATCH(F1033,LevelValues,1)))</f>
        <v/>
      </c>
      <c r="H1033" s="106">
        <f>IF($J1033="","",IFERROR(INDEX(Stu_ContactReq,MATCH(C1033,Stu_ID,0)),""))</f>
        <v/>
      </c>
      <c r="I1033" s="107">
        <f>IF($J1033="","",IFERROR(INDEX(Stu_Notes,MATCH(C1033,Stu_ID,0)),""))</f>
        <v/>
      </c>
      <c r="J1033" s="40">
        <f>IF(1028&gt;$B$3,"",IFERROR(MATCH(1028-1,EV_Seq,1)+1,1))</f>
        <v/>
      </c>
    </row>
    <row r="1034">
      <c r="A1034" s="105">
        <f>IF($J1034="","",INDEX(EV_Date,$J1034))</f>
        <v/>
      </c>
      <c r="B1034" s="78">
        <f>IF($J1034="","",INDEX(EV_Name,$J1034))</f>
        <v/>
      </c>
      <c r="C1034" s="106">
        <f>IF($J1034="","",INDEX(EV_ID,$J1034))</f>
        <v/>
      </c>
      <c r="D1034" s="106">
        <f>IF($J1034="","",INDEX(EV_Class,$J1034))</f>
        <v/>
      </c>
      <c r="E1034" s="106">
        <f>IF($J1034="","",INDEX(EV_Type,$J1034))</f>
        <v/>
      </c>
      <c r="F1034" s="106">
        <f>IF($J1034="","",INDEX(EV_Cum,$J1034))</f>
        <v/>
      </c>
      <c r="G1034" s="106">
        <f>IF($J1034="","",INDEX(LevelLabels,MATCH(F1034,LevelValues,1)))</f>
        <v/>
      </c>
      <c r="H1034" s="106">
        <f>IF($J1034="","",IFERROR(INDEX(Stu_ContactReq,MATCH(C1034,Stu_ID,0)),""))</f>
        <v/>
      </c>
      <c r="I1034" s="107">
        <f>IF($J1034="","",IFERROR(INDEX(Stu_Notes,MATCH(C1034,Stu_ID,0)),""))</f>
        <v/>
      </c>
      <c r="J1034" s="40">
        <f>IF(1029&gt;$B$3,"",IFERROR(MATCH(1029-1,EV_Seq,1)+1,1))</f>
        <v/>
      </c>
    </row>
    <row r="1035">
      <c r="A1035" s="105">
        <f>IF($J1035="","",INDEX(EV_Date,$J1035))</f>
        <v/>
      </c>
      <c r="B1035" s="78">
        <f>IF($J1035="","",INDEX(EV_Name,$J1035))</f>
        <v/>
      </c>
      <c r="C1035" s="106">
        <f>IF($J1035="","",INDEX(EV_ID,$J1035))</f>
        <v/>
      </c>
      <c r="D1035" s="106">
        <f>IF($J1035="","",INDEX(EV_Class,$J1035))</f>
        <v/>
      </c>
      <c r="E1035" s="106">
        <f>IF($J1035="","",INDEX(EV_Type,$J1035))</f>
        <v/>
      </c>
      <c r="F1035" s="106">
        <f>IF($J1035="","",INDEX(EV_Cum,$J1035))</f>
        <v/>
      </c>
      <c r="G1035" s="106">
        <f>IF($J1035="","",INDEX(LevelLabels,MATCH(F1035,LevelValues,1)))</f>
        <v/>
      </c>
      <c r="H1035" s="106">
        <f>IF($J1035="","",IFERROR(INDEX(Stu_ContactReq,MATCH(C1035,Stu_ID,0)),""))</f>
        <v/>
      </c>
      <c r="I1035" s="107">
        <f>IF($J1035="","",IFERROR(INDEX(Stu_Notes,MATCH(C1035,Stu_ID,0)),""))</f>
        <v/>
      </c>
      <c r="J1035" s="40">
        <f>IF(1030&gt;$B$3,"",IFERROR(MATCH(1030-1,EV_Seq,1)+1,1))</f>
        <v/>
      </c>
    </row>
    <row r="1036">
      <c r="A1036" s="105">
        <f>IF($J1036="","",INDEX(EV_Date,$J1036))</f>
        <v/>
      </c>
      <c r="B1036" s="78">
        <f>IF($J1036="","",INDEX(EV_Name,$J1036))</f>
        <v/>
      </c>
      <c r="C1036" s="106">
        <f>IF($J1036="","",INDEX(EV_ID,$J1036))</f>
        <v/>
      </c>
      <c r="D1036" s="106">
        <f>IF($J1036="","",INDEX(EV_Class,$J1036))</f>
        <v/>
      </c>
      <c r="E1036" s="106">
        <f>IF($J1036="","",INDEX(EV_Type,$J1036))</f>
        <v/>
      </c>
      <c r="F1036" s="106">
        <f>IF($J1036="","",INDEX(EV_Cum,$J1036))</f>
        <v/>
      </c>
      <c r="G1036" s="106">
        <f>IF($J1036="","",INDEX(LevelLabels,MATCH(F1036,LevelValues,1)))</f>
        <v/>
      </c>
      <c r="H1036" s="106">
        <f>IF($J1036="","",IFERROR(INDEX(Stu_ContactReq,MATCH(C1036,Stu_ID,0)),""))</f>
        <v/>
      </c>
      <c r="I1036" s="107">
        <f>IF($J1036="","",IFERROR(INDEX(Stu_Notes,MATCH(C1036,Stu_ID,0)),""))</f>
        <v/>
      </c>
      <c r="J1036" s="40">
        <f>IF(1031&gt;$B$3,"",IFERROR(MATCH(1031-1,EV_Seq,1)+1,1))</f>
        <v/>
      </c>
    </row>
    <row r="1037">
      <c r="A1037" s="105">
        <f>IF($J1037="","",INDEX(EV_Date,$J1037))</f>
        <v/>
      </c>
      <c r="B1037" s="78">
        <f>IF($J1037="","",INDEX(EV_Name,$J1037))</f>
        <v/>
      </c>
      <c r="C1037" s="106">
        <f>IF($J1037="","",INDEX(EV_ID,$J1037))</f>
        <v/>
      </c>
      <c r="D1037" s="106">
        <f>IF($J1037="","",INDEX(EV_Class,$J1037))</f>
        <v/>
      </c>
      <c r="E1037" s="106">
        <f>IF($J1037="","",INDEX(EV_Type,$J1037))</f>
        <v/>
      </c>
      <c r="F1037" s="106">
        <f>IF($J1037="","",INDEX(EV_Cum,$J1037))</f>
        <v/>
      </c>
      <c r="G1037" s="106">
        <f>IF($J1037="","",INDEX(LevelLabels,MATCH(F1037,LevelValues,1)))</f>
        <v/>
      </c>
      <c r="H1037" s="106">
        <f>IF($J1037="","",IFERROR(INDEX(Stu_ContactReq,MATCH(C1037,Stu_ID,0)),""))</f>
        <v/>
      </c>
      <c r="I1037" s="107">
        <f>IF($J1037="","",IFERROR(INDEX(Stu_Notes,MATCH(C1037,Stu_ID,0)),""))</f>
        <v/>
      </c>
      <c r="J1037" s="40">
        <f>IF(1032&gt;$B$3,"",IFERROR(MATCH(1032-1,EV_Seq,1)+1,1))</f>
        <v/>
      </c>
    </row>
    <row r="1038">
      <c r="A1038" s="105">
        <f>IF($J1038="","",INDEX(EV_Date,$J1038))</f>
        <v/>
      </c>
      <c r="B1038" s="78">
        <f>IF($J1038="","",INDEX(EV_Name,$J1038))</f>
        <v/>
      </c>
      <c r="C1038" s="106">
        <f>IF($J1038="","",INDEX(EV_ID,$J1038))</f>
        <v/>
      </c>
      <c r="D1038" s="106">
        <f>IF($J1038="","",INDEX(EV_Class,$J1038))</f>
        <v/>
      </c>
      <c r="E1038" s="106">
        <f>IF($J1038="","",INDEX(EV_Type,$J1038))</f>
        <v/>
      </c>
      <c r="F1038" s="106">
        <f>IF($J1038="","",INDEX(EV_Cum,$J1038))</f>
        <v/>
      </c>
      <c r="G1038" s="106">
        <f>IF($J1038="","",INDEX(LevelLabels,MATCH(F1038,LevelValues,1)))</f>
        <v/>
      </c>
      <c r="H1038" s="106">
        <f>IF($J1038="","",IFERROR(INDEX(Stu_ContactReq,MATCH(C1038,Stu_ID,0)),""))</f>
        <v/>
      </c>
      <c r="I1038" s="107">
        <f>IF($J1038="","",IFERROR(INDEX(Stu_Notes,MATCH(C1038,Stu_ID,0)),""))</f>
        <v/>
      </c>
      <c r="J1038" s="40">
        <f>IF(1033&gt;$B$3,"",IFERROR(MATCH(1033-1,EV_Seq,1)+1,1))</f>
        <v/>
      </c>
    </row>
    <row r="1039">
      <c r="A1039" s="105">
        <f>IF($J1039="","",INDEX(EV_Date,$J1039))</f>
        <v/>
      </c>
      <c r="B1039" s="78">
        <f>IF($J1039="","",INDEX(EV_Name,$J1039))</f>
        <v/>
      </c>
      <c r="C1039" s="106">
        <f>IF($J1039="","",INDEX(EV_ID,$J1039))</f>
        <v/>
      </c>
      <c r="D1039" s="106">
        <f>IF($J1039="","",INDEX(EV_Class,$J1039))</f>
        <v/>
      </c>
      <c r="E1039" s="106">
        <f>IF($J1039="","",INDEX(EV_Type,$J1039))</f>
        <v/>
      </c>
      <c r="F1039" s="106">
        <f>IF($J1039="","",INDEX(EV_Cum,$J1039))</f>
        <v/>
      </c>
      <c r="G1039" s="106">
        <f>IF($J1039="","",INDEX(LevelLabels,MATCH(F1039,LevelValues,1)))</f>
        <v/>
      </c>
      <c r="H1039" s="106">
        <f>IF($J1039="","",IFERROR(INDEX(Stu_ContactReq,MATCH(C1039,Stu_ID,0)),""))</f>
        <v/>
      </c>
      <c r="I1039" s="107">
        <f>IF($J1039="","",IFERROR(INDEX(Stu_Notes,MATCH(C1039,Stu_ID,0)),""))</f>
        <v/>
      </c>
      <c r="J1039" s="40">
        <f>IF(1034&gt;$B$3,"",IFERROR(MATCH(1034-1,EV_Seq,1)+1,1))</f>
        <v/>
      </c>
    </row>
    <row r="1040">
      <c r="A1040" s="105">
        <f>IF($J1040="","",INDEX(EV_Date,$J1040))</f>
        <v/>
      </c>
      <c r="B1040" s="78">
        <f>IF($J1040="","",INDEX(EV_Name,$J1040))</f>
        <v/>
      </c>
      <c r="C1040" s="106">
        <f>IF($J1040="","",INDEX(EV_ID,$J1040))</f>
        <v/>
      </c>
      <c r="D1040" s="106">
        <f>IF($J1040="","",INDEX(EV_Class,$J1040))</f>
        <v/>
      </c>
      <c r="E1040" s="106">
        <f>IF($J1040="","",INDEX(EV_Type,$J1040))</f>
        <v/>
      </c>
      <c r="F1040" s="106">
        <f>IF($J1040="","",INDEX(EV_Cum,$J1040))</f>
        <v/>
      </c>
      <c r="G1040" s="106">
        <f>IF($J1040="","",INDEX(LevelLabels,MATCH(F1040,LevelValues,1)))</f>
        <v/>
      </c>
      <c r="H1040" s="106">
        <f>IF($J1040="","",IFERROR(INDEX(Stu_ContactReq,MATCH(C1040,Stu_ID,0)),""))</f>
        <v/>
      </c>
      <c r="I1040" s="107">
        <f>IF($J1040="","",IFERROR(INDEX(Stu_Notes,MATCH(C1040,Stu_ID,0)),""))</f>
        <v/>
      </c>
      <c r="J1040" s="40">
        <f>IF(1035&gt;$B$3,"",IFERROR(MATCH(1035-1,EV_Seq,1)+1,1))</f>
        <v/>
      </c>
    </row>
    <row r="1041">
      <c r="A1041" s="105">
        <f>IF($J1041="","",INDEX(EV_Date,$J1041))</f>
        <v/>
      </c>
      <c r="B1041" s="78">
        <f>IF($J1041="","",INDEX(EV_Name,$J1041))</f>
        <v/>
      </c>
      <c r="C1041" s="106">
        <f>IF($J1041="","",INDEX(EV_ID,$J1041))</f>
        <v/>
      </c>
      <c r="D1041" s="106">
        <f>IF($J1041="","",INDEX(EV_Class,$J1041))</f>
        <v/>
      </c>
      <c r="E1041" s="106">
        <f>IF($J1041="","",INDEX(EV_Type,$J1041))</f>
        <v/>
      </c>
      <c r="F1041" s="106">
        <f>IF($J1041="","",INDEX(EV_Cum,$J1041))</f>
        <v/>
      </c>
      <c r="G1041" s="106">
        <f>IF($J1041="","",INDEX(LevelLabels,MATCH(F1041,LevelValues,1)))</f>
        <v/>
      </c>
      <c r="H1041" s="106">
        <f>IF($J1041="","",IFERROR(INDEX(Stu_ContactReq,MATCH(C1041,Stu_ID,0)),""))</f>
        <v/>
      </c>
      <c r="I1041" s="107">
        <f>IF($J1041="","",IFERROR(INDEX(Stu_Notes,MATCH(C1041,Stu_ID,0)),""))</f>
        <v/>
      </c>
      <c r="J1041" s="40">
        <f>IF(1036&gt;$B$3,"",IFERROR(MATCH(1036-1,EV_Seq,1)+1,1))</f>
        <v/>
      </c>
    </row>
    <row r="1042">
      <c r="A1042" s="105">
        <f>IF($J1042="","",INDEX(EV_Date,$J1042))</f>
        <v/>
      </c>
      <c r="B1042" s="78">
        <f>IF($J1042="","",INDEX(EV_Name,$J1042))</f>
        <v/>
      </c>
      <c r="C1042" s="106">
        <f>IF($J1042="","",INDEX(EV_ID,$J1042))</f>
        <v/>
      </c>
      <c r="D1042" s="106">
        <f>IF($J1042="","",INDEX(EV_Class,$J1042))</f>
        <v/>
      </c>
      <c r="E1042" s="106">
        <f>IF($J1042="","",INDEX(EV_Type,$J1042))</f>
        <v/>
      </c>
      <c r="F1042" s="106">
        <f>IF($J1042="","",INDEX(EV_Cum,$J1042))</f>
        <v/>
      </c>
      <c r="G1042" s="106">
        <f>IF($J1042="","",INDEX(LevelLabels,MATCH(F1042,LevelValues,1)))</f>
        <v/>
      </c>
      <c r="H1042" s="106">
        <f>IF($J1042="","",IFERROR(INDEX(Stu_ContactReq,MATCH(C1042,Stu_ID,0)),""))</f>
        <v/>
      </c>
      <c r="I1042" s="107">
        <f>IF($J1042="","",IFERROR(INDEX(Stu_Notes,MATCH(C1042,Stu_ID,0)),""))</f>
        <v/>
      </c>
      <c r="J1042" s="40">
        <f>IF(1037&gt;$B$3,"",IFERROR(MATCH(1037-1,EV_Seq,1)+1,1))</f>
        <v/>
      </c>
    </row>
    <row r="1043">
      <c r="A1043" s="105">
        <f>IF($J1043="","",INDEX(EV_Date,$J1043))</f>
        <v/>
      </c>
      <c r="B1043" s="78">
        <f>IF($J1043="","",INDEX(EV_Name,$J1043))</f>
        <v/>
      </c>
      <c r="C1043" s="106">
        <f>IF($J1043="","",INDEX(EV_ID,$J1043))</f>
        <v/>
      </c>
      <c r="D1043" s="106">
        <f>IF($J1043="","",INDEX(EV_Class,$J1043))</f>
        <v/>
      </c>
      <c r="E1043" s="106">
        <f>IF($J1043="","",INDEX(EV_Type,$J1043))</f>
        <v/>
      </c>
      <c r="F1043" s="106">
        <f>IF($J1043="","",INDEX(EV_Cum,$J1043))</f>
        <v/>
      </c>
      <c r="G1043" s="106">
        <f>IF($J1043="","",INDEX(LevelLabels,MATCH(F1043,LevelValues,1)))</f>
        <v/>
      </c>
      <c r="H1043" s="106">
        <f>IF($J1043="","",IFERROR(INDEX(Stu_ContactReq,MATCH(C1043,Stu_ID,0)),""))</f>
        <v/>
      </c>
      <c r="I1043" s="107">
        <f>IF($J1043="","",IFERROR(INDEX(Stu_Notes,MATCH(C1043,Stu_ID,0)),""))</f>
        <v/>
      </c>
      <c r="J1043" s="40">
        <f>IF(1038&gt;$B$3,"",IFERROR(MATCH(1038-1,EV_Seq,1)+1,1))</f>
        <v/>
      </c>
    </row>
    <row r="1044">
      <c r="A1044" s="105">
        <f>IF($J1044="","",INDEX(EV_Date,$J1044))</f>
        <v/>
      </c>
      <c r="B1044" s="78">
        <f>IF($J1044="","",INDEX(EV_Name,$J1044))</f>
        <v/>
      </c>
      <c r="C1044" s="106">
        <f>IF($J1044="","",INDEX(EV_ID,$J1044))</f>
        <v/>
      </c>
      <c r="D1044" s="106">
        <f>IF($J1044="","",INDEX(EV_Class,$J1044))</f>
        <v/>
      </c>
      <c r="E1044" s="106">
        <f>IF($J1044="","",INDEX(EV_Type,$J1044))</f>
        <v/>
      </c>
      <c r="F1044" s="106">
        <f>IF($J1044="","",INDEX(EV_Cum,$J1044))</f>
        <v/>
      </c>
      <c r="G1044" s="106">
        <f>IF($J1044="","",INDEX(LevelLabels,MATCH(F1044,LevelValues,1)))</f>
        <v/>
      </c>
      <c r="H1044" s="106">
        <f>IF($J1044="","",IFERROR(INDEX(Stu_ContactReq,MATCH(C1044,Stu_ID,0)),""))</f>
        <v/>
      </c>
      <c r="I1044" s="107">
        <f>IF($J1044="","",IFERROR(INDEX(Stu_Notes,MATCH(C1044,Stu_ID,0)),""))</f>
        <v/>
      </c>
      <c r="J1044" s="40">
        <f>IF(1039&gt;$B$3,"",IFERROR(MATCH(1039-1,EV_Seq,1)+1,1))</f>
        <v/>
      </c>
    </row>
    <row r="1045">
      <c r="A1045" s="105">
        <f>IF($J1045="","",INDEX(EV_Date,$J1045))</f>
        <v/>
      </c>
      <c r="B1045" s="78">
        <f>IF($J1045="","",INDEX(EV_Name,$J1045))</f>
        <v/>
      </c>
      <c r="C1045" s="106">
        <f>IF($J1045="","",INDEX(EV_ID,$J1045))</f>
        <v/>
      </c>
      <c r="D1045" s="106">
        <f>IF($J1045="","",INDEX(EV_Class,$J1045))</f>
        <v/>
      </c>
      <c r="E1045" s="106">
        <f>IF($J1045="","",INDEX(EV_Type,$J1045))</f>
        <v/>
      </c>
      <c r="F1045" s="106">
        <f>IF($J1045="","",INDEX(EV_Cum,$J1045))</f>
        <v/>
      </c>
      <c r="G1045" s="106">
        <f>IF($J1045="","",INDEX(LevelLabels,MATCH(F1045,LevelValues,1)))</f>
        <v/>
      </c>
      <c r="H1045" s="106">
        <f>IF($J1045="","",IFERROR(INDEX(Stu_ContactReq,MATCH(C1045,Stu_ID,0)),""))</f>
        <v/>
      </c>
      <c r="I1045" s="107">
        <f>IF($J1045="","",IFERROR(INDEX(Stu_Notes,MATCH(C1045,Stu_ID,0)),""))</f>
        <v/>
      </c>
      <c r="J1045" s="40">
        <f>IF(1040&gt;$B$3,"",IFERROR(MATCH(1040-1,EV_Seq,1)+1,1))</f>
        <v/>
      </c>
    </row>
    <row r="1046">
      <c r="A1046" s="105">
        <f>IF($J1046="","",INDEX(EV_Date,$J1046))</f>
        <v/>
      </c>
      <c r="B1046" s="78">
        <f>IF($J1046="","",INDEX(EV_Name,$J1046))</f>
        <v/>
      </c>
      <c r="C1046" s="106">
        <f>IF($J1046="","",INDEX(EV_ID,$J1046))</f>
        <v/>
      </c>
      <c r="D1046" s="106">
        <f>IF($J1046="","",INDEX(EV_Class,$J1046))</f>
        <v/>
      </c>
      <c r="E1046" s="106">
        <f>IF($J1046="","",INDEX(EV_Type,$J1046))</f>
        <v/>
      </c>
      <c r="F1046" s="106">
        <f>IF($J1046="","",INDEX(EV_Cum,$J1046))</f>
        <v/>
      </c>
      <c r="G1046" s="106">
        <f>IF($J1046="","",INDEX(LevelLabels,MATCH(F1046,LevelValues,1)))</f>
        <v/>
      </c>
      <c r="H1046" s="106">
        <f>IF($J1046="","",IFERROR(INDEX(Stu_ContactReq,MATCH(C1046,Stu_ID,0)),""))</f>
        <v/>
      </c>
      <c r="I1046" s="107">
        <f>IF($J1046="","",IFERROR(INDEX(Stu_Notes,MATCH(C1046,Stu_ID,0)),""))</f>
        <v/>
      </c>
      <c r="J1046" s="40">
        <f>IF(1041&gt;$B$3,"",IFERROR(MATCH(1041-1,EV_Seq,1)+1,1))</f>
        <v/>
      </c>
    </row>
    <row r="1047">
      <c r="A1047" s="105">
        <f>IF($J1047="","",INDEX(EV_Date,$J1047))</f>
        <v/>
      </c>
      <c r="B1047" s="78">
        <f>IF($J1047="","",INDEX(EV_Name,$J1047))</f>
        <v/>
      </c>
      <c r="C1047" s="106">
        <f>IF($J1047="","",INDEX(EV_ID,$J1047))</f>
        <v/>
      </c>
      <c r="D1047" s="106">
        <f>IF($J1047="","",INDEX(EV_Class,$J1047))</f>
        <v/>
      </c>
      <c r="E1047" s="106">
        <f>IF($J1047="","",INDEX(EV_Type,$J1047))</f>
        <v/>
      </c>
      <c r="F1047" s="106">
        <f>IF($J1047="","",INDEX(EV_Cum,$J1047))</f>
        <v/>
      </c>
      <c r="G1047" s="106">
        <f>IF($J1047="","",INDEX(LevelLabels,MATCH(F1047,LevelValues,1)))</f>
        <v/>
      </c>
      <c r="H1047" s="106">
        <f>IF($J1047="","",IFERROR(INDEX(Stu_ContactReq,MATCH(C1047,Stu_ID,0)),""))</f>
        <v/>
      </c>
      <c r="I1047" s="107">
        <f>IF($J1047="","",IFERROR(INDEX(Stu_Notes,MATCH(C1047,Stu_ID,0)),""))</f>
        <v/>
      </c>
      <c r="J1047" s="40">
        <f>IF(1042&gt;$B$3,"",IFERROR(MATCH(1042-1,EV_Seq,1)+1,1))</f>
        <v/>
      </c>
    </row>
    <row r="1048">
      <c r="A1048" s="105">
        <f>IF($J1048="","",INDEX(EV_Date,$J1048))</f>
        <v/>
      </c>
      <c r="B1048" s="78">
        <f>IF($J1048="","",INDEX(EV_Name,$J1048))</f>
        <v/>
      </c>
      <c r="C1048" s="106">
        <f>IF($J1048="","",INDEX(EV_ID,$J1048))</f>
        <v/>
      </c>
      <c r="D1048" s="106">
        <f>IF($J1048="","",INDEX(EV_Class,$J1048))</f>
        <v/>
      </c>
      <c r="E1048" s="106">
        <f>IF($J1048="","",INDEX(EV_Type,$J1048))</f>
        <v/>
      </c>
      <c r="F1048" s="106">
        <f>IF($J1048="","",INDEX(EV_Cum,$J1048))</f>
        <v/>
      </c>
      <c r="G1048" s="106">
        <f>IF($J1048="","",INDEX(LevelLabels,MATCH(F1048,LevelValues,1)))</f>
        <v/>
      </c>
      <c r="H1048" s="106">
        <f>IF($J1048="","",IFERROR(INDEX(Stu_ContactReq,MATCH(C1048,Stu_ID,0)),""))</f>
        <v/>
      </c>
      <c r="I1048" s="107">
        <f>IF($J1048="","",IFERROR(INDEX(Stu_Notes,MATCH(C1048,Stu_ID,0)),""))</f>
        <v/>
      </c>
      <c r="J1048" s="40">
        <f>IF(1043&gt;$B$3,"",IFERROR(MATCH(1043-1,EV_Seq,1)+1,1))</f>
        <v/>
      </c>
    </row>
    <row r="1049">
      <c r="A1049" s="105">
        <f>IF($J1049="","",INDEX(EV_Date,$J1049))</f>
        <v/>
      </c>
      <c r="B1049" s="78">
        <f>IF($J1049="","",INDEX(EV_Name,$J1049))</f>
        <v/>
      </c>
      <c r="C1049" s="106">
        <f>IF($J1049="","",INDEX(EV_ID,$J1049))</f>
        <v/>
      </c>
      <c r="D1049" s="106">
        <f>IF($J1049="","",INDEX(EV_Class,$J1049))</f>
        <v/>
      </c>
      <c r="E1049" s="106">
        <f>IF($J1049="","",INDEX(EV_Type,$J1049))</f>
        <v/>
      </c>
      <c r="F1049" s="106">
        <f>IF($J1049="","",INDEX(EV_Cum,$J1049))</f>
        <v/>
      </c>
      <c r="G1049" s="106">
        <f>IF($J1049="","",INDEX(LevelLabels,MATCH(F1049,LevelValues,1)))</f>
        <v/>
      </c>
      <c r="H1049" s="106">
        <f>IF($J1049="","",IFERROR(INDEX(Stu_ContactReq,MATCH(C1049,Stu_ID,0)),""))</f>
        <v/>
      </c>
      <c r="I1049" s="107">
        <f>IF($J1049="","",IFERROR(INDEX(Stu_Notes,MATCH(C1049,Stu_ID,0)),""))</f>
        <v/>
      </c>
      <c r="J1049" s="40">
        <f>IF(1044&gt;$B$3,"",IFERROR(MATCH(1044-1,EV_Seq,1)+1,1))</f>
        <v/>
      </c>
    </row>
    <row r="1050">
      <c r="A1050" s="105">
        <f>IF($J1050="","",INDEX(EV_Date,$J1050))</f>
        <v/>
      </c>
      <c r="B1050" s="78">
        <f>IF($J1050="","",INDEX(EV_Name,$J1050))</f>
        <v/>
      </c>
      <c r="C1050" s="106">
        <f>IF($J1050="","",INDEX(EV_ID,$J1050))</f>
        <v/>
      </c>
      <c r="D1050" s="106">
        <f>IF($J1050="","",INDEX(EV_Class,$J1050))</f>
        <v/>
      </c>
      <c r="E1050" s="106">
        <f>IF($J1050="","",INDEX(EV_Type,$J1050))</f>
        <v/>
      </c>
      <c r="F1050" s="106">
        <f>IF($J1050="","",INDEX(EV_Cum,$J1050))</f>
        <v/>
      </c>
      <c r="G1050" s="106">
        <f>IF($J1050="","",INDEX(LevelLabels,MATCH(F1050,LevelValues,1)))</f>
        <v/>
      </c>
      <c r="H1050" s="106">
        <f>IF($J1050="","",IFERROR(INDEX(Stu_ContactReq,MATCH(C1050,Stu_ID,0)),""))</f>
        <v/>
      </c>
      <c r="I1050" s="107">
        <f>IF($J1050="","",IFERROR(INDEX(Stu_Notes,MATCH(C1050,Stu_ID,0)),""))</f>
        <v/>
      </c>
      <c r="J1050" s="40">
        <f>IF(1045&gt;$B$3,"",IFERROR(MATCH(1045-1,EV_Seq,1)+1,1))</f>
        <v/>
      </c>
    </row>
    <row r="1051">
      <c r="A1051" s="105">
        <f>IF($J1051="","",INDEX(EV_Date,$J1051))</f>
        <v/>
      </c>
      <c r="B1051" s="78">
        <f>IF($J1051="","",INDEX(EV_Name,$J1051))</f>
        <v/>
      </c>
      <c r="C1051" s="106">
        <f>IF($J1051="","",INDEX(EV_ID,$J1051))</f>
        <v/>
      </c>
      <c r="D1051" s="106">
        <f>IF($J1051="","",INDEX(EV_Class,$J1051))</f>
        <v/>
      </c>
      <c r="E1051" s="106">
        <f>IF($J1051="","",INDEX(EV_Type,$J1051))</f>
        <v/>
      </c>
      <c r="F1051" s="106">
        <f>IF($J1051="","",INDEX(EV_Cum,$J1051))</f>
        <v/>
      </c>
      <c r="G1051" s="106">
        <f>IF($J1051="","",INDEX(LevelLabels,MATCH(F1051,LevelValues,1)))</f>
        <v/>
      </c>
      <c r="H1051" s="106">
        <f>IF($J1051="","",IFERROR(INDEX(Stu_ContactReq,MATCH(C1051,Stu_ID,0)),""))</f>
        <v/>
      </c>
      <c r="I1051" s="107">
        <f>IF($J1051="","",IFERROR(INDEX(Stu_Notes,MATCH(C1051,Stu_ID,0)),""))</f>
        <v/>
      </c>
      <c r="J1051" s="40">
        <f>IF(1046&gt;$B$3,"",IFERROR(MATCH(1046-1,EV_Seq,1)+1,1))</f>
        <v/>
      </c>
    </row>
    <row r="1052">
      <c r="A1052" s="105">
        <f>IF($J1052="","",INDEX(EV_Date,$J1052))</f>
        <v/>
      </c>
      <c r="B1052" s="78">
        <f>IF($J1052="","",INDEX(EV_Name,$J1052))</f>
        <v/>
      </c>
      <c r="C1052" s="106">
        <f>IF($J1052="","",INDEX(EV_ID,$J1052))</f>
        <v/>
      </c>
      <c r="D1052" s="106">
        <f>IF($J1052="","",INDEX(EV_Class,$J1052))</f>
        <v/>
      </c>
      <c r="E1052" s="106">
        <f>IF($J1052="","",INDEX(EV_Type,$J1052))</f>
        <v/>
      </c>
      <c r="F1052" s="106">
        <f>IF($J1052="","",INDEX(EV_Cum,$J1052))</f>
        <v/>
      </c>
      <c r="G1052" s="106">
        <f>IF($J1052="","",INDEX(LevelLabels,MATCH(F1052,LevelValues,1)))</f>
        <v/>
      </c>
      <c r="H1052" s="106">
        <f>IF($J1052="","",IFERROR(INDEX(Stu_ContactReq,MATCH(C1052,Stu_ID,0)),""))</f>
        <v/>
      </c>
      <c r="I1052" s="107">
        <f>IF($J1052="","",IFERROR(INDEX(Stu_Notes,MATCH(C1052,Stu_ID,0)),""))</f>
        <v/>
      </c>
      <c r="J1052" s="40">
        <f>IF(1047&gt;$B$3,"",IFERROR(MATCH(1047-1,EV_Seq,1)+1,1))</f>
        <v/>
      </c>
    </row>
    <row r="1053">
      <c r="A1053" s="105">
        <f>IF($J1053="","",INDEX(EV_Date,$J1053))</f>
        <v/>
      </c>
      <c r="B1053" s="78">
        <f>IF($J1053="","",INDEX(EV_Name,$J1053))</f>
        <v/>
      </c>
      <c r="C1053" s="106">
        <f>IF($J1053="","",INDEX(EV_ID,$J1053))</f>
        <v/>
      </c>
      <c r="D1053" s="106">
        <f>IF($J1053="","",INDEX(EV_Class,$J1053))</f>
        <v/>
      </c>
      <c r="E1053" s="106">
        <f>IF($J1053="","",INDEX(EV_Type,$J1053))</f>
        <v/>
      </c>
      <c r="F1053" s="106">
        <f>IF($J1053="","",INDEX(EV_Cum,$J1053))</f>
        <v/>
      </c>
      <c r="G1053" s="106">
        <f>IF($J1053="","",INDEX(LevelLabels,MATCH(F1053,LevelValues,1)))</f>
        <v/>
      </c>
      <c r="H1053" s="106">
        <f>IF($J1053="","",IFERROR(INDEX(Stu_ContactReq,MATCH(C1053,Stu_ID,0)),""))</f>
        <v/>
      </c>
      <c r="I1053" s="107">
        <f>IF($J1053="","",IFERROR(INDEX(Stu_Notes,MATCH(C1053,Stu_ID,0)),""))</f>
        <v/>
      </c>
      <c r="J1053" s="40">
        <f>IF(1048&gt;$B$3,"",IFERROR(MATCH(1048-1,EV_Seq,1)+1,1))</f>
        <v/>
      </c>
    </row>
    <row r="1054">
      <c r="A1054" s="105">
        <f>IF($J1054="","",INDEX(EV_Date,$J1054))</f>
        <v/>
      </c>
      <c r="B1054" s="78">
        <f>IF($J1054="","",INDEX(EV_Name,$J1054))</f>
        <v/>
      </c>
      <c r="C1054" s="106">
        <f>IF($J1054="","",INDEX(EV_ID,$J1054))</f>
        <v/>
      </c>
      <c r="D1054" s="106">
        <f>IF($J1054="","",INDEX(EV_Class,$J1054))</f>
        <v/>
      </c>
      <c r="E1054" s="106">
        <f>IF($J1054="","",INDEX(EV_Type,$J1054))</f>
        <v/>
      </c>
      <c r="F1054" s="106">
        <f>IF($J1054="","",INDEX(EV_Cum,$J1054))</f>
        <v/>
      </c>
      <c r="G1054" s="106">
        <f>IF($J1054="","",INDEX(LevelLabels,MATCH(F1054,LevelValues,1)))</f>
        <v/>
      </c>
      <c r="H1054" s="106">
        <f>IF($J1054="","",IFERROR(INDEX(Stu_ContactReq,MATCH(C1054,Stu_ID,0)),""))</f>
        <v/>
      </c>
      <c r="I1054" s="107">
        <f>IF($J1054="","",IFERROR(INDEX(Stu_Notes,MATCH(C1054,Stu_ID,0)),""))</f>
        <v/>
      </c>
      <c r="J1054" s="40">
        <f>IF(1049&gt;$B$3,"",IFERROR(MATCH(1049-1,EV_Seq,1)+1,1))</f>
        <v/>
      </c>
    </row>
    <row r="1055">
      <c r="A1055" s="105">
        <f>IF($J1055="","",INDEX(EV_Date,$J1055))</f>
        <v/>
      </c>
      <c r="B1055" s="78">
        <f>IF($J1055="","",INDEX(EV_Name,$J1055))</f>
        <v/>
      </c>
      <c r="C1055" s="106">
        <f>IF($J1055="","",INDEX(EV_ID,$J1055))</f>
        <v/>
      </c>
      <c r="D1055" s="106">
        <f>IF($J1055="","",INDEX(EV_Class,$J1055))</f>
        <v/>
      </c>
      <c r="E1055" s="106">
        <f>IF($J1055="","",INDEX(EV_Type,$J1055))</f>
        <v/>
      </c>
      <c r="F1055" s="106">
        <f>IF($J1055="","",INDEX(EV_Cum,$J1055))</f>
        <v/>
      </c>
      <c r="G1055" s="106">
        <f>IF($J1055="","",INDEX(LevelLabels,MATCH(F1055,LevelValues,1)))</f>
        <v/>
      </c>
      <c r="H1055" s="106">
        <f>IF($J1055="","",IFERROR(INDEX(Stu_ContactReq,MATCH(C1055,Stu_ID,0)),""))</f>
        <v/>
      </c>
      <c r="I1055" s="107">
        <f>IF($J1055="","",IFERROR(INDEX(Stu_Notes,MATCH(C1055,Stu_ID,0)),""))</f>
        <v/>
      </c>
      <c r="J1055" s="40">
        <f>IF(1050&gt;$B$3,"",IFERROR(MATCH(1050-1,EV_Seq,1)+1,1))</f>
        <v/>
      </c>
    </row>
    <row r="1056">
      <c r="A1056" s="105">
        <f>IF($J1056="","",INDEX(EV_Date,$J1056))</f>
        <v/>
      </c>
      <c r="B1056" s="78">
        <f>IF($J1056="","",INDEX(EV_Name,$J1056))</f>
        <v/>
      </c>
      <c r="C1056" s="106">
        <f>IF($J1056="","",INDEX(EV_ID,$J1056))</f>
        <v/>
      </c>
      <c r="D1056" s="106">
        <f>IF($J1056="","",INDEX(EV_Class,$J1056))</f>
        <v/>
      </c>
      <c r="E1056" s="106">
        <f>IF($J1056="","",INDEX(EV_Type,$J1056))</f>
        <v/>
      </c>
      <c r="F1056" s="106">
        <f>IF($J1056="","",INDEX(EV_Cum,$J1056))</f>
        <v/>
      </c>
      <c r="G1056" s="106">
        <f>IF($J1056="","",INDEX(LevelLabels,MATCH(F1056,LevelValues,1)))</f>
        <v/>
      </c>
      <c r="H1056" s="106">
        <f>IF($J1056="","",IFERROR(INDEX(Stu_ContactReq,MATCH(C1056,Stu_ID,0)),""))</f>
        <v/>
      </c>
      <c r="I1056" s="107">
        <f>IF($J1056="","",IFERROR(INDEX(Stu_Notes,MATCH(C1056,Stu_ID,0)),""))</f>
        <v/>
      </c>
      <c r="J1056" s="40">
        <f>IF(1051&gt;$B$3,"",IFERROR(MATCH(1051-1,EV_Seq,1)+1,1))</f>
        <v/>
      </c>
    </row>
    <row r="1057">
      <c r="A1057" s="105">
        <f>IF($J1057="","",INDEX(EV_Date,$J1057))</f>
        <v/>
      </c>
      <c r="B1057" s="78">
        <f>IF($J1057="","",INDEX(EV_Name,$J1057))</f>
        <v/>
      </c>
      <c r="C1057" s="106">
        <f>IF($J1057="","",INDEX(EV_ID,$J1057))</f>
        <v/>
      </c>
      <c r="D1057" s="106">
        <f>IF($J1057="","",INDEX(EV_Class,$J1057))</f>
        <v/>
      </c>
      <c r="E1057" s="106">
        <f>IF($J1057="","",INDEX(EV_Type,$J1057))</f>
        <v/>
      </c>
      <c r="F1057" s="106">
        <f>IF($J1057="","",INDEX(EV_Cum,$J1057))</f>
        <v/>
      </c>
      <c r="G1057" s="106">
        <f>IF($J1057="","",INDEX(LevelLabels,MATCH(F1057,LevelValues,1)))</f>
        <v/>
      </c>
      <c r="H1057" s="106">
        <f>IF($J1057="","",IFERROR(INDEX(Stu_ContactReq,MATCH(C1057,Stu_ID,0)),""))</f>
        <v/>
      </c>
      <c r="I1057" s="107">
        <f>IF($J1057="","",IFERROR(INDEX(Stu_Notes,MATCH(C1057,Stu_ID,0)),""))</f>
        <v/>
      </c>
      <c r="J1057" s="40">
        <f>IF(1052&gt;$B$3,"",IFERROR(MATCH(1052-1,EV_Seq,1)+1,1))</f>
        <v/>
      </c>
    </row>
    <row r="1058">
      <c r="A1058" s="105">
        <f>IF($J1058="","",INDEX(EV_Date,$J1058))</f>
        <v/>
      </c>
      <c r="B1058" s="78">
        <f>IF($J1058="","",INDEX(EV_Name,$J1058))</f>
        <v/>
      </c>
      <c r="C1058" s="106">
        <f>IF($J1058="","",INDEX(EV_ID,$J1058))</f>
        <v/>
      </c>
      <c r="D1058" s="106">
        <f>IF($J1058="","",INDEX(EV_Class,$J1058))</f>
        <v/>
      </c>
      <c r="E1058" s="106">
        <f>IF($J1058="","",INDEX(EV_Type,$J1058))</f>
        <v/>
      </c>
      <c r="F1058" s="106">
        <f>IF($J1058="","",INDEX(EV_Cum,$J1058))</f>
        <v/>
      </c>
      <c r="G1058" s="106">
        <f>IF($J1058="","",INDEX(LevelLabels,MATCH(F1058,LevelValues,1)))</f>
        <v/>
      </c>
      <c r="H1058" s="106">
        <f>IF($J1058="","",IFERROR(INDEX(Stu_ContactReq,MATCH(C1058,Stu_ID,0)),""))</f>
        <v/>
      </c>
      <c r="I1058" s="107">
        <f>IF($J1058="","",IFERROR(INDEX(Stu_Notes,MATCH(C1058,Stu_ID,0)),""))</f>
        <v/>
      </c>
      <c r="J1058" s="40">
        <f>IF(1053&gt;$B$3,"",IFERROR(MATCH(1053-1,EV_Seq,1)+1,1))</f>
        <v/>
      </c>
    </row>
    <row r="1059">
      <c r="A1059" s="105">
        <f>IF($J1059="","",INDEX(EV_Date,$J1059))</f>
        <v/>
      </c>
      <c r="B1059" s="78">
        <f>IF($J1059="","",INDEX(EV_Name,$J1059))</f>
        <v/>
      </c>
      <c r="C1059" s="106">
        <f>IF($J1059="","",INDEX(EV_ID,$J1059))</f>
        <v/>
      </c>
      <c r="D1059" s="106">
        <f>IF($J1059="","",INDEX(EV_Class,$J1059))</f>
        <v/>
      </c>
      <c r="E1059" s="106">
        <f>IF($J1059="","",INDEX(EV_Type,$J1059))</f>
        <v/>
      </c>
      <c r="F1059" s="106">
        <f>IF($J1059="","",INDEX(EV_Cum,$J1059))</f>
        <v/>
      </c>
      <c r="G1059" s="106">
        <f>IF($J1059="","",INDEX(LevelLabels,MATCH(F1059,LevelValues,1)))</f>
        <v/>
      </c>
      <c r="H1059" s="106">
        <f>IF($J1059="","",IFERROR(INDEX(Stu_ContactReq,MATCH(C1059,Stu_ID,0)),""))</f>
        <v/>
      </c>
      <c r="I1059" s="107">
        <f>IF($J1059="","",IFERROR(INDEX(Stu_Notes,MATCH(C1059,Stu_ID,0)),""))</f>
        <v/>
      </c>
      <c r="J1059" s="40">
        <f>IF(1054&gt;$B$3,"",IFERROR(MATCH(1054-1,EV_Seq,1)+1,1))</f>
        <v/>
      </c>
    </row>
    <row r="1060">
      <c r="A1060" s="105">
        <f>IF($J1060="","",INDEX(EV_Date,$J1060))</f>
        <v/>
      </c>
      <c r="B1060" s="78">
        <f>IF($J1060="","",INDEX(EV_Name,$J1060))</f>
        <v/>
      </c>
      <c r="C1060" s="106">
        <f>IF($J1060="","",INDEX(EV_ID,$J1060))</f>
        <v/>
      </c>
      <c r="D1060" s="106">
        <f>IF($J1060="","",INDEX(EV_Class,$J1060))</f>
        <v/>
      </c>
      <c r="E1060" s="106">
        <f>IF($J1060="","",INDEX(EV_Type,$J1060))</f>
        <v/>
      </c>
      <c r="F1060" s="106">
        <f>IF($J1060="","",INDEX(EV_Cum,$J1060))</f>
        <v/>
      </c>
      <c r="G1060" s="106">
        <f>IF($J1060="","",INDEX(LevelLabels,MATCH(F1060,LevelValues,1)))</f>
        <v/>
      </c>
      <c r="H1060" s="106">
        <f>IF($J1060="","",IFERROR(INDEX(Stu_ContactReq,MATCH(C1060,Stu_ID,0)),""))</f>
        <v/>
      </c>
      <c r="I1060" s="107">
        <f>IF($J1060="","",IFERROR(INDEX(Stu_Notes,MATCH(C1060,Stu_ID,0)),""))</f>
        <v/>
      </c>
      <c r="J1060" s="40">
        <f>IF(1055&gt;$B$3,"",IFERROR(MATCH(1055-1,EV_Seq,1)+1,1))</f>
        <v/>
      </c>
    </row>
    <row r="1061">
      <c r="A1061" s="105">
        <f>IF($J1061="","",INDEX(EV_Date,$J1061))</f>
        <v/>
      </c>
      <c r="B1061" s="78">
        <f>IF($J1061="","",INDEX(EV_Name,$J1061))</f>
        <v/>
      </c>
      <c r="C1061" s="106">
        <f>IF($J1061="","",INDEX(EV_ID,$J1061))</f>
        <v/>
      </c>
      <c r="D1061" s="106">
        <f>IF($J1061="","",INDEX(EV_Class,$J1061))</f>
        <v/>
      </c>
      <c r="E1061" s="106">
        <f>IF($J1061="","",INDEX(EV_Type,$J1061))</f>
        <v/>
      </c>
      <c r="F1061" s="106">
        <f>IF($J1061="","",INDEX(EV_Cum,$J1061))</f>
        <v/>
      </c>
      <c r="G1061" s="106">
        <f>IF($J1061="","",INDEX(LevelLabels,MATCH(F1061,LevelValues,1)))</f>
        <v/>
      </c>
      <c r="H1061" s="106">
        <f>IF($J1061="","",IFERROR(INDEX(Stu_ContactReq,MATCH(C1061,Stu_ID,0)),""))</f>
        <v/>
      </c>
      <c r="I1061" s="107">
        <f>IF($J1061="","",IFERROR(INDEX(Stu_Notes,MATCH(C1061,Stu_ID,0)),""))</f>
        <v/>
      </c>
      <c r="J1061" s="40">
        <f>IF(1056&gt;$B$3,"",IFERROR(MATCH(1056-1,EV_Seq,1)+1,1))</f>
        <v/>
      </c>
    </row>
    <row r="1062">
      <c r="A1062" s="105">
        <f>IF($J1062="","",INDEX(EV_Date,$J1062))</f>
        <v/>
      </c>
      <c r="B1062" s="78">
        <f>IF($J1062="","",INDEX(EV_Name,$J1062))</f>
        <v/>
      </c>
      <c r="C1062" s="106">
        <f>IF($J1062="","",INDEX(EV_ID,$J1062))</f>
        <v/>
      </c>
      <c r="D1062" s="106">
        <f>IF($J1062="","",INDEX(EV_Class,$J1062))</f>
        <v/>
      </c>
      <c r="E1062" s="106">
        <f>IF($J1062="","",INDEX(EV_Type,$J1062))</f>
        <v/>
      </c>
      <c r="F1062" s="106">
        <f>IF($J1062="","",INDEX(EV_Cum,$J1062))</f>
        <v/>
      </c>
      <c r="G1062" s="106">
        <f>IF($J1062="","",INDEX(LevelLabels,MATCH(F1062,LevelValues,1)))</f>
        <v/>
      </c>
      <c r="H1062" s="106">
        <f>IF($J1062="","",IFERROR(INDEX(Stu_ContactReq,MATCH(C1062,Stu_ID,0)),""))</f>
        <v/>
      </c>
      <c r="I1062" s="107">
        <f>IF($J1062="","",IFERROR(INDEX(Stu_Notes,MATCH(C1062,Stu_ID,0)),""))</f>
        <v/>
      </c>
      <c r="J1062" s="40">
        <f>IF(1057&gt;$B$3,"",IFERROR(MATCH(1057-1,EV_Seq,1)+1,1))</f>
        <v/>
      </c>
    </row>
    <row r="1063">
      <c r="A1063" s="105">
        <f>IF($J1063="","",INDEX(EV_Date,$J1063))</f>
        <v/>
      </c>
      <c r="B1063" s="78">
        <f>IF($J1063="","",INDEX(EV_Name,$J1063))</f>
        <v/>
      </c>
      <c r="C1063" s="106">
        <f>IF($J1063="","",INDEX(EV_ID,$J1063))</f>
        <v/>
      </c>
      <c r="D1063" s="106">
        <f>IF($J1063="","",INDEX(EV_Class,$J1063))</f>
        <v/>
      </c>
      <c r="E1063" s="106">
        <f>IF($J1063="","",INDEX(EV_Type,$J1063))</f>
        <v/>
      </c>
      <c r="F1063" s="106">
        <f>IF($J1063="","",INDEX(EV_Cum,$J1063))</f>
        <v/>
      </c>
      <c r="G1063" s="106">
        <f>IF($J1063="","",INDEX(LevelLabels,MATCH(F1063,LevelValues,1)))</f>
        <v/>
      </c>
      <c r="H1063" s="106">
        <f>IF($J1063="","",IFERROR(INDEX(Stu_ContactReq,MATCH(C1063,Stu_ID,0)),""))</f>
        <v/>
      </c>
      <c r="I1063" s="107">
        <f>IF($J1063="","",IFERROR(INDEX(Stu_Notes,MATCH(C1063,Stu_ID,0)),""))</f>
        <v/>
      </c>
      <c r="J1063" s="40">
        <f>IF(1058&gt;$B$3,"",IFERROR(MATCH(1058-1,EV_Seq,1)+1,1))</f>
        <v/>
      </c>
    </row>
    <row r="1064">
      <c r="A1064" s="105">
        <f>IF($J1064="","",INDEX(EV_Date,$J1064))</f>
        <v/>
      </c>
      <c r="B1064" s="78">
        <f>IF($J1064="","",INDEX(EV_Name,$J1064))</f>
        <v/>
      </c>
      <c r="C1064" s="106">
        <f>IF($J1064="","",INDEX(EV_ID,$J1064))</f>
        <v/>
      </c>
      <c r="D1064" s="106">
        <f>IF($J1064="","",INDEX(EV_Class,$J1064))</f>
        <v/>
      </c>
      <c r="E1064" s="106">
        <f>IF($J1064="","",INDEX(EV_Type,$J1064))</f>
        <v/>
      </c>
      <c r="F1064" s="106">
        <f>IF($J1064="","",INDEX(EV_Cum,$J1064))</f>
        <v/>
      </c>
      <c r="G1064" s="106">
        <f>IF($J1064="","",INDEX(LevelLabels,MATCH(F1064,LevelValues,1)))</f>
        <v/>
      </c>
      <c r="H1064" s="106">
        <f>IF($J1064="","",IFERROR(INDEX(Stu_ContactReq,MATCH(C1064,Stu_ID,0)),""))</f>
        <v/>
      </c>
      <c r="I1064" s="107">
        <f>IF($J1064="","",IFERROR(INDEX(Stu_Notes,MATCH(C1064,Stu_ID,0)),""))</f>
        <v/>
      </c>
      <c r="J1064" s="40">
        <f>IF(1059&gt;$B$3,"",IFERROR(MATCH(1059-1,EV_Seq,1)+1,1))</f>
        <v/>
      </c>
    </row>
    <row r="1065">
      <c r="A1065" s="105">
        <f>IF($J1065="","",INDEX(EV_Date,$J1065))</f>
        <v/>
      </c>
      <c r="B1065" s="78">
        <f>IF($J1065="","",INDEX(EV_Name,$J1065))</f>
        <v/>
      </c>
      <c r="C1065" s="106">
        <f>IF($J1065="","",INDEX(EV_ID,$J1065))</f>
        <v/>
      </c>
      <c r="D1065" s="106">
        <f>IF($J1065="","",INDEX(EV_Class,$J1065))</f>
        <v/>
      </c>
      <c r="E1065" s="106">
        <f>IF($J1065="","",INDEX(EV_Type,$J1065))</f>
        <v/>
      </c>
      <c r="F1065" s="106">
        <f>IF($J1065="","",INDEX(EV_Cum,$J1065))</f>
        <v/>
      </c>
      <c r="G1065" s="106">
        <f>IF($J1065="","",INDEX(LevelLabels,MATCH(F1065,LevelValues,1)))</f>
        <v/>
      </c>
      <c r="H1065" s="106">
        <f>IF($J1065="","",IFERROR(INDEX(Stu_ContactReq,MATCH(C1065,Stu_ID,0)),""))</f>
        <v/>
      </c>
      <c r="I1065" s="107">
        <f>IF($J1065="","",IFERROR(INDEX(Stu_Notes,MATCH(C1065,Stu_ID,0)),""))</f>
        <v/>
      </c>
      <c r="J1065" s="40">
        <f>IF(1060&gt;$B$3,"",IFERROR(MATCH(1060-1,EV_Seq,1)+1,1))</f>
        <v/>
      </c>
    </row>
    <row r="1066">
      <c r="A1066" s="105">
        <f>IF($J1066="","",INDEX(EV_Date,$J1066))</f>
        <v/>
      </c>
      <c r="B1066" s="78">
        <f>IF($J1066="","",INDEX(EV_Name,$J1066))</f>
        <v/>
      </c>
      <c r="C1066" s="106">
        <f>IF($J1066="","",INDEX(EV_ID,$J1066))</f>
        <v/>
      </c>
      <c r="D1066" s="106">
        <f>IF($J1066="","",INDEX(EV_Class,$J1066))</f>
        <v/>
      </c>
      <c r="E1066" s="106">
        <f>IF($J1066="","",INDEX(EV_Type,$J1066))</f>
        <v/>
      </c>
      <c r="F1066" s="106">
        <f>IF($J1066="","",INDEX(EV_Cum,$J1066))</f>
        <v/>
      </c>
      <c r="G1066" s="106">
        <f>IF($J1066="","",INDEX(LevelLabels,MATCH(F1066,LevelValues,1)))</f>
        <v/>
      </c>
      <c r="H1066" s="106">
        <f>IF($J1066="","",IFERROR(INDEX(Stu_ContactReq,MATCH(C1066,Stu_ID,0)),""))</f>
        <v/>
      </c>
      <c r="I1066" s="107">
        <f>IF($J1066="","",IFERROR(INDEX(Stu_Notes,MATCH(C1066,Stu_ID,0)),""))</f>
        <v/>
      </c>
      <c r="J1066" s="40">
        <f>IF(1061&gt;$B$3,"",IFERROR(MATCH(1061-1,EV_Seq,1)+1,1))</f>
        <v/>
      </c>
    </row>
    <row r="1067">
      <c r="A1067" s="105">
        <f>IF($J1067="","",INDEX(EV_Date,$J1067))</f>
        <v/>
      </c>
      <c r="B1067" s="78">
        <f>IF($J1067="","",INDEX(EV_Name,$J1067))</f>
        <v/>
      </c>
      <c r="C1067" s="106">
        <f>IF($J1067="","",INDEX(EV_ID,$J1067))</f>
        <v/>
      </c>
      <c r="D1067" s="106">
        <f>IF($J1067="","",INDEX(EV_Class,$J1067))</f>
        <v/>
      </c>
      <c r="E1067" s="106">
        <f>IF($J1067="","",INDEX(EV_Type,$J1067))</f>
        <v/>
      </c>
      <c r="F1067" s="106">
        <f>IF($J1067="","",INDEX(EV_Cum,$J1067))</f>
        <v/>
      </c>
      <c r="G1067" s="106">
        <f>IF($J1067="","",INDEX(LevelLabels,MATCH(F1067,LevelValues,1)))</f>
        <v/>
      </c>
      <c r="H1067" s="106">
        <f>IF($J1067="","",IFERROR(INDEX(Stu_ContactReq,MATCH(C1067,Stu_ID,0)),""))</f>
        <v/>
      </c>
      <c r="I1067" s="107">
        <f>IF($J1067="","",IFERROR(INDEX(Stu_Notes,MATCH(C1067,Stu_ID,0)),""))</f>
        <v/>
      </c>
      <c r="J1067" s="40">
        <f>IF(1062&gt;$B$3,"",IFERROR(MATCH(1062-1,EV_Seq,1)+1,1))</f>
        <v/>
      </c>
    </row>
    <row r="1068">
      <c r="A1068" s="105">
        <f>IF($J1068="","",INDEX(EV_Date,$J1068))</f>
        <v/>
      </c>
      <c r="B1068" s="78">
        <f>IF($J1068="","",INDEX(EV_Name,$J1068))</f>
        <v/>
      </c>
      <c r="C1068" s="106">
        <f>IF($J1068="","",INDEX(EV_ID,$J1068))</f>
        <v/>
      </c>
      <c r="D1068" s="106">
        <f>IF($J1068="","",INDEX(EV_Class,$J1068))</f>
        <v/>
      </c>
      <c r="E1068" s="106">
        <f>IF($J1068="","",INDEX(EV_Type,$J1068))</f>
        <v/>
      </c>
      <c r="F1068" s="106">
        <f>IF($J1068="","",INDEX(EV_Cum,$J1068))</f>
        <v/>
      </c>
      <c r="G1068" s="106">
        <f>IF($J1068="","",INDEX(LevelLabels,MATCH(F1068,LevelValues,1)))</f>
        <v/>
      </c>
      <c r="H1068" s="106">
        <f>IF($J1068="","",IFERROR(INDEX(Stu_ContactReq,MATCH(C1068,Stu_ID,0)),""))</f>
        <v/>
      </c>
      <c r="I1068" s="107">
        <f>IF($J1068="","",IFERROR(INDEX(Stu_Notes,MATCH(C1068,Stu_ID,0)),""))</f>
        <v/>
      </c>
      <c r="J1068" s="40">
        <f>IF(1063&gt;$B$3,"",IFERROR(MATCH(1063-1,EV_Seq,1)+1,1))</f>
        <v/>
      </c>
    </row>
    <row r="1069">
      <c r="A1069" s="105">
        <f>IF($J1069="","",INDEX(EV_Date,$J1069))</f>
        <v/>
      </c>
      <c r="B1069" s="78">
        <f>IF($J1069="","",INDEX(EV_Name,$J1069))</f>
        <v/>
      </c>
      <c r="C1069" s="106">
        <f>IF($J1069="","",INDEX(EV_ID,$J1069))</f>
        <v/>
      </c>
      <c r="D1069" s="106">
        <f>IF($J1069="","",INDEX(EV_Class,$J1069))</f>
        <v/>
      </c>
      <c r="E1069" s="106">
        <f>IF($J1069="","",INDEX(EV_Type,$J1069))</f>
        <v/>
      </c>
      <c r="F1069" s="106">
        <f>IF($J1069="","",INDEX(EV_Cum,$J1069))</f>
        <v/>
      </c>
      <c r="G1069" s="106">
        <f>IF($J1069="","",INDEX(LevelLabels,MATCH(F1069,LevelValues,1)))</f>
        <v/>
      </c>
      <c r="H1069" s="106">
        <f>IF($J1069="","",IFERROR(INDEX(Stu_ContactReq,MATCH(C1069,Stu_ID,0)),""))</f>
        <v/>
      </c>
      <c r="I1069" s="107">
        <f>IF($J1069="","",IFERROR(INDEX(Stu_Notes,MATCH(C1069,Stu_ID,0)),""))</f>
        <v/>
      </c>
      <c r="J1069" s="40">
        <f>IF(1064&gt;$B$3,"",IFERROR(MATCH(1064-1,EV_Seq,1)+1,1))</f>
        <v/>
      </c>
    </row>
    <row r="1070">
      <c r="A1070" s="105">
        <f>IF($J1070="","",INDEX(EV_Date,$J1070))</f>
        <v/>
      </c>
      <c r="B1070" s="78">
        <f>IF($J1070="","",INDEX(EV_Name,$J1070))</f>
        <v/>
      </c>
      <c r="C1070" s="106">
        <f>IF($J1070="","",INDEX(EV_ID,$J1070))</f>
        <v/>
      </c>
      <c r="D1070" s="106">
        <f>IF($J1070="","",INDEX(EV_Class,$J1070))</f>
        <v/>
      </c>
      <c r="E1070" s="106">
        <f>IF($J1070="","",INDEX(EV_Type,$J1070))</f>
        <v/>
      </c>
      <c r="F1070" s="106">
        <f>IF($J1070="","",INDEX(EV_Cum,$J1070))</f>
        <v/>
      </c>
      <c r="G1070" s="106">
        <f>IF($J1070="","",INDEX(LevelLabels,MATCH(F1070,LevelValues,1)))</f>
        <v/>
      </c>
      <c r="H1070" s="106">
        <f>IF($J1070="","",IFERROR(INDEX(Stu_ContactReq,MATCH(C1070,Stu_ID,0)),""))</f>
        <v/>
      </c>
      <c r="I1070" s="107">
        <f>IF($J1070="","",IFERROR(INDEX(Stu_Notes,MATCH(C1070,Stu_ID,0)),""))</f>
        <v/>
      </c>
      <c r="J1070" s="40">
        <f>IF(1065&gt;$B$3,"",IFERROR(MATCH(1065-1,EV_Seq,1)+1,1))</f>
        <v/>
      </c>
    </row>
    <row r="1071">
      <c r="A1071" s="105">
        <f>IF($J1071="","",INDEX(EV_Date,$J1071))</f>
        <v/>
      </c>
      <c r="B1071" s="78">
        <f>IF($J1071="","",INDEX(EV_Name,$J1071))</f>
        <v/>
      </c>
      <c r="C1071" s="106">
        <f>IF($J1071="","",INDEX(EV_ID,$J1071))</f>
        <v/>
      </c>
      <c r="D1071" s="106">
        <f>IF($J1071="","",INDEX(EV_Class,$J1071))</f>
        <v/>
      </c>
      <c r="E1071" s="106">
        <f>IF($J1071="","",INDEX(EV_Type,$J1071))</f>
        <v/>
      </c>
      <c r="F1071" s="106">
        <f>IF($J1071="","",INDEX(EV_Cum,$J1071))</f>
        <v/>
      </c>
      <c r="G1071" s="106">
        <f>IF($J1071="","",INDEX(LevelLabels,MATCH(F1071,LevelValues,1)))</f>
        <v/>
      </c>
      <c r="H1071" s="106">
        <f>IF($J1071="","",IFERROR(INDEX(Stu_ContactReq,MATCH(C1071,Stu_ID,0)),""))</f>
        <v/>
      </c>
      <c r="I1071" s="107">
        <f>IF($J1071="","",IFERROR(INDEX(Stu_Notes,MATCH(C1071,Stu_ID,0)),""))</f>
        <v/>
      </c>
      <c r="J1071" s="40">
        <f>IF(1066&gt;$B$3,"",IFERROR(MATCH(1066-1,EV_Seq,1)+1,1))</f>
        <v/>
      </c>
    </row>
    <row r="1072">
      <c r="A1072" s="105">
        <f>IF($J1072="","",INDEX(EV_Date,$J1072))</f>
        <v/>
      </c>
      <c r="B1072" s="78">
        <f>IF($J1072="","",INDEX(EV_Name,$J1072))</f>
        <v/>
      </c>
      <c r="C1072" s="106">
        <f>IF($J1072="","",INDEX(EV_ID,$J1072))</f>
        <v/>
      </c>
      <c r="D1072" s="106">
        <f>IF($J1072="","",INDEX(EV_Class,$J1072))</f>
        <v/>
      </c>
      <c r="E1072" s="106">
        <f>IF($J1072="","",INDEX(EV_Type,$J1072))</f>
        <v/>
      </c>
      <c r="F1072" s="106">
        <f>IF($J1072="","",INDEX(EV_Cum,$J1072))</f>
        <v/>
      </c>
      <c r="G1072" s="106">
        <f>IF($J1072="","",INDEX(LevelLabels,MATCH(F1072,LevelValues,1)))</f>
        <v/>
      </c>
      <c r="H1072" s="106">
        <f>IF($J1072="","",IFERROR(INDEX(Stu_ContactReq,MATCH(C1072,Stu_ID,0)),""))</f>
        <v/>
      </c>
      <c r="I1072" s="107">
        <f>IF($J1072="","",IFERROR(INDEX(Stu_Notes,MATCH(C1072,Stu_ID,0)),""))</f>
        <v/>
      </c>
      <c r="J1072" s="40">
        <f>IF(1067&gt;$B$3,"",IFERROR(MATCH(1067-1,EV_Seq,1)+1,1))</f>
        <v/>
      </c>
    </row>
    <row r="1073">
      <c r="A1073" s="105">
        <f>IF($J1073="","",INDEX(EV_Date,$J1073))</f>
        <v/>
      </c>
      <c r="B1073" s="78">
        <f>IF($J1073="","",INDEX(EV_Name,$J1073))</f>
        <v/>
      </c>
      <c r="C1073" s="106">
        <f>IF($J1073="","",INDEX(EV_ID,$J1073))</f>
        <v/>
      </c>
      <c r="D1073" s="106">
        <f>IF($J1073="","",INDEX(EV_Class,$J1073))</f>
        <v/>
      </c>
      <c r="E1073" s="106">
        <f>IF($J1073="","",INDEX(EV_Type,$J1073))</f>
        <v/>
      </c>
      <c r="F1073" s="106">
        <f>IF($J1073="","",INDEX(EV_Cum,$J1073))</f>
        <v/>
      </c>
      <c r="G1073" s="106">
        <f>IF($J1073="","",INDEX(LevelLabels,MATCH(F1073,LevelValues,1)))</f>
        <v/>
      </c>
      <c r="H1073" s="106">
        <f>IF($J1073="","",IFERROR(INDEX(Stu_ContactReq,MATCH(C1073,Stu_ID,0)),""))</f>
        <v/>
      </c>
      <c r="I1073" s="107">
        <f>IF($J1073="","",IFERROR(INDEX(Stu_Notes,MATCH(C1073,Stu_ID,0)),""))</f>
        <v/>
      </c>
      <c r="J1073" s="40">
        <f>IF(1068&gt;$B$3,"",IFERROR(MATCH(1068-1,EV_Seq,1)+1,1))</f>
        <v/>
      </c>
    </row>
    <row r="1074">
      <c r="A1074" s="105">
        <f>IF($J1074="","",INDEX(EV_Date,$J1074))</f>
        <v/>
      </c>
      <c r="B1074" s="78">
        <f>IF($J1074="","",INDEX(EV_Name,$J1074))</f>
        <v/>
      </c>
      <c r="C1074" s="106">
        <f>IF($J1074="","",INDEX(EV_ID,$J1074))</f>
        <v/>
      </c>
      <c r="D1074" s="106">
        <f>IF($J1074="","",INDEX(EV_Class,$J1074))</f>
        <v/>
      </c>
      <c r="E1074" s="106">
        <f>IF($J1074="","",INDEX(EV_Type,$J1074))</f>
        <v/>
      </c>
      <c r="F1074" s="106">
        <f>IF($J1074="","",INDEX(EV_Cum,$J1074))</f>
        <v/>
      </c>
      <c r="G1074" s="106">
        <f>IF($J1074="","",INDEX(LevelLabels,MATCH(F1074,LevelValues,1)))</f>
        <v/>
      </c>
      <c r="H1074" s="106">
        <f>IF($J1074="","",IFERROR(INDEX(Stu_ContactReq,MATCH(C1074,Stu_ID,0)),""))</f>
        <v/>
      </c>
      <c r="I1074" s="107">
        <f>IF($J1074="","",IFERROR(INDEX(Stu_Notes,MATCH(C1074,Stu_ID,0)),""))</f>
        <v/>
      </c>
      <c r="J1074" s="40">
        <f>IF(1069&gt;$B$3,"",IFERROR(MATCH(1069-1,EV_Seq,1)+1,1))</f>
        <v/>
      </c>
    </row>
    <row r="1075">
      <c r="A1075" s="105">
        <f>IF($J1075="","",INDEX(EV_Date,$J1075))</f>
        <v/>
      </c>
      <c r="B1075" s="78">
        <f>IF($J1075="","",INDEX(EV_Name,$J1075))</f>
        <v/>
      </c>
      <c r="C1075" s="106">
        <f>IF($J1075="","",INDEX(EV_ID,$J1075))</f>
        <v/>
      </c>
      <c r="D1075" s="106">
        <f>IF($J1075="","",INDEX(EV_Class,$J1075))</f>
        <v/>
      </c>
      <c r="E1075" s="106">
        <f>IF($J1075="","",INDEX(EV_Type,$J1075))</f>
        <v/>
      </c>
      <c r="F1075" s="106">
        <f>IF($J1075="","",INDEX(EV_Cum,$J1075))</f>
        <v/>
      </c>
      <c r="G1075" s="106">
        <f>IF($J1075="","",INDEX(LevelLabels,MATCH(F1075,LevelValues,1)))</f>
        <v/>
      </c>
      <c r="H1075" s="106">
        <f>IF($J1075="","",IFERROR(INDEX(Stu_ContactReq,MATCH(C1075,Stu_ID,0)),""))</f>
        <v/>
      </c>
      <c r="I1075" s="107">
        <f>IF($J1075="","",IFERROR(INDEX(Stu_Notes,MATCH(C1075,Stu_ID,0)),""))</f>
        <v/>
      </c>
      <c r="J1075" s="40">
        <f>IF(1070&gt;$B$3,"",IFERROR(MATCH(1070-1,EV_Seq,1)+1,1))</f>
        <v/>
      </c>
    </row>
    <row r="1076">
      <c r="A1076" s="105">
        <f>IF($J1076="","",INDEX(EV_Date,$J1076))</f>
        <v/>
      </c>
      <c r="B1076" s="78">
        <f>IF($J1076="","",INDEX(EV_Name,$J1076))</f>
        <v/>
      </c>
      <c r="C1076" s="106">
        <f>IF($J1076="","",INDEX(EV_ID,$J1076))</f>
        <v/>
      </c>
      <c r="D1076" s="106">
        <f>IF($J1076="","",INDEX(EV_Class,$J1076))</f>
        <v/>
      </c>
      <c r="E1076" s="106">
        <f>IF($J1076="","",INDEX(EV_Type,$J1076))</f>
        <v/>
      </c>
      <c r="F1076" s="106">
        <f>IF($J1076="","",INDEX(EV_Cum,$J1076))</f>
        <v/>
      </c>
      <c r="G1076" s="106">
        <f>IF($J1076="","",INDEX(LevelLabels,MATCH(F1076,LevelValues,1)))</f>
        <v/>
      </c>
      <c r="H1076" s="106">
        <f>IF($J1076="","",IFERROR(INDEX(Stu_ContactReq,MATCH(C1076,Stu_ID,0)),""))</f>
        <v/>
      </c>
      <c r="I1076" s="107">
        <f>IF($J1076="","",IFERROR(INDEX(Stu_Notes,MATCH(C1076,Stu_ID,0)),""))</f>
        <v/>
      </c>
      <c r="J1076" s="40">
        <f>IF(1071&gt;$B$3,"",IFERROR(MATCH(1071-1,EV_Seq,1)+1,1))</f>
        <v/>
      </c>
    </row>
    <row r="1077">
      <c r="A1077" s="105">
        <f>IF($J1077="","",INDEX(EV_Date,$J1077))</f>
        <v/>
      </c>
      <c r="B1077" s="78">
        <f>IF($J1077="","",INDEX(EV_Name,$J1077))</f>
        <v/>
      </c>
      <c r="C1077" s="106">
        <f>IF($J1077="","",INDEX(EV_ID,$J1077))</f>
        <v/>
      </c>
      <c r="D1077" s="106">
        <f>IF($J1077="","",INDEX(EV_Class,$J1077))</f>
        <v/>
      </c>
      <c r="E1077" s="106">
        <f>IF($J1077="","",INDEX(EV_Type,$J1077))</f>
        <v/>
      </c>
      <c r="F1077" s="106">
        <f>IF($J1077="","",INDEX(EV_Cum,$J1077))</f>
        <v/>
      </c>
      <c r="G1077" s="106">
        <f>IF($J1077="","",INDEX(LevelLabels,MATCH(F1077,LevelValues,1)))</f>
        <v/>
      </c>
      <c r="H1077" s="106">
        <f>IF($J1077="","",IFERROR(INDEX(Stu_ContactReq,MATCH(C1077,Stu_ID,0)),""))</f>
        <v/>
      </c>
      <c r="I1077" s="107">
        <f>IF($J1077="","",IFERROR(INDEX(Stu_Notes,MATCH(C1077,Stu_ID,0)),""))</f>
        <v/>
      </c>
      <c r="J1077" s="40">
        <f>IF(1072&gt;$B$3,"",IFERROR(MATCH(1072-1,EV_Seq,1)+1,1))</f>
        <v/>
      </c>
    </row>
    <row r="1078">
      <c r="A1078" s="105">
        <f>IF($J1078="","",INDEX(EV_Date,$J1078))</f>
        <v/>
      </c>
      <c r="B1078" s="78">
        <f>IF($J1078="","",INDEX(EV_Name,$J1078))</f>
        <v/>
      </c>
      <c r="C1078" s="106">
        <f>IF($J1078="","",INDEX(EV_ID,$J1078))</f>
        <v/>
      </c>
      <c r="D1078" s="106">
        <f>IF($J1078="","",INDEX(EV_Class,$J1078))</f>
        <v/>
      </c>
      <c r="E1078" s="106">
        <f>IF($J1078="","",INDEX(EV_Type,$J1078))</f>
        <v/>
      </c>
      <c r="F1078" s="106">
        <f>IF($J1078="","",INDEX(EV_Cum,$J1078))</f>
        <v/>
      </c>
      <c r="G1078" s="106">
        <f>IF($J1078="","",INDEX(LevelLabels,MATCH(F1078,LevelValues,1)))</f>
        <v/>
      </c>
      <c r="H1078" s="106">
        <f>IF($J1078="","",IFERROR(INDEX(Stu_ContactReq,MATCH(C1078,Stu_ID,0)),""))</f>
        <v/>
      </c>
      <c r="I1078" s="107">
        <f>IF($J1078="","",IFERROR(INDEX(Stu_Notes,MATCH(C1078,Stu_ID,0)),""))</f>
        <v/>
      </c>
      <c r="J1078" s="40">
        <f>IF(1073&gt;$B$3,"",IFERROR(MATCH(1073-1,EV_Seq,1)+1,1))</f>
        <v/>
      </c>
    </row>
    <row r="1079">
      <c r="A1079" s="105">
        <f>IF($J1079="","",INDEX(EV_Date,$J1079))</f>
        <v/>
      </c>
      <c r="B1079" s="78">
        <f>IF($J1079="","",INDEX(EV_Name,$J1079))</f>
        <v/>
      </c>
      <c r="C1079" s="106">
        <f>IF($J1079="","",INDEX(EV_ID,$J1079))</f>
        <v/>
      </c>
      <c r="D1079" s="106">
        <f>IF($J1079="","",INDEX(EV_Class,$J1079))</f>
        <v/>
      </c>
      <c r="E1079" s="106">
        <f>IF($J1079="","",INDEX(EV_Type,$J1079))</f>
        <v/>
      </c>
      <c r="F1079" s="106">
        <f>IF($J1079="","",INDEX(EV_Cum,$J1079))</f>
        <v/>
      </c>
      <c r="G1079" s="106">
        <f>IF($J1079="","",INDEX(LevelLabels,MATCH(F1079,LevelValues,1)))</f>
        <v/>
      </c>
      <c r="H1079" s="106">
        <f>IF($J1079="","",IFERROR(INDEX(Stu_ContactReq,MATCH(C1079,Stu_ID,0)),""))</f>
        <v/>
      </c>
      <c r="I1079" s="107">
        <f>IF($J1079="","",IFERROR(INDEX(Stu_Notes,MATCH(C1079,Stu_ID,0)),""))</f>
        <v/>
      </c>
      <c r="J1079" s="40">
        <f>IF(1074&gt;$B$3,"",IFERROR(MATCH(1074-1,EV_Seq,1)+1,1))</f>
        <v/>
      </c>
    </row>
    <row r="1080">
      <c r="A1080" s="105">
        <f>IF($J1080="","",INDEX(EV_Date,$J1080))</f>
        <v/>
      </c>
      <c r="B1080" s="78">
        <f>IF($J1080="","",INDEX(EV_Name,$J1080))</f>
        <v/>
      </c>
      <c r="C1080" s="106">
        <f>IF($J1080="","",INDEX(EV_ID,$J1080))</f>
        <v/>
      </c>
      <c r="D1080" s="106">
        <f>IF($J1080="","",INDEX(EV_Class,$J1080))</f>
        <v/>
      </c>
      <c r="E1080" s="106">
        <f>IF($J1080="","",INDEX(EV_Type,$J1080))</f>
        <v/>
      </c>
      <c r="F1080" s="106">
        <f>IF($J1080="","",INDEX(EV_Cum,$J1080))</f>
        <v/>
      </c>
      <c r="G1080" s="106">
        <f>IF($J1080="","",INDEX(LevelLabels,MATCH(F1080,LevelValues,1)))</f>
        <v/>
      </c>
      <c r="H1080" s="106">
        <f>IF($J1080="","",IFERROR(INDEX(Stu_ContactReq,MATCH(C1080,Stu_ID,0)),""))</f>
        <v/>
      </c>
      <c r="I1080" s="107">
        <f>IF($J1080="","",IFERROR(INDEX(Stu_Notes,MATCH(C1080,Stu_ID,0)),""))</f>
        <v/>
      </c>
      <c r="J1080" s="40">
        <f>IF(1075&gt;$B$3,"",IFERROR(MATCH(1075-1,EV_Seq,1)+1,1))</f>
        <v/>
      </c>
    </row>
    <row r="1081">
      <c r="A1081" s="105">
        <f>IF($J1081="","",INDEX(EV_Date,$J1081))</f>
        <v/>
      </c>
      <c r="B1081" s="78">
        <f>IF($J1081="","",INDEX(EV_Name,$J1081))</f>
        <v/>
      </c>
      <c r="C1081" s="106">
        <f>IF($J1081="","",INDEX(EV_ID,$J1081))</f>
        <v/>
      </c>
      <c r="D1081" s="106">
        <f>IF($J1081="","",INDEX(EV_Class,$J1081))</f>
        <v/>
      </c>
      <c r="E1081" s="106">
        <f>IF($J1081="","",INDEX(EV_Type,$J1081))</f>
        <v/>
      </c>
      <c r="F1081" s="106">
        <f>IF($J1081="","",INDEX(EV_Cum,$J1081))</f>
        <v/>
      </c>
      <c r="G1081" s="106">
        <f>IF($J1081="","",INDEX(LevelLabels,MATCH(F1081,LevelValues,1)))</f>
        <v/>
      </c>
      <c r="H1081" s="106">
        <f>IF($J1081="","",IFERROR(INDEX(Stu_ContactReq,MATCH(C1081,Stu_ID,0)),""))</f>
        <v/>
      </c>
      <c r="I1081" s="107">
        <f>IF($J1081="","",IFERROR(INDEX(Stu_Notes,MATCH(C1081,Stu_ID,0)),""))</f>
        <v/>
      </c>
      <c r="J1081" s="40">
        <f>IF(1076&gt;$B$3,"",IFERROR(MATCH(1076-1,EV_Seq,1)+1,1))</f>
        <v/>
      </c>
    </row>
    <row r="1082">
      <c r="A1082" s="105">
        <f>IF($J1082="","",INDEX(EV_Date,$J1082))</f>
        <v/>
      </c>
      <c r="B1082" s="78">
        <f>IF($J1082="","",INDEX(EV_Name,$J1082))</f>
        <v/>
      </c>
      <c r="C1082" s="106">
        <f>IF($J1082="","",INDEX(EV_ID,$J1082))</f>
        <v/>
      </c>
      <c r="D1082" s="106">
        <f>IF($J1082="","",INDEX(EV_Class,$J1082))</f>
        <v/>
      </c>
      <c r="E1082" s="106">
        <f>IF($J1082="","",INDEX(EV_Type,$J1082))</f>
        <v/>
      </c>
      <c r="F1082" s="106">
        <f>IF($J1082="","",INDEX(EV_Cum,$J1082))</f>
        <v/>
      </c>
      <c r="G1082" s="106">
        <f>IF($J1082="","",INDEX(LevelLabels,MATCH(F1082,LevelValues,1)))</f>
        <v/>
      </c>
      <c r="H1082" s="106">
        <f>IF($J1082="","",IFERROR(INDEX(Stu_ContactReq,MATCH(C1082,Stu_ID,0)),""))</f>
        <v/>
      </c>
      <c r="I1082" s="107">
        <f>IF($J1082="","",IFERROR(INDEX(Stu_Notes,MATCH(C1082,Stu_ID,0)),""))</f>
        <v/>
      </c>
      <c r="J1082" s="40">
        <f>IF(1077&gt;$B$3,"",IFERROR(MATCH(1077-1,EV_Seq,1)+1,1))</f>
        <v/>
      </c>
    </row>
    <row r="1083">
      <c r="A1083" s="105">
        <f>IF($J1083="","",INDEX(EV_Date,$J1083))</f>
        <v/>
      </c>
      <c r="B1083" s="78">
        <f>IF($J1083="","",INDEX(EV_Name,$J1083))</f>
        <v/>
      </c>
      <c r="C1083" s="106">
        <f>IF($J1083="","",INDEX(EV_ID,$J1083))</f>
        <v/>
      </c>
      <c r="D1083" s="106">
        <f>IF($J1083="","",INDEX(EV_Class,$J1083))</f>
        <v/>
      </c>
      <c r="E1083" s="106">
        <f>IF($J1083="","",INDEX(EV_Type,$J1083))</f>
        <v/>
      </c>
      <c r="F1083" s="106">
        <f>IF($J1083="","",INDEX(EV_Cum,$J1083))</f>
        <v/>
      </c>
      <c r="G1083" s="106">
        <f>IF($J1083="","",INDEX(LevelLabels,MATCH(F1083,LevelValues,1)))</f>
        <v/>
      </c>
      <c r="H1083" s="106">
        <f>IF($J1083="","",IFERROR(INDEX(Stu_ContactReq,MATCH(C1083,Stu_ID,0)),""))</f>
        <v/>
      </c>
      <c r="I1083" s="107">
        <f>IF($J1083="","",IFERROR(INDEX(Stu_Notes,MATCH(C1083,Stu_ID,0)),""))</f>
        <v/>
      </c>
      <c r="J1083" s="40">
        <f>IF(1078&gt;$B$3,"",IFERROR(MATCH(1078-1,EV_Seq,1)+1,1))</f>
        <v/>
      </c>
    </row>
    <row r="1084">
      <c r="A1084" s="105">
        <f>IF($J1084="","",INDEX(EV_Date,$J1084))</f>
        <v/>
      </c>
      <c r="B1084" s="78">
        <f>IF($J1084="","",INDEX(EV_Name,$J1084))</f>
        <v/>
      </c>
      <c r="C1084" s="106">
        <f>IF($J1084="","",INDEX(EV_ID,$J1084))</f>
        <v/>
      </c>
      <c r="D1084" s="106">
        <f>IF($J1084="","",INDEX(EV_Class,$J1084))</f>
        <v/>
      </c>
      <c r="E1084" s="106">
        <f>IF($J1084="","",INDEX(EV_Type,$J1084))</f>
        <v/>
      </c>
      <c r="F1084" s="106">
        <f>IF($J1084="","",INDEX(EV_Cum,$J1084))</f>
        <v/>
      </c>
      <c r="G1084" s="106">
        <f>IF($J1084="","",INDEX(LevelLabels,MATCH(F1084,LevelValues,1)))</f>
        <v/>
      </c>
      <c r="H1084" s="106">
        <f>IF($J1084="","",IFERROR(INDEX(Stu_ContactReq,MATCH(C1084,Stu_ID,0)),""))</f>
        <v/>
      </c>
      <c r="I1084" s="107">
        <f>IF($J1084="","",IFERROR(INDEX(Stu_Notes,MATCH(C1084,Stu_ID,0)),""))</f>
        <v/>
      </c>
      <c r="J1084" s="40">
        <f>IF(1079&gt;$B$3,"",IFERROR(MATCH(1079-1,EV_Seq,1)+1,1))</f>
        <v/>
      </c>
    </row>
    <row r="1085">
      <c r="A1085" s="105">
        <f>IF($J1085="","",INDEX(EV_Date,$J1085))</f>
        <v/>
      </c>
      <c r="B1085" s="78">
        <f>IF($J1085="","",INDEX(EV_Name,$J1085))</f>
        <v/>
      </c>
      <c r="C1085" s="106">
        <f>IF($J1085="","",INDEX(EV_ID,$J1085))</f>
        <v/>
      </c>
      <c r="D1085" s="106">
        <f>IF($J1085="","",INDEX(EV_Class,$J1085))</f>
        <v/>
      </c>
      <c r="E1085" s="106">
        <f>IF($J1085="","",INDEX(EV_Type,$J1085))</f>
        <v/>
      </c>
      <c r="F1085" s="106">
        <f>IF($J1085="","",INDEX(EV_Cum,$J1085))</f>
        <v/>
      </c>
      <c r="G1085" s="106">
        <f>IF($J1085="","",INDEX(LevelLabels,MATCH(F1085,LevelValues,1)))</f>
        <v/>
      </c>
      <c r="H1085" s="106">
        <f>IF($J1085="","",IFERROR(INDEX(Stu_ContactReq,MATCH(C1085,Stu_ID,0)),""))</f>
        <v/>
      </c>
      <c r="I1085" s="107">
        <f>IF($J1085="","",IFERROR(INDEX(Stu_Notes,MATCH(C1085,Stu_ID,0)),""))</f>
        <v/>
      </c>
      <c r="J1085" s="40">
        <f>IF(1080&gt;$B$3,"",IFERROR(MATCH(1080-1,EV_Seq,1)+1,1))</f>
        <v/>
      </c>
    </row>
    <row r="1086">
      <c r="A1086" s="105">
        <f>IF($J1086="","",INDEX(EV_Date,$J1086))</f>
        <v/>
      </c>
      <c r="B1086" s="78">
        <f>IF($J1086="","",INDEX(EV_Name,$J1086))</f>
        <v/>
      </c>
      <c r="C1086" s="106">
        <f>IF($J1086="","",INDEX(EV_ID,$J1086))</f>
        <v/>
      </c>
      <c r="D1086" s="106">
        <f>IF($J1086="","",INDEX(EV_Class,$J1086))</f>
        <v/>
      </c>
      <c r="E1086" s="106">
        <f>IF($J1086="","",INDEX(EV_Type,$J1086))</f>
        <v/>
      </c>
      <c r="F1086" s="106">
        <f>IF($J1086="","",INDEX(EV_Cum,$J1086))</f>
        <v/>
      </c>
      <c r="G1086" s="106">
        <f>IF($J1086="","",INDEX(LevelLabels,MATCH(F1086,LevelValues,1)))</f>
        <v/>
      </c>
      <c r="H1086" s="106">
        <f>IF($J1086="","",IFERROR(INDEX(Stu_ContactReq,MATCH(C1086,Stu_ID,0)),""))</f>
        <v/>
      </c>
      <c r="I1086" s="107">
        <f>IF($J1086="","",IFERROR(INDEX(Stu_Notes,MATCH(C1086,Stu_ID,0)),""))</f>
        <v/>
      </c>
      <c r="J1086" s="40">
        <f>IF(1081&gt;$B$3,"",IFERROR(MATCH(1081-1,EV_Seq,1)+1,1))</f>
        <v/>
      </c>
    </row>
    <row r="1087">
      <c r="A1087" s="105">
        <f>IF($J1087="","",INDEX(EV_Date,$J1087))</f>
        <v/>
      </c>
      <c r="B1087" s="78">
        <f>IF($J1087="","",INDEX(EV_Name,$J1087))</f>
        <v/>
      </c>
      <c r="C1087" s="106">
        <f>IF($J1087="","",INDEX(EV_ID,$J1087))</f>
        <v/>
      </c>
      <c r="D1087" s="106">
        <f>IF($J1087="","",INDEX(EV_Class,$J1087))</f>
        <v/>
      </c>
      <c r="E1087" s="106">
        <f>IF($J1087="","",INDEX(EV_Type,$J1087))</f>
        <v/>
      </c>
      <c r="F1087" s="106">
        <f>IF($J1087="","",INDEX(EV_Cum,$J1087))</f>
        <v/>
      </c>
      <c r="G1087" s="106">
        <f>IF($J1087="","",INDEX(LevelLabels,MATCH(F1087,LevelValues,1)))</f>
        <v/>
      </c>
      <c r="H1087" s="106">
        <f>IF($J1087="","",IFERROR(INDEX(Stu_ContactReq,MATCH(C1087,Stu_ID,0)),""))</f>
        <v/>
      </c>
      <c r="I1087" s="107">
        <f>IF($J1087="","",IFERROR(INDEX(Stu_Notes,MATCH(C1087,Stu_ID,0)),""))</f>
        <v/>
      </c>
      <c r="J1087" s="40">
        <f>IF(1082&gt;$B$3,"",IFERROR(MATCH(1082-1,EV_Seq,1)+1,1))</f>
        <v/>
      </c>
    </row>
    <row r="1088">
      <c r="A1088" s="105">
        <f>IF($J1088="","",INDEX(EV_Date,$J1088))</f>
        <v/>
      </c>
      <c r="B1088" s="78">
        <f>IF($J1088="","",INDEX(EV_Name,$J1088))</f>
        <v/>
      </c>
      <c r="C1088" s="106">
        <f>IF($J1088="","",INDEX(EV_ID,$J1088))</f>
        <v/>
      </c>
      <c r="D1088" s="106">
        <f>IF($J1088="","",INDEX(EV_Class,$J1088))</f>
        <v/>
      </c>
      <c r="E1088" s="106">
        <f>IF($J1088="","",INDEX(EV_Type,$J1088))</f>
        <v/>
      </c>
      <c r="F1088" s="106">
        <f>IF($J1088="","",INDEX(EV_Cum,$J1088))</f>
        <v/>
      </c>
      <c r="G1088" s="106">
        <f>IF($J1088="","",INDEX(LevelLabels,MATCH(F1088,LevelValues,1)))</f>
        <v/>
      </c>
      <c r="H1088" s="106">
        <f>IF($J1088="","",IFERROR(INDEX(Stu_ContactReq,MATCH(C1088,Stu_ID,0)),""))</f>
        <v/>
      </c>
      <c r="I1088" s="107">
        <f>IF($J1088="","",IFERROR(INDEX(Stu_Notes,MATCH(C1088,Stu_ID,0)),""))</f>
        <v/>
      </c>
      <c r="J1088" s="40">
        <f>IF(1083&gt;$B$3,"",IFERROR(MATCH(1083-1,EV_Seq,1)+1,1))</f>
        <v/>
      </c>
    </row>
    <row r="1089">
      <c r="A1089" s="105">
        <f>IF($J1089="","",INDEX(EV_Date,$J1089))</f>
        <v/>
      </c>
      <c r="B1089" s="78">
        <f>IF($J1089="","",INDEX(EV_Name,$J1089))</f>
        <v/>
      </c>
      <c r="C1089" s="106">
        <f>IF($J1089="","",INDEX(EV_ID,$J1089))</f>
        <v/>
      </c>
      <c r="D1089" s="106">
        <f>IF($J1089="","",INDEX(EV_Class,$J1089))</f>
        <v/>
      </c>
      <c r="E1089" s="106">
        <f>IF($J1089="","",INDEX(EV_Type,$J1089))</f>
        <v/>
      </c>
      <c r="F1089" s="106">
        <f>IF($J1089="","",INDEX(EV_Cum,$J1089))</f>
        <v/>
      </c>
      <c r="G1089" s="106">
        <f>IF($J1089="","",INDEX(LevelLabels,MATCH(F1089,LevelValues,1)))</f>
        <v/>
      </c>
      <c r="H1089" s="106">
        <f>IF($J1089="","",IFERROR(INDEX(Stu_ContactReq,MATCH(C1089,Stu_ID,0)),""))</f>
        <v/>
      </c>
      <c r="I1089" s="107">
        <f>IF($J1089="","",IFERROR(INDEX(Stu_Notes,MATCH(C1089,Stu_ID,0)),""))</f>
        <v/>
      </c>
      <c r="J1089" s="40">
        <f>IF(1084&gt;$B$3,"",IFERROR(MATCH(1084-1,EV_Seq,1)+1,1))</f>
        <v/>
      </c>
    </row>
    <row r="1090">
      <c r="A1090" s="105">
        <f>IF($J1090="","",INDEX(EV_Date,$J1090))</f>
        <v/>
      </c>
      <c r="B1090" s="78">
        <f>IF($J1090="","",INDEX(EV_Name,$J1090))</f>
        <v/>
      </c>
      <c r="C1090" s="106">
        <f>IF($J1090="","",INDEX(EV_ID,$J1090))</f>
        <v/>
      </c>
      <c r="D1090" s="106">
        <f>IF($J1090="","",INDEX(EV_Class,$J1090))</f>
        <v/>
      </c>
      <c r="E1090" s="106">
        <f>IF($J1090="","",INDEX(EV_Type,$J1090))</f>
        <v/>
      </c>
      <c r="F1090" s="106">
        <f>IF($J1090="","",INDEX(EV_Cum,$J1090))</f>
        <v/>
      </c>
      <c r="G1090" s="106">
        <f>IF($J1090="","",INDEX(LevelLabels,MATCH(F1090,LevelValues,1)))</f>
        <v/>
      </c>
      <c r="H1090" s="106">
        <f>IF($J1090="","",IFERROR(INDEX(Stu_ContactReq,MATCH(C1090,Stu_ID,0)),""))</f>
        <v/>
      </c>
      <c r="I1090" s="107">
        <f>IF($J1090="","",IFERROR(INDEX(Stu_Notes,MATCH(C1090,Stu_ID,0)),""))</f>
        <v/>
      </c>
      <c r="J1090" s="40">
        <f>IF(1085&gt;$B$3,"",IFERROR(MATCH(1085-1,EV_Seq,1)+1,1))</f>
        <v/>
      </c>
    </row>
    <row r="1091">
      <c r="A1091" s="105">
        <f>IF($J1091="","",INDEX(EV_Date,$J1091))</f>
        <v/>
      </c>
      <c r="B1091" s="78">
        <f>IF($J1091="","",INDEX(EV_Name,$J1091))</f>
        <v/>
      </c>
      <c r="C1091" s="106">
        <f>IF($J1091="","",INDEX(EV_ID,$J1091))</f>
        <v/>
      </c>
      <c r="D1091" s="106">
        <f>IF($J1091="","",INDEX(EV_Class,$J1091))</f>
        <v/>
      </c>
      <c r="E1091" s="106">
        <f>IF($J1091="","",INDEX(EV_Type,$J1091))</f>
        <v/>
      </c>
      <c r="F1091" s="106">
        <f>IF($J1091="","",INDEX(EV_Cum,$J1091))</f>
        <v/>
      </c>
      <c r="G1091" s="106">
        <f>IF($J1091="","",INDEX(LevelLabels,MATCH(F1091,LevelValues,1)))</f>
        <v/>
      </c>
      <c r="H1091" s="106">
        <f>IF($J1091="","",IFERROR(INDEX(Stu_ContactReq,MATCH(C1091,Stu_ID,0)),""))</f>
        <v/>
      </c>
      <c r="I1091" s="107">
        <f>IF($J1091="","",IFERROR(INDEX(Stu_Notes,MATCH(C1091,Stu_ID,0)),""))</f>
        <v/>
      </c>
      <c r="J1091" s="40">
        <f>IF(1086&gt;$B$3,"",IFERROR(MATCH(1086-1,EV_Seq,1)+1,1))</f>
        <v/>
      </c>
    </row>
    <row r="1092">
      <c r="A1092" s="105">
        <f>IF($J1092="","",INDEX(EV_Date,$J1092))</f>
        <v/>
      </c>
      <c r="B1092" s="78">
        <f>IF($J1092="","",INDEX(EV_Name,$J1092))</f>
        <v/>
      </c>
      <c r="C1092" s="106">
        <f>IF($J1092="","",INDEX(EV_ID,$J1092))</f>
        <v/>
      </c>
      <c r="D1092" s="106">
        <f>IF($J1092="","",INDEX(EV_Class,$J1092))</f>
        <v/>
      </c>
      <c r="E1092" s="106">
        <f>IF($J1092="","",INDEX(EV_Type,$J1092))</f>
        <v/>
      </c>
      <c r="F1092" s="106">
        <f>IF($J1092="","",INDEX(EV_Cum,$J1092))</f>
        <v/>
      </c>
      <c r="G1092" s="106">
        <f>IF($J1092="","",INDEX(LevelLabels,MATCH(F1092,LevelValues,1)))</f>
        <v/>
      </c>
      <c r="H1092" s="106">
        <f>IF($J1092="","",IFERROR(INDEX(Stu_ContactReq,MATCH(C1092,Stu_ID,0)),""))</f>
        <v/>
      </c>
      <c r="I1092" s="107">
        <f>IF($J1092="","",IFERROR(INDEX(Stu_Notes,MATCH(C1092,Stu_ID,0)),""))</f>
        <v/>
      </c>
      <c r="J1092" s="40">
        <f>IF(1087&gt;$B$3,"",IFERROR(MATCH(1087-1,EV_Seq,1)+1,1))</f>
        <v/>
      </c>
    </row>
    <row r="1093">
      <c r="A1093" s="105">
        <f>IF($J1093="","",INDEX(EV_Date,$J1093))</f>
        <v/>
      </c>
      <c r="B1093" s="78">
        <f>IF($J1093="","",INDEX(EV_Name,$J1093))</f>
        <v/>
      </c>
      <c r="C1093" s="106">
        <f>IF($J1093="","",INDEX(EV_ID,$J1093))</f>
        <v/>
      </c>
      <c r="D1093" s="106">
        <f>IF($J1093="","",INDEX(EV_Class,$J1093))</f>
        <v/>
      </c>
      <c r="E1093" s="106">
        <f>IF($J1093="","",INDEX(EV_Type,$J1093))</f>
        <v/>
      </c>
      <c r="F1093" s="106">
        <f>IF($J1093="","",INDEX(EV_Cum,$J1093))</f>
        <v/>
      </c>
      <c r="G1093" s="106">
        <f>IF($J1093="","",INDEX(LevelLabels,MATCH(F1093,LevelValues,1)))</f>
        <v/>
      </c>
      <c r="H1093" s="106">
        <f>IF($J1093="","",IFERROR(INDEX(Stu_ContactReq,MATCH(C1093,Stu_ID,0)),""))</f>
        <v/>
      </c>
      <c r="I1093" s="107">
        <f>IF($J1093="","",IFERROR(INDEX(Stu_Notes,MATCH(C1093,Stu_ID,0)),""))</f>
        <v/>
      </c>
      <c r="J1093" s="40">
        <f>IF(1088&gt;$B$3,"",IFERROR(MATCH(1088-1,EV_Seq,1)+1,1))</f>
        <v/>
      </c>
    </row>
    <row r="1094">
      <c r="A1094" s="105">
        <f>IF($J1094="","",INDEX(EV_Date,$J1094))</f>
        <v/>
      </c>
      <c r="B1094" s="78">
        <f>IF($J1094="","",INDEX(EV_Name,$J1094))</f>
        <v/>
      </c>
      <c r="C1094" s="106">
        <f>IF($J1094="","",INDEX(EV_ID,$J1094))</f>
        <v/>
      </c>
      <c r="D1094" s="106">
        <f>IF($J1094="","",INDEX(EV_Class,$J1094))</f>
        <v/>
      </c>
      <c r="E1094" s="106">
        <f>IF($J1094="","",INDEX(EV_Type,$J1094))</f>
        <v/>
      </c>
      <c r="F1094" s="106">
        <f>IF($J1094="","",INDEX(EV_Cum,$J1094))</f>
        <v/>
      </c>
      <c r="G1094" s="106">
        <f>IF($J1094="","",INDEX(LevelLabels,MATCH(F1094,LevelValues,1)))</f>
        <v/>
      </c>
      <c r="H1094" s="106">
        <f>IF($J1094="","",IFERROR(INDEX(Stu_ContactReq,MATCH(C1094,Stu_ID,0)),""))</f>
        <v/>
      </c>
      <c r="I1094" s="107">
        <f>IF($J1094="","",IFERROR(INDEX(Stu_Notes,MATCH(C1094,Stu_ID,0)),""))</f>
        <v/>
      </c>
      <c r="J1094" s="40">
        <f>IF(1089&gt;$B$3,"",IFERROR(MATCH(1089-1,EV_Seq,1)+1,1))</f>
        <v/>
      </c>
    </row>
    <row r="1095">
      <c r="A1095" s="105">
        <f>IF($J1095="","",INDEX(EV_Date,$J1095))</f>
        <v/>
      </c>
      <c r="B1095" s="78">
        <f>IF($J1095="","",INDEX(EV_Name,$J1095))</f>
        <v/>
      </c>
      <c r="C1095" s="106">
        <f>IF($J1095="","",INDEX(EV_ID,$J1095))</f>
        <v/>
      </c>
      <c r="D1095" s="106">
        <f>IF($J1095="","",INDEX(EV_Class,$J1095))</f>
        <v/>
      </c>
      <c r="E1095" s="106">
        <f>IF($J1095="","",INDEX(EV_Type,$J1095))</f>
        <v/>
      </c>
      <c r="F1095" s="106">
        <f>IF($J1095="","",INDEX(EV_Cum,$J1095))</f>
        <v/>
      </c>
      <c r="G1095" s="106">
        <f>IF($J1095="","",INDEX(LevelLabels,MATCH(F1095,LevelValues,1)))</f>
        <v/>
      </c>
      <c r="H1095" s="106">
        <f>IF($J1095="","",IFERROR(INDEX(Stu_ContactReq,MATCH(C1095,Stu_ID,0)),""))</f>
        <v/>
      </c>
      <c r="I1095" s="107">
        <f>IF($J1095="","",IFERROR(INDEX(Stu_Notes,MATCH(C1095,Stu_ID,0)),""))</f>
        <v/>
      </c>
      <c r="J1095" s="40">
        <f>IF(1090&gt;$B$3,"",IFERROR(MATCH(1090-1,EV_Seq,1)+1,1))</f>
        <v/>
      </c>
    </row>
    <row r="1096">
      <c r="A1096" s="105">
        <f>IF($J1096="","",INDEX(EV_Date,$J1096))</f>
        <v/>
      </c>
      <c r="B1096" s="78">
        <f>IF($J1096="","",INDEX(EV_Name,$J1096))</f>
        <v/>
      </c>
      <c r="C1096" s="106">
        <f>IF($J1096="","",INDEX(EV_ID,$J1096))</f>
        <v/>
      </c>
      <c r="D1096" s="106">
        <f>IF($J1096="","",INDEX(EV_Class,$J1096))</f>
        <v/>
      </c>
      <c r="E1096" s="106">
        <f>IF($J1096="","",INDEX(EV_Type,$J1096))</f>
        <v/>
      </c>
      <c r="F1096" s="106">
        <f>IF($J1096="","",INDEX(EV_Cum,$J1096))</f>
        <v/>
      </c>
      <c r="G1096" s="106">
        <f>IF($J1096="","",INDEX(LevelLabels,MATCH(F1096,LevelValues,1)))</f>
        <v/>
      </c>
      <c r="H1096" s="106">
        <f>IF($J1096="","",IFERROR(INDEX(Stu_ContactReq,MATCH(C1096,Stu_ID,0)),""))</f>
        <v/>
      </c>
      <c r="I1096" s="107">
        <f>IF($J1096="","",IFERROR(INDEX(Stu_Notes,MATCH(C1096,Stu_ID,0)),""))</f>
        <v/>
      </c>
      <c r="J1096" s="40">
        <f>IF(1091&gt;$B$3,"",IFERROR(MATCH(1091-1,EV_Seq,1)+1,1))</f>
        <v/>
      </c>
    </row>
    <row r="1097">
      <c r="A1097" s="105">
        <f>IF($J1097="","",INDEX(EV_Date,$J1097))</f>
        <v/>
      </c>
      <c r="B1097" s="78">
        <f>IF($J1097="","",INDEX(EV_Name,$J1097))</f>
        <v/>
      </c>
      <c r="C1097" s="106">
        <f>IF($J1097="","",INDEX(EV_ID,$J1097))</f>
        <v/>
      </c>
      <c r="D1097" s="106">
        <f>IF($J1097="","",INDEX(EV_Class,$J1097))</f>
        <v/>
      </c>
      <c r="E1097" s="106">
        <f>IF($J1097="","",INDEX(EV_Type,$J1097))</f>
        <v/>
      </c>
      <c r="F1097" s="106">
        <f>IF($J1097="","",INDEX(EV_Cum,$J1097))</f>
        <v/>
      </c>
      <c r="G1097" s="106">
        <f>IF($J1097="","",INDEX(LevelLabels,MATCH(F1097,LevelValues,1)))</f>
        <v/>
      </c>
      <c r="H1097" s="106">
        <f>IF($J1097="","",IFERROR(INDEX(Stu_ContactReq,MATCH(C1097,Stu_ID,0)),""))</f>
        <v/>
      </c>
      <c r="I1097" s="107">
        <f>IF($J1097="","",IFERROR(INDEX(Stu_Notes,MATCH(C1097,Stu_ID,0)),""))</f>
        <v/>
      </c>
      <c r="J1097" s="40">
        <f>IF(1092&gt;$B$3,"",IFERROR(MATCH(1092-1,EV_Seq,1)+1,1))</f>
        <v/>
      </c>
    </row>
    <row r="1098">
      <c r="A1098" s="105">
        <f>IF($J1098="","",INDEX(EV_Date,$J1098))</f>
        <v/>
      </c>
      <c r="B1098" s="78">
        <f>IF($J1098="","",INDEX(EV_Name,$J1098))</f>
        <v/>
      </c>
      <c r="C1098" s="106">
        <f>IF($J1098="","",INDEX(EV_ID,$J1098))</f>
        <v/>
      </c>
      <c r="D1098" s="106">
        <f>IF($J1098="","",INDEX(EV_Class,$J1098))</f>
        <v/>
      </c>
      <c r="E1098" s="106">
        <f>IF($J1098="","",INDEX(EV_Type,$J1098))</f>
        <v/>
      </c>
      <c r="F1098" s="106">
        <f>IF($J1098="","",INDEX(EV_Cum,$J1098))</f>
        <v/>
      </c>
      <c r="G1098" s="106">
        <f>IF($J1098="","",INDEX(LevelLabels,MATCH(F1098,LevelValues,1)))</f>
        <v/>
      </c>
      <c r="H1098" s="106">
        <f>IF($J1098="","",IFERROR(INDEX(Stu_ContactReq,MATCH(C1098,Stu_ID,0)),""))</f>
        <v/>
      </c>
      <c r="I1098" s="107">
        <f>IF($J1098="","",IFERROR(INDEX(Stu_Notes,MATCH(C1098,Stu_ID,0)),""))</f>
        <v/>
      </c>
      <c r="J1098" s="40">
        <f>IF(1093&gt;$B$3,"",IFERROR(MATCH(1093-1,EV_Seq,1)+1,1))</f>
        <v/>
      </c>
    </row>
    <row r="1099">
      <c r="A1099" s="105">
        <f>IF($J1099="","",INDEX(EV_Date,$J1099))</f>
        <v/>
      </c>
      <c r="B1099" s="78">
        <f>IF($J1099="","",INDEX(EV_Name,$J1099))</f>
        <v/>
      </c>
      <c r="C1099" s="106">
        <f>IF($J1099="","",INDEX(EV_ID,$J1099))</f>
        <v/>
      </c>
      <c r="D1099" s="106">
        <f>IF($J1099="","",INDEX(EV_Class,$J1099))</f>
        <v/>
      </c>
      <c r="E1099" s="106">
        <f>IF($J1099="","",INDEX(EV_Type,$J1099))</f>
        <v/>
      </c>
      <c r="F1099" s="106">
        <f>IF($J1099="","",INDEX(EV_Cum,$J1099))</f>
        <v/>
      </c>
      <c r="G1099" s="106">
        <f>IF($J1099="","",INDEX(LevelLabels,MATCH(F1099,LevelValues,1)))</f>
        <v/>
      </c>
      <c r="H1099" s="106">
        <f>IF($J1099="","",IFERROR(INDEX(Stu_ContactReq,MATCH(C1099,Stu_ID,0)),""))</f>
        <v/>
      </c>
      <c r="I1099" s="107">
        <f>IF($J1099="","",IFERROR(INDEX(Stu_Notes,MATCH(C1099,Stu_ID,0)),""))</f>
        <v/>
      </c>
      <c r="J1099" s="40">
        <f>IF(1094&gt;$B$3,"",IFERROR(MATCH(1094-1,EV_Seq,1)+1,1))</f>
        <v/>
      </c>
    </row>
    <row r="1100">
      <c r="A1100" s="105">
        <f>IF($J1100="","",INDEX(EV_Date,$J1100))</f>
        <v/>
      </c>
      <c r="B1100" s="78">
        <f>IF($J1100="","",INDEX(EV_Name,$J1100))</f>
        <v/>
      </c>
      <c r="C1100" s="106">
        <f>IF($J1100="","",INDEX(EV_ID,$J1100))</f>
        <v/>
      </c>
      <c r="D1100" s="106">
        <f>IF($J1100="","",INDEX(EV_Class,$J1100))</f>
        <v/>
      </c>
      <c r="E1100" s="106">
        <f>IF($J1100="","",INDEX(EV_Type,$J1100))</f>
        <v/>
      </c>
      <c r="F1100" s="106">
        <f>IF($J1100="","",INDEX(EV_Cum,$J1100))</f>
        <v/>
      </c>
      <c r="G1100" s="106">
        <f>IF($J1100="","",INDEX(LevelLabels,MATCH(F1100,LevelValues,1)))</f>
        <v/>
      </c>
      <c r="H1100" s="106">
        <f>IF($J1100="","",IFERROR(INDEX(Stu_ContactReq,MATCH(C1100,Stu_ID,0)),""))</f>
        <v/>
      </c>
      <c r="I1100" s="107">
        <f>IF($J1100="","",IFERROR(INDEX(Stu_Notes,MATCH(C1100,Stu_ID,0)),""))</f>
        <v/>
      </c>
      <c r="J1100" s="40">
        <f>IF(1095&gt;$B$3,"",IFERROR(MATCH(1095-1,EV_Seq,1)+1,1))</f>
        <v/>
      </c>
    </row>
    <row r="1101">
      <c r="A1101" s="105">
        <f>IF($J1101="","",INDEX(EV_Date,$J1101))</f>
        <v/>
      </c>
      <c r="B1101" s="78">
        <f>IF($J1101="","",INDEX(EV_Name,$J1101))</f>
        <v/>
      </c>
      <c r="C1101" s="106">
        <f>IF($J1101="","",INDEX(EV_ID,$J1101))</f>
        <v/>
      </c>
      <c r="D1101" s="106">
        <f>IF($J1101="","",INDEX(EV_Class,$J1101))</f>
        <v/>
      </c>
      <c r="E1101" s="106">
        <f>IF($J1101="","",INDEX(EV_Type,$J1101))</f>
        <v/>
      </c>
      <c r="F1101" s="106">
        <f>IF($J1101="","",INDEX(EV_Cum,$J1101))</f>
        <v/>
      </c>
      <c r="G1101" s="106">
        <f>IF($J1101="","",INDEX(LevelLabels,MATCH(F1101,LevelValues,1)))</f>
        <v/>
      </c>
      <c r="H1101" s="106">
        <f>IF($J1101="","",IFERROR(INDEX(Stu_ContactReq,MATCH(C1101,Stu_ID,0)),""))</f>
        <v/>
      </c>
      <c r="I1101" s="107">
        <f>IF($J1101="","",IFERROR(INDEX(Stu_Notes,MATCH(C1101,Stu_ID,0)),""))</f>
        <v/>
      </c>
      <c r="J1101" s="40">
        <f>IF(1096&gt;$B$3,"",IFERROR(MATCH(1096-1,EV_Seq,1)+1,1))</f>
        <v/>
      </c>
    </row>
    <row r="1102">
      <c r="A1102" s="105">
        <f>IF($J1102="","",INDEX(EV_Date,$J1102))</f>
        <v/>
      </c>
      <c r="B1102" s="78">
        <f>IF($J1102="","",INDEX(EV_Name,$J1102))</f>
        <v/>
      </c>
      <c r="C1102" s="106">
        <f>IF($J1102="","",INDEX(EV_ID,$J1102))</f>
        <v/>
      </c>
      <c r="D1102" s="106">
        <f>IF($J1102="","",INDEX(EV_Class,$J1102))</f>
        <v/>
      </c>
      <c r="E1102" s="106">
        <f>IF($J1102="","",INDEX(EV_Type,$J1102))</f>
        <v/>
      </c>
      <c r="F1102" s="106">
        <f>IF($J1102="","",INDEX(EV_Cum,$J1102))</f>
        <v/>
      </c>
      <c r="G1102" s="106">
        <f>IF($J1102="","",INDEX(LevelLabels,MATCH(F1102,LevelValues,1)))</f>
        <v/>
      </c>
      <c r="H1102" s="106">
        <f>IF($J1102="","",IFERROR(INDEX(Stu_ContactReq,MATCH(C1102,Stu_ID,0)),""))</f>
        <v/>
      </c>
      <c r="I1102" s="107">
        <f>IF($J1102="","",IFERROR(INDEX(Stu_Notes,MATCH(C1102,Stu_ID,0)),""))</f>
        <v/>
      </c>
      <c r="J1102" s="40">
        <f>IF(1097&gt;$B$3,"",IFERROR(MATCH(1097-1,EV_Seq,1)+1,1))</f>
        <v/>
      </c>
    </row>
    <row r="1103">
      <c r="A1103" s="105">
        <f>IF($J1103="","",INDEX(EV_Date,$J1103))</f>
        <v/>
      </c>
      <c r="B1103" s="78">
        <f>IF($J1103="","",INDEX(EV_Name,$J1103))</f>
        <v/>
      </c>
      <c r="C1103" s="106">
        <f>IF($J1103="","",INDEX(EV_ID,$J1103))</f>
        <v/>
      </c>
      <c r="D1103" s="106">
        <f>IF($J1103="","",INDEX(EV_Class,$J1103))</f>
        <v/>
      </c>
      <c r="E1103" s="106">
        <f>IF($J1103="","",INDEX(EV_Type,$J1103))</f>
        <v/>
      </c>
      <c r="F1103" s="106">
        <f>IF($J1103="","",INDEX(EV_Cum,$J1103))</f>
        <v/>
      </c>
      <c r="G1103" s="106">
        <f>IF($J1103="","",INDEX(LevelLabels,MATCH(F1103,LevelValues,1)))</f>
        <v/>
      </c>
      <c r="H1103" s="106">
        <f>IF($J1103="","",IFERROR(INDEX(Stu_ContactReq,MATCH(C1103,Stu_ID,0)),""))</f>
        <v/>
      </c>
      <c r="I1103" s="107">
        <f>IF($J1103="","",IFERROR(INDEX(Stu_Notes,MATCH(C1103,Stu_ID,0)),""))</f>
        <v/>
      </c>
      <c r="J1103" s="40">
        <f>IF(1098&gt;$B$3,"",IFERROR(MATCH(1098-1,EV_Seq,1)+1,1))</f>
        <v/>
      </c>
    </row>
    <row r="1104">
      <c r="A1104" s="105">
        <f>IF($J1104="","",INDEX(EV_Date,$J1104))</f>
        <v/>
      </c>
      <c r="B1104" s="78">
        <f>IF($J1104="","",INDEX(EV_Name,$J1104))</f>
        <v/>
      </c>
      <c r="C1104" s="106">
        <f>IF($J1104="","",INDEX(EV_ID,$J1104))</f>
        <v/>
      </c>
      <c r="D1104" s="106">
        <f>IF($J1104="","",INDEX(EV_Class,$J1104))</f>
        <v/>
      </c>
      <c r="E1104" s="106">
        <f>IF($J1104="","",INDEX(EV_Type,$J1104))</f>
        <v/>
      </c>
      <c r="F1104" s="106">
        <f>IF($J1104="","",INDEX(EV_Cum,$J1104))</f>
        <v/>
      </c>
      <c r="G1104" s="106">
        <f>IF($J1104="","",INDEX(LevelLabels,MATCH(F1104,LevelValues,1)))</f>
        <v/>
      </c>
      <c r="H1104" s="106">
        <f>IF($J1104="","",IFERROR(INDEX(Stu_ContactReq,MATCH(C1104,Stu_ID,0)),""))</f>
        <v/>
      </c>
      <c r="I1104" s="107">
        <f>IF($J1104="","",IFERROR(INDEX(Stu_Notes,MATCH(C1104,Stu_ID,0)),""))</f>
        <v/>
      </c>
      <c r="J1104" s="40">
        <f>IF(1099&gt;$B$3,"",IFERROR(MATCH(1099-1,EV_Seq,1)+1,1))</f>
        <v/>
      </c>
    </row>
    <row r="1105">
      <c r="A1105" s="105">
        <f>IF($J1105="","",INDEX(EV_Date,$J1105))</f>
        <v/>
      </c>
      <c r="B1105" s="78">
        <f>IF($J1105="","",INDEX(EV_Name,$J1105))</f>
        <v/>
      </c>
      <c r="C1105" s="106">
        <f>IF($J1105="","",INDEX(EV_ID,$J1105))</f>
        <v/>
      </c>
      <c r="D1105" s="106">
        <f>IF($J1105="","",INDEX(EV_Class,$J1105))</f>
        <v/>
      </c>
      <c r="E1105" s="106">
        <f>IF($J1105="","",INDEX(EV_Type,$J1105))</f>
        <v/>
      </c>
      <c r="F1105" s="106">
        <f>IF($J1105="","",INDEX(EV_Cum,$J1105))</f>
        <v/>
      </c>
      <c r="G1105" s="106">
        <f>IF($J1105="","",INDEX(LevelLabels,MATCH(F1105,LevelValues,1)))</f>
        <v/>
      </c>
      <c r="H1105" s="106">
        <f>IF($J1105="","",IFERROR(INDEX(Stu_ContactReq,MATCH(C1105,Stu_ID,0)),""))</f>
        <v/>
      </c>
      <c r="I1105" s="107">
        <f>IF($J1105="","",IFERROR(INDEX(Stu_Notes,MATCH(C1105,Stu_ID,0)),""))</f>
        <v/>
      </c>
      <c r="J1105" s="40">
        <f>IF(1100&gt;$B$3,"",IFERROR(MATCH(1100-1,EV_Seq,1)+1,1))</f>
        <v/>
      </c>
    </row>
    <row r="1106">
      <c r="A1106" s="105">
        <f>IF($J1106="","",INDEX(EV_Date,$J1106))</f>
        <v/>
      </c>
      <c r="B1106" s="78">
        <f>IF($J1106="","",INDEX(EV_Name,$J1106))</f>
        <v/>
      </c>
      <c r="C1106" s="106">
        <f>IF($J1106="","",INDEX(EV_ID,$J1106))</f>
        <v/>
      </c>
      <c r="D1106" s="106">
        <f>IF($J1106="","",INDEX(EV_Class,$J1106))</f>
        <v/>
      </c>
      <c r="E1106" s="106">
        <f>IF($J1106="","",INDEX(EV_Type,$J1106))</f>
        <v/>
      </c>
      <c r="F1106" s="106">
        <f>IF($J1106="","",INDEX(EV_Cum,$J1106))</f>
        <v/>
      </c>
      <c r="G1106" s="106">
        <f>IF($J1106="","",INDEX(LevelLabels,MATCH(F1106,LevelValues,1)))</f>
        <v/>
      </c>
      <c r="H1106" s="106">
        <f>IF($J1106="","",IFERROR(INDEX(Stu_ContactReq,MATCH(C1106,Stu_ID,0)),""))</f>
        <v/>
      </c>
      <c r="I1106" s="107">
        <f>IF($J1106="","",IFERROR(INDEX(Stu_Notes,MATCH(C1106,Stu_ID,0)),""))</f>
        <v/>
      </c>
      <c r="J1106" s="40">
        <f>IF(1101&gt;$B$3,"",IFERROR(MATCH(1101-1,EV_Seq,1)+1,1))</f>
        <v/>
      </c>
    </row>
    <row r="1107">
      <c r="A1107" s="105">
        <f>IF($J1107="","",INDEX(EV_Date,$J1107))</f>
        <v/>
      </c>
      <c r="B1107" s="78">
        <f>IF($J1107="","",INDEX(EV_Name,$J1107))</f>
        <v/>
      </c>
      <c r="C1107" s="106">
        <f>IF($J1107="","",INDEX(EV_ID,$J1107))</f>
        <v/>
      </c>
      <c r="D1107" s="106">
        <f>IF($J1107="","",INDEX(EV_Class,$J1107))</f>
        <v/>
      </c>
      <c r="E1107" s="106">
        <f>IF($J1107="","",INDEX(EV_Type,$J1107))</f>
        <v/>
      </c>
      <c r="F1107" s="106">
        <f>IF($J1107="","",INDEX(EV_Cum,$J1107))</f>
        <v/>
      </c>
      <c r="G1107" s="106">
        <f>IF($J1107="","",INDEX(LevelLabels,MATCH(F1107,LevelValues,1)))</f>
        <v/>
      </c>
      <c r="H1107" s="106">
        <f>IF($J1107="","",IFERROR(INDEX(Stu_ContactReq,MATCH(C1107,Stu_ID,0)),""))</f>
        <v/>
      </c>
      <c r="I1107" s="107">
        <f>IF($J1107="","",IFERROR(INDEX(Stu_Notes,MATCH(C1107,Stu_ID,0)),""))</f>
        <v/>
      </c>
      <c r="J1107" s="40">
        <f>IF(1102&gt;$B$3,"",IFERROR(MATCH(1102-1,EV_Seq,1)+1,1))</f>
        <v/>
      </c>
    </row>
    <row r="1108">
      <c r="A1108" s="105">
        <f>IF($J1108="","",INDEX(EV_Date,$J1108))</f>
        <v/>
      </c>
      <c r="B1108" s="78">
        <f>IF($J1108="","",INDEX(EV_Name,$J1108))</f>
        <v/>
      </c>
      <c r="C1108" s="106">
        <f>IF($J1108="","",INDEX(EV_ID,$J1108))</f>
        <v/>
      </c>
      <c r="D1108" s="106">
        <f>IF($J1108="","",INDEX(EV_Class,$J1108))</f>
        <v/>
      </c>
      <c r="E1108" s="106">
        <f>IF($J1108="","",INDEX(EV_Type,$J1108))</f>
        <v/>
      </c>
      <c r="F1108" s="106">
        <f>IF($J1108="","",INDEX(EV_Cum,$J1108))</f>
        <v/>
      </c>
      <c r="G1108" s="106">
        <f>IF($J1108="","",INDEX(LevelLabels,MATCH(F1108,LevelValues,1)))</f>
        <v/>
      </c>
      <c r="H1108" s="106">
        <f>IF($J1108="","",IFERROR(INDEX(Stu_ContactReq,MATCH(C1108,Stu_ID,0)),""))</f>
        <v/>
      </c>
      <c r="I1108" s="107">
        <f>IF($J1108="","",IFERROR(INDEX(Stu_Notes,MATCH(C1108,Stu_ID,0)),""))</f>
        <v/>
      </c>
      <c r="J1108" s="40">
        <f>IF(1103&gt;$B$3,"",IFERROR(MATCH(1103-1,EV_Seq,1)+1,1))</f>
        <v/>
      </c>
    </row>
    <row r="1109">
      <c r="A1109" s="105">
        <f>IF($J1109="","",INDEX(EV_Date,$J1109))</f>
        <v/>
      </c>
      <c r="B1109" s="78">
        <f>IF($J1109="","",INDEX(EV_Name,$J1109))</f>
        <v/>
      </c>
      <c r="C1109" s="106">
        <f>IF($J1109="","",INDEX(EV_ID,$J1109))</f>
        <v/>
      </c>
      <c r="D1109" s="106">
        <f>IF($J1109="","",INDEX(EV_Class,$J1109))</f>
        <v/>
      </c>
      <c r="E1109" s="106">
        <f>IF($J1109="","",INDEX(EV_Type,$J1109))</f>
        <v/>
      </c>
      <c r="F1109" s="106">
        <f>IF($J1109="","",INDEX(EV_Cum,$J1109))</f>
        <v/>
      </c>
      <c r="G1109" s="106">
        <f>IF($J1109="","",INDEX(LevelLabels,MATCH(F1109,LevelValues,1)))</f>
        <v/>
      </c>
      <c r="H1109" s="106">
        <f>IF($J1109="","",IFERROR(INDEX(Stu_ContactReq,MATCH(C1109,Stu_ID,0)),""))</f>
        <v/>
      </c>
      <c r="I1109" s="107">
        <f>IF($J1109="","",IFERROR(INDEX(Stu_Notes,MATCH(C1109,Stu_ID,0)),""))</f>
        <v/>
      </c>
      <c r="J1109" s="40">
        <f>IF(1104&gt;$B$3,"",IFERROR(MATCH(1104-1,EV_Seq,1)+1,1))</f>
        <v/>
      </c>
    </row>
    <row r="1110">
      <c r="A1110" s="105">
        <f>IF($J1110="","",INDEX(EV_Date,$J1110))</f>
        <v/>
      </c>
      <c r="B1110" s="78">
        <f>IF($J1110="","",INDEX(EV_Name,$J1110))</f>
        <v/>
      </c>
      <c r="C1110" s="106">
        <f>IF($J1110="","",INDEX(EV_ID,$J1110))</f>
        <v/>
      </c>
      <c r="D1110" s="106">
        <f>IF($J1110="","",INDEX(EV_Class,$J1110))</f>
        <v/>
      </c>
      <c r="E1110" s="106">
        <f>IF($J1110="","",INDEX(EV_Type,$J1110))</f>
        <v/>
      </c>
      <c r="F1110" s="106">
        <f>IF($J1110="","",INDEX(EV_Cum,$J1110))</f>
        <v/>
      </c>
      <c r="G1110" s="106">
        <f>IF($J1110="","",INDEX(LevelLabels,MATCH(F1110,LevelValues,1)))</f>
        <v/>
      </c>
      <c r="H1110" s="106">
        <f>IF($J1110="","",IFERROR(INDEX(Stu_ContactReq,MATCH(C1110,Stu_ID,0)),""))</f>
        <v/>
      </c>
      <c r="I1110" s="107">
        <f>IF($J1110="","",IFERROR(INDEX(Stu_Notes,MATCH(C1110,Stu_ID,0)),""))</f>
        <v/>
      </c>
      <c r="J1110" s="40">
        <f>IF(1105&gt;$B$3,"",IFERROR(MATCH(1105-1,EV_Seq,1)+1,1))</f>
        <v/>
      </c>
    </row>
    <row r="1111">
      <c r="A1111" s="105">
        <f>IF($J1111="","",INDEX(EV_Date,$J1111))</f>
        <v/>
      </c>
      <c r="B1111" s="78">
        <f>IF($J1111="","",INDEX(EV_Name,$J1111))</f>
        <v/>
      </c>
      <c r="C1111" s="106">
        <f>IF($J1111="","",INDEX(EV_ID,$J1111))</f>
        <v/>
      </c>
      <c r="D1111" s="106">
        <f>IF($J1111="","",INDEX(EV_Class,$J1111))</f>
        <v/>
      </c>
      <c r="E1111" s="106">
        <f>IF($J1111="","",INDEX(EV_Type,$J1111))</f>
        <v/>
      </c>
      <c r="F1111" s="106">
        <f>IF($J1111="","",INDEX(EV_Cum,$J1111))</f>
        <v/>
      </c>
      <c r="G1111" s="106">
        <f>IF($J1111="","",INDEX(LevelLabels,MATCH(F1111,LevelValues,1)))</f>
        <v/>
      </c>
      <c r="H1111" s="106">
        <f>IF($J1111="","",IFERROR(INDEX(Stu_ContactReq,MATCH(C1111,Stu_ID,0)),""))</f>
        <v/>
      </c>
      <c r="I1111" s="107">
        <f>IF($J1111="","",IFERROR(INDEX(Stu_Notes,MATCH(C1111,Stu_ID,0)),""))</f>
        <v/>
      </c>
      <c r="J1111" s="40">
        <f>IF(1106&gt;$B$3,"",IFERROR(MATCH(1106-1,EV_Seq,1)+1,1))</f>
        <v/>
      </c>
    </row>
    <row r="1112">
      <c r="A1112" s="105">
        <f>IF($J1112="","",INDEX(EV_Date,$J1112))</f>
        <v/>
      </c>
      <c r="B1112" s="78">
        <f>IF($J1112="","",INDEX(EV_Name,$J1112))</f>
        <v/>
      </c>
      <c r="C1112" s="106">
        <f>IF($J1112="","",INDEX(EV_ID,$J1112))</f>
        <v/>
      </c>
      <c r="D1112" s="106">
        <f>IF($J1112="","",INDEX(EV_Class,$J1112))</f>
        <v/>
      </c>
      <c r="E1112" s="106">
        <f>IF($J1112="","",INDEX(EV_Type,$J1112))</f>
        <v/>
      </c>
      <c r="F1112" s="106">
        <f>IF($J1112="","",INDEX(EV_Cum,$J1112))</f>
        <v/>
      </c>
      <c r="G1112" s="106">
        <f>IF($J1112="","",INDEX(LevelLabels,MATCH(F1112,LevelValues,1)))</f>
        <v/>
      </c>
      <c r="H1112" s="106">
        <f>IF($J1112="","",IFERROR(INDEX(Stu_ContactReq,MATCH(C1112,Stu_ID,0)),""))</f>
        <v/>
      </c>
      <c r="I1112" s="107">
        <f>IF($J1112="","",IFERROR(INDEX(Stu_Notes,MATCH(C1112,Stu_ID,0)),""))</f>
        <v/>
      </c>
      <c r="J1112" s="40">
        <f>IF(1107&gt;$B$3,"",IFERROR(MATCH(1107-1,EV_Seq,1)+1,1))</f>
        <v/>
      </c>
    </row>
    <row r="1113">
      <c r="A1113" s="105">
        <f>IF($J1113="","",INDEX(EV_Date,$J1113))</f>
        <v/>
      </c>
      <c r="B1113" s="78">
        <f>IF($J1113="","",INDEX(EV_Name,$J1113))</f>
        <v/>
      </c>
      <c r="C1113" s="106">
        <f>IF($J1113="","",INDEX(EV_ID,$J1113))</f>
        <v/>
      </c>
      <c r="D1113" s="106">
        <f>IF($J1113="","",INDEX(EV_Class,$J1113))</f>
        <v/>
      </c>
      <c r="E1113" s="106">
        <f>IF($J1113="","",INDEX(EV_Type,$J1113))</f>
        <v/>
      </c>
      <c r="F1113" s="106">
        <f>IF($J1113="","",INDEX(EV_Cum,$J1113))</f>
        <v/>
      </c>
      <c r="G1113" s="106">
        <f>IF($J1113="","",INDEX(LevelLabels,MATCH(F1113,LevelValues,1)))</f>
        <v/>
      </c>
      <c r="H1113" s="106">
        <f>IF($J1113="","",IFERROR(INDEX(Stu_ContactReq,MATCH(C1113,Stu_ID,0)),""))</f>
        <v/>
      </c>
      <c r="I1113" s="107">
        <f>IF($J1113="","",IFERROR(INDEX(Stu_Notes,MATCH(C1113,Stu_ID,0)),""))</f>
        <v/>
      </c>
      <c r="J1113" s="40">
        <f>IF(1108&gt;$B$3,"",IFERROR(MATCH(1108-1,EV_Seq,1)+1,1))</f>
        <v/>
      </c>
    </row>
    <row r="1114">
      <c r="A1114" s="105">
        <f>IF($J1114="","",INDEX(EV_Date,$J1114))</f>
        <v/>
      </c>
      <c r="B1114" s="78">
        <f>IF($J1114="","",INDEX(EV_Name,$J1114))</f>
        <v/>
      </c>
      <c r="C1114" s="106">
        <f>IF($J1114="","",INDEX(EV_ID,$J1114))</f>
        <v/>
      </c>
      <c r="D1114" s="106">
        <f>IF($J1114="","",INDEX(EV_Class,$J1114))</f>
        <v/>
      </c>
      <c r="E1114" s="106">
        <f>IF($J1114="","",INDEX(EV_Type,$J1114))</f>
        <v/>
      </c>
      <c r="F1114" s="106">
        <f>IF($J1114="","",INDEX(EV_Cum,$J1114))</f>
        <v/>
      </c>
      <c r="G1114" s="106">
        <f>IF($J1114="","",INDEX(LevelLabels,MATCH(F1114,LevelValues,1)))</f>
        <v/>
      </c>
      <c r="H1114" s="106">
        <f>IF($J1114="","",IFERROR(INDEX(Stu_ContactReq,MATCH(C1114,Stu_ID,0)),""))</f>
        <v/>
      </c>
      <c r="I1114" s="107">
        <f>IF($J1114="","",IFERROR(INDEX(Stu_Notes,MATCH(C1114,Stu_ID,0)),""))</f>
        <v/>
      </c>
      <c r="J1114" s="40">
        <f>IF(1109&gt;$B$3,"",IFERROR(MATCH(1109-1,EV_Seq,1)+1,1))</f>
        <v/>
      </c>
    </row>
    <row r="1115">
      <c r="A1115" s="105">
        <f>IF($J1115="","",INDEX(EV_Date,$J1115))</f>
        <v/>
      </c>
      <c r="B1115" s="78">
        <f>IF($J1115="","",INDEX(EV_Name,$J1115))</f>
        <v/>
      </c>
      <c r="C1115" s="106">
        <f>IF($J1115="","",INDEX(EV_ID,$J1115))</f>
        <v/>
      </c>
      <c r="D1115" s="106">
        <f>IF($J1115="","",INDEX(EV_Class,$J1115))</f>
        <v/>
      </c>
      <c r="E1115" s="106">
        <f>IF($J1115="","",INDEX(EV_Type,$J1115))</f>
        <v/>
      </c>
      <c r="F1115" s="106">
        <f>IF($J1115="","",INDEX(EV_Cum,$J1115))</f>
        <v/>
      </c>
      <c r="G1115" s="106">
        <f>IF($J1115="","",INDEX(LevelLabels,MATCH(F1115,LevelValues,1)))</f>
        <v/>
      </c>
      <c r="H1115" s="106">
        <f>IF($J1115="","",IFERROR(INDEX(Stu_ContactReq,MATCH(C1115,Stu_ID,0)),""))</f>
        <v/>
      </c>
      <c r="I1115" s="107">
        <f>IF($J1115="","",IFERROR(INDEX(Stu_Notes,MATCH(C1115,Stu_ID,0)),""))</f>
        <v/>
      </c>
      <c r="J1115" s="40">
        <f>IF(1110&gt;$B$3,"",IFERROR(MATCH(1110-1,EV_Seq,1)+1,1))</f>
        <v/>
      </c>
    </row>
    <row r="1116">
      <c r="A1116" s="105">
        <f>IF($J1116="","",INDEX(EV_Date,$J1116))</f>
        <v/>
      </c>
      <c r="B1116" s="78">
        <f>IF($J1116="","",INDEX(EV_Name,$J1116))</f>
        <v/>
      </c>
      <c r="C1116" s="106">
        <f>IF($J1116="","",INDEX(EV_ID,$J1116))</f>
        <v/>
      </c>
      <c r="D1116" s="106">
        <f>IF($J1116="","",INDEX(EV_Class,$J1116))</f>
        <v/>
      </c>
      <c r="E1116" s="106">
        <f>IF($J1116="","",INDEX(EV_Type,$J1116))</f>
        <v/>
      </c>
      <c r="F1116" s="106">
        <f>IF($J1116="","",INDEX(EV_Cum,$J1116))</f>
        <v/>
      </c>
      <c r="G1116" s="106">
        <f>IF($J1116="","",INDEX(LevelLabels,MATCH(F1116,LevelValues,1)))</f>
        <v/>
      </c>
      <c r="H1116" s="106">
        <f>IF($J1116="","",IFERROR(INDEX(Stu_ContactReq,MATCH(C1116,Stu_ID,0)),""))</f>
        <v/>
      </c>
      <c r="I1116" s="107">
        <f>IF($J1116="","",IFERROR(INDEX(Stu_Notes,MATCH(C1116,Stu_ID,0)),""))</f>
        <v/>
      </c>
      <c r="J1116" s="40">
        <f>IF(1111&gt;$B$3,"",IFERROR(MATCH(1111-1,EV_Seq,1)+1,1))</f>
        <v/>
      </c>
    </row>
    <row r="1117">
      <c r="A1117" s="105">
        <f>IF($J1117="","",INDEX(EV_Date,$J1117))</f>
        <v/>
      </c>
      <c r="B1117" s="78">
        <f>IF($J1117="","",INDEX(EV_Name,$J1117))</f>
        <v/>
      </c>
      <c r="C1117" s="106">
        <f>IF($J1117="","",INDEX(EV_ID,$J1117))</f>
        <v/>
      </c>
      <c r="D1117" s="106">
        <f>IF($J1117="","",INDEX(EV_Class,$J1117))</f>
        <v/>
      </c>
      <c r="E1117" s="106">
        <f>IF($J1117="","",INDEX(EV_Type,$J1117))</f>
        <v/>
      </c>
      <c r="F1117" s="106">
        <f>IF($J1117="","",INDEX(EV_Cum,$J1117))</f>
        <v/>
      </c>
      <c r="G1117" s="106">
        <f>IF($J1117="","",INDEX(LevelLabels,MATCH(F1117,LevelValues,1)))</f>
        <v/>
      </c>
      <c r="H1117" s="106">
        <f>IF($J1117="","",IFERROR(INDEX(Stu_ContactReq,MATCH(C1117,Stu_ID,0)),""))</f>
        <v/>
      </c>
      <c r="I1117" s="107">
        <f>IF($J1117="","",IFERROR(INDEX(Stu_Notes,MATCH(C1117,Stu_ID,0)),""))</f>
        <v/>
      </c>
      <c r="J1117" s="40">
        <f>IF(1112&gt;$B$3,"",IFERROR(MATCH(1112-1,EV_Seq,1)+1,1))</f>
        <v/>
      </c>
    </row>
    <row r="1118">
      <c r="A1118" s="105">
        <f>IF($J1118="","",INDEX(EV_Date,$J1118))</f>
        <v/>
      </c>
      <c r="B1118" s="78">
        <f>IF($J1118="","",INDEX(EV_Name,$J1118))</f>
        <v/>
      </c>
      <c r="C1118" s="106">
        <f>IF($J1118="","",INDEX(EV_ID,$J1118))</f>
        <v/>
      </c>
      <c r="D1118" s="106">
        <f>IF($J1118="","",INDEX(EV_Class,$J1118))</f>
        <v/>
      </c>
      <c r="E1118" s="106">
        <f>IF($J1118="","",INDEX(EV_Type,$J1118))</f>
        <v/>
      </c>
      <c r="F1118" s="106">
        <f>IF($J1118="","",INDEX(EV_Cum,$J1118))</f>
        <v/>
      </c>
      <c r="G1118" s="106">
        <f>IF($J1118="","",INDEX(LevelLabels,MATCH(F1118,LevelValues,1)))</f>
        <v/>
      </c>
      <c r="H1118" s="106">
        <f>IF($J1118="","",IFERROR(INDEX(Stu_ContactReq,MATCH(C1118,Stu_ID,0)),""))</f>
        <v/>
      </c>
      <c r="I1118" s="107">
        <f>IF($J1118="","",IFERROR(INDEX(Stu_Notes,MATCH(C1118,Stu_ID,0)),""))</f>
        <v/>
      </c>
      <c r="J1118" s="40">
        <f>IF(1113&gt;$B$3,"",IFERROR(MATCH(1113-1,EV_Seq,1)+1,1))</f>
        <v/>
      </c>
    </row>
    <row r="1119">
      <c r="A1119" s="105">
        <f>IF($J1119="","",INDEX(EV_Date,$J1119))</f>
        <v/>
      </c>
      <c r="B1119" s="78">
        <f>IF($J1119="","",INDEX(EV_Name,$J1119))</f>
        <v/>
      </c>
      <c r="C1119" s="106">
        <f>IF($J1119="","",INDEX(EV_ID,$J1119))</f>
        <v/>
      </c>
      <c r="D1119" s="106">
        <f>IF($J1119="","",INDEX(EV_Class,$J1119))</f>
        <v/>
      </c>
      <c r="E1119" s="106">
        <f>IF($J1119="","",INDEX(EV_Type,$J1119))</f>
        <v/>
      </c>
      <c r="F1119" s="106">
        <f>IF($J1119="","",INDEX(EV_Cum,$J1119))</f>
        <v/>
      </c>
      <c r="G1119" s="106">
        <f>IF($J1119="","",INDEX(LevelLabels,MATCH(F1119,LevelValues,1)))</f>
        <v/>
      </c>
      <c r="H1119" s="106">
        <f>IF($J1119="","",IFERROR(INDEX(Stu_ContactReq,MATCH(C1119,Stu_ID,0)),""))</f>
        <v/>
      </c>
      <c r="I1119" s="107">
        <f>IF($J1119="","",IFERROR(INDEX(Stu_Notes,MATCH(C1119,Stu_ID,0)),""))</f>
        <v/>
      </c>
      <c r="J1119" s="40">
        <f>IF(1114&gt;$B$3,"",IFERROR(MATCH(1114-1,EV_Seq,1)+1,1))</f>
        <v/>
      </c>
    </row>
    <row r="1120">
      <c r="A1120" s="105">
        <f>IF($J1120="","",INDEX(EV_Date,$J1120))</f>
        <v/>
      </c>
      <c r="B1120" s="78">
        <f>IF($J1120="","",INDEX(EV_Name,$J1120))</f>
        <v/>
      </c>
      <c r="C1120" s="106">
        <f>IF($J1120="","",INDEX(EV_ID,$J1120))</f>
        <v/>
      </c>
      <c r="D1120" s="106">
        <f>IF($J1120="","",INDEX(EV_Class,$J1120))</f>
        <v/>
      </c>
      <c r="E1120" s="106">
        <f>IF($J1120="","",INDEX(EV_Type,$J1120))</f>
        <v/>
      </c>
      <c r="F1120" s="106">
        <f>IF($J1120="","",INDEX(EV_Cum,$J1120))</f>
        <v/>
      </c>
      <c r="G1120" s="106">
        <f>IF($J1120="","",INDEX(LevelLabels,MATCH(F1120,LevelValues,1)))</f>
        <v/>
      </c>
      <c r="H1120" s="106">
        <f>IF($J1120="","",IFERROR(INDEX(Stu_ContactReq,MATCH(C1120,Stu_ID,0)),""))</f>
        <v/>
      </c>
      <c r="I1120" s="107">
        <f>IF($J1120="","",IFERROR(INDEX(Stu_Notes,MATCH(C1120,Stu_ID,0)),""))</f>
        <v/>
      </c>
      <c r="J1120" s="40">
        <f>IF(1115&gt;$B$3,"",IFERROR(MATCH(1115-1,EV_Seq,1)+1,1))</f>
        <v/>
      </c>
    </row>
    <row r="1121">
      <c r="A1121" s="105">
        <f>IF($J1121="","",INDEX(EV_Date,$J1121))</f>
        <v/>
      </c>
      <c r="B1121" s="78">
        <f>IF($J1121="","",INDEX(EV_Name,$J1121))</f>
        <v/>
      </c>
      <c r="C1121" s="106">
        <f>IF($J1121="","",INDEX(EV_ID,$J1121))</f>
        <v/>
      </c>
      <c r="D1121" s="106">
        <f>IF($J1121="","",INDEX(EV_Class,$J1121))</f>
        <v/>
      </c>
      <c r="E1121" s="106">
        <f>IF($J1121="","",INDEX(EV_Type,$J1121))</f>
        <v/>
      </c>
      <c r="F1121" s="106">
        <f>IF($J1121="","",INDEX(EV_Cum,$J1121))</f>
        <v/>
      </c>
      <c r="G1121" s="106">
        <f>IF($J1121="","",INDEX(LevelLabels,MATCH(F1121,LevelValues,1)))</f>
        <v/>
      </c>
      <c r="H1121" s="106">
        <f>IF($J1121="","",IFERROR(INDEX(Stu_ContactReq,MATCH(C1121,Stu_ID,0)),""))</f>
        <v/>
      </c>
      <c r="I1121" s="107">
        <f>IF($J1121="","",IFERROR(INDEX(Stu_Notes,MATCH(C1121,Stu_ID,0)),""))</f>
        <v/>
      </c>
      <c r="J1121" s="40">
        <f>IF(1116&gt;$B$3,"",IFERROR(MATCH(1116-1,EV_Seq,1)+1,1))</f>
        <v/>
      </c>
    </row>
    <row r="1122">
      <c r="A1122" s="105">
        <f>IF($J1122="","",INDEX(EV_Date,$J1122))</f>
        <v/>
      </c>
      <c r="B1122" s="78">
        <f>IF($J1122="","",INDEX(EV_Name,$J1122))</f>
        <v/>
      </c>
      <c r="C1122" s="106">
        <f>IF($J1122="","",INDEX(EV_ID,$J1122))</f>
        <v/>
      </c>
      <c r="D1122" s="106">
        <f>IF($J1122="","",INDEX(EV_Class,$J1122))</f>
        <v/>
      </c>
      <c r="E1122" s="106">
        <f>IF($J1122="","",INDEX(EV_Type,$J1122))</f>
        <v/>
      </c>
      <c r="F1122" s="106">
        <f>IF($J1122="","",INDEX(EV_Cum,$J1122))</f>
        <v/>
      </c>
      <c r="G1122" s="106">
        <f>IF($J1122="","",INDEX(LevelLabels,MATCH(F1122,LevelValues,1)))</f>
        <v/>
      </c>
      <c r="H1122" s="106">
        <f>IF($J1122="","",IFERROR(INDEX(Stu_ContactReq,MATCH(C1122,Stu_ID,0)),""))</f>
        <v/>
      </c>
      <c r="I1122" s="107">
        <f>IF($J1122="","",IFERROR(INDEX(Stu_Notes,MATCH(C1122,Stu_ID,0)),""))</f>
        <v/>
      </c>
      <c r="J1122" s="40">
        <f>IF(1117&gt;$B$3,"",IFERROR(MATCH(1117-1,EV_Seq,1)+1,1))</f>
        <v/>
      </c>
    </row>
    <row r="1123">
      <c r="A1123" s="105">
        <f>IF($J1123="","",INDEX(EV_Date,$J1123))</f>
        <v/>
      </c>
      <c r="B1123" s="78">
        <f>IF($J1123="","",INDEX(EV_Name,$J1123))</f>
        <v/>
      </c>
      <c r="C1123" s="106">
        <f>IF($J1123="","",INDEX(EV_ID,$J1123))</f>
        <v/>
      </c>
      <c r="D1123" s="106">
        <f>IF($J1123="","",INDEX(EV_Class,$J1123))</f>
        <v/>
      </c>
      <c r="E1123" s="106">
        <f>IF($J1123="","",INDEX(EV_Type,$J1123))</f>
        <v/>
      </c>
      <c r="F1123" s="106">
        <f>IF($J1123="","",INDEX(EV_Cum,$J1123))</f>
        <v/>
      </c>
      <c r="G1123" s="106">
        <f>IF($J1123="","",INDEX(LevelLabels,MATCH(F1123,LevelValues,1)))</f>
        <v/>
      </c>
      <c r="H1123" s="106">
        <f>IF($J1123="","",IFERROR(INDEX(Stu_ContactReq,MATCH(C1123,Stu_ID,0)),""))</f>
        <v/>
      </c>
      <c r="I1123" s="107">
        <f>IF($J1123="","",IFERROR(INDEX(Stu_Notes,MATCH(C1123,Stu_ID,0)),""))</f>
        <v/>
      </c>
      <c r="J1123" s="40">
        <f>IF(1118&gt;$B$3,"",IFERROR(MATCH(1118-1,EV_Seq,1)+1,1))</f>
        <v/>
      </c>
    </row>
    <row r="1124">
      <c r="A1124" s="105">
        <f>IF($J1124="","",INDEX(EV_Date,$J1124))</f>
        <v/>
      </c>
      <c r="B1124" s="78">
        <f>IF($J1124="","",INDEX(EV_Name,$J1124))</f>
        <v/>
      </c>
      <c r="C1124" s="106">
        <f>IF($J1124="","",INDEX(EV_ID,$J1124))</f>
        <v/>
      </c>
      <c r="D1124" s="106">
        <f>IF($J1124="","",INDEX(EV_Class,$J1124))</f>
        <v/>
      </c>
      <c r="E1124" s="106">
        <f>IF($J1124="","",INDEX(EV_Type,$J1124))</f>
        <v/>
      </c>
      <c r="F1124" s="106">
        <f>IF($J1124="","",INDEX(EV_Cum,$J1124))</f>
        <v/>
      </c>
      <c r="G1124" s="106">
        <f>IF($J1124="","",INDEX(LevelLabels,MATCH(F1124,LevelValues,1)))</f>
        <v/>
      </c>
      <c r="H1124" s="106">
        <f>IF($J1124="","",IFERROR(INDEX(Stu_ContactReq,MATCH(C1124,Stu_ID,0)),""))</f>
        <v/>
      </c>
      <c r="I1124" s="107">
        <f>IF($J1124="","",IFERROR(INDEX(Stu_Notes,MATCH(C1124,Stu_ID,0)),""))</f>
        <v/>
      </c>
      <c r="J1124" s="40">
        <f>IF(1119&gt;$B$3,"",IFERROR(MATCH(1119-1,EV_Seq,1)+1,1))</f>
        <v/>
      </c>
    </row>
    <row r="1125">
      <c r="A1125" s="105">
        <f>IF($J1125="","",INDEX(EV_Date,$J1125))</f>
        <v/>
      </c>
      <c r="B1125" s="78">
        <f>IF($J1125="","",INDEX(EV_Name,$J1125))</f>
        <v/>
      </c>
      <c r="C1125" s="106">
        <f>IF($J1125="","",INDEX(EV_ID,$J1125))</f>
        <v/>
      </c>
      <c r="D1125" s="106">
        <f>IF($J1125="","",INDEX(EV_Class,$J1125))</f>
        <v/>
      </c>
      <c r="E1125" s="106">
        <f>IF($J1125="","",INDEX(EV_Type,$J1125))</f>
        <v/>
      </c>
      <c r="F1125" s="106">
        <f>IF($J1125="","",INDEX(EV_Cum,$J1125))</f>
        <v/>
      </c>
      <c r="G1125" s="106">
        <f>IF($J1125="","",INDEX(LevelLabels,MATCH(F1125,LevelValues,1)))</f>
        <v/>
      </c>
      <c r="H1125" s="106">
        <f>IF($J1125="","",IFERROR(INDEX(Stu_ContactReq,MATCH(C1125,Stu_ID,0)),""))</f>
        <v/>
      </c>
      <c r="I1125" s="107">
        <f>IF($J1125="","",IFERROR(INDEX(Stu_Notes,MATCH(C1125,Stu_ID,0)),""))</f>
        <v/>
      </c>
      <c r="J1125" s="40">
        <f>IF(1120&gt;$B$3,"",IFERROR(MATCH(1120-1,EV_Seq,1)+1,1))</f>
        <v/>
      </c>
    </row>
    <row r="1126">
      <c r="A1126" s="105">
        <f>IF($J1126="","",INDEX(EV_Date,$J1126))</f>
        <v/>
      </c>
      <c r="B1126" s="78">
        <f>IF($J1126="","",INDEX(EV_Name,$J1126))</f>
        <v/>
      </c>
      <c r="C1126" s="106">
        <f>IF($J1126="","",INDEX(EV_ID,$J1126))</f>
        <v/>
      </c>
      <c r="D1126" s="106">
        <f>IF($J1126="","",INDEX(EV_Class,$J1126))</f>
        <v/>
      </c>
      <c r="E1126" s="106">
        <f>IF($J1126="","",INDEX(EV_Type,$J1126))</f>
        <v/>
      </c>
      <c r="F1126" s="106">
        <f>IF($J1126="","",INDEX(EV_Cum,$J1126))</f>
        <v/>
      </c>
      <c r="G1126" s="106">
        <f>IF($J1126="","",INDEX(LevelLabels,MATCH(F1126,LevelValues,1)))</f>
        <v/>
      </c>
      <c r="H1126" s="106">
        <f>IF($J1126="","",IFERROR(INDEX(Stu_ContactReq,MATCH(C1126,Stu_ID,0)),""))</f>
        <v/>
      </c>
      <c r="I1126" s="107">
        <f>IF($J1126="","",IFERROR(INDEX(Stu_Notes,MATCH(C1126,Stu_ID,0)),""))</f>
        <v/>
      </c>
      <c r="J1126" s="40">
        <f>IF(1121&gt;$B$3,"",IFERROR(MATCH(1121-1,EV_Seq,1)+1,1))</f>
        <v/>
      </c>
    </row>
    <row r="1127">
      <c r="A1127" s="105">
        <f>IF($J1127="","",INDEX(EV_Date,$J1127))</f>
        <v/>
      </c>
      <c r="B1127" s="78">
        <f>IF($J1127="","",INDEX(EV_Name,$J1127))</f>
        <v/>
      </c>
      <c r="C1127" s="106">
        <f>IF($J1127="","",INDEX(EV_ID,$J1127))</f>
        <v/>
      </c>
      <c r="D1127" s="106">
        <f>IF($J1127="","",INDEX(EV_Class,$J1127))</f>
        <v/>
      </c>
      <c r="E1127" s="106">
        <f>IF($J1127="","",INDEX(EV_Type,$J1127))</f>
        <v/>
      </c>
      <c r="F1127" s="106">
        <f>IF($J1127="","",INDEX(EV_Cum,$J1127))</f>
        <v/>
      </c>
      <c r="G1127" s="106">
        <f>IF($J1127="","",INDEX(LevelLabels,MATCH(F1127,LevelValues,1)))</f>
        <v/>
      </c>
      <c r="H1127" s="106">
        <f>IF($J1127="","",IFERROR(INDEX(Stu_ContactReq,MATCH(C1127,Stu_ID,0)),""))</f>
        <v/>
      </c>
      <c r="I1127" s="107">
        <f>IF($J1127="","",IFERROR(INDEX(Stu_Notes,MATCH(C1127,Stu_ID,0)),""))</f>
        <v/>
      </c>
      <c r="J1127" s="40">
        <f>IF(1122&gt;$B$3,"",IFERROR(MATCH(1122-1,EV_Seq,1)+1,1))</f>
        <v/>
      </c>
    </row>
    <row r="1128">
      <c r="A1128" s="105">
        <f>IF($J1128="","",INDEX(EV_Date,$J1128))</f>
        <v/>
      </c>
      <c r="B1128" s="78">
        <f>IF($J1128="","",INDEX(EV_Name,$J1128))</f>
        <v/>
      </c>
      <c r="C1128" s="106">
        <f>IF($J1128="","",INDEX(EV_ID,$J1128))</f>
        <v/>
      </c>
      <c r="D1128" s="106">
        <f>IF($J1128="","",INDEX(EV_Class,$J1128))</f>
        <v/>
      </c>
      <c r="E1128" s="106">
        <f>IF($J1128="","",INDEX(EV_Type,$J1128))</f>
        <v/>
      </c>
      <c r="F1128" s="106">
        <f>IF($J1128="","",INDEX(EV_Cum,$J1128))</f>
        <v/>
      </c>
      <c r="G1128" s="106">
        <f>IF($J1128="","",INDEX(LevelLabels,MATCH(F1128,LevelValues,1)))</f>
        <v/>
      </c>
      <c r="H1128" s="106">
        <f>IF($J1128="","",IFERROR(INDEX(Stu_ContactReq,MATCH(C1128,Stu_ID,0)),""))</f>
        <v/>
      </c>
      <c r="I1128" s="107">
        <f>IF($J1128="","",IFERROR(INDEX(Stu_Notes,MATCH(C1128,Stu_ID,0)),""))</f>
        <v/>
      </c>
      <c r="J1128" s="40">
        <f>IF(1123&gt;$B$3,"",IFERROR(MATCH(1123-1,EV_Seq,1)+1,1))</f>
        <v/>
      </c>
    </row>
    <row r="1129">
      <c r="A1129" s="105">
        <f>IF($J1129="","",INDEX(EV_Date,$J1129))</f>
        <v/>
      </c>
      <c r="B1129" s="78">
        <f>IF($J1129="","",INDEX(EV_Name,$J1129))</f>
        <v/>
      </c>
      <c r="C1129" s="106">
        <f>IF($J1129="","",INDEX(EV_ID,$J1129))</f>
        <v/>
      </c>
      <c r="D1129" s="106">
        <f>IF($J1129="","",INDEX(EV_Class,$J1129))</f>
        <v/>
      </c>
      <c r="E1129" s="106">
        <f>IF($J1129="","",INDEX(EV_Type,$J1129))</f>
        <v/>
      </c>
      <c r="F1129" s="106">
        <f>IF($J1129="","",INDEX(EV_Cum,$J1129))</f>
        <v/>
      </c>
      <c r="G1129" s="106">
        <f>IF($J1129="","",INDEX(LevelLabels,MATCH(F1129,LevelValues,1)))</f>
        <v/>
      </c>
      <c r="H1129" s="106">
        <f>IF($J1129="","",IFERROR(INDEX(Stu_ContactReq,MATCH(C1129,Stu_ID,0)),""))</f>
        <v/>
      </c>
      <c r="I1129" s="107">
        <f>IF($J1129="","",IFERROR(INDEX(Stu_Notes,MATCH(C1129,Stu_ID,0)),""))</f>
        <v/>
      </c>
      <c r="J1129" s="40">
        <f>IF(1124&gt;$B$3,"",IFERROR(MATCH(1124-1,EV_Seq,1)+1,1))</f>
        <v/>
      </c>
    </row>
    <row r="1130">
      <c r="A1130" s="105">
        <f>IF($J1130="","",INDEX(EV_Date,$J1130))</f>
        <v/>
      </c>
      <c r="B1130" s="78">
        <f>IF($J1130="","",INDEX(EV_Name,$J1130))</f>
        <v/>
      </c>
      <c r="C1130" s="106">
        <f>IF($J1130="","",INDEX(EV_ID,$J1130))</f>
        <v/>
      </c>
      <c r="D1130" s="106">
        <f>IF($J1130="","",INDEX(EV_Class,$J1130))</f>
        <v/>
      </c>
      <c r="E1130" s="106">
        <f>IF($J1130="","",INDEX(EV_Type,$J1130))</f>
        <v/>
      </c>
      <c r="F1130" s="106">
        <f>IF($J1130="","",INDEX(EV_Cum,$J1130))</f>
        <v/>
      </c>
      <c r="G1130" s="106">
        <f>IF($J1130="","",INDEX(LevelLabels,MATCH(F1130,LevelValues,1)))</f>
        <v/>
      </c>
      <c r="H1130" s="106">
        <f>IF($J1130="","",IFERROR(INDEX(Stu_ContactReq,MATCH(C1130,Stu_ID,0)),""))</f>
        <v/>
      </c>
      <c r="I1130" s="107">
        <f>IF($J1130="","",IFERROR(INDEX(Stu_Notes,MATCH(C1130,Stu_ID,0)),""))</f>
        <v/>
      </c>
      <c r="J1130" s="40">
        <f>IF(1125&gt;$B$3,"",IFERROR(MATCH(1125-1,EV_Seq,1)+1,1))</f>
        <v/>
      </c>
    </row>
    <row r="1131">
      <c r="A1131" s="105">
        <f>IF($J1131="","",INDEX(EV_Date,$J1131))</f>
        <v/>
      </c>
      <c r="B1131" s="78">
        <f>IF($J1131="","",INDEX(EV_Name,$J1131))</f>
        <v/>
      </c>
      <c r="C1131" s="106">
        <f>IF($J1131="","",INDEX(EV_ID,$J1131))</f>
        <v/>
      </c>
      <c r="D1131" s="106">
        <f>IF($J1131="","",INDEX(EV_Class,$J1131))</f>
        <v/>
      </c>
      <c r="E1131" s="106">
        <f>IF($J1131="","",INDEX(EV_Type,$J1131))</f>
        <v/>
      </c>
      <c r="F1131" s="106">
        <f>IF($J1131="","",INDEX(EV_Cum,$J1131))</f>
        <v/>
      </c>
      <c r="G1131" s="106">
        <f>IF($J1131="","",INDEX(LevelLabels,MATCH(F1131,LevelValues,1)))</f>
        <v/>
      </c>
      <c r="H1131" s="106">
        <f>IF($J1131="","",IFERROR(INDEX(Stu_ContactReq,MATCH(C1131,Stu_ID,0)),""))</f>
        <v/>
      </c>
      <c r="I1131" s="107">
        <f>IF($J1131="","",IFERROR(INDEX(Stu_Notes,MATCH(C1131,Stu_ID,0)),""))</f>
        <v/>
      </c>
      <c r="J1131" s="40">
        <f>IF(1126&gt;$B$3,"",IFERROR(MATCH(1126-1,EV_Seq,1)+1,1))</f>
        <v/>
      </c>
    </row>
    <row r="1132">
      <c r="A1132" s="105">
        <f>IF($J1132="","",INDEX(EV_Date,$J1132))</f>
        <v/>
      </c>
      <c r="B1132" s="78">
        <f>IF($J1132="","",INDEX(EV_Name,$J1132))</f>
        <v/>
      </c>
      <c r="C1132" s="106">
        <f>IF($J1132="","",INDEX(EV_ID,$J1132))</f>
        <v/>
      </c>
      <c r="D1132" s="106">
        <f>IF($J1132="","",INDEX(EV_Class,$J1132))</f>
        <v/>
      </c>
      <c r="E1132" s="106">
        <f>IF($J1132="","",INDEX(EV_Type,$J1132))</f>
        <v/>
      </c>
      <c r="F1132" s="106">
        <f>IF($J1132="","",INDEX(EV_Cum,$J1132))</f>
        <v/>
      </c>
      <c r="G1132" s="106">
        <f>IF($J1132="","",INDEX(LevelLabels,MATCH(F1132,LevelValues,1)))</f>
        <v/>
      </c>
      <c r="H1132" s="106">
        <f>IF($J1132="","",IFERROR(INDEX(Stu_ContactReq,MATCH(C1132,Stu_ID,0)),""))</f>
        <v/>
      </c>
      <c r="I1132" s="107">
        <f>IF($J1132="","",IFERROR(INDEX(Stu_Notes,MATCH(C1132,Stu_ID,0)),""))</f>
        <v/>
      </c>
      <c r="J1132" s="40">
        <f>IF(1127&gt;$B$3,"",IFERROR(MATCH(1127-1,EV_Seq,1)+1,1))</f>
        <v/>
      </c>
    </row>
    <row r="1133">
      <c r="A1133" s="105">
        <f>IF($J1133="","",INDEX(EV_Date,$J1133))</f>
        <v/>
      </c>
      <c r="B1133" s="78">
        <f>IF($J1133="","",INDEX(EV_Name,$J1133))</f>
        <v/>
      </c>
      <c r="C1133" s="106">
        <f>IF($J1133="","",INDEX(EV_ID,$J1133))</f>
        <v/>
      </c>
      <c r="D1133" s="106">
        <f>IF($J1133="","",INDEX(EV_Class,$J1133))</f>
        <v/>
      </c>
      <c r="E1133" s="106">
        <f>IF($J1133="","",INDEX(EV_Type,$J1133))</f>
        <v/>
      </c>
      <c r="F1133" s="106">
        <f>IF($J1133="","",INDEX(EV_Cum,$J1133))</f>
        <v/>
      </c>
      <c r="G1133" s="106">
        <f>IF($J1133="","",INDEX(LevelLabels,MATCH(F1133,LevelValues,1)))</f>
        <v/>
      </c>
      <c r="H1133" s="106">
        <f>IF($J1133="","",IFERROR(INDEX(Stu_ContactReq,MATCH(C1133,Stu_ID,0)),""))</f>
        <v/>
      </c>
      <c r="I1133" s="107">
        <f>IF($J1133="","",IFERROR(INDEX(Stu_Notes,MATCH(C1133,Stu_ID,0)),""))</f>
        <v/>
      </c>
      <c r="J1133" s="40">
        <f>IF(1128&gt;$B$3,"",IFERROR(MATCH(1128-1,EV_Seq,1)+1,1))</f>
        <v/>
      </c>
    </row>
    <row r="1134">
      <c r="A1134" s="105">
        <f>IF($J1134="","",INDEX(EV_Date,$J1134))</f>
        <v/>
      </c>
      <c r="B1134" s="78">
        <f>IF($J1134="","",INDEX(EV_Name,$J1134))</f>
        <v/>
      </c>
      <c r="C1134" s="106">
        <f>IF($J1134="","",INDEX(EV_ID,$J1134))</f>
        <v/>
      </c>
      <c r="D1134" s="106">
        <f>IF($J1134="","",INDEX(EV_Class,$J1134))</f>
        <v/>
      </c>
      <c r="E1134" s="106">
        <f>IF($J1134="","",INDEX(EV_Type,$J1134))</f>
        <v/>
      </c>
      <c r="F1134" s="106">
        <f>IF($J1134="","",INDEX(EV_Cum,$J1134))</f>
        <v/>
      </c>
      <c r="G1134" s="106">
        <f>IF($J1134="","",INDEX(LevelLabels,MATCH(F1134,LevelValues,1)))</f>
        <v/>
      </c>
      <c r="H1134" s="106">
        <f>IF($J1134="","",IFERROR(INDEX(Stu_ContactReq,MATCH(C1134,Stu_ID,0)),""))</f>
        <v/>
      </c>
      <c r="I1134" s="107">
        <f>IF($J1134="","",IFERROR(INDEX(Stu_Notes,MATCH(C1134,Stu_ID,0)),""))</f>
        <v/>
      </c>
      <c r="J1134" s="40">
        <f>IF(1129&gt;$B$3,"",IFERROR(MATCH(1129-1,EV_Seq,1)+1,1))</f>
        <v/>
      </c>
    </row>
    <row r="1135">
      <c r="A1135" s="105">
        <f>IF($J1135="","",INDEX(EV_Date,$J1135))</f>
        <v/>
      </c>
      <c r="B1135" s="78">
        <f>IF($J1135="","",INDEX(EV_Name,$J1135))</f>
        <v/>
      </c>
      <c r="C1135" s="106">
        <f>IF($J1135="","",INDEX(EV_ID,$J1135))</f>
        <v/>
      </c>
      <c r="D1135" s="106">
        <f>IF($J1135="","",INDEX(EV_Class,$J1135))</f>
        <v/>
      </c>
      <c r="E1135" s="106">
        <f>IF($J1135="","",INDEX(EV_Type,$J1135))</f>
        <v/>
      </c>
      <c r="F1135" s="106">
        <f>IF($J1135="","",INDEX(EV_Cum,$J1135))</f>
        <v/>
      </c>
      <c r="G1135" s="106">
        <f>IF($J1135="","",INDEX(LevelLabels,MATCH(F1135,LevelValues,1)))</f>
        <v/>
      </c>
      <c r="H1135" s="106">
        <f>IF($J1135="","",IFERROR(INDEX(Stu_ContactReq,MATCH(C1135,Stu_ID,0)),""))</f>
        <v/>
      </c>
      <c r="I1135" s="107">
        <f>IF($J1135="","",IFERROR(INDEX(Stu_Notes,MATCH(C1135,Stu_ID,0)),""))</f>
        <v/>
      </c>
      <c r="J1135" s="40">
        <f>IF(1130&gt;$B$3,"",IFERROR(MATCH(1130-1,EV_Seq,1)+1,1))</f>
        <v/>
      </c>
    </row>
    <row r="1136">
      <c r="A1136" s="105">
        <f>IF($J1136="","",INDEX(EV_Date,$J1136))</f>
        <v/>
      </c>
      <c r="B1136" s="78">
        <f>IF($J1136="","",INDEX(EV_Name,$J1136))</f>
        <v/>
      </c>
      <c r="C1136" s="106">
        <f>IF($J1136="","",INDEX(EV_ID,$J1136))</f>
        <v/>
      </c>
      <c r="D1136" s="106">
        <f>IF($J1136="","",INDEX(EV_Class,$J1136))</f>
        <v/>
      </c>
      <c r="E1136" s="106">
        <f>IF($J1136="","",INDEX(EV_Type,$J1136))</f>
        <v/>
      </c>
      <c r="F1136" s="106">
        <f>IF($J1136="","",INDEX(EV_Cum,$J1136))</f>
        <v/>
      </c>
      <c r="G1136" s="106">
        <f>IF($J1136="","",INDEX(LevelLabels,MATCH(F1136,LevelValues,1)))</f>
        <v/>
      </c>
      <c r="H1136" s="106">
        <f>IF($J1136="","",IFERROR(INDEX(Stu_ContactReq,MATCH(C1136,Stu_ID,0)),""))</f>
        <v/>
      </c>
      <c r="I1136" s="107">
        <f>IF($J1136="","",IFERROR(INDEX(Stu_Notes,MATCH(C1136,Stu_ID,0)),""))</f>
        <v/>
      </c>
      <c r="J1136" s="40">
        <f>IF(1131&gt;$B$3,"",IFERROR(MATCH(1131-1,EV_Seq,1)+1,1))</f>
        <v/>
      </c>
    </row>
    <row r="1137">
      <c r="A1137" s="105">
        <f>IF($J1137="","",INDEX(EV_Date,$J1137))</f>
        <v/>
      </c>
      <c r="B1137" s="78">
        <f>IF($J1137="","",INDEX(EV_Name,$J1137))</f>
        <v/>
      </c>
      <c r="C1137" s="106">
        <f>IF($J1137="","",INDEX(EV_ID,$J1137))</f>
        <v/>
      </c>
      <c r="D1137" s="106">
        <f>IF($J1137="","",INDEX(EV_Class,$J1137))</f>
        <v/>
      </c>
      <c r="E1137" s="106">
        <f>IF($J1137="","",INDEX(EV_Type,$J1137))</f>
        <v/>
      </c>
      <c r="F1137" s="106">
        <f>IF($J1137="","",INDEX(EV_Cum,$J1137))</f>
        <v/>
      </c>
      <c r="G1137" s="106">
        <f>IF($J1137="","",INDEX(LevelLabels,MATCH(F1137,LevelValues,1)))</f>
        <v/>
      </c>
      <c r="H1137" s="106">
        <f>IF($J1137="","",IFERROR(INDEX(Stu_ContactReq,MATCH(C1137,Stu_ID,0)),""))</f>
        <v/>
      </c>
      <c r="I1137" s="107">
        <f>IF($J1137="","",IFERROR(INDEX(Stu_Notes,MATCH(C1137,Stu_ID,0)),""))</f>
        <v/>
      </c>
      <c r="J1137" s="40">
        <f>IF(1132&gt;$B$3,"",IFERROR(MATCH(1132-1,EV_Seq,1)+1,1))</f>
        <v/>
      </c>
    </row>
    <row r="1138">
      <c r="A1138" s="105">
        <f>IF($J1138="","",INDEX(EV_Date,$J1138))</f>
        <v/>
      </c>
      <c r="B1138" s="78">
        <f>IF($J1138="","",INDEX(EV_Name,$J1138))</f>
        <v/>
      </c>
      <c r="C1138" s="106">
        <f>IF($J1138="","",INDEX(EV_ID,$J1138))</f>
        <v/>
      </c>
      <c r="D1138" s="106">
        <f>IF($J1138="","",INDEX(EV_Class,$J1138))</f>
        <v/>
      </c>
      <c r="E1138" s="106">
        <f>IF($J1138="","",INDEX(EV_Type,$J1138))</f>
        <v/>
      </c>
      <c r="F1138" s="106">
        <f>IF($J1138="","",INDEX(EV_Cum,$J1138))</f>
        <v/>
      </c>
      <c r="G1138" s="106">
        <f>IF($J1138="","",INDEX(LevelLabels,MATCH(F1138,LevelValues,1)))</f>
        <v/>
      </c>
      <c r="H1138" s="106">
        <f>IF($J1138="","",IFERROR(INDEX(Stu_ContactReq,MATCH(C1138,Stu_ID,0)),""))</f>
        <v/>
      </c>
      <c r="I1138" s="107">
        <f>IF($J1138="","",IFERROR(INDEX(Stu_Notes,MATCH(C1138,Stu_ID,0)),""))</f>
        <v/>
      </c>
      <c r="J1138" s="40">
        <f>IF(1133&gt;$B$3,"",IFERROR(MATCH(1133-1,EV_Seq,1)+1,1))</f>
        <v/>
      </c>
    </row>
    <row r="1139">
      <c r="A1139" s="105">
        <f>IF($J1139="","",INDEX(EV_Date,$J1139))</f>
        <v/>
      </c>
      <c r="B1139" s="78">
        <f>IF($J1139="","",INDEX(EV_Name,$J1139))</f>
        <v/>
      </c>
      <c r="C1139" s="106">
        <f>IF($J1139="","",INDEX(EV_ID,$J1139))</f>
        <v/>
      </c>
      <c r="D1139" s="106">
        <f>IF($J1139="","",INDEX(EV_Class,$J1139))</f>
        <v/>
      </c>
      <c r="E1139" s="106">
        <f>IF($J1139="","",INDEX(EV_Type,$J1139))</f>
        <v/>
      </c>
      <c r="F1139" s="106">
        <f>IF($J1139="","",INDEX(EV_Cum,$J1139))</f>
        <v/>
      </c>
      <c r="G1139" s="106">
        <f>IF($J1139="","",INDEX(LevelLabels,MATCH(F1139,LevelValues,1)))</f>
        <v/>
      </c>
      <c r="H1139" s="106">
        <f>IF($J1139="","",IFERROR(INDEX(Stu_ContactReq,MATCH(C1139,Stu_ID,0)),""))</f>
        <v/>
      </c>
      <c r="I1139" s="107">
        <f>IF($J1139="","",IFERROR(INDEX(Stu_Notes,MATCH(C1139,Stu_ID,0)),""))</f>
        <v/>
      </c>
      <c r="J1139" s="40">
        <f>IF(1134&gt;$B$3,"",IFERROR(MATCH(1134-1,EV_Seq,1)+1,1))</f>
        <v/>
      </c>
    </row>
    <row r="1140">
      <c r="A1140" s="105">
        <f>IF($J1140="","",INDEX(EV_Date,$J1140))</f>
        <v/>
      </c>
      <c r="B1140" s="78">
        <f>IF($J1140="","",INDEX(EV_Name,$J1140))</f>
        <v/>
      </c>
      <c r="C1140" s="106">
        <f>IF($J1140="","",INDEX(EV_ID,$J1140))</f>
        <v/>
      </c>
      <c r="D1140" s="106">
        <f>IF($J1140="","",INDEX(EV_Class,$J1140))</f>
        <v/>
      </c>
      <c r="E1140" s="106">
        <f>IF($J1140="","",INDEX(EV_Type,$J1140))</f>
        <v/>
      </c>
      <c r="F1140" s="106">
        <f>IF($J1140="","",INDEX(EV_Cum,$J1140))</f>
        <v/>
      </c>
      <c r="G1140" s="106">
        <f>IF($J1140="","",INDEX(LevelLabels,MATCH(F1140,LevelValues,1)))</f>
        <v/>
      </c>
      <c r="H1140" s="106">
        <f>IF($J1140="","",IFERROR(INDEX(Stu_ContactReq,MATCH(C1140,Stu_ID,0)),""))</f>
        <v/>
      </c>
      <c r="I1140" s="107">
        <f>IF($J1140="","",IFERROR(INDEX(Stu_Notes,MATCH(C1140,Stu_ID,0)),""))</f>
        <v/>
      </c>
      <c r="J1140" s="40">
        <f>IF(1135&gt;$B$3,"",IFERROR(MATCH(1135-1,EV_Seq,1)+1,1))</f>
        <v/>
      </c>
    </row>
    <row r="1141">
      <c r="A1141" s="105">
        <f>IF($J1141="","",INDEX(EV_Date,$J1141))</f>
        <v/>
      </c>
      <c r="B1141" s="78">
        <f>IF($J1141="","",INDEX(EV_Name,$J1141))</f>
        <v/>
      </c>
      <c r="C1141" s="106">
        <f>IF($J1141="","",INDEX(EV_ID,$J1141))</f>
        <v/>
      </c>
      <c r="D1141" s="106">
        <f>IF($J1141="","",INDEX(EV_Class,$J1141))</f>
        <v/>
      </c>
      <c r="E1141" s="106">
        <f>IF($J1141="","",INDEX(EV_Type,$J1141))</f>
        <v/>
      </c>
      <c r="F1141" s="106">
        <f>IF($J1141="","",INDEX(EV_Cum,$J1141))</f>
        <v/>
      </c>
      <c r="G1141" s="106">
        <f>IF($J1141="","",INDEX(LevelLabels,MATCH(F1141,LevelValues,1)))</f>
        <v/>
      </c>
      <c r="H1141" s="106">
        <f>IF($J1141="","",IFERROR(INDEX(Stu_ContactReq,MATCH(C1141,Stu_ID,0)),""))</f>
        <v/>
      </c>
      <c r="I1141" s="107">
        <f>IF($J1141="","",IFERROR(INDEX(Stu_Notes,MATCH(C1141,Stu_ID,0)),""))</f>
        <v/>
      </c>
      <c r="J1141" s="40">
        <f>IF(1136&gt;$B$3,"",IFERROR(MATCH(1136-1,EV_Seq,1)+1,1))</f>
        <v/>
      </c>
    </row>
    <row r="1142">
      <c r="A1142" s="105">
        <f>IF($J1142="","",INDEX(EV_Date,$J1142))</f>
        <v/>
      </c>
      <c r="B1142" s="78">
        <f>IF($J1142="","",INDEX(EV_Name,$J1142))</f>
        <v/>
      </c>
      <c r="C1142" s="106">
        <f>IF($J1142="","",INDEX(EV_ID,$J1142))</f>
        <v/>
      </c>
      <c r="D1142" s="106">
        <f>IF($J1142="","",INDEX(EV_Class,$J1142))</f>
        <v/>
      </c>
      <c r="E1142" s="106">
        <f>IF($J1142="","",INDEX(EV_Type,$J1142))</f>
        <v/>
      </c>
      <c r="F1142" s="106">
        <f>IF($J1142="","",INDEX(EV_Cum,$J1142))</f>
        <v/>
      </c>
      <c r="G1142" s="106">
        <f>IF($J1142="","",INDEX(LevelLabels,MATCH(F1142,LevelValues,1)))</f>
        <v/>
      </c>
      <c r="H1142" s="106">
        <f>IF($J1142="","",IFERROR(INDEX(Stu_ContactReq,MATCH(C1142,Stu_ID,0)),""))</f>
        <v/>
      </c>
      <c r="I1142" s="107">
        <f>IF($J1142="","",IFERROR(INDEX(Stu_Notes,MATCH(C1142,Stu_ID,0)),""))</f>
        <v/>
      </c>
      <c r="J1142" s="40">
        <f>IF(1137&gt;$B$3,"",IFERROR(MATCH(1137-1,EV_Seq,1)+1,1))</f>
        <v/>
      </c>
    </row>
    <row r="1143">
      <c r="A1143" s="105">
        <f>IF($J1143="","",INDEX(EV_Date,$J1143))</f>
        <v/>
      </c>
      <c r="B1143" s="78">
        <f>IF($J1143="","",INDEX(EV_Name,$J1143))</f>
        <v/>
      </c>
      <c r="C1143" s="106">
        <f>IF($J1143="","",INDEX(EV_ID,$J1143))</f>
        <v/>
      </c>
      <c r="D1143" s="106">
        <f>IF($J1143="","",INDEX(EV_Class,$J1143))</f>
        <v/>
      </c>
      <c r="E1143" s="106">
        <f>IF($J1143="","",INDEX(EV_Type,$J1143))</f>
        <v/>
      </c>
      <c r="F1143" s="106">
        <f>IF($J1143="","",INDEX(EV_Cum,$J1143))</f>
        <v/>
      </c>
      <c r="G1143" s="106">
        <f>IF($J1143="","",INDEX(LevelLabels,MATCH(F1143,LevelValues,1)))</f>
        <v/>
      </c>
      <c r="H1143" s="106">
        <f>IF($J1143="","",IFERROR(INDEX(Stu_ContactReq,MATCH(C1143,Stu_ID,0)),""))</f>
        <v/>
      </c>
      <c r="I1143" s="107">
        <f>IF($J1143="","",IFERROR(INDEX(Stu_Notes,MATCH(C1143,Stu_ID,0)),""))</f>
        <v/>
      </c>
      <c r="J1143" s="40">
        <f>IF(1138&gt;$B$3,"",IFERROR(MATCH(1138-1,EV_Seq,1)+1,1))</f>
        <v/>
      </c>
    </row>
    <row r="1144">
      <c r="A1144" s="105">
        <f>IF($J1144="","",INDEX(EV_Date,$J1144))</f>
        <v/>
      </c>
      <c r="B1144" s="78">
        <f>IF($J1144="","",INDEX(EV_Name,$J1144))</f>
        <v/>
      </c>
      <c r="C1144" s="106">
        <f>IF($J1144="","",INDEX(EV_ID,$J1144))</f>
        <v/>
      </c>
      <c r="D1144" s="106">
        <f>IF($J1144="","",INDEX(EV_Class,$J1144))</f>
        <v/>
      </c>
      <c r="E1144" s="106">
        <f>IF($J1144="","",INDEX(EV_Type,$J1144))</f>
        <v/>
      </c>
      <c r="F1144" s="106">
        <f>IF($J1144="","",INDEX(EV_Cum,$J1144))</f>
        <v/>
      </c>
      <c r="G1144" s="106">
        <f>IF($J1144="","",INDEX(LevelLabels,MATCH(F1144,LevelValues,1)))</f>
        <v/>
      </c>
      <c r="H1144" s="106">
        <f>IF($J1144="","",IFERROR(INDEX(Stu_ContactReq,MATCH(C1144,Stu_ID,0)),""))</f>
        <v/>
      </c>
      <c r="I1144" s="107">
        <f>IF($J1144="","",IFERROR(INDEX(Stu_Notes,MATCH(C1144,Stu_ID,0)),""))</f>
        <v/>
      </c>
      <c r="J1144" s="40">
        <f>IF(1139&gt;$B$3,"",IFERROR(MATCH(1139-1,EV_Seq,1)+1,1))</f>
        <v/>
      </c>
    </row>
    <row r="1145">
      <c r="A1145" s="105">
        <f>IF($J1145="","",INDEX(EV_Date,$J1145))</f>
        <v/>
      </c>
      <c r="B1145" s="78">
        <f>IF($J1145="","",INDEX(EV_Name,$J1145))</f>
        <v/>
      </c>
      <c r="C1145" s="106">
        <f>IF($J1145="","",INDEX(EV_ID,$J1145))</f>
        <v/>
      </c>
      <c r="D1145" s="106">
        <f>IF($J1145="","",INDEX(EV_Class,$J1145))</f>
        <v/>
      </c>
      <c r="E1145" s="106">
        <f>IF($J1145="","",INDEX(EV_Type,$J1145))</f>
        <v/>
      </c>
      <c r="F1145" s="106">
        <f>IF($J1145="","",INDEX(EV_Cum,$J1145))</f>
        <v/>
      </c>
      <c r="G1145" s="106">
        <f>IF($J1145="","",INDEX(LevelLabels,MATCH(F1145,LevelValues,1)))</f>
        <v/>
      </c>
      <c r="H1145" s="106">
        <f>IF($J1145="","",IFERROR(INDEX(Stu_ContactReq,MATCH(C1145,Stu_ID,0)),""))</f>
        <v/>
      </c>
      <c r="I1145" s="107">
        <f>IF($J1145="","",IFERROR(INDEX(Stu_Notes,MATCH(C1145,Stu_ID,0)),""))</f>
        <v/>
      </c>
      <c r="J1145" s="40">
        <f>IF(1140&gt;$B$3,"",IFERROR(MATCH(1140-1,EV_Seq,1)+1,1))</f>
        <v/>
      </c>
    </row>
    <row r="1146">
      <c r="A1146" s="105">
        <f>IF($J1146="","",INDEX(EV_Date,$J1146))</f>
        <v/>
      </c>
      <c r="B1146" s="78">
        <f>IF($J1146="","",INDEX(EV_Name,$J1146))</f>
        <v/>
      </c>
      <c r="C1146" s="106">
        <f>IF($J1146="","",INDEX(EV_ID,$J1146))</f>
        <v/>
      </c>
      <c r="D1146" s="106">
        <f>IF($J1146="","",INDEX(EV_Class,$J1146))</f>
        <v/>
      </c>
      <c r="E1146" s="106">
        <f>IF($J1146="","",INDEX(EV_Type,$J1146))</f>
        <v/>
      </c>
      <c r="F1146" s="106">
        <f>IF($J1146="","",INDEX(EV_Cum,$J1146))</f>
        <v/>
      </c>
      <c r="G1146" s="106">
        <f>IF($J1146="","",INDEX(LevelLabels,MATCH(F1146,LevelValues,1)))</f>
        <v/>
      </c>
      <c r="H1146" s="106">
        <f>IF($J1146="","",IFERROR(INDEX(Stu_ContactReq,MATCH(C1146,Stu_ID,0)),""))</f>
        <v/>
      </c>
      <c r="I1146" s="107">
        <f>IF($J1146="","",IFERROR(INDEX(Stu_Notes,MATCH(C1146,Stu_ID,0)),""))</f>
        <v/>
      </c>
      <c r="J1146" s="40">
        <f>IF(1141&gt;$B$3,"",IFERROR(MATCH(1141-1,EV_Seq,1)+1,1))</f>
        <v/>
      </c>
    </row>
    <row r="1147">
      <c r="A1147" s="105">
        <f>IF($J1147="","",INDEX(EV_Date,$J1147))</f>
        <v/>
      </c>
      <c r="B1147" s="78">
        <f>IF($J1147="","",INDEX(EV_Name,$J1147))</f>
        <v/>
      </c>
      <c r="C1147" s="106">
        <f>IF($J1147="","",INDEX(EV_ID,$J1147))</f>
        <v/>
      </c>
      <c r="D1147" s="106">
        <f>IF($J1147="","",INDEX(EV_Class,$J1147))</f>
        <v/>
      </c>
      <c r="E1147" s="106">
        <f>IF($J1147="","",INDEX(EV_Type,$J1147))</f>
        <v/>
      </c>
      <c r="F1147" s="106">
        <f>IF($J1147="","",INDEX(EV_Cum,$J1147))</f>
        <v/>
      </c>
      <c r="G1147" s="106">
        <f>IF($J1147="","",INDEX(LevelLabels,MATCH(F1147,LevelValues,1)))</f>
        <v/>
      </c>
      <c r="H1147" s="106">
        <f>IF($J1147="","",IFERROR(INDEX(Stu_ContactReq,MATCH(C1147,Stu_ID,0)),""))</f>
        <v/>
      </c>
      <c r="I1147" s="107">
        <f>IF($J1147="","",IFERROR(INDEX(Stu_Notes,MATCH(C1147,Stu_ID,0)),""))</f>
        <v/>
      </c>
      <c r="J1147" s="40">
        <f>IF(1142&gt;$B$3,"",IFERROR(MATCH(1142-1,EV_Seq,1)+1,1))</f>
        <v/>
      </c>
    </row>
    <row r="1148">
      <c r="A1148" s="105">
        <f>IF($J1148="","",INDEX(EV_Date,$J1148))</f>
        <v/>
      </c>
      <c r="B1148" s="78">
        <f>IF($J1148="","",INDEX(EV_Name,$J1148))</f>
        <v/>
      </c>
      <c r="C1148" s="106">
        <f>IF($J1148="","",INDEX(EV_ID,$J1148))</f>
        <v/>
      </c>
      <c r="D1148" s="106">
        <f>IF($J1148="","",INDEX(EV_Class,$J1148))</f>
        <v/>
      </c>
      <c r="E1148" s="106">
        <f>IF($J1148="","",INDEX(EV_Type,$J1148))</f>
        <v/>
      </c>
      <c r="F1148" s="106">
        <f>IF($J1148="","",INDEX(EV_Cum,$J1148))</f>
        <v/>
      </c>
      <c r="G1148" s="106">
        <f>IF($J1148="","",INDEX(LevelLabels,MATCH(F1148,LevelValues,1)))</f>
        <v/>
      </c>
      <c r="H1148" s="106">
        <f>IF($J1148="","",IFERROR(INDEX(Stu_ContactReq,MATCH(C1148,Stu_ID,0)),""))</f>
        <v/>
      </c>
      <c r="I1148" s="107">
        <f>IF($J1148="","",IFERROR(INDEX(Stu_Notes,MATCH(C1148,Stu_ID,0)),""))</f>
        <v/>
      </c>
      <c r="J1148" s="40">
        <f>IF(1143&gt;$B$3,"",IFERROR(MATCH(1143-1,EV_Seq,1)+1,1))</f>
        <v/>
      </c>
    </row>
    <row r="1149">
      <c r="A1149" s="105">
        <f>IF($J1149="","",INDEX(EV_Date,$J1149))</f>
        <v/>
      </c>
      <c r="B1149" s="78">
        <f>IF($J1149="","",INDEX(EV_Name,$J1149))</f>
        <v/>
      </c>
      <c r="C1149" s="106">
        <f>IF($J1149="","",INDEX(EV_ID,$J1149))</f>
        <v/>
      </c>
      <c r="D1149" s="106">
        <f>IF($J1149="","",INDEX(EV_Class,$J1149))</f>
        <v/>
      </c>
      <c r="E1149" s="106">
        <f>IF($J1149="","",INDEX(EV_Type,$J1149))</f>
        <v/>
      </c>
      <c r="F1149" s="106">
        <f>IF($J1149="","",INDEX(EV_Cum,$J1149))</f>
        <v/>
      </c>
      <c r="G1149" s="106">
        <f>IF($J1149="","",INDEX(LevelLabels,MATCH(F1149,LevelValues,1)))</f>
        <v/>
      </c>
      <c r="H1149" s="106">
        <f>IF($J1149="","",IFERROR(INDEX(Stu_ContactReq,MATCH(C1149,Stu_ID,0)),""))</f>
        <v/>
      </c>
      <c r="I1149" s="107">
        <f>IF($J1149="","",IFERROR(INDEX(Stu_Notes,MATCH(C1149,Stu_ID,0)),""))</f>
        <v/>
      </c>
      <c r="J1149" s="40">
        <f>IF(1144&gt;$B$3,"",IFERROR(MATCH(1144-1,EV_Seq,1)+1,1))</f>
        <v/>
      </c>
    </row>
    <row r="1150">
      <c r="A1150" s="105">
        <f>IF($J1150="","",INDEX(EV_Date,$J1150))</f>
        <v/>
      </c>
      <c r="B1150" s="78">
        <f>IF($J1150="","",INDEX(EV_Name,$J1150))</f>
        <v/>
      </c>
      <c r="C1150" s="106">
        <f>IF($J1150="","",INDEX(EV_ID,$J1150))</f>
        <v/>
      </c>
      <c r="D1150" s="106">
        <f>IF($J1150="","",INDEX(EV_Class,$J1150))</f>
        <v/>
      </c>
      <c r="E1150" s="106">
        <f>IF($J1150="","",INDEX(EV_Type,$J1150))</f>
        <v/>
      </c>
      <c r="F1150" s="106">
        <f>IF($J1150="","",INDEX(EV_Cum,$J1150))</f>
        <v/>
      </c>
      <c r="G1150" s="106">
        <f>IF($J1150="","",INDEX(LevelLabels,MATCH(F1150,LevelValues,1)))</f>
        <v/>
      </c>
      <c r="H1150" s="106">
        <f>IF($J1150="","",IFERROR(INDEX(Stu_ContactReq,MATCH(C1150,Stu_ID,0)),""))</f>
        <v/>
      </c>
      <c r="I1150" s="107">
        <f>IF($J1150="","",IFERROR(INDEX(Stu_Notes,MATCH(C1150,Stu_ID,0)),""))</f>
        <v/>
      </c>
      <c r="J1150" s="40">
        <f>IF(1145&gt;$B$3,"",IFERROR(MATCH(1145-1,EV_Seq,1)+1,1))</f>
        <v/>
      </c>
    </row>
    <row r="1151">
      <c r="A1151" s="105">
        <f>IF($J1151="","",INDEX(EV_Date,$J1151))</f>
        <v/>
      </c>
      <c r="B1151" s="78">
        <f>IF($J1151="","",INDEX(EV_Name,$J1151))</f>
        <v/>
      </c>
      <c r="C1151" s="106">
        <f>IF($J1151="","",INDEX(EV_ID,$J1151))</f>
        <v/>
      </c>
      <c r="D1151" s="106">
        <f>IF($J1151="","",INDEX(EV_Class,$J1151))</f>
        <v/>
      </c>
      <c r="E1151" s="106">
        <f>IF($J1151="","",INDEX(EV_Type,$J1151))</f>
        <v/>
      </c>
      <c r="F1151" s="106">
        <f>IF($J1151="","",INDEX(EV_Cum,$J1151))</f>
        <v/>
      </c>
      <c r="G1151" s="106">
        <f>IF($J1151="","",INDEX(LevelLabels,MATCH(F1151,LevelValues,1)))</f>
        <v/>
      </c>
      <c r="H1151" s="106">
        <f>IF($J1151="","",IFERROR(INDEX(Stu_ContactReq,MATCH(C1151,Stu_ID,0)),""))</f>
        <v/>
      </c>
      <c r="I1151" s="107">
        <f>IF($J1151="","",IFERROR(INDEX(Stu_Notes,MATCH(C1151,Stu_ID,0)),""))</f>
        <v/>
      </c>
      <c r="J1151" s="40">
        <f>IF(1146&gt;$B$3,"",IFERROR(MATCH(1146-1,EV_Seq,1)+1,1))</f>
        <v/>
      </c>
    </row>
    <row r="1152">
      <c r="A1152" s="105">
        <f>IF($J1152="","",INDEX(EV_Date,$J1152))</f>
        <v/>
      </c>
      <c r="B1152" s="78">
        <f>IF($J1152="","",INDEX(EV_Name,$J1152))</f>
        <v/>
      </c>
      <c r="C1152" s="106">
        <f>IF($J1152="","",INDEX(EV_ID,$J1152))</f>
        <v/>
      </c>
      <c r="D1152" s="106">
        <f>IF($J1152="","",INDEX(EV_Class,$J1152))</f>
        <v/>
      </c>
      <c r="E1152" s="106">
        <f>IF($J1152="","",INDEX(EV_Type,$J1152))</f>
        <v/>
      </c>
      <c r="F1152" s="106">
        <f>IF($J1152="","",INDEX(EV_Cum,$J1152))</f>
        <v/>
      </c>
      <c r="G1152" s="106">
        <f>IF($J1152="","",INDEX(LevelLabels,MATCH(F1152,LevelValues,1)))</f>
        <v/>
      </c>
      <c r="H1152" s="106">
        <f>IF($J1152="","",IFERROR(INDEX(Stu_ContactReq,MATCH(C1152,Stu_ID,0)),""))</f>
        <v/>
      </c>
      <c r="I1152" s="107">
        <f>IF($J1152="","",IFERROR(INDEX(Stu_Notes,MATCH(C1152,Stu_ID,0)),""))</f>
        <v/>
      </c>
      <c r="J1152" s="40">
        <f>IF(1147&gt;$B$3,"",IFERROR(MATCH(1147-1,EV_Seq,1)+1,1))</f>
        <v/>
      </c>
    </row>
    <row r="1153">
      <c r="A1153" s="105">
        <f>IF($J1153="","",INDEX(EV_Date,$J1153))</f>
        <v/>
      </c>
      <c r="B1153" s="78">
        <f>IF($J1153="","",INDEX(EV_Name,$J1153))</f>
        <v/>
      </c>
      <c r="C1153" s="106">
        <f>IF($J1153="","",INDEX(EV_ID,$J1153))</f>
        <v/>
      </c>
      <c r="D1153" s="106">
        <f>IF($J1153="","",INDEX(EV_Class,$J1153))</f>
        <v/>
      </c>
      <c r="E1153" s="106">
        <f>IF($J1153="","",INDEX(EV_Type,$J1153))</f>
        <v/>
      </c>
      <c r="F1153" s="106">
        <f>IF($J1153="","",INDEX(EV_Cum,$J1153))</f>
        <v/>
      </c>
      <c r="G1153" s="106">
        <f>IF($J1153="","",INDEX(LevelLabels,MATCH(F1153,LevelValues,1)))</f>
        <v/>
      </c>
      <c r="H1153" s="106">
        <f>IF($J1153="","",IFERROR(INDEX(Stu_ContactReq,MATCH(C1153,Stu_ID,0)),""))</f>
        <v/>
      </c>
      <c r="I1153" s="107">
        <f>IF($J1153="","",IFERROR(INDEX(Stu_Notes,MATCH(C1153,Stu_ID,0)),""))</f>
        <v/>
      </c>
      <c r="J1153" s="40">
        <f>IF(1148&gt;$B$3,"",IFERROR(MATCH(1148-1,EV_Seq,1)+1,1))</f>
        <v/>
      </c>
    </row>
    <row r="1154">
      <c r="A1154" s="105">
        <f>IF($J1154="","",INDEX(EV_Date,$J1154))</f>
        <v/>
      </c>
      <c r="B1154" s="78">
        <f>IF($J1154="","",INDEX(EV_Name,$J1154))</f>
        <v/>
      </c>
      <c r="C1154" s="106">
        <f>IF($J1154="","",INDEX(EV_ID,$J1154))</f>
        <v/>
      </c>
      <c r="D1154" s="106">
        <f>IF($J1154="","",INDEX(EV_Class,$J1154))</f>
        <v/>
      </c>
      <c r="E1154" s="106">
        <f>IF($J1154="","",INDEX(EV_Type,$J1154))</f>
        <v/>
      </c>
      <c r="F1154" s="106">
        <f>IF($J1154="","",INDEX(EV_Cum,$J1154))</f>
        <v/>
      </c>
      <c r="G1154" s="106">
        <f>IF($J1154="","",INDEX(LevelLabels,MATCH(F1154,LevelValues,1)))</f>
        <v/>
      </c>
      <c r="H1154" s="106">
        <f>IF($J1154="","",IFERROR(INDEX(Stu_ContactReq,MATCH(C1154,Stu_ID,0)),""))</f>
        <v/>
      </c>
      <c r="I1154" s="107">
        <f>IF($J1154="","",IFERROR(INDEX(Stu_Notes,MATCH(C1154,Stu_ID,0)),""))</f>
        <v/>
      </c>
      <c r="J1154" s="40">
        <f>IF(1149&gt;$B$3,"",IFERROR(MATCH(1149-1,EV_Seq,1)+1,1))</f>
        <v/>
      </c>
    </row>
    <row r="1155">
      <c r="A1155" s="105">
        <f>IF($J1155="","",INDEX(EV_Date,$J1155))</f>
        <v/>
      </c>
      <c r="B1155" s="78">
        <f>IF($J1155="","",INDEX(EV_Name,$J1155))</f>
        <v/>
      </c>
      <c r="C1155" s="106">
        <f>IF($J1155="","",INDEX(EV_ID,$J1155))</f>
        <v/>
      </c>
      <c r="D1155" s="106">
        <f>IF($J1155="","",INDEX(EV_Class,$J1155))</f>
        <v/>
      </c>
      <c r="E1155" s="106">
        <f>IF($J1155="","",INDEX(EV_Type,$J1155))</f>
        <v/>
      </c>
      <c r="F1155" s="106">
        <f>IF($J1155="","",INDEX(EV_Cum,$J1155))</f>
        <v/>
      </c>
      <c r="G1155" s="106">
        <f>IF($J1155="","",INDEX(LevelLabels,MATCH(F1155,LevelValues,1)))</f>
        <v/>
      </c>
      <c r="H1155" s="106">
        <f>IF($J1155="","",IFERROR(INDEX(Stu_ContactReq,MATCH(C1155,Stu_ID,0)),""))</f>
        <v/>
      </c>
      <c r="I1155" s="107">
        <f>IF($J1155="","",IFERROR(INDEX(Stu_Notes,MATCH(C1155,Stu_ID,0)),""))</f>
        <v/>
      </c>
      <c r="J1155" s="40">
        <f>IF(1150&gt;$B$3,"",IFERROR(MATCH(1150-1,EV_Seq,1)+1,1))</f>
        <v/>
      </c>
    </row>
    <row r="1156">
      <c r="A1156" s="105">
        <f>IF($J1156="","",INDEX(EV_Date,$J1156))</f>
        <v/>
      </c>
      <c r="B1156" s="78">
        <f>IF($J1156="","",INDEX(EV_Name,$J1156))</f>
        <v/>
      </c>
      <c r="C1156" s="106">
        <f>IF($J1156="","",INDEX(EV_ID,$J1156))</f>
        <v/>
      </c>
      <c r="D1156" s="106">
        <f>IF($J1156="","",INDEX(EV_Class,$J1156))</f>
        <v/>
      </c>
      <c r="E1156" s="106">
        <f>IF($J1156="","",INDEX(EV_Type,$J1156))</f>
        <v/>
      </c>
      <c r="F1156" s="106">
        <f>IF($J1156="","",INDEX(EV_Cum,$J1156))</f>
        <v/>
      </c>
      <c r="G1156" s="106">
        <f>IF($J1156="","",INDEX(LevelLabels,MATCH(F1156,LevelValues,1)))</f>
        <v/>
      </c>
      <c r="H1156" s="106">
        <f>IF($J1156="","",IFERROR(INDEX(Stu_ContactReq,MATCH(C1156,Stu_ID,0)),""))</f>
        <v/>
      </c>
      <c r="I1156" s="107">
        <f>IF($J1156="","",IFERROR(INDEX(Stu_Notes,MATCH(C1156,Stu_ID,0)),""))</f>
        <v/>
      </c>
      <c r="J1156" s="40">
        <f>IF(1151&gt;$B$3,"",IFERROR(MATCH(1151-1,EV_Seq,1)+1,1))</f>
        <v/>
      </c>
    </row>
    <row r="1157">
      <c r="A1157" s="105">
        <f>IF($J1157="","",INDEX(EV_Date,$J1157))</f>
        <v/>
      </c>
      <c r="B1157" s="78">
        <f>IF($J1157="","",INDEX(EV_Name,$J1157))</f>
        <v/>
      </c>
      <c r="C1157" s="106">
        <f>IF($J1157="","",INDEX(EV_ID,$J1157))</f>
        <v/>
      </c>
      <c r="D1157" s="106">
        <f>IF($J1157="","",INDEX(EV_Class,$J1157))</f>
        <v/>
      </c>
      <c r="E1157" s="106">
        <f>IF($J1157="","",INDEX(EV_Type,$J1157))</f>
        <v/>
      </c>
      <c r="F1157" s="106">
        <f>IF($J1157="","",INDEX(EV_Cum,$J1157))</f>
        <v/>
      </c>
      <c r="G1157" s="106">
        <f>IF($J1157="","",INDEX(LevelLabels,MATCH(F1157,LevelValues,1)))</f>
        <v/>
      </c>
      <c r="H1157" s="106">
        <f>IF($J1157="","",IFERROR(INDEX(Stu_ContactReq,MATCH(C1157,Stu_ID,0)),""))</f>
        <v/>
      </c>
      <c r="I1157" s="107">
        <f>IF($J1157="","",IFERROR(INDEX(Stu_Notes,MATCH(C1157,Stu_ID,0)),""))</f>
        <v/>
      </c>
      <c r="J1157" s="40">
        <f>IF(1152&gt;$B$3,"",IFERROR(MATCH(1152-1,EV_Seq,1)+1,1))</f>
        <v/>
      </c>
    </row>
    <row r="1158">
      <c r="A1158" s="105">
        <f>IF($J1158="","",INDEX(EV_Date,$J1158))</f>
        <v/>
      </c>
      <c r="B1158" s="78">
        <f>IF($J1158="","",INDEX(EV_Name,$J1158))</f>
        <v/>
      </c>
      <c r="C1158" s="106">
        <f>IF($J1158="","",INDEX(EV_ID,$J1158))</f>
        <v/>
      </c>
      <c r="D1158" s="106">
        <f>IF($J1158="","",INDEX(EV_Class,$J1158))</f>
        <v/>
      </c>
      <c r="E1158" s="106">
        <f>IF($J1158="","",INDEX(EV_Type,$J1158))</f>
        <v/>
      </c>
      <c r="F1158" s="106">
        <f>IF($J1158="","",INDEX(EV_Cum,$J1158))</f>
        <v/>
      </c>
      <c r="G1158" s="106">
        <f>IF($J1158="","",INDEX(LevelLabels,MATCH(F1158,LevelValues,1)))</f>
        <v/>
      </c>
      <c r="H1158" s="106">
        <f>IF($J1158="","",IFERROR(INDEX(Stu_ContactReq,MATCH(C1158,Stu_ID,0)),""))</f>
        <v/>
      </c>
      <c r="I1158" s="107">
        <f>IF($J1158="","",IFERROR(INDEX(Stu_Notes,MATCH(C1158,Stu_ID,0)),""))</f>
        <v/>
      </c>
      <c r="J1158" s="40">
        <f>IF(1153&gt;$B$3,"",IFERROR(MATCH(1153-1,EV_Seq,1)+1,1))</f>
        <v/>
      </c>
    </row>
    <row r="1159">
      <c r="A1159" s="105">
        <f>IF($J1159="","",INDEX(EV_Date,$J1159))</f>
        <v/>
      </c>
      <c r="B1159" s="78">
        <f>IF($J1159="","",INDEX(EV_Name,$J1159))</f>
        <v/>
      </c>
      <c r="C1159" s="106">
        <f>IF($J1159="","",INDEX(EV_ID,$J1159))</f>
        <v/>
      </c>
      <c r="D1159" s="106">
        <f>IF($J1159="","",INDEX(EV_Class,$J1159))</f>
        <v/>
      </c>
      <c r="E1159" s="106">
        <f>IF($J1159="","",INDEX(EV_Type,$J1159))</f>
        <v/>
      </c>
      <c r="F1159" s="106">
        <f>IF($J1159="","",INDEX(EV_Cum,$J1159))</f>
        <v/>
      </c>
      <c r="G1159" s="106">
        <f>IF($J1159="","",INDEX(LevelLabels,MATCH(F1159,LevelValues,1)))</f>
        <v/>
      </c>
      <c r="H1159" s="106">
        <f>IF($J1159="","",IFERROR(INDEX(Stu_ContactReq,MATCH(C1159,Stu_ID,0)),""))</f>
        <v/>
      </c>
      <c r="I1159" s="107">
        <f>IF($J1159="","",IFERROR(INDEX(Stu_Notes,MATCH(C1159,Stu_ID,0)),""))</f>
        <v/>
      </c>
      <c r="J1159" s="40">
        <f>IF(1154&gt;$B$3,"",IFERROR(MATCH(1154-1,EV_Seq,1)+1,1))</f>
        <v/>
      </c>
    </row>
    <row r="1160">
      <c r="A1160" s="105">
        <f>IF($J1160="","",INDEX(EV_Date,$J1160))</f>
        <v/>
      </c>
      <c r="B1160" s="78">
        <f>IF($J1160="","",INDEX(EV_Name,$J1160))</f>
        <v/>
      </c>
      <c r="C1160" s="106">
        <f>IF($J1160="","",INDEX(EV_ID,$J1160))</f>
        <v/>
      </c>
      <c r="D1160" s="106">
        <f>IF($J1160="","",INDEX(EV_Class,$J1160))</f>
        <v/>
      </c>
      <c r="E1160" s="106">
        <f>IF($J1160="","",INDEX(EV_Type,$J1160))</f>
        <v/>
      </c>
      <c r="F1160" s="106">
        <f>IF($J1160="","",INDEX(EV_Cum,$J1160))</f>
        <v/>
      </c>
      <c r="G1160" s="106">
        <f>IF($J1160="","",INDEX(LevelLabels,MATCH(F1160,LevelValues,1)))</f>
        <v/>
      </c>
      <c r="H1160" s="106">
        <f>IF($J1160="","",IFERROR(INDEX(Stu_ContactReq,MATCH(C1160,Stu_ID,0)),""))</f>
        <v/>
      </c>
      <c r="I1160" s="107">
        <f>IF($J1160="","",IFERROR(INDEX(Stu_Notes,MATCH(C1160,Stu_ID,0)),""))</f>
        <v/>
      </c>
      <c r="J1160" s="40">
        <f>IF(1155&gt;$B$3,"",IFERROR(MATCH(1155-1,EV_Seq,1)+1,1))</f>
        <v/>
      </c>
    </row>
    <row r="1161">
      <c r="A1161" s="105">
        <f>IF($J1161="","",INDEX(EV_Date,$J1161))</f>
        <v/>
      </c>
      <c r="B1161" s="78">
        <f>IF($J1161="","",INDEX(EV_Name,$J1161))</f>
        <v/>
      </c>
      <c r="C1161" s="106">
        <f>IF($J1161="","",INDEX(EV_ID,$J1161))</f>
        <v/>
      </c>
      <c r="D1161" s="106">
        <f>IF($J1161="","",INDEX(EV_Class,$J1161))</f>
        <v/>
      </c>
      <c r="E1161" s="106">
        <f>IF($J1161="","",INDEX(EV_Type,$J1161))</f>
        <v/>
      </c>
      <c r="F1161" s="106">
        <f>IF($J1161="","",INDEX(EV_Cum,$J1161))</f>
        <v/>
      </c>
      <c r="G1161" s="106">
        <f>IF($J1161="","",INDEX(LevelLabels,MATCH(F1161,LevelValues,1)))</f>
        <v/>
      </c>
      <c r="H1161" s="106">
        <f>IF($J1161="","",IFERROR(INDEX(Stu_ContactReq,MATCH(C1161,Stu_ID,0)),""))</f>
        <v/>
      </c>
      <c r="I1161" s="107">
        <f>IF($J1161="","",IFERROR(INDEX(Stu_Notes,MATCH(C1161,Stu_ID,0)),""))</f>
        <v/>
      </c>
      <c r="J1161" s="40">
        <f>IF(1156&gt;$B$3,"",IFERROR(MATCH(1156-1,EV_Seq,1)+1,1))</f>
        <v/>
      </c>
    </row>
    <row r="1162">
      <c r="A1162" s="105">
        <f>IF($J1162="","",INDEX(EV_Date,$J1162))</f>
        <v/>
      </c>
      <c r="B1162" s="78">
        <f>IF($J1162="","",INDEX(EV_Name,$J1162))</f>
        <v/>
      </c>
      <c r="C1162" s="106">
        <f>IF($J1162="","",INDEX(EV_ID,$J1162))</f>
        <v/>
      </c>
      <c r="D1162" s="106">
        <f>IF($J1162="","",INDEX(EV_Class,$J1162))</f>
        <v/>
      </c>
      <c r="E1162" s="106">
        <f>IF($J1162="","",INDEX(EV_Type,$J1162))</f>
        <v/>
      </c>
      <c r="F1162" s="106">
        <f>IF($J1162="","",INDEX(EV_Cum,$J1162))</f>
        <v/>
      </c>
      <c r="G1162" s="106">
        <f>IF($J1162="","",INDEX(LevelLabels,MATCH(F1162,LevelValues,1)))</f>
        <v/>
      </c>
      <c r="H1162" s="106">
        <f>IF($J1162="","",IFERROR(INDEX(Stu_ContactReq,MATCH(C1162,Stu_ID,0)),""))</f>
        <v/>
      </c>
      <c r="I1162" s="107">
        <f>IF($J1162="","",IFERROR(INDEX(Stu_Notes,MATCH(C1162,Stu_ID,0)),""))</f>
        <v/>
      </c>
      <c r="J1162" s="40">
        <f>IF(1157&gt;$B$3,"",IFERROR(MATCH(1157-1,EV_Seq,1)+1,1))</f>
        <v/>
      </c>
    </row>
    <row r="1163">
      <c r="A1163" s="105">
        <f>IF($J1163="","",INDEX(EV_Date,$J1163))</f>
        <v/>
      </c>
      <c r="B1163" s="78">
        <f>IF($J1163="","",INDEX(EV_Name,$J1163))</f>
        <v/>
      </c>
      <c r="C1163" s="106">
        <f>IF($J1163="","",INDEX(EV_ID,$J1163))</f>
        <v/>
      </c>
      <c r="D1163" s="106">
        <f>IF($J1163="","",INDEX(EV_Class,$J1163))</f>
        <v/>
      </c>
      <c r="E1163" s="106">
        <f>IF($J1163="","",INDEX(EV_Type,$J1163))</f>
        <v/>
      </c>
      <c r="F1163" s="106">
        <f>IF($J1163="","",INDEX(EV_Cum,$J1163))</f>
        <v/>
      </c>
      <c r="G1163" s="106">
        <f>IF($J1163="","",INDEX(LevelLabels,MATCH(F1163,LevelValues,1)))</f>
        <v/>
      </c>
      <c r="H1163" s="106">
        <f>IF($J1163="","",IFERROR(INDEX(Stu_ContactReq,MATCH(C1163,Stu_ID,0)),""))</f>
        <v/>
      </c>
      <c r="I1163" s="107">
        <f>IF($J1163="","",IFERROR(INDEX(Stu_Notes,MATCH(C1163,Stu_ID,0)),""))</f>
        <v/>
      </c>
      <c r="J1163" s="40">
        <f>IF(1158&gt;$B$3,"",IFERROR(MATCH(1158-1,EV_Seq,1)+1,1))</f>
        <v/>
      </c>
    </row>
    <row r="1164">
      <c r="A1164" s="105">
        <f>IF($J1164="","",INDEX(EV_Date,$J1164))</f>
        <v/>
      </c>
      <c r="B1164" s="78">
        <f>IF($J1164="","",INDEX(EV_Name,$J1164))</f>
        <v/>
      </c>
      <c r="C1164" s="106">
        <f>IF($J1164="","",INDEX(EV_ID,$J1164))</f>
        <v/>
      </c>
      <c r="D1164" s="106">
        <f>IF($J1164="","",INDEX(EV_Class,$J1164))</f>
        <v/>
      </c>
      <c r="E1164" s="106">
        <f>IF($J1164="","",INDEX(EV_Type,$J1164))</f>
        <v/>
      </c>
      <c r="F1164" s="106">
        <f>IF($J1164="","",INDEX(EV_Cum,$J1164))</f>
        <v/>
      </c>
      <c r="G1164" s="106">
        <f>IF($J1164="","",INDEX(LevelLabels,MATCH(F1164,LevelValues,1)))</f>
        <v/>
      </c>
      <c r="H1164" s="106">
        <f>IF($J1164="","",IFERROR(INDEX(Stu_ContactReq,MATCH(C1164,Stu_ID,0)),""))</f>
        <v/>
      </c>
      <c r="I1164" s="107">
        <f>IF($J1164="","",IFERROR(INDEX(Stu_Notes,MATCH(C1164,Stu_ID,0)),""))</f>
        <v/>
      </c>
      <c r="J1164" s="40">
        <f>IF(1159&gt;$B$3,"",IFERROR(MATCH(1159-1,EV_Seq,1)+1,1))</f>
        <v/>
      </c>
    </row>
    <row r="1165">
      <c r="A1165" s="105">
        <f>IF($J1165="","",INDEX(EV_Date,$J1165))</f>
        <v/>
      </c>
      <c r="B1165" s="78">
        <f>IF($J1165="","",INDEX(EV_Name,$J1165))</f>
        <v/>
      </c>
      <c r="C1165" s="106">
        <f>IF($J1165="","",INDEX(EV_ID,$J1165))</f>
        <v/>
      </c>
      <c r="D1165" s="106">
        <f>IF($J1165="","",INDEX(EV_Class,$J1165))</f>
        <v/>
      </c>
      <c r="E1165" s="106">
        <f>IF($J1165="","",INDEX(EV_Type,$J1165))</f>
        <v/>
      </c>
      <c r="F1165" s="106">
        <f>IF($J1165="","",INDEX(EV_Cum,$J1165))</f>
        <v/>
      </c>
      <c r="G1165" s="106">
        <f>IF($J1165="","",INDEX(LevelLabels,MATCH(F1165,LevelValues,1)))</f>
        <v/>
      </c>
      <c r="H1165" s="106">
        <f>IF($J1165="","",IFERROR(INDEX(Stu_ContactReq,MATCH(C1165,Stu_ID,0)),""))</f>
        <v/>
      </c>
      <c r="I1165" s="107">
        <f>IF($J1165="","",IFERROR(INDEX(Stu_Notes,MATCH(C1165,Stu_ID,0)),""))</f>
        <v/>
      </c>
      <c r="J1165" s="40">
        <f>IF(1160&gt;$B$3,"",IFERROR(MATCH(1160-1,EV_Seq,1)+1,1))</f>
        <v/>
      </c>
    </row>
    <row r="1166">
      <c r="A1166" s="105">
        <f>IF($J1166="","",INDEX(EV_Date,$J1166))</f>
        <v/>
      </c>
      <c r="B1166" s="78">
        <f>IF($J1166="","",INDEX(EV_Name,$J1166))</f>
        <v/>
      </c>
      <c r="C1166" s="106">
        <f>IF($J1166="","",INDEX(EV_ID,$J1166))</f>
        <v/>
      </c>
      <c r="D1166" s="106">
        <f>IF($J1166="","",INDEX(EV_Class,$J1166))</f>
        <v/>
      </c>
      <c r="E1166" s="106">
        <f>IF($J1166="","",INDEX(EV_Type,$J1166))</f>
        <v/>
      </c>
      <c r="F1166" s="106">
        <f>IF($J1166="","",INDEX(EV_Cum,$J1166))</f>
        <v/>
      </c>
      <c r="G1166" s="106">
        <f>IF($J1166="","",INDEX(LevelLabels,MATCH(F1166,LevelValues,1)))</f>
        <v/>
      </c>
      <c r="H1166" s="106">
        <f>IF($J1166="","",IFERROR(INDEX(Stu_ContactReq,MATCH(C1166,Stu_ID,0)),""))</f>
        <v/>
      </c>
      <c r="I1166" s="107">
        <f>IF($J1166="","",IFERROR(INDEX(Stu_Notes,MATCH(C1166,Stu_ID,0)),""))</f>
        <v/>
      </c>
      <c r="J1166" s="40">
        <f>IF(1161&gt;$B$3,"",IFERROR(MATCH(1161-1,EV_Seq,1)+1,1))</f>
        <v/>
      </c>
    </row>
    <row r="1167">
      <c r="A1167" s="105">
        <f>IF($J1167="","",INDEX(EV_Date,$J1167))</f>
        <v/>
      </c>
      <c r="B1167" s="78">
        <f>IF($J1167="","",INDEX(EV_Name,$J1167))</f>
        <v/>
      </c>
      <c r="C1167" s="106">
        <f>IF($J1167="","",INDEX(EV_ID,$J1167))</f>
        <v/>
      </c>
      <c r="D1167" s="106">
        <f>IF($J1167="","",INDEX(EV_Class,$J1167))</f>
        <v/>
      </c>
      <c r="E1167" s="106">
        <f>IF($J1167="","",INDEX(EV_Type,$J1167))</f>
        <v/>
      </c>
      <c r="F1167" s="106">
        <f>IF($J1167="","",INDEX(EV_Cum,$J1167))</f>
        <v/>
      </c>
      <c r="G1167" s="106">
        <f>IF($J1167="","",INDEX(LevelLabels,MATCH(F1167,LevelValues,1)))</f>
        <v/>
      </c>
      <c r="H1167" s="106">
        <f>IF($J1167="","",IFERROR(INDEX(Stu_ContactReq,MATCH(C1167,Stu_ID,0)),""))</f>
        <v/>
      </c>
      <c r="I1167" s="107">
        <f>IF($J1167="","",IFERROR(INDEX(Stu_Notes,MATCH(C1167,Stu_ID,0)),""))</f>
        <v/>
      </c>
      <c r="J1167" s="40">
        <f>IF(1162&gt;$B$3,"",IFERROR(MATCH(1162-1,EV_Seq,1)+1,1))</f>
        <v/>
      </c>
    </row>
    <row r="1168">
      <c r="A1168" s="105">
        <f>IF($J1168="","",INDEX(EV_Date,$J1168))</f>
        <v/>
      </c>
      <c r="B1168" s="78">
        <f>IF($J1168="","",INDEX(EV_Name,$J1168))</f>
        <v/>
      </c>
      <c r="C1168" s="106">
        <f>IF($J1168="","",INDEX(EV_ID,$J1168))</f>
        <v/>
      </c>
      <c r="D1168" s="106">
        <f>IF($J1168="","",INDEX(EV_Class,$J1168))</f>
        <v/>
      </c>
      <c r="E1168" s="106">
        <f>IF($J1168="","",INDEX(EV_Type,$J1168))</f>
        <v/>
      </c>
      <c r="F1168" s="106">
        <f>IF($J1168="","",INDEX(EV_Cum,$J1168))</f>
        <v/>
      </c>
      <c r="G1168" s="106">
        <f>IF($J1168="","",INDEX(LevelLabels,MATCH(F1168,LevelValues,1)))</f>
        <v/>
      </c>
      <c r="H1168" s="106">
        <f>IF($J1168="","",IFERROR(INDEX(Stu_ContactReq,MATCH(C1168,Stu_ID,0)),""))</f>
        <v/>
      </c>
      <c r="I1168" s="107">
        <f>IF($J1168="","",IFERROR(INDEX(Stu_Notes,MATCH(C1168,Stu_ID,0)),""))</f>
        <v/>
      </c>
      <c r="J1168" s="40">
        <f>IF(1163&gt;$B$3,"",IFERROR(MATCH(1163-1,EV_Seq,1)+1,1))</f>
        <v/>
      </c>
    </row>
    <row r="1169">
      <c r="A1169" s="105">
        <f>IF($J1169="","",INDEX(EV_Date,$J1169))</f>
        <v/>
      </c>
      <c r="B1169" s="78">
        <f>IF($J1169="","",INDEX(EV_Name,$J1169))</f>
        <v/>
      </c>
      <c r="C1169" s="106">
        <f>IF($J1169="","",INDEX(EV_ID,$J1169))</f>
        <v/>
      </c>
      <c r="D1169" s="106">
        <f>IF($J1169="","",INDEX(EV_Class,$J1169))</f>
        <v/>
      </c>
      <c r="E1169" s="106">
        <f>IF($J1169="","",INDEX(EV_Type,$J1169))</f>
        <v/>
      </c>
      <c r="F1169" s="106">
        <f>IF($J1169="","",INDEX(EV_Cum,$J1169))</f>
        <v/>
      </c>
      <c r="G1169" s="106">
        <f>IF($J1169="","",INDEX(LevelLabels,MATCH(F1169,LevelValues,1)))</f>
        <v/>
      </c>
      <c r="H1169" s="106">
        <f>IF($J1169="","",IFERROR(INDEX(Stu_ContactReq,MATCH(C1169,Stu_ID,0)),""))</f>
        <v/>
      </c>
      <c r="I1169" s="107">
        <f>IF($J1169="","",IFERROR(INDEX(Stu_Notes,MATCH(C1169,Stu_ID,0)),""))</f>
        <v/>
      </c>
      <c r="J1169" s="40">
        <f>IF(1164&gt;$B$3,"",IFERROR(MATCH(1164-1,EV_Seq,1)+1,1))</f>
        <v/>
      </c>
    </row>
    <row r="1170">
      <c r="A1170" s="105">
        <f>IF($J1170="","",INDEX(EV_Date,$J1170))</f>
        <v/>
      </c>
      <c r="B1170" s="78">
        <f>IF($J1170="","",INDEX(EV_Name,$J1170))</f>
        <v/>
      </c>
      <c r="C1170" s="106">
        <f>IF($J1170="","",INDEX(EV_ID,$J1170))</f>
        <v/>
      </c>
      <c r="D1170" s="106">
        <f>IF($J1170="","",INDEX(EV_Class,$J1170))</f>
        <v/>
      </c>
      <c r="E1170" s="106">
        <f>IF($J1170="","",INDEX(EV_Type,$J1170))</f>
        <v/>
      </c>
      <c r="F1170" s="106">
        <f>IF($J1170="","",INDEX(EV_Cum,$J1170))</f>
        <v/>
      </c>
      <c r="G1170" s="106">
        <f>IF($J1170="","",INDEX(LevelLabels,MATCH(F1170,LevelValues,1)))</f>
        <v/>
      </c>
      <c r="H1170" s="106">
        <f>IF($J1170="","",IFERROR(INDEX(Stu_ContactReq,MATCH(C1170,Stu_ID,0)),""))</f>
        <v/>
      </c>
      <c r="I1170" s="107">
        <f>IF($J1170="","",IFERROR(INDEX(Stu_Notes,MATCH(C1170,Stu_ID,0)),""))</f>
        <v/>
      </c>
      <c r="J1170" s="40">
        <f>IF(1165&gt;$B$3,"",IFERROR(MATCH(1165-1,EV_Seq,1)+1,1))</f>
        <v/>
      </c>
    </row>
    <row r="1171">
      <c r="A1171" s="105">
        <f>IF($J1171="","",INDEX(EV_Date,$J1171))</f>
        <v/>
      </c>
      <c r="B1171" s="78">
        <f>IF($J1171="","",INDEX(EV_Name,$J1171))</f>
        <v/>
      </c>
      <c r="C1171" s="106">
        <f>IF($J1171="","",INDEX(EV_ID,$J1171))</f>
        <v/>
      </c>
      <c r="D1171" s="106">
        <f>IF($J1171="","",INDEX(EV_Class,$J1171))</f>
        <v/>
      </c>
      <c r="E1171" s="106">
        <f>IF($J1171="","",INDEX(EV_Type,$J1171))</f>
        <v/>
      </c>
      <c r="F1171" s="106">
        <f>IF($J1171="","",INDEX(EV_Cum,$J1171))</f>
        <v/>
      </c>
      <c r="G1171" s="106">
        <f>IF($J1171="","",INDEX(LevelLabels,MATCH(F1171,LevelValues,1)))</f>
        <v/>
      </c>
      <c r="H1171" s="106">
        <f>IF($J1171="","",IFERROR(INDEX(Stu_ContactReq,MATCH(C1171,Stu_ID,0)),""))</f>
        <v/>
      </c>
      <c r="I1171" s="107">
        <f>IF($J1171="","",IFERROR(INDEX(Stu_Notes,MATCH(C1171,Stu_ID,0)),""))</f>
        <v/>
      </c>
      <c r="J1171" s="40">
        <f>IF(1166&gt;$B$3,"",IFERROR(MATCH(1166-1,EV_Seq,1)+1,1))</f>
        <v/>
      </c>
    </row>
    <row r="1172">
      <c r="A1172" s="105">
        <f>IF($J1172="","",INDEX(EV_Date,$J1172))</f>
        <v/>
      </c>
      <c r="B1172" s="78">
        <f>IF($J1172="","",INDEX(EV_Name,$J1172))</f>
        <v/>
      </c>
      <c r="C1172" s="106">
        <f>IF($J1172="","",INDEX(EV_ID,$J1172))</f>
        <v/>
      </c>
      <c r="D1172" s="106">
        <f>IF($J1172="","",INDEX(EV_Class,$J1172))</f>
        <v/>
      </c>
      <c r="E1172" s="106">
        <f>IF($J1172="","",INDEX(EV_Type,$J1172))</f>
        <v/>
      </c>
      <c r="F1172" s="106">
        <f>IF($J1172="","",INDEX(EV_Cum,$J1172))</f>
        <v/>
      </c>
      <c r="G1172" s="106">
        <f>IF($J1172="","",INDEX(LevelLabels,MATCH(F1172,LevelValues,1)))</f>
        <v/>
      </c>
      <c r="H1172" s="106">
        <f>IF($J1172="","",IFERROR(INDEX(Stu_ContactReq,MATCH(C1172,Stu_ID,0)),""))</f>
        <v/>
      </c>
      <c r="I1172" s="107">
        <f>IF($J1172="","",IFERROR(INDEX(Stu_Notes,MATCH(C1172,Stu_ID,0)),""))</f>
        <v/>
      </c>
      <c r="J1172" s="40">
        <f>IF(1167&gt;$B$3,"",IFERROR(MATCH(1167-1,EV_Seq,1)+1,1))</f>
        <v/>
      </c>
    </row>
    <row r="1173">
      <c r="A1173" s="105">
        <f>IF($J1173="","",INDEX(EV_Date,$J1173))</f>
        <v/>
      </c>
      <c r="B1173" s="78">
        <f>IF($J1173="","",INDEX(EV_Name,$J1173))</f>
        <v/>
      </c>
      <c r="C1173" s="106">
        <f>IF($J1173="","",INDEX(EV_ID,$J1173))</f>
        <v/>
      </c>
      <c r="D1173" s="106">
        <f>IF($J1173="","",INDEX(EV_Class,$J1173))</f>
        <v/>
      </c>
      <c r="E1173" s="106">
        <f>IF($J1173="","",INDEX(EV_Type,$J1173))</f>
        <v/>
      </c>
      <c r="F1173" s="106">
        <f>IF($J1173="","",INDEX(EV_Cum,$J1173))</f>
        <v/>
      </c>
      <c r="G1173" s="106">
        <f>IF($J1173="","",INDEX(LevelLabels,MATCH(F1173,LevelValues,1)))</f>
        <v/>
      </c>
      <c r="H1173" s="106">
        <f>IF($J1173="","",IFERROR(INDEX(Stu_ContactReq,MATCH(C1173,Stu_ID,0)),""))</f>
        <v/>
      </c>
      <c r="I1173" s="107">
        <f>IF($J1173="","",IFERROR(INDEX(Stu_Notes,MATCH(C1173,Stu_ID,0)),""))</f>
        <v/>
      </c>
      <c r="J1173" s="40">
        <f>IF(1168&gt;$B$3,"",IFERROR(MATCH(1168-1,EV_Seq,1)+1,1))</f>
        <v/>
      </c>
    </row>
    <row r="1174">
      <c r="A1174" s="105">
        <f>IF($J1174="","",INDEX(EV_Date,$J1174))</f>
        <v/>
      </c>
      <c r="B1174" s="78">
        <f>IF($J1174="","",INDEX(EV_Name,$J1174))</f>
        <v/>
      </c>
      <c r="C1174" s="106">
        <f>IF($J1174="","",INDEX(EV_ID,$J1174))</f>
        <v/>
      </c>
      <c r="D1174" s="106">
        <f>IF($J1174="","",INDEX(EV_Class,$J1174))</f>
        <v/>
      </c>
      <c r="E1174" s="106">
        <f>IF($J1174="","",INDEX(EV_Type,$J1174))</f>
        <v/>
      </c>
      <c r="F1174" s="106">
        <f>IF($J1174="","",INDEX(EV_Cum,$J1174))</f>
        <v/>
      </c>
      <c r="G1174" s="106">
        <f>IF($J1174="","",INDEX(LevelLabels,MATCH(F1174,LevelValues,1)))</f>
        <v/>
      </c>
      <c r="H1174" s="106">
        <f>IF($J1174="","",IFERROR(INDEX(Stu_ContactReq,MATCH(C1174,Stu_ID,0)),""))</f>
        <v/>
      </c>
      <c r="I1174" s="107">
        <f>IF($J1174="","",IFERROR(INDEX(Stu_Notes,MATCH(C1174,Stu_ID,0)),""))</f>
        <v/>
      </c>
      <c r="J1174" s="40">
        <f>IF(1169&gt;$B$3,"",IFERROR(MATCH(1169-1,EV_Seq,1)+1,1))</f>
        <v/>
      </c>
    </row>
    <row r="1175">
      <c r="A1175" s="105">
        <f>IF($J1175="","",INDEX(EV_Date,$J1175))</f>
        <v/>
      </c>
      <c r="B1175" s="78">
        <f>IF($J1175="","",INDEX(EV_Name,$J1175))</f>
        <v/>
      </c>
      <c r="C1175" s="106">
        <f>IF($J1175="","",INDEX(EV_ID,$J1175))</f>
        <v/>
      </c>
      <c r="D1175" s="106">
        <f>IF($J1175="","",INDEX(EV_Class,$J1175))</f>
        <v/>
      </c>
      <c r="E1175" s="106">
        <f>IF($J1175="","",INDEX(EV_Type,$J1175))</f>
        <v/>
      </c>
      <c r="F1175" s="106">
        <f>IF($J1175="","",INDEX(EV_Cum,$J1175))</f>
        <v/>
      </c>
      <c r="G1175" s="106">
        <f>IF($J1175="","",INDEX(LevelLabels,MATCH(F1175,LevelValues,1)))</f>
        <v/>
      </c>
      <c r="H1175" s="106">
        <f>IF($J1175="","",IFERROR(INDEX(Stu_ContactReq,MATCH(C1175,Stu_ID,0)),""))</f>
        <v/>
      </c>
      <c r="I1175" s="107">
        <f>IF($J1175="","",IFERROR(INDEX(Stu_Notes,MATCH(C1175,Stu_ID,0)),""))</f>
        <v/>
      </c>
      <c r="J1175" s="40">
        <f>IF(1170&gt;$B$3,"",IFERROR(MATCH(1170-1,EV_Seq,1)+1,1))</f>
        <v/>
      </c>
    </row>
    <row r="1176">
      <c r="A1176" s="105">
        <f>IF($J1176="","",INDEX(EV_Date,$J1176))</f>
        <v/>
      </c>
      <c r="B1176" s="78">
        <f>IF($J1176="","",INDEX(EV_Name,$J1176))</f>
        <v/>
      </c>
      <c r="C1176" s="106">
        <f>IF($J1176="","",INDEX(EV_ID,$J1176))</f>
        <v/>
      </c>
      <c r="D1176" s="106">
        <f>IF($J1176="","",INDEX(EV_Class,$J1176))</f>
        <v/>
      </c>
      <c r="E1176" s="106">
        <f>IF($J1176="","",INDEX(EV_Type,$J1176))</f>
        <v/>
      </c>
      <c r="F1176" s="106">
        <f>IF($J1176="","",INDEX(EV_Cum,$J1176))</f>
        <v/>
      </c>
      <c r="G1176" s="106">
        <f>IF($J1176="","",INDEX(LevelLabels,MATCH(F1176,LevelValues,1)))</f>
        <v/>
      </c>
      <c r="H1176" s="106">
        <f>IF($J1176="","",IFERROR(INDEX(Stu_ContactReq,MATCH(C1176,Stu_ID,0)),""))</f>
        <v/>
      </c>
      <c r="I1176" s="107">
        <f>IF($J1176="","",IFERROR(INDEX(Stu_Notes,MATCH(C1176,Stu_ID,0)),""))</f>
        <v/>
      </c>
      <c r="J1176" s="40">
        <f>IF(1171&gt;$B$3,"",IFERROR(MATCH(1171-1,EV_Seq,1)+1,1))</f>
        <v/>
      </c>
    </row>
    <row r="1177">
      <c r="A1177" s="105">
        <f>IF($J1177="","",INDEX(EV_Date,$J1177))</f>
        <v/>
      </c>
      <c r="B1177" s="78">
        <f>IF($J1177="","",INDEX(EV_Name,$J1177))</f>
        <v/>
      </c>
      <c r="C1177" s="106">
        <f>IF($J1177="","",INDEX(EV_ID,$J1177))</f>
        <v/>
      </c>
      <c r="D1177" s="106">
        <f>IF($J1177="","",INDEX(EV_Class,$J1177))</f>
        <v/>
      </c>
      <c r="E1177" s="106">
        <f>IF($J1177="","",INDEX(EV_Type,$J1177))</f>
        <v/>
      </c>
      <c r="F1177" s="106">
        <f>IF($J1177="","",INDEX(EV_Cum,$J1177))</f>
        <v/>
      </c>
      <c r="G1177" s="106">
        <f>IF($J1177="","",INDEX(LevelLabels,MATCH(F1177,LevelValues,1)))</f>
        <v/>
      </c>
      <c r="H1177" s="106">
        <f>IF($J1177="","",IFERROR(INDEX(Stu_ContactReq,MATCH(C1177,Stu_ID,0)),""))</f>
        <v/>
      </c>
      <c r="I1177" s="107">
        <f>IF($J1177="","",IFERROR(INDEX(Stu_Notes,MATCH(C1177,Stu_ID,0)),""))</f>
        <v/>
      </c>
      <c r="J1177" s="40">
        <f>IF(1172&gt;$B$3,"",IFERROR(MATCH(1172-1,EV_Seq,1)+1,1))</f>
        <v/>
      </c>
    </row>
    <row r="1178">
      <c r="A1178" s="105">
        <f>IF($J1178="","",INDEX(EV_Date,$J1178))</f>
        <v/>
      </c>
      <c r="B1178" s="78">
        <f>IF($J1178="","",INDEX(EV_Name,$J1178))</f>
        <v/>
      </c>
      <c r="C1178" s="106">
        <f>IF($J1178="","",INDEX(EV_ID,$J1178))</f>
        <v/>
      </c>
      <c r="D1178" s="106">
        <f>IF($J1178="","",INDEX(EV_Class,$J1178))</f>
        <v/>
      </c>
      <c r="E1178" s="106">
        <f>IF($J1178="","",INDEX(EV_Type,$J1178))</f>
        <v/>
      </c>
      <c r="F1178" s="106">
        <f>IF($J1178="","",INDEX(EV_Cum,$J1178))</f>
        <v/>
      </c>
      <c r="G1178" s="106">
        <f>IF($J1178="","",INDEX(LevelLabels,MATCH(F1178,LevelValues,1)))</f>
        <v/>
      </c>
      <c r="H1178" s="106">
        <f>IF($J1178="","",IFERROR(INDEX(Stu_ContactReq,MATCH(C1178,Stu_ID,0)),""))</f>
        <v/>
      </c>
      <c r="I1178" s="107">
        <f>IF($J1178="","",IFERROR(INDEX(Stu_Notes,MATCH(C1178,Stu_ID,0)),""))</f>
        <v/>
      </c>
      <c r="J1178" s="40">
        <f>IF(1173&gt;$B$3,"",IFERROR(MATCH(1173-1,EV_Seq,1)+1,1))</f>
        <v/>
      </c>
    </row>
    <row r="1179">
      <c r="A1179" s="105">
        <f>IF($J1179="","",INDEX(EV_Date,$J1179))</f>
        <v/>
      </c>
      <c r="B1179" s="78">
        <f>IF($J1179="","",INDEX(EV_Name,$J1179))</f>
        <v/>
      </c>
      <c r="C1179" s="106">
        <f>IF($J1179="","",INDEX(EV_ID,$J1179))</f>
        <v/>
      </c>
      <c r="D1179" s="106">
        <f>IF($J1179="","",INDEX(EV_Class,$J1179))</f>
        <v/>
      </c>
      <c r="E1179" s="106">
        <f>IF($J1179="","",INDEX(EV_Type,$J1179))</f>
        <v/>
      </c>
      <c r="F1179" s="106">
        <f>IF($J1179="","",INDEX(EV_Cum,$J1179))</f>
        <v/>
      </c>
      <c r="G1179" s="106">
        <f>IF($J1179="","",INDEX(LevelLabels,MATCH(F1179,LevelValues,1)))</f>
        <v/>
      </c>
      <c r="H1179" s="106">
        <f>IF($J1179="","",IFERROR(INDEX(Stu_ContactReq,MATCH(C1179,Stu_ID,0)),""))</f>
        <v/>
      </c>
      <c r="I1179" s="107">
        <f>IF($J1179="","",IFERROR(INDEX(Stu_Notes,MATCH(C1179,Stu_ID,0)),""))</f>
        <v/>
      </c>
      <c r="J1179" s="40">
        <f>IF(1174&gt;$B$3,"",IFERROR(MATCH(1174-1,EV_Seq,1)+1,1))</f>
        <v/>
      </c>
    </row>
    <row r="1180">
      <c r="A1180" s="105">
        <f>IF($J1180="","",INDEX(EV_Date,$J1180))</f>
        <v/>
      </c>
      <c r="B1180" s="78">
        <f>IF($J1180="","",INDEX(EV_Name,$J1180))</f>
        <v/>
      </c>
      <c r="C1180" s="106">
        <f>IF($J1180="","",INDEX(EV_ID,$J1180))</f>
        <v/>
      </c>
      <c r="D1180" s="106">
        <f>IF($J1180="","",INDEX(EV_Class,$J1180))</f>
        <v/>
      </c>
      <c r="E1180" s="106">
        <f>IF($J1180="","",INDEX(EV_Type,$J1180))</f>
        <v/>
      </c>
      <c r="F1180" s="106">
        <f>IF($J1180="","",INDEX(EV_Cum,$J1180))</f>
        <v/>
      </c>
      <c r="G1180" s="106">
        <f>IF($J1180="","",INDEX(LevelLabels,MATCH(F1180,LevelValues,1)))</f>
        <v/>
      </c>
      <c r="H1180" s="106">
        <f>IF($J1180="","",IFERROR(INDEX(Stu_ContactReq,MATCH(C1180,Stu_ID,0)),""))</f>
        <v/>
      </c>
      <c r="I1180" s="107">
        <f>IF($J1180="","",IFERROR(INDEX(Stu_Notes,MATCH(C1180,Stu_ID,0)),""))</f>
        <v/>
      </c>
      <c r="J1180" s="40">
        <f>IF(1175&gt;$B$3,"",IFERROR(MATCH(1175-1,EV_Seq,1)+1,1))</f>
        <v/>
      </c>
    </row>
    <row r="1181">
      <c r="A1181" s="105">
        <f>IF($J1181="","",INDEX(EV_Date,$J1181))</f>
        <v/>
      </c>
      <c r="B1181" s="78">
        <f>IF($J1181="","",INDEX(EV_Name,$J1181))</f>
        <v/>
      </c>
      <c r="C1181" s="106">
        <f>IF($J1181="","",INDEX(EV_ID,$J1181))</f>
        <v/>
      </c>
      <c r="D1181" s="106">
        <f>IF($J1181="","",INDEX(EV_Class,$J1181))</f>
        <v/>
      </c>
      <c r="E1181" s="106">
        <f>IF($J1181="","",INDEX(EV_Type,$J1181))</f>
        <v/>
      </c>
      <c r="F1181" s="106">
        <f>IF($J1181="","",INDEX(EV_Cum,$J1181))</f>
        <v/>
      </c>
      <c r="G1181" s="106">
        <f>IF($J1181="","",INDEX(LevelLabels,MATCH(F1181,LevelValues,1)))</f>
        <v/>
      </c>
      <c r="H1181" s="106">
        <f>IF($J1181="","",IFERROR(INDEX(Stu_ContactReq,MATCH(C1181,Stu_ID,0)),""))</f>
        <v/>
      </c>
      <c r="I1181" s="107">
        <f>IF($J1181="","",IFERROR(INDEX(Stu_Notes,MATCH(C1181,Stu_ID,0)),""))</f>
        <v/>
      </c>
      <c r="J1181" s="40">
        <f>IF(1176&gt;$B$3,"",IFERROR(MATCH(1176-1,EV_Seq,1)+1,1))</f>
        <v/>
      </c>
    </row>
    <row r="1182">
      <c r="A1182" s="105">
        <f>IF($J1182="","",INDEX(EV_Date,$J1182))</f>
        <v/>
      </c>
      <c r="B1182" s="78">
        <f>IF($J1182="","",INDEX(EV_Name,$J1182))</f>
        <v/>
      </c>
      <c r="C1182" s="106">
        <f>IF($J1182="","",INDEX(EV_ID,$J1182))</f>
        <v/>
      </c>
      <c r="D1182" s="106">
        <f>IF($J1182="","",INDEX(EV_Class,$J1182))</f>
        <v/>
      </c>
      <c r="E1182" s="106">
        <f>IF($J1182="","",INDEX(EV_Type,$J1182))</f>
        <v/>
      </c>
      <c r="F1182" s="106">
        <f>IF($J1182="","",INDEX(EV_Cum,$J1182))</f>
        <v/>
      </c>
      <c r="G1182" s="106">
        <f>IF($J1182="","",INDEX(LevelLabels,MATCH(F1182,LevelValues,1)))</f>
        <v/>
      </c>
      <c r="H1182" s="106">
        <f>IF($J1182="","",IFERROR(INDEX(Stu_ContactReq,MATCH(C1182,Stu_ID,0)),""))</f>
        <v/>
      </c>
      <c r="I1182" s="107">
        <f>IF($J1182="","",IFERROR(INDEX(Stu_Notes,MATCH(C1182,Stu_ID,0)),""))</f>
        <v/>
      </c>
      <c r="J1182" s="40">
        <f>IF(1177&gt;$B$3,"",IFERROR(MATCH(1177-1,EV_Seq,1)+1,1))</f>
        <v/>
      </c>
    </row>
    <row r="1183">
      <c r="A1183" s="105">
        <f>IF($J1183="","",INDEX(EV_Date,$J1183))</f>
        <v/>
      </c>
      <c r="B1183" s="78">
        <f>IF($J1183="","",INDEX(EV_Name,$J1183))</f>
        <v/>
      </c>
      <c r="C1183" s="106">
        <f>IF($J1183="","",INDEX(EV_ID,$J1183))</f>
        <v/>
      </c>
      <c r="D1183" s="106">
        <f>IF($J1183="","",INDEX(EV_Class,$J1183))</f>
        <v/>
      </c>
      <c r="E1183" s="106">
        <f>IF($J1183="","",INDEX(EV_Type,$J1183))</f>
        <v/>
      </c>
      <c r="F1183" s="106">
        <f>IF($J1183="","",INDEX(EV_Cum,$J1183))</f>
        <v/>
      </c>
      <c r="G1183" s="106">
        <f>IF($J1183="","",INDEX(LevelLabels,MATCH(F1183,LevelValues,1)))</f>
        <v/>
      </c>
      <c r="H1183" s="106">
        <f>IF($J1183="","",IFERROR(INDEX(Stu_ContactReq,MATCH(C1183,Stu_ID,0)),""))</f>
        <v/>
      </c>
      <c r="I1183" s="107">
        <f>IF($J1183="","",IFERROR(INDEX(Stu_Notes,MATCH(C1183,Stu_ID,0)),""))</f>
        <v/>
      </c>
      <c r="J1183" s="40">
        <f>IF(1178&gt;$B$3,"",IFERROR(MATCH(1178-1,EV_Seq,1)+1,1))</f>
        <v/>
      </c>
    </row>
    <row r="1184">
      <c r="A1184" s="105">
        <f>IF($J1184="","",INDEX(EV_Date,$J1184))</f>
        <v/>
      </c>
      <c r="B1184" s="78">
        <f>IF($J1184="","",INDEX(EV_Name,$J1184))</f>
        <v/>
      </c>
      <c r="C1184" s="106">
        <f>IF($J1184="","",INDEX(EV_ID,$J1184))</f>
        <v/>
      </c>
      <c r="D1184" s="106">
        <f>IF($J1184="","",INDEX(EV_Class,$J1184))</f>
        <v/>
      </c>
      <c r="E1184" s="106">
        <f>IF($J1184="","",INDEX(EV_Type,$J1184))</f>
        <v/>
      </c>
      <c r="F1184" s="106">
        <f>IF($J1184="","",INDEX(EV_Cum,$J1184))</f>
        <v/>
      </c>
      <c r="G1184" s="106">
        <f>IF($J1184="","",INDEX(LevelLabels,MATCH(F1184,LevelValues,1)))</f>
        <v/>
      </c>
      <c r="H1184" s="106">
        <f>IF($J1184="","",IFERROR(INDEX(Stu_ContactReq,MATCH(C1184,Stu_ID,0)),""))</f>
        <v/>
      </c>
      <c r="I1184" s="107">
        <f>IF($J1184="","",IFERROR(INDEX(Stu_Notes,MATCH(C1184,Stu_ID,0)),""))</f>
        <v/>
      </c>
      <c r="J1184" s="40">
        <f>IF(1179&gt;$B$3,"",IFERROR(MATCH(1179-1,EV_Seq,1)+1,1))</f>
        <v/>
      </c>
    </row>
    <row r="1185">
      <c r="A1185" s="105">
        <f>IF($J1185="","",INDEX(EV_Date,$J1185))</f>
        <v/>
      </c>
      <c r="B1185" s="78">
        <f>IF($J1185="","",INDEX(EV_Name,$J1185))</f>
        <v/>
      </c>
      <c r="C1185" s="106">
        <f>IF($J1185="","",INDEX(EV_ID,$J1185))</f>
        <v/>
      </c>
      <c r="D1185" s="106">
        <f>IF($J1185="","",INDEX(EV_Class,$J1185))</f>
        <v/>
      </c>
      <c r="E1185" s="106">
        <f>IF($J1185="","",INDEX(EV_Type,$J1185))</f>
        <v/>
      </c>
      <c r="F1185" s="106">
        <f>IF($J1185="","",INDEX(EV_Cum,$J1185))</f>
        <v/>
      </c>
      <c r="G1185" s="106">
        <f>IF($J1185="","",INDEX(LevelLabels,MATCH(F1185,LevelValues,1)))</f>
        <v/>
      </c>
      <c r="H1185" s="106">
        <f>IF($J1185="","",IFERROR(INDEX(Stu_ContactReq,MATCH(C1185,Stu_ID,0)),""))</f>
        <v/>
      </c>
      <c r="I1185" s="107">
        <f>IF($J1185="","",IFERROR(INDEX(Stu_Notes,MATCH(C1185,Stu_ID,0)),""))</f>
        <v/>
      </c>
      <c r="J1185" s="40">
        <f>IF(1180&gt;$B$3,"",IFERROR(MATCH(1180-1,EV_Seq,1)+1,1))</f>
        <v/>
      </c>
    </row>
    <row r="1186">
      <c r="A1186" s="105">
        <f>IF($J1186="","",INDEX(EV_Date,$J1186))</f>
        <v/>
      </c>
      <c r="B1186" s="78">
        <f>IF($J1186="","",INDEX(EV_Name,$J1186))</f>
        <v/>
      </c>
      <c r="C1186" s="106">
        <f>IF($J1186="","",INDEX(EV_ID,$J1186))</f>
        <v/>
      </c>
      <c r="D1186" s="106">
        <f>IF($J1186="","",INDEX(EV_Class,$J1186))</f>
        <v/>
      </c>
      <c r="E1186" s="106">
        <f>IF($J1186="","",INDEX(EV_Type,$J1186))</f>
        <v/>
      </c>
      <c r="F1186" s="106">
        <f>IF($J1186="","",INDEX(EV_Cum,$J1186))</f>
        <v/>
      </c>
      <c r="G1186" s="106">
        <f>IF($J1186="","",INDEX(LevelLabels,MATCH(F1186,LevelValues,1)))</f>
        <v/>
      </c>
      <c r="H1186" s="106">
        <f>IF($J1186="","",IFERROR(INDEX(Stu_ContactReq,MATCH(C1186,Stu_ID,0)),""))</f>
        <v/>
      </c>
      <c r="I1186" s="107">
        <f>IF($J1186="","",IFERROR(INDEX(Stu_Notes,MATCH(C1186,Stu_ID,0)),""))</f>
        <v/>
      </c>
      <c r="J1186" s="40">
        <f>IF(1181&gt;$B$3,"",IFERROR(MATCH(1181-1,EV_Seq,1)+1,1))</f>
        <v/>
      </c>
    </row>
    <row r="1187">
      <c r="A1187" s="105">
        <f>IF($J1187="","",INDEX(EV_Date,$J1187))</f>
        <v/>
      </c>
      <c r="B1187" s="78">
        <f>IF($J1187="","",INDEX(EV_Name,$J1187))</f>
        <v/>
      </c>
      <c r="C1187" s="106">
        <f>IF($J1187="","",INDEX(EV_ID,$J1187))</f>
        <v/>
      </c>
      <c r="D1187" s="106">
        <f>IF($J1187="","",INDEX(EV_Class,$J1187))</f>
        <v/>
      </c>
      <c r="E1187" s="106">
        <f>IF($J1187="","",INDEX(EV_Type,$J1187))</f>
        <v/>
      </c>
      <c r="F1187" s="106">
        <f>IF($J1187="","",INDEX(EV_Cum,$J1187))</f>
        <v/>
      </c>
      <c r="G1187" s="106">
        <f>IF($J1187="","",INDEX(LevelLabels,MATCH(F1187,LevelValues,1)))</f>
        <v/>
      </c>
      <c r="H1187" s="106">
        <f>IF($J1187="","",IFERROR(INDEX(Stu_ContactReq,MATCH(C1187,Stu_ID,0)),""))</f>
        <v/>
      </c>
      <c r="I1187" s="107">
        <f>IF($J1187="","",IFERROR(INDEX(Stu_Notes,MATCH(C1187,Stu_ID,0)),""))</f>
        <v/>
      </c>
      <c r="J1187" s="40">
        <f>IF(1182&gt;$B$3,"",IFERROR(MATCH(1182-1,EV_Seq,1)+1,1))</f>
        <v/>
      </c>
    </row>
    <row r="1188">
      <c r="A1188" s="105">
        <f>IF($J1188="","",INDEX(EV_Date,$J1188))</f>
        <v/>
      </c>
      <c r="B1188" s="78">
        <f>IF($J1188="","",INDEX(EV_Name,$J1188))</f>
        <v/>
      </c>
      <c r="C1188" s="106">
        <f>IF($J1188="","",INDEX(EV_ID,$J1188))</f>
        <v/>
      </c>
      <c r="D1188" s="106">
        <f>IF($J1188="","",INDEX(EV_Class,$J1188))</f>
        <v/>
      </c>
      <c r="E1188" s="106">
        <f>IF($J1188="","",INDEX(EV_Type,$J1188))</f>
        <v/>
      </c>
      <c r="F1188" s="106">
        <f>IF($J1188="","",INDEX(EV_Cum,$J1188))</f>
        <v/>
      </c>
      <c r="G1188" s="106">
        <f>IF($J1188="","",INDEX(LevelLabels,MATCH(F1188,LevelValues,1)))</f>
        <v/>
      </c>
      <c r="H1188" s="106">
        <f>IF($J1188="","",IFERROR(INDEX(Stu_ContactReq,MATCH(C1188,Stu_ID,0)),""))</f>
        <v/>
      </c>
      <c r="I1188" s="107">
        <f>IF($J1188="","",IFERROR(INDEX(Stu_Notes,MATCH(C1188,Stu_ID,0)),""))</f>
        <v/>
      </c>
      <c r="J1188" s="40">
        <f>IF(1183&gt;$B$3,"",IFERROR(MATCH(1183-1,EV_Seq,1)+1,1))</f>
        <v/>
      </c>
    </row>
    <row r="1189">
      <c r="A1189" s="105">
        <f>IF($J1189="","",INDEX(EV_Date,$J1189))</f>
        <v/>
      </c>
      <c r="B1189" s="78">
        <f>IF($J1189="","",INDEX(EV_Name,$J1189))</f>
        <v/>
      </c>
      <c r="C1189" s="106">
        <f>IF($J1189="","",INDEX(EV_ID,$J1189))</f>
        <v/>
      </c>
      <c r="D1189" s="106">
        <f>IF($J1189="","",INDEX(EV_Class,$J1189))</f>
        <v/>
      </c>
      <c r="E1189" s="106">
        <f>IF($J1189="","",INDEX(EV_Type,$J1189))</f>
        <v/>
      </c>
      <c r="F1189" s="106">
        <f>IF($J1189="","",INDEX(EV_Cum,$J1189))</f>
        <v/>
      </c>
      <c r="G1189" s="106">
        <f>IF($J1189="","",INDEX(LevelLabels,MATCH(F1189,LevelValues,1)))</f>
        <v/>
      </c>
      <c r="H1189" s="106">
        <f>IF($J1189="","",IFERROR(INDEX(Stu_ContactReq,MATCH(C1189,Stu_ID,0)),""))</f>
        <v/>
      </c>
      <c r="I1189" s="107">
        <f>IF($J1189="","",IFERROR(INDEX(Stu_Notes,MATCH(C1189,Stu_ID,0)),""))</f>
        <v/>
      </c>
      <c r="J1189" s="40">
        <f>IF(1184&gt;$B$3,"",IFERROR(MATCH(1184-1,EV_Seq,1)+1,1))</f>
        <v/>
      </c>
    </row>
    <row r="1190">
      <c r="A1190" s="105">
        <f>IF($J1190="","",INDEX(EV_Date,$J1190))</f>
        <v/>
      </c>
      <c r="B1190" s="78">
        <f>IF($J1190="","",INDEX(EV_Name,$J1190))</f>
        <v/>
      </c>
      <c r="C1190" s="106">
        <f>IF($J1190="","",INDEX(EV_ID,$J1190))</f>
        <v/>
      </c>
      <c r="D1190" s="106">
        <f>IF($J1190="","",INDEX(EV_Class,$J1190))</f>
        <v/>
      </c>
      <c r="E1190" s="106">
        <f>IF($J1190="","",INDEX(EV_Type,$J1190))</f>
        <v/>
      </c>
      <c r="F1190" s="106">
        <f>IF($J1190="","",INDEX(EV_Cum,$J1190))</f>
        <v/>
      </c>
      <c r="G1190" s="106">
        <f>IF($J1190="","",INDEX(LevelLabels,MATCH(F1190,LevelValues,1)))</f>
        <v/>
      </c>
      <c r="H1190" s="106">
        <f>IF($J1190="","",IFERROR(INDEX(Stu_ContactReq,MATCH(C1190,Stu_ID,0)),""))</f>
        <v/>
      </c>
      <c r="I1190" s="107">
        <f>IF($J1190="","",IFERROR(INDEX(Stu_Notes,MATCH(C1190,Stu_ID,0)),""))</f>
        <v/>
      </c>
      <c r="J1190" s="40">
        <f>IF(1185&gt;$B$3,"",IFERROR(MATCH(1185-1,EV_Seq,1)+1,1))</f>
        <v/>
      </c>
    </row>
    <row r="1191">
      <c r="A1191" s="105">
        <f>IF($J1191="","",INDEX(EV_Date,$J1191))</f>
        <v/>
      </c>
      <c r="B1191" s="78">
        <f>IF($J1191="","",INDEX(EV_Name,$J1191))</f>
        <v/>
      </c>
      <c r="C1191" s="106">
        <f>IF($J1191="","",INDEX(EV_ID,$J1191))</f>
        <v/>
      </c>
      <c r="D1191" s="106">
        <f>IF($J1191="","",INDEX(EV_Class,$J1191))</f>
        <v/>
      </c>
      <c r="E1191" s="106">
        <f>IF($J1191="","",INDEX(EV_Type,$J1191))</f>
        <v/>
      </c>
      <c r="F1191" s="106">
        <f>IF($J1191="","",INDEX(EV_Cum,$J1191))</f>
        <v/>
      </c>
      <c r="G1191" s="106">
        <f>IF($J1191="","",INDEX(LevelLabels,MATCH(F1191,LevelValues,1)))</f>
        <v/>
      </c>
      <c r="H1191" s="106">
        <f>IF($J1191="","",IFERROR(INDEX(Stu_ContactReq,MATCH(C1191,Stu_ID,0)),""))</f>
        <v/>
      </c>
      <c r="I1191" s="107">
        <f>IF($J1191="","",IFERROR(INDEX(Stu_Notes,MATCH(C1191,Stu_ID,0)),""))</f>
        <v/>
      </c>
      <c r="J1191" s="40">
        <f>IF(1186&gt;$B$3,"",IFERROR(MATCH(1186-1,EV_Seq,1)+1,1))</f>
        <v/>
      </c>
    </row>
    <row r="1192">
      <c r="A1192" s="105">
        <f>IF($J1192="","",INDEX(EV_Date,$J1192))</f>
        <v/>
      </c>
      <c r="B1192" s="78">
        <f>IF($J1192="","",INDEX(EV_Name,$J1192))</f>
        <v/>
      </c>
      <c r="C1192" s="106">
        <f>IF($J1192="","",INDEX(EV_ID,$J1192))</f>
        <v/>
      </c>
      <c r="D1192" s="106">
        <f>IF($J1192="","",INDEX(EV_Class,$J1192))</f>
        <v/>
      </c>
      <c r="E1192" s="106">
        <f>IF($J1192="","",INDEX(EV_Type,$J1192))</f>
        <v/>
      </c>
      <c r="F1192" s="106">
        <f>IF($J1192="","",INDEX(EV_Cum,$J1192))</f>
        <v/>
      </c>
      <c r="G1192" s="106">
        <f>IF($J1192="","",INDEX(LevelLabels,MATCH(F1192,LevelValues,1)))</f>
        <v/>
      </c>
      <c r="H1192" s="106">
        <f>IF($J1192="","",IFERROR(INDEX(Stu_ContactReq,MATCH(C1192,Stu_ID,0)),""))</f>
        <v/>
      </c>
      <c r="I1192" s="107">
        <f>IF($J1192="","",IFERROR(INDEX(Stu_Notes,MATCH(C1192,Stu_ID,0)),""))</f>
        <v/>
      </c>
      <c r="J1192" s="40">
        <f>IF(1187&gt;$B$3,"",IFERROR(MATCH(1187-1,EV_Seq,1)+1,1))</f>
        <v/>
      </c>
    </row>
    <row r="1193">
      <c r="A1193" s="105">
        <f>IF($J1193="","",INDEX(EV_Date,$J1193))</f>
        <v/>
      </c>
      <c r="B1193" s="78">
        <f>IF($J1193="","",INDEX(EV_Name,$J1193))</f>
        <v/>
      </c>
      <c r="C1193" s="106">
        <f>IF($J1193="","",INDEX(EV_ID,$J1193))</f>
        <v/>
      </c>
      <c r="D1193" s="106">
        <f>IF($J1193="","",INDEX(EV_Class,$J1193))</f>
        <v/>
      </c>
      <c r="E1193" s="106">
        <f>IF($J1193="","",INDEX(EV_Type,$J1193))</f>
        <v/>
      </c>
      <c r="F1193" s="106">
        <f>IF($J1193="","",INDEX(EV_Cum,$J1193))</f>
        <v/>
      </c>
      <c r="G1193" s="106">
        <f>IF($J1193="","",INDEX(LevelLabels,MATCH(F1193,LevelValues,1)))</f>
        <v/>
      </c>
      <c r="H1193" s="106">
        <f>IF($J1193="","",IFERROR(INDEX(Stu_ContactReq,MATCH(C1193,Stu_ID,0)),""))</f>
        <v/>
      </c>
      <c r="I1193" s="107">
        <f>IF($J1193="","",IFERROR(INDEX(Stu_Notes,MATCH(C1193,Stu_ID,0)),""))</f>
        <v/>
      </c>
      <c r="J1193" s="40">
        <f>IF(1188&gt;$B$3,"",IFERROR(MATCH(1188-1,EV_Seq,1)+1,1))</f>
        <v/>
      </c>
    </row>
    <row r="1194">
      <c r="A1194" s="105">
        <f>IF($J1194="","",INDEX(EV_Date,$J1194))</f>
        <v/>
      </c>
      <c r="B1194" s="78">
        <f>IF($J1194="","",INDEX(EV_Name,$J1194))</f>
        <v/>
      </c>
      <c r="C1194" s="106">
        <f>IF($J1194="","",INDEX(EV_ID,$J1194))</f>
        <v/>
      </c>
      <c r="D1194" s="106">
        <f>IF($J1194="","",INDEX(EV_Class,$J1194))</f>
        <v/>
      </c>
      <c r="E1194" s="106">
        <f>IF($J1194="","",INDEX(EV_Type,$J1194))</f>
        <v/>
      </c>
      <c r="F1194" s="106">
        <f>IF($J1194="","",INDEX(EV_Cum,$J1194))</f>
        <v/>
      </c>
      <c r="G1194" s="106">
        <f>IF($J1194="","",INDEX(LevelLabels,MATCH(F1194,LevelValues,1)))</f>
        <v/>
      </c>
      <c r="H1194" s="106">
        <f>IF($J1194="","",IFERROR(INDEX(Stu_ContactReq,MATCH(C1194,Stu_ID,0)),""))</f>
        <v/>
      </c>
      <c r="I1194" s="107">
        <f>IF($J1194="","",IFERROR(INDEX(Stu_Notes,MATCH(C1194,Stu_ID,0)),""))</f>
        <v/>
      </c>
      <c r="J1194" s="40">
        <f>IF(1189&gt;$B$3,"",IFERROR(MATCH(1189-1,EV_Seq,1)+1,1))</f>
        <v/>
      </c>
    </row>
    <row r="1195">
      <c r="A1195" s="105">
        <f>IF($J1195="","",INDEX(EV_Date,$J1195))</f>
        <v/>
      </c>
      <c r="B1195" s="78">
        <f>IF($J1195="","",INDEX(EV_Name,$J1195))</f>
        <v/>
      </c>
      <c r="C1195" s="106">
        <f>IF($J1195="","",INDEX(EV_ID,$J1195))</f>
        <v/>
      </c>
      <c r="D1195" s="106">
        <f>IF($J1195="","",INDEX(EV_Class,$J1195))</f>
        <v/>
      </c>
      <c r="E1195" s="106">
        <f>IF($J1195="","",INDEX(EV_Type,$J1195))</f>
        <v/>
      </c>
      <c r="F1195" s="106">
        <f>IF($J1195="","",INDEX(EV_Cum,$J1195))</f>
        <v/>
      </c>
      <c r="G1195" s="106">
        <f>IF($J1195="","",INDEX(LevelLabels,MATCH(F1195,LevelValues,1)))</f>
        <v/>
      </c>
      <c r="H1195" s="106">
        <f>IF($J1195="","",IFERROR(INDEX(Stu_ContactReq,MATCH(C1195,Stu_ID,0)),""))</f>
        <v/>
      </c>
      <c r="I1195" s="107">
        <f>IF($J1195="","",IFERROR(INDEX(Stu_Notes,MATCH(C1195,Stu_ID,0)),""))</f>
        <v/>
      </c>
      <c r="J1195" s="40">
        <f>IF(1190&gt;$B$3,"",IFERROR(MATCH(1190-1,EV_Seq,1)+1,1))</f>
        <v/>
      </c>
    </row>
    <row r="1196">
      <c r="A1196" s="105">
        <f>IF($J1196="","",INDEX(EV_Date,$J1196))</f>
        <v/>
      </c>
      <c r="B1196" s="78">
        <f>IF($J1196="","",INDEX(EV_Name,$J1196))</f>
        <v/>
      </c>
      <c r="C1196" s="106">
        <f>IF($J1196="","",INDEX(EV_ID,$J1196))</f>
        <v/>
      </c>
      <c r="D1196" s="106">
        <f>IF($J1196="","",INDEX(EV_Class,$J1196))</f>
        <v/>
      </c>
      <c r="E1196" s="106">
        <f>IF($J1196="","",INDEX(EV_Type,$J1196))</f>
        <v/>
      </c>
      <c r="F1196" s="106">
        <f>IF($J1196="","",INDEX(EV_Cum,$J1196))</f>
        <v/>
      </c>
      <c r="G1196" s="106">
        <f>IF($J1196="","",INDEX(LevelLabels,MATCH(F1196,LevelValues,1)))</f>
        <v/>
      </c>
      <c r="H1196" s="106">
        <f>IF($J1196="","",IFERROR(INDEX(Stu_ContactReq,MATCH(C1196,Stu_ID,0)),""))</f>
        <v/>
      </c>
      <c r="I1196" s="107">
        <f>IF($J1196="","",IFERROR(INDEX(Stu_Notes,MATCH(C1196,Stu_ID,0)),""))</f>
        <v/>
      </c>
      <c r="J1196" s="40">
        <f>IF(1191&gt;$B$3,"",IFERROR(MATCH(1191-1,EV_Seq,1)+1,1))</f>
        <v/>
      </c>
    </row>
    <row r="1197">
      <c r="A1197" s="105">
        <f>IF($J1197="","",INDEX(EV_Date,$J1197))</f>
        <v/>
      </c>
      <c r="B1197" s="78">
        <f>IF($J1197="","",INDEX(EV_Name,$J1197))</f>
        <v/>
      </c>
      <c r="C1197" s="106">
        <f>IF($J1197="","",INDEX(EV_ID,$J1197))</f>
        <v/>
      </c>
      <c r="D1197" s="106">
        <f>IF($J1197="","",INDEX(EV_Class,$J1197))</f>
        <v/>
      </c>
      <c r="E1197" s="106">
        <f>IF($J1197="","",INDEX(EV_Type,$J1197))</f>
        <v/>
      </c>
      <c r="F1197" s="106">
        <f>IF($J1197="","",INDEX(EV_Cum,$J1197))</f>
        <v/>
      </c>
      <c r="G1197" s="106">
        <f>IF($J1197="","",INDEX(LevelLabels,MATCH(F1197,LevelValues,1)))</f>
        <v/>
      </c>
      <c r="H1197" s="106">
        <f>IF($J1197="","",IFERROR(INDEX(Stu_ContactReq,MATCH(C1197,Stu_ID,0)),""))</f>
        <v/>
      </c>
      <c r="I1197" s="107">
        <f>IF($J1197="","",IFERROR(INDEX(Stu_Notes,MATCH(C1197,Stu_ID,0)),""))</f>
        <v/>
      </c>
      <c r="J1197" s="40">
        <f>IF(1192&gt;$B$3,"",IFERROR(MATCH(1192-1,EV_Seq,1)+1,1))</f>
        <v/>
      </c>
    </row>
    <row r="1198">
      <c r="A1198" s="105">
        <f>IF($J1198="","",INDEX(EV_Date,$J1198))</f>
        <v/>
      </c>
      <c r="B1198" s="78">
        <f>IF($J1198="","",INDEX(EV_Name,$J1198))</f>
        <v/>
      </c>
      <c r="C1198" s="106">
        <f>IF($J1198="","",INDEX(EV_ID,$J1198))</f>
        <v/>
      </c>
      <c r="D1198" s="106">
        <f>IF($J1198="","",INDEX(EV_Class,$J1198))</f>
        <v/>
      </c>
      <c r="E1198" s="106">
        <f>IF($J1198="","",INDEX(EV_Type,$J1198))</f>
        <v/>
      </c>
      <c r="F1198" s="106">
        <f>IF($J1198="","",INDEX(EV_Cum,$J1198))</f>
        <v/>
      </c>
      <c r="G1198" s="106">
        <f>IF($J1198="","",INDEX(LevelLabels,MATCH(F1198,LevelValues,1)))</f>
        <v/>
      </c>
      <c r="H1198" s="106">
        <f>IF($J1198="","",IFERROR(INDEX(Stu_ContactReq,MATCH(C1198,Stu_ID,0)),""))</f>
        <v/>
      </c>
      <c r="I1198" s="107">
        <f>IF($J1198="","",IFERROR(INDEX(Stu_Notes,MATCH(C1198,Stu_ID,0)),""))</f>
        <v/>
      </c>
      <c r="J1198" s="40">
        <f>IF(1193&gt;$B$3,"",IFERROR(MATCH(1193-1,EV_Seq,1)+1,1))</f>
        <v/>
      </c>
    </row>
    <row r="1199">
      <c r="A1199" s="105">
        <f>IF($J1199="","",INDEX(EV_Date,$J1199))</f>
        <v/>
      </c>
      <c r="B1199" s="78">
        <f>IF($J1199="","",INDEX(EV_Name,$J1199))</f>
        <v/>
      </c>
      <c r="C1199" s="106">
        <f>IF($J1199="","",INDEX(EV_ID,$J1199))</f>
        <v/>
      </c>
      <c r="D1199" s="106">
        <f>IF($J1199="","",INDEX(EV_Class,$J1199))</f>
        <v/>
      </c>
      <c r="E1199" s="106">
        <f>IF($J1199="","",INDEX(EV_Type,$J1199))</f>
        <v/>
      </c>
      <c r="F1199" s="106">
        <f>IF($J1199="","",INDEX(EV_Cum,$J1199))</f>
        <v/>
      </c>
      <c r="G1199" s="106">
        <f>IF($J1199="","",INDEX(LevelLabels,MATCH(F1199,LevelValues,1)))</f>
        <v/>
      </c>
      <c r="H1199" s="106">
        <f>IF($J1199="","",IFERROR(INDEX(Stu_ContactReq,MATCH(C1199,Stu_ID,0)),""))</f>
        <v/>
      </c>
      <c r="I1199" s="107">
        <f>IF($J1199="","",IFERROR(INDEX(Stu_Notes,MATCH(C1199,Stu_ID,0)),""))</f>
        <v/>
      </c>
      <c r="J1199" s="40">
        <f>IF(1194&gt;$B$3,"",IFERROR(MATCH(1194-1,EV_Seq,1)+1,1))</f>
        <v/>
      </c>
    </row>
    <row r="1200">
      <c r="A1200" s="105">
        <f>IF($J1200="","",INDEX(EV_Date,$J1200))</f>
        <v/>
      </c>
      <c r="B1200" s="78">
        <f>IF($J1200="","",INDEX(EV_Name,$J1200))</f>
        <v/>
      </c>
      <c r="C1200" s="106">
        <f>IF($J1200="","",INDEX(EV_ID,$J1200))</f>
        <v/>
      </c>
      <c r="D1200" s="106">
        <f>IF($J1200="","",INDEX(EV_Class,$J1200))</f>
        <v/>
      </c>
      <c r="E1200" s="106">
        <f>IF($J1200="","",INDEX(EV_Type,$J1200))</f>
        <v/>
      </c>
      <c r="F1200" s="106">
        <f>IF($J1200="","",INDEX(EV_Cum,$J1200))</f>
        <v/>
      </c>
      <c r="G1200" s="106">
        <f>IF($J1200="","",INDEX(LevelLabels,MATCH(F1200,LevelValues,1)))</f>
        <v/>
      </c>
      <c r="H1200" s="106">
        <f>IF($J1200="","",IFERROR(INDEX(Stu_ContactReq,MATCH(C1200,Stu_ID,0)),""))</f>
        <v/>
      </c>
      <c r="I1200" s="107">
        <f>IF($J1200="","",IFERROR(INDEX(Stu_Notes,MATCH(C1200,Stu_ID,0)),""))</f>
        <v/>
      </c>
      <c r="J1200" s="40">
        <f>IF(1195&gt;$B$3,"",IFERROR(MATCH(1195-1,EV_Seq,1)+1,1))</f>
        <v/>
      </c>
    </row>
    <row r="1201">
      <c r="A1201" s="105">
        <f>IF($J1201="","",INDEX(EV_Date,$J1201))</f>
        <v/>
      </c>
      <c r="B1201" s="78">
        <f>IF($J1201="","",INDEX(EV_Name,$J1201))</f>
        <v/>
      </c>
      <c r="C1201" s="106">
        <f>IF($J1201="","",INDEX(EV_ID,$J1201))</f>
        <v/>
      </c>
      <c r="D1201" s="106">
        <f>IF($J1201="","",INDEX(EV_Class,$J1201))</f>
        <v/>
      </c>
      <c r="E1201" s="106">
        <f>IF($J1201="","",INDEX(EV_Type,$J1201))</f>
        <v/>
      </c>
      <c r="F1201" s="106">
        <f>IF($J1201="","",INDEX(EV_Cum,$J1201))</f>
        <v/>
      </c>
      <c r="G1201" s="106">
        <f>IF($J1201="","",INDEX(LevelLabels,MATCH(F1201,LevelValues,1)))</f>
        <v/>
      </c>
      <c r="H1201" s="106">
        <f>IF($J1201="","",IFERROR(INDEX(Stu_ContactReq,MATCH(C1201,Stu_ID,0)),""))</f>
        <v/>
      </c>
      <c r="I1201" s="107">
        <f>IF($J1201="","",IFERROR(INDEX(Stu_Notes,MATCH(C1201,Stu_ID,0)),""))</f>
        <v/>
      </c>
      <c r="J1201" s="40">
        <f>IF(1196&gt;$B$3,"",IFERROR(MATCH(1196-1,EV_Seq,1)+1,1))</f>
        <v/>
      </c>
    </row>
    <row r="1202">
      <c r="A1202" s="105">
        <f>IF($J1202="","",INDEX(EV_Date,$J1202))</f>
        <v/>
      </c>
      <c r="B1202" s="78">
        <f>IF($J1202="","",INDEX(EV_Name,$J1202))</f>
        <v/>
      </c>
      <c r="C1202" s="106">
        <f>IF($J1202="","",INDEX(EV_ID,$J1202))</f>
        <v/>
      </c>
      <c r="D1202" s="106">
        <f>IF($J1202="","",INDEX(EV_Class,$J1202))</f>
        <v/>
      </c>
      <c r="E1202" s="106">
        <f>IF($J1202="","",INDEX(EV_Type,$J1202))</f>
        <v/>
      </c>
      <c r="F1202" s="106">
        <f>IF($J1202="","",INDEX(EV_Cum,$J1202))</f>
        <v/>
      </c>
      <c r="G1202" s="106">
        <f>IF($J1202="","",INDEX(LevelLabels,MATCH(F1202,LevelValues,1)))</f>
        <v/>
      </c>
      <c r="H1202" s="106">
        <f>IF($J1202="","",IFERROR(INDEX(Stu_ContactReq,MATCH(C1202,Stu_ID,0)),""))</f>
        <v/>
      </c>
      <c r="I1202" s="107">
        <f>IF($J1202="","",IFERROR(INDEX(Stu_Notes,MATCH(C1202,Stu_ID,0)),""))</f>
        <v/>
      </c>
      <c r="J1202" s="40">
        <f>IF(1197&gt;$B$3,"",IFERROR(MATCH(1197-1,EV_Seq,1)+1,1))</f>
        <v/>
      </c>
    </row>
    <row r="1203">
      <c r="A1203" s="105">
        <f>IF($J1203="","",INDEX(EV_Date,$J1203))</f>
        <v/>
      </c>
      <c r="B1203" s="78">
        <f>IF($J1203="","",INDEX(EV_Name,$J1203))</f>
        <v/>
      </c>
      <c r="C1203" s="106">
        <f>IF($J1203="","",INDEX(EV_ID,$J1203))</f>
        <v/>
      </c>
      <c r="D1203" s="106">
        <f>IF($J1203="","",INDEX(EV_Class,$J1203))</f>
        <v/>
      </c>
      <c r="E1203" s="106">
        <f>IF($J1203="","",INDEX(EV_Type,$J1203))</f>
        <v/>
      </c>
      <c r="F1203" s="106">
        <f>IF($J1203="","",INDEX(EV_Cum,$J1203))</f>
        <v/>
      </c>
      <c r="G1203" s="106">
        <f>IF($J1203="","",INDEX(LevelLabels,MATCH(F1203,LevelValues,1)))</f>
        <v/>
      </c>
      <c r="H1203" s="106">
        <f>IF($J1203="","",IFERROR(INDEX(Stu_ContactReq,MATCH(C1203,Stu_ID,0)),""))</f>
        <v/>
      </c>
      <c r="I1203" s="107">
        <f>IF($J1203="","",IFERROR(INDEX(Stu_Notes,MATCH(C1203,Stu_ID,0)),""))</f>
        <v/>
      </c>
      <c r="J1203" s="40">
        <f>IF(1198&gt;$B$3,"",IFERROR(MATCH(1198-1,EV_Seq,1)+1,1))</f>
        <v/>
      </c>
    </row>
    <row r="1204">
      <c r="A1204" s="105">
        <f>IF($J1204="","",INDEX(EV_Date,$J1204))</f>
        <v/>
      </c>
      <c r="B1204" s="78">
        <f>IF($J1204="","",INDEX(EV_Name,$J1204))</f>
        <v/>
      </c>
      <c r="C1204" s="106">
        <f>IF($J1204="","",INDEX(EV_ID,$J1204))</f>
        <v/>
      </c>
      <c r="D1204" s="106">
        <f>IF($J1204="","",INDEX(EV_Class,$J1204))</f>
        <v/>
      </c>
      <c r="E1204" s="106">
        <f>IF($J1204="","",INDEX(EV_Type,$J1204))</f>
        <v/>
      </c>
      <c r="F1204" s="106">
        <f>IF($J1204="","",INDEX(EV_Cum,$J1204))</f>
        <v/>
      </c>
      <c r="G1204" s="106">
        <f>IF($J1204="","",INDEX(LevelLabels,MATCH(F1204,LevelValues,1)))</f>
        <v/>
      </c>
      <c r="H1204" s="106">
        <f>IF($J1204="","",IFERROR(INDEX(Stu_ContactReq,MATCH(C1204,Stu_ID,0)),""))</f>
        <v/>
      </c>
      <c r="I1204" s="107">
        <f>IF($J1204="","",IFERROR(INDEX(Stu_Notes,MATCH(C1204,Stu_ID,0)),""))</f>
        <v/>
      </c>
      <c r="J1204" s="40">
        <f>IF(1199&gt;$B$3,"",IFERROR(MATCH(1199-1,EV_Seq,1)+1,1))</f>
        <v/>
      </c>
    </row>
    <row r="1205">
      <c r="A1205" s="105">
        <f>IF($J1205="","",INDEX(EV_Date,$J1205))</f>
        <v/>
      </c>
      <c r="B1205" s="78">
        <f>IF($J1205="","",INDEX(EV_Name,$J1205))</f>
        <v/>
      </c>
      <c r="C1205" s="106">
        <f>IF($J1205="","",INDEX(EV_ID,$J1205))</f>
        <v/>
      </c>
      <c r="D1205" s="106">
        <f>IF($J1205="","",INDEX(EV_Class,$J1205))</f>
        <v/>
      </c>
      <c r="E1205" s="106">
        <f>IF($J1205="","",INDEX(EV_Type,$J1205))</f>
        <v/>
      </c>
      <c r="F1205" s="106">
        <f>IF($J1205="","",INDEX(EV_Cum,$J1205))</f>
        <v/>
      </c>
      <c r="G1205" s="106">
        <f>IF($J1205="","",INDEX(LevelLabels,MATCH(F1205,LevelValues,1)))</f>
        <v/>
      </c>
      <c r="H1205" s="106">
        <f>IF($J1205="","",IFERROR(INDEX(Stu_ContactReq,MATCH(C1205,Stu_ID,0)),""))</f>
        <v/>
      </c>
      <c r="I1205" s="107">
        <f>IF($J1205="","",IFERROR(INDEX(Stu_Notes,MATCH(C1205,Stu_ID,0)),""))</f>
        <v/>
      </c>
      <c r="J1205" s="40">
        <f>IF(1200&gt;$B$3,"",IFERROR(MATCH(1200-1,EV_Seq,1)+1,1))</f>
        <v/>
      </c>
    </row>
    <row r="1206">
      <c r="A1206" s="105">
        <f>IF($J1206="","",INDEX(EV_Date,$J1206))</f>
        <v/>
      </c>
      <c r="B1206" s="78">
        <f>IF($J1206="","",INDEX(EV_Name,$J1206))</f>
        <v/>
      </c>
      <c r="C1206" s="106">
        <f>IF($J1206="","",INDEX(EV_ID,$J1206))</f>
        <v/>
      </c>
      <c r="D1206" s="106">
        <f>IF($J1206="","",INDEX(EV_Class,$J1206))</f>
        <v/>
      </c>
      <c r="E1206" s="106">
        <f>IF($J1206="","",INDEX(EV_Type,$J1206))</f>
        <v/>
      </c>
      <c r="F1206" s="106">
        <f>IF($J1206="","",INDEX(EV_Cum,$J1206))</f>
        <v/>
      </c>
      <c r="G1206" s="106">
        <f>IF($J1206="","",INDEX(LevelLabels,MATCH(F1206,LevelValues,1)))</f>
        <v/>
      </c>
      <c r="H1206" s="106">
        <f>IF($J1206="","",IFERROR(INDEX(Stu_ContactReq,MATCH(C1206,Stu_ID,0)),""))</f>
        <v/>
      </c>
      <c r="I1206" s="107">
        <f>IF($J1206="","",IFERROR(INDEX(Stu_Notes,MATCH(C1206,Stu_ID,0)),""))</f>
        <v/>
      </c>
      <c r="J1206" s="40">
        <f>IF(1201&gt;$B$3,"",IFERROR(MATCH(1201-1,EV_Seq,1)+1,1))</f>
        <v/>
      </c>
    </row>
    <row r="1207">
      <c r="A1207" s="105">
        <f>IF($J1207="","",INDEX(EV_Date,$J1207))</f>
        <v/>
      </c>
      <c r="B1207" s="78">
        <f>IF($J1207="","",INDEX(EV_Name,$J1207))</f>
        <v/>
      </c>
      <c r="C1207" s="106">
        <f>IF($J1207="","",INDEX(EV_ID,$J1207))</f>
        <v/>
      </c>
      <c r="D1207" s="106">
        <f>IF($J1207="","",INDEX(EV_Class,$J1207))</f>
        <v/>
      </c>
      <c r="E1207" s="106">
        <f>IF($J1207="","",INDEX(EV_Type,$J1207))</f>
        <v/>
      </c>
      <c r="F1207" s="106">
        <f>IF($J1207="","",INDEX(EV_Cum,$J1207))</f>
        <v/>
      </c>
      <c r="G1207" s="106">
        <f>IF($J1207="","",INDEX(LevelLabels,MATCH(F1207,LevelValues,1)))</f>
        <v/>
      </c>
      <c r="H1207" s="106">
        <f>IF($J1207="","",IFERROR(INDEX(Stu_ContactReq,MATCH(C1207,Stu_ID,0)),""))</f>
        <v/>
      </c>
      <c r="I1207" s="107">
        <f>IF($J1207="","",IFERROR(INDEX(Stu_Notes,MATCH(C1207,Stu_ID,0)),""))</f>
        <v/>
      </c>
      <c r="J1207" s="40">
        <f>IF(1202&gt;$B$3,"",IFERROR(MATCH(1202-1,EV_Seq,1)+1,1))</f>
        <v/>
      </c>
    </row>
    <row r="1208">
      <c r="A1208" s="105">
        <f>IF($J1208="","",INDEX(EV_Date,$J1208))</f>
        <v/>
      </c>
      <c r="B1208" s="78">
        <f>IF($J1208="","",INDEX(EV_Name,$J1208))</f>
        <v/>
      </c>
      <c r="C1208" s="106">
        <f>IF($J1208="","",INDEX(EV_ID,$J1208))</f>
        <v/>
      </c>
      <c r="D1208" s="106">
        <f>IF($J1208="","",INDEX(EV_Class,$J1208))</f>
        <v/>
      </c>
      <c r="E1208" s="106">
        <f>IF($J1208="","",INDEX(EV_Type,$J1208))</f>
        <v/>
      </c>
      <c r="F1208" s="106">
        <f>IF($J1208="","",INDEX(EV_Cum,$J1208))</f>
        <v/>
      </c>
      <c r="G1208" s="106">
        <f>IF($J1208="","",INDEX(LevelLabels,MATCH(F1208,LevelValues,1)))</f>
        <v/>
      </c>
      <c r="H1208" s="106">
        <f>IF($J1208="","",IFERROR(INDEX(Stu_ContactReq,MATCH(C1208,Stu_ID,0)),""))</f>
        <v/>
      </c>
      <c r="I1208" s="107">
        <f>IF($J1208="","",IFERROR(INDEX(Stu_Notes,MATCH(C1208,Stu_ID,0)),""))</f>
        <v/>
      </c>
      <c r="J1208" s="40">
        <f>IF(1203&gt;$B$3,"",IFERROR(MATCH(1203-1,EV_Seq,1)+1,1))</f>
        <v/>
      </c>
    </row>
    <row r="1209">
      <c r="A1209" s="105">
        <f>IF($J1209="","",INDEX(EV_Date,$J1209))</f>
        <v/>
      </c>
      <c r="B1209" s="78">
        <f>IF($J1209="","",INDEX(EV_Name,$J1209))</f>
        <v/>
      </c>
      <c r="C1209" s="106">
        <f>IF($J1209="","",INDEX(EV_ID,$J1209))</f>
        <v/>
      </c>
      <c r="D1209" s="106">
        <f>IF($J1209="","",INDEX(EV_Class,$J1209))</f>
        <v/>
      </c>
      <c r="E1209" s="106">
        <f>IF($J1209="","",INDEX(EV_Type,$J1209))</f>
        <v/>
      </c>
      <c r="F1209" s="106">
        <f>IF($J1209="","",INDEX(EV_Cum,$J1209))</f>
        <v/>
      </c>
      <c r="G1209" s="106">
        <f>IF($J1209="","",INDEX(LevelLabels,MATCH(F1209,LevelValues,1)))</f>
        <v/>
      </c>
      <c r="H1209" s="106">
        <f>IF($J1209="","",IFERROR(INDEX(Stu_ContactReq,MATCH(C1209,Stu_ID,0)),""))</f>
        <v/>
      </c>
      <c r="I1209" s="107">
        <f>IF($J1209="","",IFERROR(INDEX(Stu_Notes,MATCH(C1209,Stu_ID,0)),""))</f>
        <v/>
      </c>
      <c r="J1209" s="40">
        <f>IF(1204&gt;$B$3,"",IFERROR(MATCH(1204-1,EV_Seq,1)+1,1))</f>
        <v/>
      </c>
    </row>
    <row r="1210">
      <c r="A1210" s="105">
        <f>IF($J1210="","",INDEX(EV_Date,$J1210))</f>
        <v/>
      </c>
      <c r="B1210" s="78">
        <f>IF($J1210="","",INDEX(EV_Name,$J1210))</f>
        <v/>
      </c>
      <c r="C1210" s="106">
        <f>IF($J1210="","",INDEX(EV_ID,$J1210))</f>
        <v/>
      </c>
      <c r="D1210" s="106">
        <f>IF($J1210="","",INDEX(EV_Class,$J1210))</f>
        <v/>
      </c>
      <c r="E1210" s="106">
        <f>IF($J1210="","",INDEX(EV_Type,$J1210))</f>
        <v/>
      </c>
      <c r="F1210" s="106">
        <f>IF($J1210="","",INDEX(EV_Cum,$J1210))</f>
        <v/>
      </c>
      <c r="G1210" s="106">
        <f>IF($J1210="","",INDEX(LevelLabels,MATCH(F1210,LevelValues,1)))</f>
        <v/>
      </c>
      <c r="H1210" s="106">
        <f>IF($J1210="","",IFERROR(INDEX(Stu_ContactReq,MATCH(C1210,Stu_ID,0)),""))</f>
        <v/>
      </c>
      <c r="I1210" s="107">
        <f>IF($J1210="","",IFERROR(INDEX(Stu_Notes,MATCH(C1210,Stu_ID,0)),""))</f>
        <v/>
      </c>
      <c r="J1210" s="40">
        <f>IF(1205&gt;$B$3,"",IFERROR(MATCH(1205-1,EV_Seq,1)+1,1))</f>
        <v/>
      </c>
    </row>
    <row r="1211">
      <c r="A1211" s="105">
        <f>IF($J1211="","",INDEX(EV_Date,$J1211))</f>
        <v/>
      </c>
      <c r="B1211" s="78">
        <f>IF($J1211="","",INDEX(EV_Name,$J1211))</f>
        <v/>
      </c>
      <c r="C1211" s="106">
        <f>IF($J1211="","",INDEX(EV_ID,$J1211))</f>
        <v/>
      </c>
      <c r="D1211" s="106">
        <f>IF($J1211="","",INDEX(EV_Class,$J1211))</f>
        <v/>
      </c>
      <c r="E1211" s="106">
        <f>IF($J1211="","",INDEX(EV_Type,$J1211))</f>
        <v/>
      </c>
      <c r="F1211" s="106">
        <f>IF($J1211="","",INDEX(EV_Cum,$J1211))</f>
        <v/>
      </c>
      <c r="G1211" s="106">
        <f>IF($J1211="","",INDEX(LevelLabels,MATCH(F1211,LevelValues,1)))</f>
        <v/>
      </c>
      <c r="H1211" s="106">
        <f>IF($J1211="","",IFERROR(INDEX(Stu_ContactReq,MATCH(C1211,Stu_ID,0)),""))</f>
        <v/>
      </c>
      <c r="I1211" s="107">
        <f>IF($J1211="","",IFERROR(INDEX(Stu_Notes,MATCH(C1211,Stu_ID,0)),""))</f>
        <v/>
      </c>
      <c r="J1211" s="40">
        <f>IF(1206&gt;$B$3,"",IFERROR(MATCH(1206-1,EV_Seq,1)+1,1))</f>
        <v/>
      </c>
    </row>
    <row r="1212">
      <c r="A1212" s="105">
        <f>IF($J1212="","",INDEX(EV_Date,$J1212))</f>
        <v/>
      </c>
      <c r="B1212" s="78">
        <f>IF($J1212="","",INDEX(EV_Name,$J1212))</f>
        <v/>
      </c>
      <c r="C1212" s="106">
        <f>IF($J1212="","",INDEX(EV_ID,$J1212))</f>
        <v/>
      </c>
      <c r="D1212" s="106">
        <f>IF($J1212="","",INDEX(EV_Class,$J1212))</f>
        <v/>
      </c>
      <c r="E1212" s="106">
        <f>IF($J1212="","",INDEX(EV_Type,$J1212))</f>
        <v/>
      </c>
      <c r="F1212" s="106">
        <f>IF($J1212="","",INDEX(EV_Cum,$J1212))</f>
        <v/>
      </c>
      <c r="G1212" s="106">
        <f>IF($J1212="","",INDEX(LevelLabels,MATCH(F1212,LevelValues,1)))</f>
        <v/>
      </c>
      <c r="H1212" s="106">
        <f>IF($J1212="","",IFERROR(INDEX(Stu_ContactReq,MATCH(C1212,Stu_ID,0)),""))</f>
        <v/>
      </c>
      <c r="I1212" s="107">
        <f>IF($J1212="","",IFERROR(INDEX(Stu_Notes,MATCH(C1212,Stu_ID,0)),""))</f>
        <v/>
      </c>
      <c r="J1212" s="40">
        <f>IF(1207&gt;$B$3,"",IFERROR(MATCH(1207-1,EV_Seq,1)+1,1))</f>
        <v/>
      </c>
    </row>
    <row r="1213">
      <c r="A1213" s="105">
        <f>IF($J1213="","",INDEX(EV_Date,$J1213))</f>
        <v/>
      </c>
      <c r="B1213" s="78">
        <f>IF($J1213="","",INDEX(EV_Name,$J1213))</f>
        <v/>
      </c>
      <c r="C1213" s="106">
        <f>IF($J1213="","",INDEX(EV_ID,$J1213))</f>
        <v/>
      </c>
      <c r="D1213" s="106">
        <f>IF($J1213="","",INDEX(EV_Class,$J1213))</f>
        <v/>
      </c>
      <c r="E1213" s="106">
        <f>IF($J1213="","",INDEX(EV_Type,$J1213))</f>
        <v/>
      </c>
      <c r="F1213" s="106">
        <f>IF($J1213="","",INDEX(EV_Cum,$J1213))</f>
        <v/>
      </c>
      <c r="G1213" s="106">
        <f>IF($J1213="","",INDEX(LevelLabels,MATCH(F1213,LevelValues,1)))</f>
        <v/>
      </c>
      <c r="H1213" s="106">
        <f>IF($J1213="","",IFERROR(INDEX(Stu_ContactReq,MATCH(C1213,Stu_ID,0)),""))</f>
        <v/>
      </c>
      <c r="I1213" s="107">
        <f>IF($J1213="","",IFERROR(INDEX(Stu_Notes,MATCH(C1213,Stu_ID,0)),""))</f>
        <v/>
      </c>
      <c r="J1213" s="40">
        <f>IF(1208&gt;$B$3,"",IFERROR(MATCH(1208-1,EV_Seq,1)+1,1))</f>
        <v/>
      </c>
    </row>
    <row r="1214">
      <c r="A1214" s="105">
        <f>IF($J1214="","",INDEX(EV_Date,$J1214))</f>
        <v/>
      </c>
      <c r="B1214" s="78">
        <f>IF($J1214="","",INDEX(EV_Name,$J1214))</f>
        <v/>
      </c>
      <c r="C1214" s="106">
        <f>IF($J1214="","",INDEX(EV_ID,$J1214))</f>
        <v/>
      </c>
      <c r="D1214" s="106">
        <f>IF($J1214="","",INDEX(EV_Class,$J1214))</f>
        <v/>
      </c>
      <c r="E1214" s="106">
        <f>IF($J1214="","",INDEX(EV_Type,$J1214))</f>
        <v/>
      </c>
      <c r="F1214" s="106">
        <f>IF($J1214="","",INDEX(EV_Cum,$J1214))</f>
        <v/>
      </c>
      <c r="G1214" s="106">
        <f>IF($J1214="","",INDEX(LevelLabels,MATCH(F1214,LevelValues,1)))</f>
        <v/>
      </c>
      <c r="H1214" s="106">
        <f>IF($J1214="","",IFERROR(INDEX(Stu_ContactReq,MATCH(C1214,Stu_ID,0)),""))</f>
        <v/>
      </c>
      <c r="I1214" s="107">
        <f>IF($J1214="","",IFERROR(INDEX(Stu_Notes,MATCH(C1214,Stu_ID,0)),""))</f>
        <v/>
      </c>
      <c r="J1214" s="40">
        <f>IF(1209&gt;$B$3,"",IFERROR(MATCH(1209-1,EV_Seq,1)+1,1))</f>
        <v/>
      </c>
    </row>
    <row r="1215">
      <c r="A1215" s="105">
        <f>IF($J1215="","",INDEX(EV_Date,$J1215))</f>
        <v/>
      </c>
      <c r="B1215" s="78">
        <f>IF($J1215="","",INDEX(EV_Name,$J1215))</f>
        <v/>
      </c>
      <c r="C1215" s="106">
        <f>IF($J1215="","",INDEX(EV_ID,$J1215))</f>
        <v/>
      </c>
      <c r="D1215" s="106">
        <f>IF($J1215="","",INDEX(EV_Class,$J1215))</f>
        <v/>
      </c>
      <c r="E1215" s="106">
        <f>IF($J1215="","",INDEX(EV_Type,$J1215))</f>
        <v/>
      </c>
      <c r="F1215" s="106">
        <f>IF($J1215="","",INDEX(EV_Cum,$J1215))</f>
        <v/>
      </c>
      <c r="G1215" s="106">
        <f>IF($J1215="","",INDEX(LevelLabels,MATCH(F1215,LevelValues,1)))</f>
        <v/>
      </c>
      <c r="H1215" s="106">
        <f>IF($J1215="","",IFERROR(INDEX(Stu_ContactReq,MATCH(C1215,Stu_ID,0)),""))</f>
        <v/>
      </c>
      <c r="I1215" s="107">
        <f>IF($J1215="","",IFERROR(INDEX(Stu_Notes,MATCH(C1215,Stu_ID,0)),""))</f>
        <v/>
      </c>
      <c r="J1215" s="40">
        <f>IF(1210&gt;$B$3,"",IFERROR(MATCH(1210-1,EV_Seq,1)+1,1))</f>
        <v/>
      </c>
    </row>
    <row r="1216">
      <c r="A1216" s="105">
        <f>IF($J1216="","",INDEX(EV_Date,$J1216))</f>
        <v/>
      </c>
      <c r="B1216" s="78">
        <f>IF($J1216="","",INDEX(EV_Name,$J1216))</f>
        <v/>
      </c>
      <c r="C1216" s="106">
        <f>IF($J1216="","",INDEX(EV_ID,$J1216))</f>
        <v/>
      </c>
      <c r="D1216" s="106">
        <f>IF($J1216="","",INDEX(EV_Class,$J1216))</f>
        <v/>
      </c>
      <c r="E1216" s="106">
        <f>IF($J1216="","",INDEX(EV_Type,$J1216))</f>
        <v/>
      </c>
      <c r="F1216" s="106">
        <f>IF($J1216="","",INDEX(EV_Cum,$J1216))</f>
        <v/>
      </c>
      <c r="G1216" s="106">
        <f>IF($J1216="","",INDEX(LevelLabels,MATCH(F1216,LevelValues,1)))</f>
        <v/>
      </c>
      <c r="H1216" s="106">
        <f>IF($J1216="","",IFERROR(INDEX(Stu_ContactReq,MATCH(C1216,Stu_ID,0)),""))</f>
        <v/>
      </c>
      <c r="I1216" s="107">
        <f>IF($J1216="","",IFERROR(INDEX(Stu_Notes,MATCH(C1216,Stu_ID,0)),""))</f>
        <v/>
      </c>
      <c r="J1216" s="40">
        <f>IF(1211&gt;$B$3,"",IFERROR(MATCH(1211-1,EV_Seq,1)+1,1))</f>
        <v/>
      </c>
    </row>
    <row r="1217">
      <c r="A1217" s="105">
        <f>IF($J1217="","",INDEX(EV_Date,$J1217))</f>
        <v/>
      </c>
      <c r="B1217" s="78">
        <f>IF($J1217="","",INDEX(EV_Name,$J1217))</f>
        <v/>
      </c>
      <c r="C1217" s="106">
        <f>IF($J1217="","",INDEX(EV_ID,$J1217))</f>
        <v/>
      </c>
      <c r="D1217" s="106">
        <f>IF($J1217="","",INDEX(EV_Class,$J1217))</f>
        <v/>
      </c>
      <c r="E1217" s="106">
        <f>IF($J1217="","",INDEX(EV_Type,$J1217))</f>
        <v/>
      </c>
      <c r="F1217" s="106">
        <f>IF($J1217="","",INDEX(EV_Cum,$J1217))</f>
        <v/>
      </c>
      <c r="G1217" s="106">
        <f>IF($J1217="","",INDEX(LevelLabels,MATCH(F1217,LevelValues,1)))</f>
        <v/>
      </c>
      <c r="H1217" s="106">
        <f>IF($J1217="","",IFERROR(INDEX(Stu_ContactReq,MATCH(C1217,Stu_ID,0)),""))</f>
        <v/>
      </c>
      <c r="I1217" s="107">
        <f>IF($J1217="","",IFERROR(INDEX(Stu_Notes,MATCH(C1217,Stu_ID,0)),""))</f>
        <v/>
      </c>
      <c r="J1217" s="40">
        <f>IF(1212&gt;$B$3,"",IFERROR(MATCH(1212-1,EV_Seq,1)+1,1))</f>
        <v/>
      </c>
    </row>
    <row r="1218">
      <c r="A1218" s="105">
        <f>IF($J1218="","",INDEX(EV_Date,$J1218))</f>
        <v/>
      </c>
      <c r="B1218" s="78">
        <f>IF($J1218="","",INDEX(EV_Name,$J1218))</f>
        <v/>
      </c>
      <c r="C1218" s="106">
        <f>IF($J1218="","",INDEX(EV_ID,$J1218))</f>
        <v/>
      </c>
      <c r="D1218" s="106">
        <f>IF($J1218="","",INDEX(EV_Class,$J1218))</f>
        <v/>
      </c>
      <c r="E1218" s="106">
        <f>IF($J1218="","",INDEX(EV_Type,$J1218))</f>
        <v/>
      </c>
      <c r="F1218" s="106">
        <f>IF($J1218="","",INDEX(EV_Cum,$J1218))</f>
        <v/>
      </c>
      <c r="G1218" s="106">
        <f>IF($J1218="","",INDEX(LevelLabels,MATCH(F1218,LevelValues,1)))</f>
        <v/>
      </c>
      <c r="H1218" s="106">
        <f>IF($J1218="","",IFERROR(INDEX(Stu_ContactReq,MATCH(C1218,Stu_ID,0)),""))</f>
        <v/>
      </c>
      <c r="I1218" s="107">
        <f>IF($J1218="","",IFERROR(INDEX(Stu_Notes,MATCH(C1218,Stu_ID,0)),""))</f>
        <v/>
      </c>
      <c r="J1218" s="40">
        <f>IF(1213&gt;$B$3,"",IFERROR(MATCH(1213-1,EV_Seq,1)+1,1))</f>
        <v/>
      </c>
    </row>
    <row r="1219">
      <c r="A1219" s="105">
        <f>IF($J1219="","",INDEX(EV_Date,$J1219))</f>
        <v/>
      </c>
      <c r="B1219" s="78">
        <f>IF($J1219="","",INDEX(EV_Name,$J1219))</f>
        <v/>
      </c>
      <c r="C1219" s="106">
        <f>IF($J1219="","",INDEX(EV_ID,$J1219))</f>
        <v/>
      </c>
      <c r="D1219" s="106">
        <f>IF($J1219="","",INDEX(EV_Class,$J1219))</f>
        <v/>
      </c>
      <c r="E1219" s="106">
        <f>IF($J1219="","",INDEX(EV_Type,$J1219))</f>
        <v/>
      </c>
      <c r="F1219" s="106">
        <f>IF($J1219="","",INDEX(EV_Cum,$J1219))</f>
        <v/>
      </c>
      <c r="G1219" s="106">
        <f>IF($J1219="","",INDEX(LevelLabels,MATCH(F1219,LevelValues,1)))</f>
        <v/>
      </c>
      <c r="H1219" s="106">
        <f>IF($J1219="","",IFERROR(INDEX(Stu_ContactReq,MATCH(C1219,Stu_ID,0)),""))</f>
        <v/>
      </c>
      <c r="I1219" s="107">
        <f>IF($J1219="","",IFERROR(INDEX(Stu_Notes,MATCH(C1219,Stu_ID,0)),""))</f>
        <v/>
      </c>
      <c r="J1219" s="40">
        <f>IF(1214&gt;$B$3,"",IFERROR(MATCH(1214-1,EV_Seq,1)+1,1))</f>
        <v/>
      </c>
    </row>
    <row r="1220">
      <c r="A1220" s="105">
        <f>IF($J1220="","",INDEX(EV_Date,$J1220))</f>
        <v/>
      </c>
      <c r="B1220" s="78">
        <f>IF($J1220="","",INDEX(EV_Name,$J1220))</f>
        <v/>
      </c>
      <c r="C1220" s="106">
        <f>IF($J1220="","",INDEX(EV_ID,$J1220))</f>
        <v/>
      </c>
      <c r="D1220" s="106">
        <f>IF($J1220="","",INDEX(EV_Class,$J1220))</f>
        <v/>
      </c>
      <c r="E1220" s="106">
        <f>IF($J1220="","",INDEX(EV_Type,$J1220))</f>
        <v/>
      </c>
      <c r="F1220" s="106">
        <f>IF($J1220="","",INDEX(EV_Cum,$J1220))</f>
        <v/>
      </c>
      <c r="G1220" s="106">
        <f>IF($J1220="","",INDEX(LevelLabels,MATCH(F1220,LevelValues,1)))</f>
        <v/>
      </c>
      <c r="H1220" s="106">
        <f>IF($J1220="","",IFERROR(INDEX(Stu_ContactReq,MATCH(C1220,Stu_ID,0)),""))</f>
        <v/>
      </c>
      <c r="I1220" s="107">
        <f>IF($J1220="","",IFERROR(INDEX(Stu_Notes,MATCH(C1220,Stu_ID,0)),""))</f>
        <v/>
      </c>
      <c r="J1220" s="40">
        <f>IF(1215&gt;$B$3,"",IFERROR(MATCH(1215-1,EV_Seq,1)+1,1))</f>
        <v/>
      </c>
    </row>
    <row r="1221">
      <c r="A1221" s="105">
        <f>IF($J1221="","",INDEX(EV_Date,$J1221))</f>
        <v/>
      </c>
      <c r="B1221" s="78">
        <f>IF($J1221="","",INDEX(EV_Name,$J1221))</f>
        <v/>
      </c>
      <c r="C1221" s="106">
        <f>IF($J1221="","",INDEX(EV_ID,$J1221))</f>
        <v/>
      </c>
      <c r="D1221" s="106">
        <f>IF($J1221="","",INDEX(EV_Class,$J1221))</f>
        <v/>
      </c>
      <c r="E1221" s="106">
        <f>IF($J1221="","",INDEX(EV_Type,$J1221))</f>
        <v/>
      </c>
      <c r="F1221" s="106">
        <f>IF($J1221="","",INDEX(EV_Cum,$J1221))</f>
        <v/>
      </c>
      <c r="G1221" s="106">
        <f>IF($J1221="","",INDEX(LevelLabels,MATCH(F1221,LevelValues,1)))</f>
        <v/>
      </c>
      <c r="H1221" s="106">
        <f>IF($J1221="","",IFERROR(INDEX(Stu_ContactReq,MATCH(C1221,Stu_ID,0)),""))</f>
        <v/>
      </c>
      <c r="I1221" s="107">
        <f>IF($J1221="","",IFERROR(INDEX(Stu_Notes,MATCH(C1221,Stu_ID,0)),""))</f>
        <v/>
      </c>
      <c r="J1221" s="40">
        <f>IF(1216&gt;$B$3,"",IFERROR(MATCH(1216-1,EV_Seq,1)+1,1))</f>
        <v/>
      </c>
    </row>
    <row r="1222">
      <c r="A1222" s="105">
        <f>IF($J1222="","",INDEX(EV_Date,$J1222))</f>
        <v/>
      </c>
      <c r="B1222" s="78">
        <f>IF($J1222="","",INDEX(EV_Name,$J1222))</f>
        <v/>
      </c>
      <c r="C1222" s="106">
        <f>IF($J1222="","",INDEX(EV_ID,$J1222))</f>
        <v/>
      </c>
      <c r="D1222" s="106">
        <f>IF($J1222="","",INDEX(EV_Class,$J1222))</f>
        <v/>
      </c>
      <c r="E1222" s="106">
        <f>IF($J1222="","",INDEX(EV_Type,$J1222))</f>
        <v/>
      </c>
      <c r="F1222" s="106">
        <f>IF($J1222="","",INDEX(EV_Cum,$J1222))</f>
        <v/>
      </c>
      <c r="G1222" s="106">
        <f>IF($J1222="","",INDEX(LevelLabels,MATCH(F1222,LevelValues,1)))</f>
        <v/>
      </c>
      <c r="H1222" s="106">
        <f>IF($J1222="","",IFERROR(INDEX(Stu_ContactReq,MATCH(C1222,Stu_ID,0)),""))</f>
        <v/>
      </c>
      <c r="I1222" s="107">
        <f>IF($J1222="","",IFERROR(INDEX(Stu_Notes,MATCH(C1222,Stu_ID,0)),""))</f>
        <v/>
      </c>
      <c r="J1222" s="40">
        <f>IF(1217&gt;$B$3,"",IFERROR(MATCH(1217-1,EV_Seq,1)+1,1))</f>
        <v/>
      </c>
    </row>
    <row r="1223">
      <c r="A1223" s="105">
        <f>IF($J1223="","",INDEX(EV_Date,$J1223))</f>
        <v/>
      </c>
      <c r="B1223" s="78">
        <f>IF($J1223="","",INDEX(EV_Name,$J1223))</f>
        <v/>
      </c>
      <c r="C1223" s="106">
        <f>IF($J1223="","",INDEX(EV_ID,$J1223))</f>
        <v/>
      </c>
      <c r="D1223" s="106">
        <f>IF($J1223="","",INDEX(EV_Class,$J1223))</f>
        <v/>
      </c>
      <c r="E1223" s="106">
        <f>IF($J1223="","",INDEX(EV_Type,$J1223))</f>
        <v/>
      </c>
      <c r="F1223" s="106">
        <f>IF($J1223="","",INDEX(EV_Cum,$J1223))</f>
        <v/>
      </c>
      <c r="G1223" s="106">
        <f>IF($J1223="","",INDEX(LevelLabels,MATCH(F1223,LevelValues,1)))</f>
        <v/>
      </c>
      <c r="H1223" s="106">
        <f>IF($J1223="","",IFERROR(INDEX(Stu_ContactReq,MATCH(C1223,Stu_ID,0)),""))</f>
        <v/>
      </c>
      <c r="I1223" s="107">
        <f>IF($J1223="","",IFERROR(INDEX(Stu_Notes,MATCH(C1223,Stu_ID,0)),""))</f>
        <v/>
      </c>
      <c r="J1223" s="40">
        <f>IF(1218&gt;$B$3,"",IFERROR(MATCH(1218-1,EV_Seq,1)+1,1))</f>
        <v/>
      </c>
    </row>
    <row r="1224">
      <c r="A1224" s="105">
        <f>IF($J1224="","",INDEX(EV_Date,$J1224))</f>
        <v/>
      </c>
      <c r="B1224" s="78">
        <f>IF($J1224="","",INDEX(EV_Name,$J1224))</f>
        <v/>
      </c>
      <c r="C1224" s="106">
        <f>IF($J1224="","",INDEX(EV_ID,$J1224))</f>
        <v/>
      </c>
      <c r="D1224" s="106">
        <f>IF($J1224="","",INDEX(EV_Class,$J1224))</f>
        <v/>
      </c>
      <c r="E1224" s="106">
        <f>IF($J1224="","",INDEX(EV_Type,$J1224))</f>
        <v/>
      </c>
      <c r="F1224" s="106">
        <f>IF($J1224="","",INDEX(EV_Cum,$J1224))</f>
        <v/>
      </c>
      <c r="G1224" s="106">
        <f>IF($J1224="","",INDEX(LevelLabels,MATCH(F1224,LevelValues,1)))</f>
        <v/>
      </c>
      <c r="H1224" s="106">
        <f>IF($J1224="","",IFERROR(INDEX(Stu_ContactReq,MATCH(C1224,Stu_ID,0)),""))</f>
        <v/>
      </c>
      <c r="I1224" s="107">
        <f>IF($J1224="","",IFERROR(INDEX(Stu_Notes,MATCH(C1224,Stu_ID,0)),""))</f>
        <v/>
      </c>
      <c r="J1224" s="40">
        <f>IF(1219&gt;$B$3,"",IFERROR(MATCH(1219-1,EV_Seq,1)+1,1))</f>
        <v/>
      </c>
    </row>
    <row r="1225">
      <c r="A1225" s="105">
        <f>IF($J1225="","",INDEX(EV_Date,$J1225))</f>
        <v/>
      </c>
      <c r="B1225" s="78">
        <f>IF($J1225="","",INDEX(EV_Name,$J1225))</f>
        <v/>
      </c>
      <c r="C1225" s="106">
        <f>IF($J1225="","",INDEX(EV_ID,$J1225))</f>
        <v/>
      </c>
      <c r="D1225" s="106">
        <f>IF($J1225="","",INDEX(EV_Class,$J1225))</f>
        <v/>
      </c>
      <c r="E1225" s="106">
        <f>IF($J1225="","",INDEX(EV_Type,$J1225))</f>
        <v/>
      </c>
      <c r="F1225" s="106">
        <f>IF($J1225="","",INDEX(EV_Cum,$J1225))</f>
        <v/>
      </c>
      <c r="G1225" s="106">
        <f>IF($J1225="","",INDEX(LevelLabels,MATCH(F1225,LevelValues,1)))</f>
        <v/>
      </c>
      <c r="H1225" s="106">
        <f>IF($J1225="","",IFERROR(INDEX(Stu_ContactReq,MATCH(C1225,Stu_ID,0)),""))</f>
        <v/>
      </c>
      <c r="I1225" s="107">
        <f>IF($J1225="","",IFERROR(INDEX(Stu_Notes,MATCH(C1225,Stu_ID,0)),""))</f>
        <v/>
      </c>
      <c r="J1225" s="40">
        <f>IF(1220&gt;$B$3,"",IFERROR(MATCH(1220-1,EV_Seq,1)+1,1))</f>
        <v/>
      </c>
    </row>
    <row r="1226">
      <c r="A1226" s="105">
        <f>IF($J1226="","",INDEX(EV_Date,$J1226))</f>
        <v/>
      </c>
      <c r="B1226" s="78">
        <f>IF($J1226="","",INDEX(EV_Name,$J1226))</f>
        <v/>
      </c>
      <c r="C1226" s="106">
        <f>IF($J1226="","",INDEX(EV_ID,$J1226))</f>
        <v/>
      </c>
      <c r="D1226" s="106">
        <f>IF($J1226="","",INDEX(EV_Class,$J1226))</f>
        <v/>
      </c>
      <c r="E1226" s="106">
        <f>IF($J1226="","",INDEX(EV_Type,$J1226))</f>
        <v/>
      </c>
      <c r="F1226" s="106">
        <f>IF($J1226="","",INDEX(EV_Cum,$J1226))</f>
        <v/>
      </c>
      <c r="G1226" s="106">
        <f>IF($J1226="","",INDEX(LevelLabels,MATCH(F1226,LevelValues,1)))</f>
        <v/>
      </c>
      <c r="H1226" s="106">
        <f>IF($J1226="","",IFERROR(INDEX(Stu_ContactReq,MATCH(C1226,Stu_ID,0)),""))</f>
        <v/>
      </c>
      <c r="I1226" s="107">
        <f>IF($J1226="","",IFERROR(INDEX(Stu_Notes,MATCH(C1226,Stu_ID,0)),""))</f>
        <v/>
      </c>
      <c r="J1226" s="40">
        <f>IF(1221&gt;$B$3,"",IFERROR(MATCH(1221-1,EV_Seq,1)+1,1))</f>
        <v/>
      </c>
    </row>
    <row r="1227">
      <c r="A1227" s="105">
        <f>IF($J1227="","",INDEX(EV_Date,$J1227))</f>
        <v/>
      </c>
      <c r="B1227" s="78">
        <f>IF($J1227="","",INDEX(EV_Name,$J1227))</f>
        <v/>
      </c>
      <c r="C1227" s="106">
        <f>IF($J1227="","",INDEX(EV_ID,$J1227))</f>
        <v/>
      </c>
      <c r="D1227" s="106">
        <f>IF($J1227="","",INDEX(EV_Class,$J1227))</f>
        <v/>
      </c>
      <c r="E1227" s="106">
        <f>IF($J1227="","",INDEX(EV_Type,$J1227))</f>
        <v/>
      </c>
      <c r="F1227" s="106">
        <f>IF($J1227="","",INDEX(EV_Cum,$J1227))</f>
        <v/>
      </c>
      <c r="G1227" s="106">
        <f>IF($J1227="","",INDEX(LevelLabels,MATCH(F1227,LevelValues,1)))</f>
        <v/>
      </c>
      <c r="H1227" s="106">
        <f>IF($J1227="","",IFERROR(INDEX(Stu_ContactReq,MATCH(C1227,Stu_ID,0)),""))</f>
        <v/>
      </c>
      <c r="I1227" s="107">
        <f>IF($J1227="","",IFERROR(INDEX(Stu_Notes,MATCH(C1227,Stu_ID,0)),""))</f>
        <v/>
      </c>
      <c r="J1227" s="40">
        <f>IF(1222&gt;$B$3,"",IFERROR(MATCH(1222-1,EV_Seq,1)+1,1))</f>
        <v/>
      </c>
    </row>
    <row r="1228">
      <c r="A1228" s="105">
        <f>IF($J1228="","",INDEX(EV_Date,$J1228))</f>
        <v/>
      </c>
      <c r="B1228" s="78">
        <f>IF($J1228="","",INDEX(EV_Name,$J1228))</f>
        <v/>
      </c>
      <c r="C1228" s="106">
        <f>IF($J1228="","",INDEX(EV_ID,$J1228))</f>
        <v/>
      </c>
      <c r="D1228" s="106">
        <f>IF($J1228="","",INDEX(EV_Class,$J1228))</f>
        <v/>
      </c>
      <c r="E1228" s="106">
        <f>IF($J1228="","",INDEX(EV_Type,$J1228))</f>
        <v/>
      </c>
      <c r="F1228" s="106">
        <f>IF($J1228="","",INDEX(EV_Cum,$J1228))</f>
        <v/>
      </c>
      <c r="G1228" s="106">
        <f>IF($J1228="","",INDEX(LevelLabels,MATCH(F1228,LevelValues,1)))</f>
        <v/>
      </c>
      <c r="H1228" s="106">
        <f>IF($J1228="","",IFERROR(INDEX(Stu_ContactReq,MATCH(C1228,Stu_ID,0)),""))</f>
        <v/>
      </c>
      <c r="I1228" s="107">
        <f>IF($J1228="","",IFERROR(INDEX(Stu_Notes,MATCH(C1228,Stu_ID,0)),""))</f>
        <v/>
      </c>
      <c r="J1228" s="40">
        <f>IF(1223&gt;$B$3,"",IFERROR(MATCH(1223-1,EV_Seq,1)+1,1))</f>
        <v/>
      </c>
    </row>
    <row r="1229">
      <c r="A1229" s="105">
        <f>IF($J1229="","",INDEX(EV_Date,$J1229))</f>
        <v/>
      </c>
      <c r="B1229" s="78">
        <f>IF($J1229="","",INDEX(EV_Name,$J1229))</f>
        <v/>
      </c>
      <c r="C1229" s="106">
        <f>IF($J1229="","",INDEX(EV_ID,$J1229))</f>
        <v/>
      </c>
      <c r="D1229" s="106">
        <f>IF($J1229="","",INDEX(EV_Class,$J1229))</f>
        <v/>
      </c>
      <c r="E1229" s="106">
        <f>IF($J1229="","",INDEX(EV_Type,$J1229))</f>
        <v/>
      </c>
      <c r="F1229" s="106">
        <f>IF($J1229="","",INDEX(EV_Cum,$J1229))</f>
        <v/>
      </c>
      <c r="G1229" s="106">
        <f>IF($J1229="","",INDEX(LevelLabels,MATCH(F1229,LevelValues,1)))</f>
        <v/>
      </c>
      <c r="H1229" s="106">
        <f>IF($J1229="","",IFERROR(INDEX(Stu_ContactReq,MATCH(C1229,Stu_ID,0)),""))</f>
        <v/>
      </c>
      <c r="I1229" s="107">
        <f>IF($J1229="","",IFERROR(INDEX(Stu_Notes,MATCH(C1229,Stu_ID,0)),""))</f>
        <v/>
      </c>
      <c r="J1229" s="40">
        <f>IF(1224&gt;$B$3,"",IFERROR(MATCH(1224-1,EV_Seq,1)+1,1))</f>
        <v/>
      </c>
    </row>
    <row r="1230">
      <c r="A1230" s="105">
        <f>IF($J1230="","",INDEX(EV_Date,$J1230))</f>
        <v/>
      </c>
      <c r="B1230" s="78">
        <f>IF($J1230="","",INDEX(EV_Name,$J1230))</f>
        <v/>
      </c>
      <c r="C1230" s="106">
        <f>IF($J1230="","",INDEX(EV_ID,$J1230))</f>
        <v/>
      </c>
      <c r="D1230" s="106">
        <f>IF($J1230="","",INDEX(EV_Class,$J1230))</f>
        <v/>
      </c>
      <c r="E1230" s="106">
        <f>IF($J1230="","",INDEX(EV_Type,$J1230))</f>
        <v/>
      </c>
      <c r="F1230" s="106">
        <f>IF($J1230="","",INDEX(EV_Cum,$J1230))</f>
        <v/>
      </c>
      <c r="G1230" s="106">
        <f>IF($J1230="","",INDEX(LevelLabels,MATCH(F1230,LevelValues,1)))</f>
        <v/>
      </c>
      <c r="H1230" s="106">
        <f>IF($J1230="","",IFERROR(INDEX(Stu_ContactReq,MATCH(C1230,Stu_ID,0)),""))</f>
        <v/>
      </c>
      <c r="I1230" s="107">
        <f>IF($J1230="","",IFERROR(INDEX(Stu_Notes,MATCH(C1230,Stu_ID,0)),""))</f>
        <v/>
      </c>
      <c r="J1230" s="40">
        <f>IF(1225&gt;$B$3,"",IFERROR(MATCH(1225-1,EV_Seq,1)+1,1))</f>
        <v/>
      </c>
    </row>
    <row r="1231">
      <c r="A1231" s="105">
        <f>IF($J1231="","",INDEX(EV_Date,$J1231))</f>
        <v/>
      </c>
      <c r="B1231" s="78">
        <f>IF($J1231="","",INDEX(EV_Name,$J1231))</f>
        <v/>
      </c>
      <c r="C1231" s="106">
        <f>IF($J1231="","",INDEX(EV_ID,$J1231))</f>
        <v/>
      </c>
      <c r="D1231" s="106">
        <f>IF($J1231="","",INDEX(EV_Class,$J1231))</f>
        <v/>
      </c>
      <c r="E1231" s="106">
        <f>IF($J1231="","",INDEX(EV_Type,$J1231))</f>
        <v/>
      </c>
      <c r="F1231" s="106">
        <f>IF($J1231="","",INDEX(EV_Cum,$J1231))</f>
        <v/>
      </c>
      <c r="G1231" s="106">
        <f>IF($J1231="","",INDEX(LevelLabels,MATCH(F1231,LevelValues,1)))</f>
        <v/>
      </c>
      <c r="H1231" s="106">
        <f>IF($J1231="","",IFERROR(INDEX(Stu_ContactReq,MATCH(C1231,Stu_ID,0)),""))</f>
        <v/>
      </c>
      <c r="I1231" s="107">
        <f>IF($J1231="","",IFERROR(INDEX(Stu_Notes,MATCH(C1231,Stu_ID,0)),""))</f>
        <v/>
      </c>
      <c r="J1231" s="40">
        <f>IF(1226&gt;$B$3,"",IFERROR(MATCH(1226-1,EV_Seq,1)+1,1))</f>
        <v/>
      </c>
    </row>
    <row r="1232">
      <c r="A1232" s="105">
        <f>IF($J1232="","",INDEX(EV_Date,$J1232))</f>
        <v/>
      </c>
      <c r="B1232" s="78">
        <f>IF($J1232="","",INDEX(EV_Name,$J1232))</f>
        <v/>
      </c>
      <c r="C1232" s="106">
        <f>IF($J1232="","",INDEX(EV_ID,$J1232))</f>
        <v/>
      </c>
      <c r="D1232" s="106">
        <f>IF($J1232="","",INDEX(EV_Class,$J1232))</f>
        <v/>
      </c>
      <c r="E1232" s="106">
        <f>IF($J1232="","",INDEX(EV_Type,$J1232))</f>
        <v/>
      </c>
      <c r="F1232" s="106">
        <f>IF($J1232="","",INDEX(EV_Cum,$J1232))</f>
        <v/>
      </c>
      <c r="G1232" s="106">
        <f>IF($J1232="","",INDEX(LevelLabels,MATCH(F1232,LevelValues,1)))</f>
        <v/>
      </c>
      <c r="H1232" s="106">
        <f>IF($J1232="","",IFERROR(INDEX(Stu_ContactReq,MATCH(C1232,Stu_ID,0)),""))</f>
        <v/>
      </c>
      <c r="I1232" s="107">
        <f>IF($J1232="","",IFERROR(INDEX(Stu_Notes,MATCH(C1232,Stu_ID,0)),""))</f>
        <v/>
      </c>
      <c r="J1232" s="40">
        <f>IF(1227&gt;$B$3,"",IFERROR(MATCH(1227-1,EV_Seq,1)+1,1))</f>
        <v/>
      </c>
    </row>
    <row r="1233">
      <c r="A1233" s="105">
        <f>IF($J1233="","",INDEX(EV_Date,$J1233))</f>
        <v/>
      </c>
      <c r="B1233" s="78">
        <f>IF($J1233="","",INDEX(EV_Name,$J1233))</f>
        <v/>
      </c>
      <c r="C1233" s="106">
        <f>IF($J1233="","",INDEX(EV_ID,$J1233))</f>
        <v/>
      </c>
      <c r="D1233" s="106">
        <f>IF($J1233="","",INDEX(EV_Class,$J1233))</f>
        <v/>
      </c>
      <c r="E1233" s="106">
        <f>IF($J1233="","",INDEX(EV_Type,$J1233))</f>
        <v/>
      </c>
      <c r="F1233" s="106">
        <f>IF($J1233="","",INDEX(EV_Cum,$J1233))</f>
        <v/>
      </c>
      <c r="G1233" s="106">
        <f>IF($J1233="","",INDEX(LevelLabels,MATCH(F1233,LevelValues,1)))</f>
        <v/>
      </c>
      <c r="H1233" s="106">
        <f>IF($J1233="","",IFERROR(INDEX(Stu_ContactReq,MATCH(C1233,Stu_ID,0)),""))</f>
        <v/>
      </c>
      <c r="I1233" s="107">
        <f>IF($J1233="","",IFERROR(INDEX(Stu_Notes,MATCH(C1233,Stu_ID,0)),""))</f>
        <v/>
      </c>
      <c r="J1233" s="40">
        <f>IF(1228&gt;$B$3,"",IFERROR(MATCH(1228-1,EV_Seq,1)+1,1))</f>
        <v/>
      </c>
    </row>
    <row r="1234">
      <c r="A1234" s="105">
        <f>IF($J1234="","",INDEX(EV_Date,$J1234))</f>
        <v/>
      </c>
      <c r="B1234" s="78">
        <f>IF($J1234="","",INDEX(EV_Name,$J1234))</f>
        <v/>
      </c>
      <c r="C1234" s="106">
        <f>IF($J1234="","",INDEX(EV_ID,$J1234))</f>
        <v/>
      </c>
      <c r="D1234" s="106">
        <f>IF($J1234="","",INDEX(EV_Class,$J1234))</f>
        <v/>
      </c>
      <c r="E1234" s="106">
        <f>IF($J1234="","",INDEX(EV_Type,$J1234))</f>
        <v/>
      </c>
      <c r="F1234" s="106">
        <f>IF($J1234="","",INDEX(EV_Cum,$J1234))</f>
        <v/>
      </c>
      <c r="G1234" s="106">
        <f>IF($J1234="","",INDEX(LevelLabels,MATCH(F1234,LevelValues,1)))</f>
        <v/>
      </c>
      <c r="H1234" s="106">
        <f>IF($J1234="","",IFERROR(INDEX(Stu_ContactReq,MATCH(C1234,Stu_ID,0)),""))</f>
        <v/>
      </c>
      <c r="I1234" s="107">
        <f>IF($J1234="","",IFERROR(INDEX(Stu_Notes,MATCH(C1234,Stu_ID,0)),""))</f>
        <v/>
      </c>
      <c r="J1234" s="40">
        <f>IF(1229&gt;$B$3,"",IFERROR(MATCH(1229-1,EV_Seq,1)+1,1))</f>
        <v/>
      </c>
    </row>
    <row r="1235">
      <c r="A1235" s="105">
        <f>IF($J1235="","",INDEX(EV_Date,$J1235))</f>
        <v/>
      </c>
      <c r="B1235" s="78">
        <f>IF($J1235="","",INDEX(EV_Name,$J1235))</f>
        <v/>
      </c>
      <c r="C1235" s="106">
        <f>IF($J1235="","",INDEX(EV_ID,$J1235))</f>
        <v/>
      </c>
      <c r="D1235" s="106">
        <f>IF($J1235="","",INDEX(EV_Class,$J1235))</f>
        <v/>
      </c>
      <c r="E1235" s="106">
        <f>IF($J1235="","",INDEX(EV_Type,$J1235))</f>
        <v/>
      </c>
      <c r="F1235" s="106">
        <f>IF($J1235="","",INDEX(EV_Cum,$J1235))</f>
        <v/>
      </c>
      <c r="G1235" s="106">
        <f>IF($J1235="","",INDEX(LevelLabels,MATCH(F1235,LevelValues,1)))</f>
        <v/>
      </c>
      <c r="H1235" s="106">
        <f>IF($J1235="","",IFERROR(INDEX(Stu_ContactReq,MATCH(C1235,Stu_ID,0)),""))</f>
        <v/>
      </c>
      <c r="I1235" s="107">
        <f>IF($J1235="","",IFERROR(INDEX(Stu_Notes,MATCH(C1235,Stu_ID,0)),""))</f>
        <v/>
      </c>
      <c r="J1235" s="40">
        <f>IF(1230&gt;$B$3,"",IFERROR(MATCH(1230-1,EV_Seq,1)+1,1))</f>
        <v/>
      </c>
    </row>
    <row r="1236">
      <c r="A1236" s="105">
        <f>IF($J1236="","",INDEX(EV_Date,$J1236))</f>
        <v/>
      </c>
      <c r="B1236" s="78">
        <f>IF($J1236="","",INDEX(EV_Name,$J1236))</f>
        <v/>
      </c>
      <c r="C1236" s="106">
        <f>IF($J1236="","",INDEX(EV_ID,$J1236))</f>
        <v/>
      </c>
      <c r="D1236" s="106">
        <f>IF($J1236="","",INDEX(EV_Class,$J1236))</f>
        <v/>
      </c>
      <c r="E1236" s="106">
        <f>IF($J1236="","",INDEX(EV_Type,$J1236))</f>
        <v/>
      </c>
      <c r="F1236" s="106">
        <f>IF($J1236="","",INDEX(EV_Cum,$J1236))</f>
        <v/>
      </c>
      <c r="G1236" s="106">
        <f>IF($J1236="","",INDEX(LevelLabels,MATCH(F1236,LevelValues,1)))</f>
        <v/>
      </c>
      <c r="H1236" s="106">
        <f>IF($J1236="","",IFERROR(INDEX(Stu_ContactReq,MATCH(C1236,Stu_ID,0)),""))</f>
        <v/>
      </c>
      <c r="I1236" s="107">
        <f>IF($J1236="","",IFERROR(INDEX(Stu_Notes,MATCH(C1236,Stu_ID,0)),""))</f>
        <v/>
      </c>
      <c r="J1236" s="40">
        <f>IF(1231&gt;$B$3,"",IFERROR(MATCH(1231-1,EV_Seq,1)+1,1))</f>
        <v/>
      </c>
    </row>
    <row r="1237">
      <c r="A1237" s="105">
        <f>IF($J1237="","",INDEX(EV_Date,$J1237))</f>
        <v/>
      </c>
      <c r="B1237" s="78">
        <f>IF($J1237="","",INDEX(EV_Name,$J1237))</f>
        <v/>
      </c>
      <c r="C1237" s="106">
        <f>IF($J1237="","",INDEX(EV_ID,$J1237))</f>
        <v/>
      </c>
      <c r="D1237" s="106">
        <f>IF($J1237="","",INDEX(EV_Class,$J1237))</f>
        <v/>
      </c>
      <c r="E1237" s="106">
        <f>IF($J1237="","",INDEX(EV_Type,$J1237))</f>
        <v/>
      </c>
      <c r="F1237" s="106">
        <f>IF($J1237="","",INDEX(EV_Cum,$J1237))</f>
        <v/>
      </c>
      <c r="G1237" s="106">
        <f>IF($J1237="","",INDEX(LevelLabels,MATCH(F1237,LevelValues,1)))</f>
        <v/>
      </c>
      <c r="H1237" s="106">
        <f>IF($J1237="","",IFERROR(INDEX(Stu_ContactReq,MATCH(C1237,Stu_ID,0)),""))</f>
        <v/>
      </c>
      <c r="I1237" s="107">
        <f>IF($J1237="","",IFERROR(INDEX(Stu_Notes,MATCH(C1237,Stu_ID,0)),""))</f>
        <v/>
      </c>
      <c r="J1237" s="40">
        <f>IF(1232&gt;$B$3,"",IFERROR(MATCH(1232-1,EV_Seq,1)+1,1))</f>
        <v/>
      </c>
    </row>
    <row r="1238">
      <c r="A1238" s="105">
        <f>IF($J1238="","",INDEX(EV_Date,$J1238))</f>
        <v/>
      </c>
      <c r="B1238" s="78">
        <f>IF($J1238="","",INDEX(EV_Name,$J1238))</f>
        <v/>
      </c>
      <c r="C1238" s="106">
        <f>IF($J1238="","",INDEX(EV_ID,$J1238))</f>
        <v/>
      </c>
      <c r="D1238" s="106">
        <f>IF($J1238="","",INDEX(EV_Class,$J1238))</f>
        <v/>
      </c>
      <c r="E1238" s="106">
        <f>IF($J1238="","",INDEX(EV_Type,$J1238))</f>
        <v/>
      </c>
      <c r="F1238" s="106">
        <f>IF($J1238="","",INDEX(EV_Cum,$J1238))</f>
        <v/>
      </c>
      <c r="G1238" s="106">
        <f>IF($J1238="","",INDEX(LevelLabels,MATCH(F1238,LevelValues,1)))</f>
        <v/>
      </c>
      <c r="H1238" s="106">
        <f>IF($J1238="","",IFERROR(INDEX(Stu_ContactReq,MATCH(C1238,Stu_ID,0)),""))</f>
        <v/>
      </c>
      <c r="I1238" s="107">
        <f>IF($J1238="","",IFERROR(INDEX(Stu_Notes,MATCH(C1238,Stu_ID,0)),""))</f>
        <v/>
      </c>
      <c r="J1238" s="40">
        <f>IF(1233&gt;$B$3,"",IFERROR(MATCH(1233-1,EV_Seq,1)+1,1))</f>
        <v/>
      </c>
    </row>
    <row r="1239">
      <c r="A1239" s="105">
        <f>IF($J1239="","",INDEX(EV_Date,$J1239))</f>
        <v/>
      </c>
      <c r="B1239" s="78">
        <f>IF($J1239="","",INDEX(EV_Name,$J1239))</f>
        <v/>
      </c>
      <c r="C1239" s="106">
        <f>IF($J1239="","",INDEX(EV_ID,$J1239))</f>
        <v/>
      </c>
      <c r="D1239" s="106">
        <f>IF($J1239="","",INDEX(EV_Class,$J1239))</f>
        <v/>
      </c>
      <c r="E1239" s="106">
        <f>IF($J1239="","",INDEX(EV_Type,$J1239))</f>
        <v/>
      </c>
      <c r="F1239" s="106">
        <f>IF($J1239="","",INDEX(EV_Cum,$J1239))</f>
        <v/>
      </c>
      <c r="G1239" s="106">
        <f>IF($J1239="","",INDEX(LevelLabels,MATCH(F1239,LevelValues,1)))</f>
        <v/>
      </c>
      <c r="H1239" s="106">
        <f>IF($J1239="","",IFERROR(INDEX(Stu_ContactReq,MATCH(C1239,Stu_ID,0)),""))</f>
        <v/>
      </c>
      <c r="I1239" s="107">
        <f>IF($J1239="","",IFERROR(INDEX(Stu_Notes,MATCH(C1239,Stu_ID,0)),""))</f>
        <v/>
      </c>
      <c r="J1239" s="40">
        <f>IF(1234&gt;$B$3,"",IFERROR(MATCH(1234-1,EV_Seq,1)+1,1))</f>
        <v/>
      </c>
    </row>
    <row r="1240">
      <c r="A1240" s="105">
        <f>IF($J1240="","",INDEX(EV_Date,$J1240))</f>
        <v/>
      </c>
      <c r="B1240" s="78">
        <f>IF($J1240="","",INDEX(EV_Name,$J1240))</f>
        <v/>
      </c>
      <c r="C1240" s="106">
        <f>IF($J1240="","",INDEX(EV_ID,$J1240))</f>
        <v/>
      </c>
      <c r="D1240" s="106">
        <f>IF($J1240="","",INDEX(EV_Class,$J1240))</f>
        <v/>
      </c>
      <c r="E1240" s="106">
        <f>IF($J1240="","",INDEX(EV_Type,$J1240))</f>
        <v/>
      </c>
      <c r="F1240" s="106">
        <f>IF($J1240="","",INDEX(EV_Cum,$J1240))</f>
        <v/>
      </c>
      <c r="G1240" s="106">
        <f>IF($J1240="","",INDEX(LevelLabels,MATCH(F1240,LevelValues,1)))</f>
        <v/>
      </c>
      <c r="H1240" s="106">
        <f>IF($J1240="","",IFERROR(INDEX(Stu_ContactReq,MATCH(C1240,Stu_ID,0)),""))</f>
        <v/>
      </c>
      <c r="I1240" s="107">
        <f>IF($J1240="","",IFERROR(INDEX(Stu_Notes,MATCH(C1240,Stu_ID,0)),""))</f>
        <v/>
      </c>
      <c r="J1240" s="40">
        <f>IF(1235&gt;$B$3,"",IFERROR(MATCH(1235-1,EV_Seq,1)+1,1))</f>
        <v/>
      </c>
    </row>
    <row r="1241">
      <c r="A1241" s="105">
        <f>IF($J1241="","",INDEX(EV_Date,$J1241))</f>
        <v/>
      </c>
      <c r="B1241" s="78">
        <f>IF($J1241="","",INDEX(EV_Name,$J1241))</f>
        <v/>
      </c>
      <c r="C1241" s="106">
        <f>IF($J1241="","",INDEX(EV_ID,$J1241))</f>
        <v/>
      </c>
      <c r="D1241" s="106">
        <f>IF($J1241="","",INDEX(EV_Class,$J1241))</f>
        <v/>
      </c>
      <c r="E1241" s="106">
        <f>IF($J1241="","",INDEX(EV_Type,$J1241))</f>
        <v/>
      </c>
      <c r="F1241" s="106">
        <f>IF($J1241="","",INDEX(EV_Cum,$J1241))</f>
        <v/>
      </c>
      <c r="G1241" s="106">
        <f>IF($J1241="","",INDEX(LevelLabels,MATCH(F1241,LevelValues,1)))</f>
        <v/>
      </c>
      <c r="H1241" s="106">
        <f>IF($J1241="","",IFERROR(INDEX(Stu_ContactReq,MATCH(C1241,Stu_ID,0)),""))</f>
        <v/>
      </c>
      <c r="I1241" s="107">
        <f>IF($J1241="","",IFERROR(INDEX(Stu_Notes,MATCH(C1241,Stu_ID,0)),""))</f>
        <v/>
      </c>
      <c r="J1241" s="40">
        <f>IF(1236&gt;$B$3,"",IFERROR(MATCH(1236-1,EV_Seq,1)+1,1))</f>
        <v/>
      </c>
    </row>
    <row r="1242">
      <c r="A1242" s="105">
        <f>IF($J1242="","",INDEX(EV_Date,$J1242))</f>
        <v/>
      </c>
      <c r="B1242" s="78">
        <f>IF($J1242="","",INDEX(EV_Name,$J1242))</f>
        <v/>
      </c>
      <c r="C1242" s="106">
        <f>IF($J1242="","",INDEX(EV_ID,$J1242))</f>
        <v/>
      </c>
      <c r="D1242" s="106">
        <f>IF($J1242="","",INDEX(EV_Class,$J1242))</f>
        <v/>
      </c>
      <c r="E1242" s="106">
        <f>IF($J1242="","",INDEX(EV_Type,$J1242))</f>
        <v/>
      </c>
      <c r="F1242" s="106">
        <f>IF($J1242="","",INDEX(EV_Cum,$J1242))</f>
        <v/>
      </c>
      <c r="G1242" s="106">
        <f>IF($J1242="","",INDEX(LevelLabels,MATCH(F1242,LevelValues,1)))</f>
        <v/>
      </c>
      <c r="H1242" s="106">
        <f>IF($J1242="","",IFERROR(INDEX(Stu_ContactReq,MATCH(C1242,Stu_ID,0)),""))</f>
        <v/>
      </c>
      <c r="I1242" s="107">
        <f>IF($J1242="","",IFERROR(INDEX(Stu_Notes,MATCH(C1242,Stu_ID,0)),""))</f>
        <v/>
      </c>
      <c r="J1242" s="40">
        <f>IF(1237&gt;$B$3,"",IFERROR(MATCH(1237-1,EV_Seq,1)+1,1))</f>
        <v/>
      </c>
    </row>
    <row r="1243">
      <c r="A1243" s="105">
        <f>IF($J1243="","",INDEX(EV_Date,$J1243))</f>
        <v/>
      </c>
      <c r="B1243" s="78">
        <f>IF($J1243="","",INDEX(EV_Name,$J1243))</f>
        <v/>
      </c>
      <c r="C1243" s="106">
        <f>IF($J1243="","",INDEX(EV_ID,$J1243))</f>
        <v/>
      </c>
      <c r="D1243" s="106">
        <f>IF($J1243="","",INDEX(EV_Class,$J1243))</f>
        <v/>
      </c>
      <c r="E1243" s="106">
        <f>IF($J1243="","",INDEX(EV_Type,$J1243))</f>
        <v/>
      </c>
      <c r="F1243" s="106">
        <f>IF($J1243="","",INDEX(EV_Cum,$J1243))</f>
        <v/>
      </c>
      <c r="G1243" s="106">
        <f>IF($J1243="","",INDEX(LevelLabels,MATCH(F1243,LevelValues,1)))</f>
        <v/>
      </c>
      <c r="H1243" s="106">
        <f>IF($J1243="","",IFERROR(INDEX(Stu_ContactReq,MATCH(C1243,Stu_ID,0)),""))</f>
        <v/>
      </c>
      <c r="I1243" s="107">
        <f>IF($J1243="","",IFERROR(INDEX(Stu_Notes,MATCH(C1243,Stu_ID,0)),""))</f>
        <v/>
      </c>
      <c r="J1243" s="40">
        <f>IF(1238&gt;$B$3,"",IFERROR(MATCH(1238-1,EV_Seq,1)+1,1))</f>
        <v/>
      </c>
    </row>
    <row r="1244">
      <c r="A1244" s="105">
        <f>IF($J1244="","",INDEX(EV_Date,$J1244))</f>
        <v/>
      </c>
      <c r="B1244" s="78">
        <f>IF($J1244="","",INDEX(EV_Name,$J1244))</f>
        <v/>
      </c>
      <c r="C1244" s="106">
        <f>IF($J1244="","",INDEX(EV_ID,$J1244))</f>
        <v/>
      </c>
      <c r="D1244" s="106">
        <f>IF($J1244="","",INDEX(EV_Class,$J1244))</f>
        <v/>
      </c>
      <c r="E1244" s="106">
        <f>IF($J1244="","",INDEX(EV_Type,$J1244))</f>
        <v/>
      </c>
      <c r="F1244" s="106">
        <f>IF($J1244="","",INDEX(EV_Cum,$J1244))</f>
        <v/>
      </c>
      <c r="G1244" s="106">
        <f>IF($J1244="","",INDEX(LevelLabels,MATCH(F1244,LevelValues,1)))</f>
        <v/>
      </c>
      <c r="H1244" s="106">
        <f>IF($J1244="","",IFERROR(INDEX(Stu_ContactReq,MATCH(C1244,Stu_ID,0)),""))</f>
        <v/>
      </c>
      <c r="I1244" s="107">
        <f>IF($J1244="","",IFERROR(INDEX(Stu_Notes,MATCH(C1244,Stu_ID,0)),""))</f>
        <v/>
      </c>
      <c r="J1244" s="40">
        <f>IF(1239&gt;$B$3,"",IFERROR(MATCH(1239-1,EV_Seq,1)+1,1))</f>
        <v/>
      </c>
    </row>
    <row r="1245">
      <c r="A1245" s="105">
        <f>IF($J1245="","",INDEX(EV_Date,$J1245))</f>
        <v/>
      </c>
      <c r="B1245" s="78">
        <f>IF($J1245="","",INDEX(EV_Name,$J1245))</f>
        <v/>
      </c>
      <c r="C1245" s="106">
        <f>IF($J1245="","",INDEX(EV_ID,$J1245))</f>
        <v/>
      </c>
      <c r="D1245" s="106">
        <f>IF($J1245="","",INDEX(EV_Class,$J1245))</f>
        <v/>
      </c>
      <c r="E1245" s="106">
        <f>IF($J1245="","",INDEX(EV_Type,$J1245))</f>
        <v/>
      </c>
      <c r="F1245" s="106">
        <f>IF($J1245="","",INDEX(EV_Cum,$J1245))</f>
        <v/>
      </c>
      <c r="G1245" s="106">
        <f>IF($J1245="","",INDEX(LevelLabels,MATCH(F1245,LevelValues,1)))</f>
        <v/>
      </c>
      <c r="H1245" s="106">
        <f>IF($J1245="","",IFERROR(INDEX(Stu_ContactReq,MATCH(C1245,Stu_ID,0)),""))</f>
        <v/>
      </c>
      <c r="I1245" s="107">
        <f>IF($J1245="","",IFERROR(INDEX(Stu_Notes,MATCH(C1245,Stu_ID,0)),""))</f>
        <v/>
      </c>
      <c r="J1245" s="40">
        <f>IF(1240&gt;$B$3,"",IFERROR(MATCH(1240-1,EV_Seq,1)+1,1))</f>
        <v/>
      </c>
    </row>
    <row r="1246">
      <c r="A1246" s="105">
        <f>IF($J1246="","",INDEX(EV_Date,$J1246))</f>
        <v/>
      </c>
      <c r="B1246" s="78">
        <f>IF($J1246="","",INDEX(EV_Name,$J1246))</f>
        <v/>
      </c>
      <c r="C1246" s="106">
        <f>IF($J1246="","",INDEX(EV_ID,$J1246))</f>
        <v/>
      </c>
      <c r="D1246" s="106">
        <f>IF($J1246="","",INDEX(EV_Class,$J1246))</f>
        <v/>
      </c>
      <c r="E1246" s="106">
        <f>IF($J1246="","",INDEX(EV_Type,$J1246))</f>
        <v/>
      </c>
      <c r="F1246" s="106">
        <f>IF($J1246="","",INDEX(EV_Cum,$J1246))</f>
        <v/>
      </c>
      <c r="G1246" s="106">
        <f>IF($J1246="","",INDEX(LevelLabels,MATCH(F1246,LevelValues,1)))</f>
        <v/>
      </c>
      <c r="H1246" s="106">
        <f>IF($J1246="","",IFERROR(INDEX(Stu_ContactReq,MATCH(C1246,Stu_ID,0)),""))</f>
        <v/>
      </c>
      <c r="I1246" s="107">
        <f>IF($J1246="","",IFERROR(INDEX(Stu_Notes,MATCH(C1246,Stu_ID,0)),""))</f>
        <v/>
      </c>
      <c r="J1246" s="40">
        <f>IF(1241&gt;$B$3,"",IFERROR(MATCH(1241-1,EV_Seq,1)+1,1))</f>
        <v/>
      </c>
    </row>
    <row r="1247">
      <c r="A1247" s="105">
        <f>IF($J1247="","",INDEX(EV_Date,$J1247))</f>
        <v/>
      </c>
      <c r="B1247" s="78">
        <f>IF($J1247="","",INDEX(EV_Name,$J1247))</f>
        <v/>
      </c>
      <c r="C1247" s="106">
        <f>IF($J1247="","",INDEX(EV_ID,$J1247))</f>
        <v/>
      </c>
      <c r="D1247" s="106">
        <f>IF($J1247="","",INDEX(EV_Class,$J1247))</f>
        <v/>
      </c>
      <c r="E1247" s="106">
        <f>IF($J1247="","",INDEX(EV_Type,$J1247))</f>
        <v/>
      </c>
      <c r="F1247" s="106">
        <f>IF($J1247="","",INDEX(EV_Cum,$J1247))</f>
        <v/>
      </c>
      <c r="G1247" s="106">
        <f>IF($J1247="","",INDEX(LevelLabels,MATCH(F1247,LevelValues,1)))</f>
        <v/>
      </c>
      <c r="H1247" s="106">
        <f>IF($J1247="","",IFERROR(INDEX(Stu_ContactReq,MATCH(C1247,Stu_ID,0)),""))</f>
        <v/>
      </c>
      <c r="I1247" s="107">
        <f>IF($J1247="","",IFERROR(INDEX(Stu_Notes,MATCH(C1247,Stu_ID,0)),""))</f>
        <v/>
      </c>
      <c r="J1247" s="40">
        <f>IF(1242&gt;$B$3,"",IFERROR(MATCH(1242-1,EV_Seq,1)+1,1))</f>
        <v/>
      </c>
    </row>
    <row r="1248">
      <c r="A1248" s="105">
        <f>IF($J1248="","",INDEX(EV_Date,$J1248))</f>
        <v/>
      </c>
      <c r="B1248" s="78">
        <f>IF($J1248="","",INDEX(EV_Name,$J1248))</f>
        <v/>
      </c>
      <c r="C1248" s="106">
        <f>IF($J1248="","",INDEX(EV_ID,$J1248))</f>
        <v/>
      </c>
      <c r="D1248" s="106">
        <f>IF($J1248="","",INDEX(EV_Class,$J1248))</f>
        <v/>
      </c>
      <c r="E1248" s="106">
        <f>IF($J1248="","",INDEX(EV_Type,$J1248))</f>
        <v/>
      </c>
      <c r="F1248" s="106">
        <f>IF($J1248="","",INDEX(EV_Cum,$J1248))</f>
        <v/>
      </c>
      <c r="G1248" s="106">
        <f>IF($J1248="","",INDEX(LevelLabels,MATCH(F1248,LevelValues,1)))</f>
        <v/>
      </c>
      <c r="H1248" s="106">
        <f>IF($J1248="","",IFERROR(INDEX(Stu_ContactReq,MATCH(C1248,Stu_ID,0)),""))</f>
        <v/>
      </c>
      <c r="I1248" s="107">
        <f>IF($J1248="","",IFERROR(INDEX(Stu_Notes,MATCH(C1248,Stu_ID,0)),""))</f>
        <v/>
      </c>
      <c r="J1248" s="40">
        <f>IF(1243&gt;$B$3,"",IFERROR(MATCH(1243-1,EV_Seq,1)+1,1))</f>
        <v/>
      </c>
    </row>
    <row r="1249">
      <c r="A1249" s="105">
        <f>IF($J1249="","",INDEX(EV_Date,$J1249))</f>
        <v/>
      </c>
      <c r="B1249" s="78">
        <f>IF($J1249="","",INDEX(EV_Name,$J1249))</f>
        <v/>
      </c>
      <c r="C1249" s="106">
        <f>IF($J1249="","",INDEX(EV_ID,$J1249))</f>
        <v/>
      </c>
      <c r="D1249" s="106">
        <f>IF($J1249="","",INDEX(EV_Class,$J1249))</f>
        <v/>
      </c>
      <c r="E1249" s="106">
        <f>IF($J1249="","",INDEX(EV_Type,$J1249))</f>
        <v/>
      </c>
      <c r="F1249" s="106">
        <f>IF($J1249="","",INDEX(EV_Cum,$J1249))</f>
        <v/>
      </c>
      <c r="G1249" s="106">
        <f>IF($J1249="","",INDEX(LevelLabels,MATCH(F1249,LevelValues,1)))</f>
        <v/>
      </c>
      <c r="H1249" s="106">
        <f>IF($J1249="","",IFERROR(INDEX(Stu_ContactReq,MATCH(C1249,Stu_ID,0)),""))</f>
        <v/>
      </c>
      <c r="I1249" s="107">
        <f>IF($J1249="","",IFERROR(INDEX(Stu_Notes,MATCH(C1249,Stu_ID,0)),""))</f>
        <v/>
      </c>
      <c r="J1249" s="40">
        <f>IF(1244&gt;$B$3,"",IFERROR(MATCH(1244-1,EV_Seq,1)+1,1))</f>
        <v/>
      </c>
    </row>
    <row r="1250">
      <c r="A1250" s="105">
        <f>IF($J1250="","",INDEX(EV_Date,$J1250))</f>
        <v/>
      </c>
      <c r="B1250" s="78">
        <f>IF($J1250="","",INDEX(EV_Name,$J1250))</f>
        <v/>
      </c>
      <c r="C1250" s="106">
        <f>IF($J1250="","",INDEX(EV_ID,$J1250))</f>
        <v/>
      </c>
      <c r="D1250" s="106">
        <f>IF($J1250="","",INDEX(EV_Class,$J1250))</f>
        <v/>
      </c>
      <c r="E1250" s="106">
        <f>IF($J1250="","",INDEX(EV_Type,$J1250))</f>
        <v/>
      </c>
      <c r="F1250" s="106">
        <f>IF($J1250="","",INDEX(EV_Cum,$J1250))</f>
        <v/>
      </c>
      <c r="G1250" s="106">
        <f>IF($J1250="","",INDEX(LevelLabels,MATCH(F1250,LevelValues,1)))</f>
        <v/>
      </c>
      <c r="H1250" s="106">
        <f>IF($J1250="","",IFERROR(INDEX(Stu_ContactReq,MATCH(C1250,Stu_ID,0)),""))</f>
        <v/>
      </c>
      <c r="I1250" s="107">
        <f>IF($J1250="","",IFERROR(INDEX(Stu_Notes,MATCH(C1250,Stu_ID,0)),""))</f>
        <v/>
      </c>
      <c r="J1250" s="40">
        <f>IF(1245&gt;$B$3,"",IFERROR(MATCH(1245-1,EV_Seq,1)+1,1))</f>
        <v/>
      </c>
    </row>
    <row r="1251">
      <c r="A1251" s="105">
        <f>IF($J1251="","",INDEX(EV_Date,$J1251))</f>
        <v/>
      </c>
      <c r="B1251" s="78">
        <f>IF($J1251="","",INDEX(EV_Name,$J1251))</f>
        <v/>
      </c>
      <c r="C1251" s="106">
        <f>IF($J1251="","",INDEX(EV_ID,$J1251))</f>
        <v/>
      </c>
      <c r="D1251" s="106">
        <f>IF($J1251="","",INDEX(EV_Class,$J1251))</f>
        <v/>
      </c>
      <c r="E1251" s="106">
        <f>IF($J1251="","",INDEX(EV_Type,$J1251))</f>
        <v/>
      </c>
      <c r="F1251" s="106">
        <f>IF($J1251="","",INDEX(EV_Cum,$J1251))</f>
        <v/>
      </c>
      <c r="G1251" s="106">
        <f>IF($J1251="","",INDEX(LevelLabels,MATCH(F1251,LevelValues,1)))</f>
        <v/>
      </c>
      <c r="H1251" s="106">
        <f>IF($J1251="","",IFERROR(INDEX(Stu_ContactReq,MATCH(C1251,Stu_ID,0)),""))</f>
        <v/>
      </c>
      <c r="I1251" s="107">
        <f>IF($J1251="","",IFERROR(INDEX(Stu_Notes,MATCH(C1251,Stu_ID,0)),""))</f>
        <v/>
      </c>
      <c r="J1251" s="40">
        <f>IF(1246&gt;$B$3,"",IFERROR(MATCH(1246-1,EV_Seq,1)+1,1))</f>
        <v/>
      </c>
    </row>
    <row r="1252">
      <c r="A1252" s="105">
        <f>IF($J1252="","",INDEX(EV_Date,$J1252))</f>
        <v/>
      </c>
      <c r="B1252" s="78">
        <f>IF($J1252="","",INDEX(EV_Name,$J1252))</f>
        <v/>
      </c>
      <c r="C1252" s="106">
        <f>IF($J1252="","",INDEX(EV_ID,$J1252))</f>
        <v/>
      </c>
      <c r="D1252" s="106">
        <f>IF($J1252="","",INDEX(EV_Class,$J1252))</f>
        <v/>
      </c>
      <c r="E1252" s="106">
        <f>IF($J1252="","",INDEX(EV_Type,$J1252))</f>
        <v/>
      </c>
      <c r="F1252" s="106">
        <f>IF($J1252="","",INDEX(EV_Cum,$J1252))</f>
        <v/>
      </c>
      <c r="G1252" s="106">
        <f>IF($J1252="","",INDEX(LevelLabels,MATCH(F1252,LevelValues,1)))</f>
        <v/>
      </c>
      <c r="H1252" s="106">
        <f>IF($J1252="","",IFERROR(INDEX(Stu_ContactReq,MATCH(C1252,Stu_ID,0)),""))</f>
        <v/>
      </c>
      <c r="I1252" s="107">
        <f>IF($J1252="","",IFERROR(INDEX(Stu_Notes,MATCH(C1252,Stu_ID,0)),""))</f>
        <v/>
      </c>
      <c r="J1252" s="40">
        <f>IF(1247&gt;$B$3,"",IFERROR(MATCH(1247-1,EV_Seq,1)+1,1))</f>
        <v/>
      </c>
    </row>
    <row r="1253">
      <c r="A1253" s="105">
        <f>IF($J1253="","",INDEX(EV_Date,$J1253))</f>
        <v/>
      </c>
      <c r="B1253" s="78">
        <f>IF($J1253="","",INDEX(EV_Name,$J1253))</f>
        <v/>
      </c>
      <c r="C1253" s="106">
        <f>IF($J1253="","",INDEX(EV_ID,$J1253))</f>
        <v/>
      </c>
      <c r="D1253" s="106">
        <f>IF($J1253="","",INDEX(EV_Class,$J1253))</f>
        <v/>
      </c>
      <c r="E1253" s="106">
        <f>IF($J1253="","",INDEX(EV_Type,$J1253))</f>
        <v/>
      </c>
      <c r="F1253" s="106">
        <f>IF($J1253="","",INDEX(EV_Cum,$J1253))</f>
        <v/>
      </c>
      <c r="G1253" s="106">
        <f>IF($J1253="","",INDEX(LevelLabels,MATCH(F1253,LevelValues,1)))</f>
        <v/>
      </c>
      <c r="H1253" s="106">
        <f>IF($J1253="","",IFERROR(INDEX(Stu_ContactReq,MATCH(C1253,Stu_ID,0)),""))</f>
        <v/>
      </c>
      <c r="I1253" s="107">
        <f>IF($J1253="","",IFERROR(INDEX(Stu_Notes,MATCH(C1253,Stu_ID,0)),""))</f>
        <v/>
      </c>
      <c r="J1253" s="40">
        <f>IF(1248&gt;$B$3,"",IFERROR(MATCH(1248-1,EV_Seq,1)+1,1))</f>
        <v/>
      </c>
    </row>
    <row r="1254">
      <c r="A1254" s="105">
        <f>IF($J1254="","",INDEX(EV_Date,$J1254))</f>
        <v/>
      </c>
      <c r="B1254" s="78">
        <f>IF($J1254="","",INDEX(EV_Name,$J1254))</f>
        <v/>
      </c>
      <c r="C1254" s="106">
        <f>IF($J1254="","",INDEX(EV_ID,$J1254))</f>
        <v/>
      </c>
      <c r="D1254" s="106">
        <f>IF($J1254="","",INDEX(EV_Class,$J1254))</f>
        <v/>
      </c>
      <c r="E1254" s="106">
        <f>IF($J1254="","",INDEX(EV_Type,$J1254))</f>
        <v/>
      </c>
      <c r="F1254" s="106">
        <f>IF($J1254="","",INDEX(EV_Cum,$J1254))</f>
        <v/>
      </c>
      <c r="G1254" s="106">
        <f>IF($J1254="","",INDEX(LevelLabels,MATCH(F1254,LevelValues,1)))</f>
        <v/>
      </c>
      <c r="H1254" s="106">
        <f>IF($J1254="","",IFERROR(INDEX(Stu_ContactReq,MATCH(C1254,Stu_ID,0)),""))</f>
        <v/>
      </c>
      <c r="I1254" s="107">
        <f>IF($J1254="","",IFERROR(INDEX(Stu_Notes,MATCH(C1254,Stu_ID,0)),""))</f>
        <v/>
      </c>
      <c r="J1254" s="40">
        <f>IF(1249&gt;$B$3,"",IFERROR(MATCH(1249-1,EV_Seq,1)+1,1))</f>
        <v/>
      </c>
    </row>
    <row r="1255">
      <c r="A1255" s="105">
        <f>IF($J1255="","",INDEX(EV_Date,$J1255))</f>
        <v/>
      </c>
      <c r="B1255" s="78">
        <f>IF($J1255="","",INDEX(EV_Name,$J1255))</f>
        <v/>
      </c>
      <c r="C1255" s="106">
        <f>IF($J1255="","",INDEX(EV_ID,$J1255))</f>
        <v/>
      </c>
      <c r="D1255" s="106">
        <f>IF($J1255="","",INDEX(EV_Class,$J1255))</f>
        <v/>
      </c>
      <c r="E1255" s="106">
        <f>IF($J1255="","",INDEX(EV_Type,$J1255))</f>
        <v/>
      </c>
      <c r="F1255" s="106">
        <f>IF($J1255="","",INDEX(EV_Cum,$J1255))</f>
        <v/>
      </c>
      <c r="G1255" s="106">
        <f>IF($J1255="","",INDEX(LevelLabels,MATCH(F1255,LevelValues,1)))</f>
        <v/>
      </c>
      <c r="H1255" s="106">
        <f>IF($J1255="","",IFERROR(INDEX(Stu_ContactReq,MATCH(C1255,Stu_ID,0)),""))</f>
        <v/>
      </c>
      <c r="I1255" s="107">
        <f>IF($J1255="","",IFERROR(INDEX(Stu_Notes,MATCH(C1255,Stu_ID,0)),""))</f>
        <v/>
      </c>
      <c r="J1255" s="40">
        <f>IF(1250&gt;$B$3,"",IFERROR(MATCH(1250-1,EV_Seq,1)+1,1))</f>
        <v/>
      </c>
    </row>
    <row r="1256">
      <c r="A1256" s="105">
        <f>IF($J1256="","",INDEX(EV_Date,$J1256))</f>
        <v/>
      </c>
      <c r="B1256" s="78">
        <f>IF($J1256="","",INDEX(EV_Name,$J1256))</f>
        <v/>
      </c>
      <c r="C1256" s="106">
        <f>IF($J1256="","",INDEX(EV_ID,$J1256))</f>
        <v/>
      </c>
      <c r="D1256" s="106">
        <f>IF($J1256="","",INDEX(EV_Class,$J1256))</f>
        <v/>
      </c>
      <c r="E1256" s="106">
        <f>IF($J1256="","",INDEX(EV_Type,$J1256))</f>
        <v/>
      </c>
      <c r="F1256" s="106">
        <f>IF($J1256="","",INDEX(EV_Cum,$J1256))</f>
        <v/>
      </c>
      <c r="G1256" s="106">
        <f>IF($J1256="","",INDEX(LevelLabels,MATCH(F1256,LevelValues,1)))</f>
        <v/>
      </c>
      <c r="H1256" s="106">
        <f>IF($J1256="","",IFERROR(INDEX(Stu_ContactReq,MATCH(C1256,Stu_ID,0)),""))</f>
        <v/>
      </c>
      <c r="I1256" s="107">
        <f>IF($J1256="","",IFERROR(INDEX(Stu_Notes,MATCH(C1256,Stu_ID,0)),""))</f>
        <v/>
      </c>
      <c r="J1256" s="40">
        <f>IF(1251&gt;$B$3,"",IFERROR(MATCH(1251-1,EV_Seq,1)+1,1))</f>
        <v/>
      </c>
    </row>
    <row r="1257">
      <c r="A1257" s="105">
        <f>IF($J1257="","",INDEX(EV_Date,$J1257))</f>
        <v/>
      </c>
      <c r="B1257" s="78">
        <f>IF($J1257="","",INDEX(EV_Name,$J1257))</f>
        <v/>
      </c>
      <c r="C1257" s="106">
        <f>IF($J1257="","",INDEX(EV_ID,$J1257))</f>
        <v/>
      </c>
      <c r="D1257" s="106">
        <f>IF($J1257="","",INDEX(EV_Class,$J1257))</f>
        <v/>
      </c>
      <c r="E1257" s="106">
        <f>IF($J1257="","",INDEX(EV_Type,$J1257))</f>
        <v/>
      </c>
      <c r="F1257" s="106">
        <f>IF($J1257="","",INDEX(EV_Cum,$J1257))</f>
        <v/>
      </c>
      <c r="G1257" s="106">
        <f>IF($J1257="","",INDEX(LevelLabels,MATCH(F1257,LevelValues,1)))</f>
        <v/>
      </c>
      <c r="H1257" s="106">
        <f>IF($J1257="","",IFERROR(INDEX(Stu_ContactReq,MATCH(C1257,Stu_ID,0)),""))</f>
        <v/>
      </c>
      <c r="I1257" s="107">
        <f>IF($J1257="","",IFERROR(INDEX(Stu_Notes,MATCH(C1257,Stu_ID,0)),""))</f>
        <v/>
      </c>
      <c r="J1257" s="40">
        <f>IF(1252&gt;$B$3,"",IFERROR(MATCH(1252-1,EV_Seq,1)+1,1))</f>
        <v/>
      </c>
    </row>
    <row r="1258">
      <c r="A1258" s="105">
        <f>IF($J1258="","",INDEX(EV_Date,$J1258))</f>
        <v/>
      </c>
      <c r="B1258" s="78">
        <f>IF($J1258="","",INDEX(EV_Name,$J1258))</f>
        <v/>
      </c>
      <c r="C1258" s="106">
        <f>IF($J1258="","",INDEX(EV_ID,$J1258))</f>
        <v/>
      </c>
      <c r="D1258" s="106">
        <f>IF($J1258="","",INDEX(EV_Class,$J1258))</f>
        <v/>
      </c>
      <c r="E1258" s="106">
        <f>IF($J1258="","",INDEX(EV_Type,$J1258))</f>
        <v/>
      </c>
      <c r="F1258" s="106">
        <f>IF($J1258="","",INDEX(EV_Cum,$J1258))</f>
        <v/>
      </c>
      <c r="G1258" s="106">
        <f>IF($J1258="","",INDEX(LevelLabels,MATCH(F1258,LevelValues,1)))</f>
        <v/>
      </c>
      <c r="H1258" s="106">
        <f>IF($J1258="","",IFERROR(INDEX(Stu_ContactReq,MATCH(C1258,Stu_ID,0)),""))</f>
        <v/>
      </c>
      <c r="I1258" s="107">
        <f>IF($J1258="","",IFERROR(INDEX(Stu_Notes,MATCH(C1258,Stu_ID,0)),""))</f>
        <v/>
      </c>
      <c r="J1258" s="40">
        <f>IF(1253&gt;$B$3,"",IFERROR(MATCH(1253-1,EV_Seq,1)+1,1))</f>
        <v/>
      </c>
    </row>
    <row r="1259">
      <c r="A1259" s="105">
        <f>IF($J1259="","",INDEX(EV_Date,$J1259))</f>
        <v/>
      </c>
      <c r="B1259" s="78">
        <f>IF($J1259="","",INDEX(EV_Name,$J1259))</f>
        <v/>
      </c>
      <c r="C1259" s="106">
        <f>IF($J1259="","",INDEX(EV_ID,$J1259))</f>
        <v/>
      </c>
      <c r="D1259" s="106">
        <f>IF($J1259="","",INDEX(EV_Class,$J1259))</f>
        <v/>
      </c>
      <c r="E1259" s="106">
        <f>IF($J1259="","",INDEX(EV_Type,$J1259))</f>
        <v/>
      </c>
      <c r="F1259" s="106">
        <f>IF($J1259="","",INDEX(EV_Cum,$J1259))</f>
        <v/>
      </c>
      <c r="G1259" s="106">
        <f>IF($J1259="","",INDEX(LevelLabels,MATCH(F1259,LevelValues,1)))</f>
        <v/>
      </c>
      <c r="H1259" s="106">
        <f>IF($J1259="","",IFERROR(INDEX(Stu_ContactReq,MATCH(C1259,Stu_ID,0)),""))</f>
        <v/>
      </c>
      <c r="I1259" s="107">
        <f>IF($J1259="","",IFERROR(INDEX(Stu_Notes,MATCH(C1259,Stu_ID,0)),""))</f>
        <v/>
      </c>
      <c r="J1259" s="40">
        <f>IF(1254&gt;$B$3,"",IFERROR(MATCH(1254-1,EV_Seq,1)+1,1))</f>
        <v/>
      </c>
    </row>
    <row r="1260">
      <c r="A1260" s="105">
        <f>IF($J1260="","",INDEX(EV_Date,$J1260))</f>
        <v/>
      </c>
      <c r="B1260" s="78">
        <f>IF($J1260="","",INDEX(EV_Name,$J1260))</f>
        <v/>
      </c>
      <c r="C1260" s="106">
        <f>IF($J1260="","",INDEX(EV_ID,$J1260))</f>
        <v/>
      </c>
      <c r="D1260" s="106">
        <f>IF($J1260="","",INDEX(EV_Class,$J1260))</f>
        <v/>
      </c>
      <c r="E1260" s="106">
        <f>IF($J1260="","",INDEX(EV_Type,$J1260))</f>
        <v/>
      </c>
      <c r="F1260" s="106">
        <f>IF($J1260="","",INDEX(EV_Cum,$J1260))</f>
        <v/>
      </c>
      <c r="G1260" s="106">
        <f>IF($J1260="","",INDEX(LevelLabels,MATCH(F1260,LevelValues,1)))</f>
        <v/>
      </c>
      <c r="H1260" s="106">
        <f>IF($J1260="","",IFERROR(INDEX(Stu_ContactReq,MATCH(C1260,Stu_ID,0)),""))</f>
        <v/>
      </c>
      <c r="I1260" s="107">
        <f>IF($J1260="","",IFERROR(INDEX(Stu_Notes,MATCH(C1260,Stu_ID,0)),""))</f>
        <v/>
      </c>
      <c r="J1260" s="40">
        <f>IF(1255&gt;$B$3,"",IFERROR(MATCH(1255-1,EV_Seq,1)+1,1))</f>
        <v/>
      </c>
    </row>
    <row r="1261">
      <c r="A1261" s="105">
        <f>IF($J1261="","",INDEX(EV_Date,$J1261))</f>
        <v/>
      </c>
      <c r="B1261" s="78">
        <f>IF($J1261="","",INDEX(EV_Name,$J1261))</f>
        <v/>
      </c>
      <c r="C1261" s="106">
        <f>IF($J1261="","",INDEX(EV_ID,$J1261))</f>
        <v/>
      </c>
      <c r="D1261" s="106">
        <f>IF($J1261="","",INDEX(EV_Class,$J1261))</f>
        <v/>
      </c>
      <c r="E1261" s="106">
        <f>IF($J1261="","",INDEX(EV_Type,$J1261))</f>
        <v/>
      </c>
      <c r="F1261" s="106">
        <f>IF($J1261="","",INDEX(EV_Cum,$J1261))</f>
        <v/>
      </c>
      <c r="G1261" s="106">
        <f>IF($J1261="","",INDEX(LevelLabels,MATCH(F1261,LevelValues,1)))</f>
        <v/>
      </c>
      <c r="H1261" s="106">
        <f>IF($J1261="","",IFERROR(INDEX(Stu_ContactReq,MATCH(C1261,Stu_ID,0)),""))</f>
        <v/>
      </c>
      <c r="I1261" s="107">
        <f>IF($J1261="","",IFERROR(INDEX(Stu_Notes,MATCH(C1261,Stu_ID,0)),""))</f>
        <v/>
      </c>
      <c r="J1261" s="40">
        <f>IF(1256&gt;$B$3,"",IFERROR(MATCH(1256-1,EV_Seq,1)+1,1))</f>
        <v/>
      </c>
    </row>
    <row r="1262">
      <c r="A1262" s="105">
        <f>IF($J1262="","",INDEX(EV_Date,$J1262))</f>
        <v/>
      </c>
      <c r="B1262" s="78">
        <f>IF($J1262="","",INDEX(EV_Name,$J1262))</f>
        <v/>
      </c>
      <c r="C1262" s="106">
        <f>IF($J1262="","",INDEX(EV_ID,$J1262))</f>
        <v/>
      </c>
      <c r="D1262" s="106">
        <f>IF($J1262="","",INDEX(EV_Class,$J1262))</f>
        <v/>
      </c>
      <c r="E1262" s="106">
        <f>IF($J1262="","",INDEX(EV_Type,$J1262))</f>
        <v/>
      </c>
      <c r="F1262" s="106">
        <f>IF($J1262="","",INDEX(EV_Cum,$J1262))</f>
        <v/>
      </c>
      <c r="G1262" s="106">
        <f>IF($J1262="","",INDEX(LevelLabels,MATCH(F1262,LevelValues,1)))</f>
        <v/>
      </c>
      <c r="H1262" s="106">
        <f>IF($J1262="","",IFERROR(INDEX(Stu_ContactReq,MATCH(C1262,Stu_ID,0)),""))</f>
        <v/>
      </c>
      <c r="I1262" s="107">
        <f>IF($J1262="","",IFERROR(INDEX(Stu_Notes,MATCH(C1262,Stu_ID,0)),""))</f>
        <v/>
      </c>
      <c r="J1262" s="40">
        <f>IF(1257&gt;$B$3,"",IFERROR(MATCH(1257-1,EV_Seq,1)+1,1))</f>
        <v/>
      </c>
    </row>
    <row r="1263">
      <c r="A1263" s="105">
        <f>IF($J1263="","",INDEX(EV_Date,$J1263))</f>
        <v/>
      </c>
      <c r="B1263" s="78">
        <f>IF($J1263="","",INDEX(EV_Name,$J1263))</f>
        <v/>
      </c>
      <c r="C1263" s="106">
        <f>IF($J1263="","",INDEX(EV_ID,$J1263))</f>
        <v/>
      </c>
      <c r="D1263" s="106">
        <f>IF($J1263="","",INDEX(EV_Class,$J1263))</f>
        <v/>
      </c>
      <c r="E1263" s="106">
        <f>IF($J1263="","",INDEX(EV_Type,$J1263))</f>
        <v/>
      </c>
      <c r="F1263" s="106">
        <f>IF($J1263="","",INDEX(EV_Cum,$J1263))</f>
        <v/>
      </c>
      <c r="G1263" s="106">
        <f>IF($J1263="","",INDEX(LevelLabels,MATCH(F1263,LevelValues,1)))</f>
        <v/>
      </c>
      <c r="H1263" s="106">
        <f>IF($J1263="","",IFERROR(INDEX(Stu_ContactReq,MATCH(C1263,Stu_ID,0)),""))</f>
        <v/>
      </c>
      <c r="I1263" s="107">
        <f>IF($J1263="","",IFERROR(INDEX(Stu_Notes,MATCH(C1263,Stu_ID,0)),""))</f>
        <v/>
      </c>
      <c r="J1263" s="40">
        <f>IF(1258&gt;$B$3,"",IFERROR(MATCH(1258-1,EV_Seq,1)+1,1))</f>
        <v/>
      </c>
    </row>
    <row r="1264">
      <c r="A1264" s="105">
        <f>IF($J1264="","",INDEX(EV_Date,$J1264))</f>
        <v/>
      </c>
      <c r="B1264" s="78">
        <f>IF($J1264="","",INDEX(EV_Name,$J1264))</f>
        <v/>
      </c>
      <c r="C1264" s="106">
        <f>IF($J1264="","",INDEX(EV_ID,$J1264))</f>
        <v/>
      </c>
      <c r="D1264" s="106">
        <f>IF($J1264="","",INDEX(EV_Class,$J1264))</f>
        <v/>
      </c>
      <c r="E1264" s="106">
        <f>IF($J1264="","",INDEX(EV_Type,$J1264))</f>
        <v/>
      </c>
      <c r="F1264" s="106">
        <f>IF($J1264="","",INDEX(EV_Cum,$J1264))</f>
        <v/>
      </c>
      <c r="G1264" s="106">
        <f>IF($J1264="","",INDEX(LevelLabels,MATCH(F1264,LevelValues,1)))</f>
        <v/>
      </c>
      <c r="H1264" s="106">
        <f>IF($J1264="","",IFERROR(INDEX(Stu_ContactReq,MATCH(C1264,Stu_ID,0)),""))</f>
        <v/>
      </c>
      <c r="I1264" s="107">
        <f>IF($J1264="","",IFERROR(INDEX(Stu_Notes,MATCH(C1264,Stu_ID,0)),""))</f>
        <v/>
      </c>
      <c r="J1264" s="40">
        <f>IF(1259&gt;$B$3,"",IFERROR(MATCH(1259-1,EV_Seq,1)+1,1))</f>
        <v/>
      </c>
    </row>
    <row r="1265">
      <c r="A1265" s="105">
        <f>IF($J1265="","",INDEX(EV_Date,$J1265))</f>
        <v/>
      </c>
      <c r="B1265" s="78">
        <f>IF($J1265="","",INDEX(EV_Name,$J1265))</f>
        <v/>
      </c>
      <c r="C1265" s="106">
        <f>IF($J1265="","",INDEX(EV_ID,$J1265))</f>
        <v/>
      </c>
      <c r="D1265" s="106">
        <f>IF($J1265="","",INDEX(EV_Class,$J1265))</f>
        <v/>
      </c>
      <c r="E1265" s="106">
        <f>IF($J1265="","",INDEX(EV_Type,$J1265))</f>
        <v/>
      </c>
      <c r="F1265" s="106">
        <f>IF($J1265="","",INDEX(EV_Cum,$J1265))</f>
        <v/>
      </c>
      <c r="G1265" s="106">
        <f>IF($J1265="","",INDEX(LevelLabels,MATCH(F1265,LevelValues,1)))</f>
        <v/>
      </c>
      <c r="H1265" s="106">
        <f>IF($J1265="","",IFERROR(INDEX(Stu_ContactReq,MATCH(C1265,Stu_ID,0)),""))</f>
        <v/>
      </c>
      <c r="I1265" s="107">
        <f>IF($J1265="","",IFERROR(INDEX(Stu_Notes,MATCH(C1265,Stu_ID,0)),""))</f>
        <v/>
      </c>
      <c r="J1265" s="40">
        <f>IF(1260&gt;$B$3,"",IFERROR(MATCH(1260-1,EV_Seq,1)+1,1))</f>
        <v/>
      </c>
    </row>
    <row r="1266">
      <c r="A1266" s="105">
        <f>IF($J1266="","",INDEX(EV_Date,$J1266))</f>
        <v/>
      </c>
      <c r="B1266" s="78">
        <f>IF($J1266="","",INDEX(EV_Name,$J1266))</f>
        <v/>
      </c>
      <c r="C1266" s="106">
        <f>IF($J1266="","",INDEX(EV_ID,$J1266))</f>
        <v/>
      </c>
      <c r="D1266" s="106">
        <f>IF($J1266="","",INDEX(EV_Class,$J1266))</f>
        <v/>
      </c>
      <c r="E1266" s="106">
        <f>IF($J1266="","",INDEX(EV_Type,$J1266))</f>
        <v/>
      </c>
      <c r="F1266" s="106">
        <f>IF($J1266="","",INDEX(EV_Cum,$J1266))</f>
        <v/>
      </c>
      <c r="G1266" s="106">
        <f>IF($J1266="","",INDEX(LevelLabels,MATCH(F1266,LevelValues,1)))</f>
        <v/>
      </c>
      <c r="H1266" s="106">
        <f>IF($J1266="","",IFERROR(INDEX(Stu_ContactReq,MATCH(C1266,Stu_ID,0)),""))</f>
        <v/>
      </c>
      <c r="I1266" s="107">
        <f>IF($J1266="","",IFERROR(INDEX(Stu_Notes,MATCH(C1266,Stu_ID,0)),""))</f>
        <v/>
      </c>
      <c r="J1266" s="40">
        <f>IF(1261&gt;$B$3,"",IFERROR(MATCH(1261-1,EV_Seq,1)+1,1))</f>
        <v/>
      </c>
    </row>
    <row r="1267">
      <c r="A1267" s="105">
        <f>IF($J1267="","",INDEX(EV_Date,$J1267))</f>
        <v/>
      </c>
      <c r="B1267" s="78">
        <f>IF($J1267="","",INDEX(EV_Name,$J1267))</f>
        <v/>
      </c>
      <c r="C1267" s="106">
        <f>IF($J1267="","",INDEX(EV_ID,$J1267))</f>
        <v/>
      </c>
      <c r="D1267" s="106">
        <f>IF($J1267="","",INDEX(EV_Class,$J1267))</f>
        <v/>
      </c>
      <c r="E1267" s="106">
        <f>IF($J1267="","",INDEX(EV_Type,$J1267))</f>
        <v/>
      </c>
      <c r="F1267" s="106">
        <f>IF($J1267="","",INDEX(EV_Cum,$J1267))</f>
        <v/>
      </c>
      <c r="G1267" s="106">
        <f>IF($J1267="","",INDEX(LevelLabels,MATCH(F1267,LevelValues,1)))</f>
        <v/>
      </c>
      <c r="H1267" s="106">
        <f>IF($J1267="","",IFERROR(INDEX(Stu_ContactReq,MATCH(C1267,Stu_ID,0)),""))</f>
        <v/>
      </c>
      <c r="I1267" s="107">
        <f>IF($J1267="","",IFERROR(INDEX(Stu_Notes,MATCH(C1267,Stu_ID,0)),""))</f>
        <v/>
      </c>
      <c r="J1267" s="40">
        <f>IF(1262&gt;$B$3,"",IFERROR(MATCH(1262-1,EV_Seq,1)+1,1))</f>
        <v/>
      </c>
    </row>
    <row r="1268">
      <c r="A1268" s="105">
        <f>IF($J1268="","",INDEX(EV_Date,$J1268))</f>
        <v/>
      </c>
      <c r="B1268" s="78">
        <f>IF($J1268="","",INDEX(EV_Name,$J1268))</f>
        <v/>
      </c>
      <c r="C1268" s="106">
        <f>IF($J1268="","",INDEX(EV_ID,$J1268))</f>
        <v/>
      </c>
      <c r="D1268" s="106">
        <f>IF($J1268="","",INDEX(EV_Class,$J1268))</f>
        <v/>
      </c>
      <c r="E1268" s="106">
        <f>IF($J1268="","",INDEX(EV_Type,$J1268))</f>
        <v/>
      </c>
      <c r="F1268" s="106">
        <f>IF($J1268="","",INDEX(EV_Cum,$J1268))</f>
        <v/>
      </c>
      <c r="G1268" s="106">
        <f>IF($J1268="","",INDEX(LevelLabels,MATCH(F1268,LevelValues,1)))</f>
        <v/>
      </c>
      <c r="H1268" s="106">
        <f>IF($J1268="","",IFERROR(INDEX(Stu_ContactReq,MATCH(C1268,Stu_ID,0)),""))</f>
        <v/>
      </c>
      <c r="I1268" s="107">
        <f>IF($J1268="","",IFERROR(INDEX(Stu_Notes,MATCH(C1268,Stu_ID,0)),""))</f>
        <v/>
      </c>
      <c r="J1268" s="40">
        <f>IF(1263&gt;$B$3,"",IFERROR(MATCH(1263-1,EV_Seq,1)+1,1))</f>
        <v/>
      </c>
    </row>
    <row r="1269">
      <c r="A1269" s="105">
        <f>IF($J1269="","",INDEX(EV_Date,$J1269))</f>
        <v/>
      </c>
      <c r="B1269" s="78">
        <f>IF($J1269="","",INDEX(EV_Name,$J1269))</f>
        <v/>
      </c>
      <c r="C1269" s="106">
        <f>IF($J1269="","",INDEX(EV_ID,$J1269))</f>
        <v/>
      </c>
      <c r="D1269" s="106">
        <f>IF($J1269="","",INDEX(EV_Class,$J1269))</f>
        <v/>
      </c>
      <c r="E1269" s="106">
        <f>IF($J1269="","",INDEX(EV_Type,$J1269))</f>
        <v/>
      </c>
      <c r="F1269" s="106">
        <f>IF($J1269="","",INDEX(EV_Cum,$J1269))</f>
        <v/>
      </c>
      <c r="G1269" s="106">
        <f>IF($J1269="","",INDEX(LevelLabels,MATCH(F1269,LevelValues,1)))</f>
        <v/>
      </c>
      <c r="H1269" s="106">
        <f>IF($J1269="","",IFERROR(INDEX(Stu_ContactReq,MATCH(C1269,Stu_ID,0)),""))</f>
        <v/>
      </c>
      <c r="I1269" s="107">
        <f>IF($J1269="","",IFERROR(INDEX(Stu_Notes,MATCH(C1269,Stu_ID,0)),""))</f>
        <v/>
      </c>
      <c r="J1269" s="40">
        <f>IF(1264&gt;$B$3,"",IFERROR(MATCH(1264-1,EV_Seq,1)+1,1))</f>
        <v/>
      </c>
    </row>
    <row r="1270">
      <c r="A1270" s="105">
        <f>IF($J1270="","",INDEX(EV_Date,$J1270))</f>
        <v/>
      </c>
      <c r="B1270" s="78">
        <f>IF($J1270="","",INDEX(EV_Name,$J1270))</f>
        <v/>
      </c>
      <c r="C1270" s="106">
        <f>IF($J1270="","",INDEX(EV_ID,$J1270))</f>
        <v/>
      </c>
      <c r="D1270" s="106">
        <f>IF($J1270="","",INDEX(EV_Class,$J1270))</f>
        <v/>
      </c>
      <c r="E1270" s="106">
        <f>IF($J1270="","",INDEX(EV_Type,$J1270))</f>
        <v/>
      </c>
      <c r="F1270" s="106">
        <f>IF($J1270="","",INDEX(EV_Cum,$J1270))</f>
        <v/>
      </c>
      <c r="G1270" s="106">
        <f>IF($J1270="","",INDEX(LevelLabels,MATCH(F1270,LevelValues,1)))</f>
        <v/>
      </c>
      <c r="H1270" s="106">
        <f>IF($J1270="","",IFERROR(INDEX(Stu_ContactReq,MATCH(C1270,Stu_ID,0)),""))</f>
        <v/>
      </c>
      <c r="I1270" s="107">
        <f>IF($J1270="","",IFERROR(INDEX(Stu_Notes,MATCH(C1270,Stu_ID,0)),""))</f>
        <v/>
      </c>
      <c r="J1270" s="40">
        <f>IF(1265&gt;$B$3,"",IFERROR(MATCH(1265-1,EV_Seq,1)+1,1))</f>
        <v/>
      </c>
    </row>
    <row r="1271">
      <c r="A1271" s="105">
        <f>IF($J1271="","",INDEX(EV_Date,$J1271))</f>
        <v/>
      </c>
      <c r="B1271" s="78">
        <f>IF($J1271="","",INDEX(EV_Name,$J1271))</f>
        <v/>
      </c>
      <c r="C1271" s="106">
        <f>IF($J1271="","",INDEX(EV_ID,$J1271))</f>
        <v/>
      </c>
      <c r="D1271" s="106">
        <f>IF($J1271="","",INDEX(EV_Class,$J1271))</f>
        <v/>
      </c>
      <c r="E1271" s="106">
        <f>IF($J1271="","",INDEX(EV_Type,$J1271))</f>
        <v/>
      </c>
      <c r="F1271" s="106">
        <f>IF($J1271="","",INDEX(EV_Cum,$J1271))</f>
        <v/>
      </c>
      <c r="G1271" s="106">
        <f>IF($J1271="","",INDEX(LevelLabels,MATCH(F1271,LevelValues,1)))</f>
        <v/>
      </c>
      <c r="H1271" s="106">
        <f>IF($J1271="","",IFERROR(INDEX(Stu_ContactReq,MATCH(C1271,Stu_ID,0)),""))</f>
        <v/>
      </c>
      <c r="I1271" s="107">
        <f>IF($J1271="","",IFERROR(INDEX(Stu_Notes,MATCH(C1271,Stu_ID,0)),""))</f>
        <v/>
      </c>
      <c r="J1271" s="40">
        <f>IF(1266&gt;$B$3,"",IFERROR(MATCH(1266-1,EV_Seq,1)+1,1))</f>
        <v/>
      </c>
    </row>
    <row r="1272">
      <c r="A1272" s="105">
        <f>IF($J1272="","",INDEX(EV_Date,$J1272))</f>
        <v/>
      </c>
      <c r="B1272" s="78">
        <f>IF($J1272="","",INDEX(EV_Name,$J1272))</f>
        <v/>
      </c>
      <c r="C1272" s="106">
        <f>IF($J1272="","",INDEX(EV_ID,$J1272))</f>
        <v/>
      </c>
      <c r="D1272" s="106">
        <f>IF($J1272="","",INDEX(EV_Class,$J1272))</f>
        <v/>
      </c>
      <c r="E1272" s="106">
        <f>IF($J1272="","",INDEX(EV_Type,$J1272))</f>
        <v/>
      </c>
      <c r="F1272" s="106">
        <f>IF($J1272="","",INDEX(EV_Cum,$J1272))</f>
        <v/>
      </c>
      <c r="G1272" s="106">
        <f>IF($J1272="","",INDEX(LevelLabels,MATCH(F1272,LevelValues,1)))</f>
        <v/>
      </c>
      <c r="H1272" s="106">
        <f>IF($J1272="","",IFERROR(INDEX(Stu_ContactReq,MATCH(C1272,Stu_ID,0)),""))</f>
        <v/>
      </c>
      <c r="I1272" s="107">
        <f>IF($J1272="","",IFERROR(INDEX(Stu_Notes,MATCH(C1272,Stu_ID,0)),""))</f>
        <v/>
      </c>
      <c r="J1272" s="40">
        <f>IF(1267&gt;$B$3,"",IFERROR(MATCH(1267-1,EV_Seq,1)+1,1))</f>
        <v/>
      </c>
    </row>
    <row r="1273">
      <c r="A1273" s="105">
        <f>IF($J1273="","",INDEX(EV_Date,$J1273))</f>
        <v/>
      </c>
      <c r="B1273" s="78">
        <f>IF($J1273="","",INDEX(EV_Name,$J1273))</f>
        <v/>
      </c>
      <c r="C1273" s="106">
        <f>IF($J1273="","",INDEX(EV_ID,$J1273))</f>
        <v/>
      </c>
      <c r="D1273" s="106">
        <f>IF($J1273="","",INDEX(EV_Class,$J1273))</f>
        <v/>
      </c>
      <c r="E1273" s="106">
        <f>IF($J1273="","",INDEX(EV_Type,$J1273))</f>
        <v/>
      </c>
      <c r="F1273" s="106">
        <f>IF($J1273="","",INDEX(EV_Cum,$J1273))</f>
        <v/>
      </c>
      <c r="G1273" s="106">
        <f>IF($J1273="","",INDEX(LevelLabels,MATCH(F1273,LevelValues,1)))</f>
        <v/>
      </c>
      <c r="H1273" s="106">
        <f>IF($J1273="","",IFERROR(INDEX(Stu_ContactReq,MATCH(C1273,Stu_ID,0)),""))</f>
        <v/>
      </c>
      <c r="I1273" s="107">
        <f>IF($J1273="","",IFERROR(INDEX(Stu_Notes,MATCH(C1273,Stu_ID,0)),""))</f>
        <v/>
      </c>
      <c r="J1273" s="40">
        <f>IF(1268&gt;$B$3,"",IFERROR(MATCH(1268-1,EV_Seq,1)+1,1))</f>
        <v/>
      </c>
    </row>
    <row r="1274">
      <c r="A1274" s="105">
        <f>IF($J1274="","",INDEX(EV_Date,$J1274))</f>
        <v/>
      </c>
      <c r="B1274" s="78">
        <f>IF($J1274="","",INDEX(EV_Name,$J1274))</f>
        <v/>
      </c>
      <c r="C1274" s="106">
        <f>IF($J1274="","",INDEX(EV_ID,$J1274))</f>
        <v/>
      </c>
      <c r="D1274" s="106">
        <f>IF($J1274="","",INDEX(EV_Class,$J1274))</f>
        <v/>
      </c>
      <c r="E1274" s="106">
        <f>IF($J1274="","",INDEX(EV_Type,$J1274))</f>
        <v/>
      </c>
      <c r="F1274" s="106">
        <f>IF($J1274="","",INDEX(EV_Cum,$J1274))</f>
        <v/>
      </c>
      <c r="G1274" s="106">
        <f>IF($J1274="","",INDEX(LevelLabels,MATCH(F1274,LevelValues,1)))</f>
        <v/>
      </c>
      <c r="H1274" s="106">
        <f>IF($J1274="","",IFERROR(INDEX(Stu_ContactReq,MATCH(C1274,Stu_ID,0)),""))</f>
        <v/>
      </c>
      <c r="I1274" s="107">
        <f>IF($J1274="","",IFERROR(INDEX(Stu_Notes,MATCH(C1274,Stu_ID,0)),""))</f>
        <v/>
      </c>
      <c r="J1274" s="40">
        <f>IF(1269&gt;$B$3,"",IFERROR(MATCH(1269-1,EV_Seq,1)+1,1))</f>
        <v/>
      </c>
    </row>
    <row r="1275">
      <c r="A1275" s="105">
        <f>IF($J1275="","",INDEX(EV_Date,$J1275))</f>
        <v/>
      </c>
      <c r="B1275" s="78">
        <f>IF($J1275="","",INDEX(EV_Name,$J1275))</f>
        <v/>
      </c>
      <c r="C1275" s="106">
        <f>IF($J1275="","",INDEX(EV_ID,$J1275))</f>
        <v/>
      </c>
      <c r="D1275" s="106">
        <f>IF($J1275="","",INDEX(EV_Class,$J1275))</f>
        <v/>
      </c>
      <c r="E1275" s="106">
        <f>IF($J1275="","",INDEX(EV_Type,$J1275))</f>
        <v/>
      </c>
      <c r="F1275" s="106">
        <f>IF($J1275="","",INDEX(EV_Cum,$J1275))</f>
        <v/>
      </c>
      <c r="G1275" s="106">
        <f>IF($J1275="","",INDEX(LevelLabels,MATCH(F1275,LevelValues,1)))</f>
        <v/>
      </c>
      <c r="H1275" s="106">
        <f>IF($J1275="","",IFERROR(INDEX(Stu_ContactReq,MATCH(C1275,Stu_ID,0)),""))</f>
        <v/>
      </c>
      <c r="I1275" s="107">
        <f>IF($J1275="","",IFERROR(INDEX(Stu_Notes,MATCH(C1275,Stu_ID,0)),""))</f>
        <v/>
      </c>
      <c r="J1275" s="40">
        <f>IF(1270&gt;$B$3,"",IFERROR(MATCH(1270-1,EV_Seq,1)+1,1))</f>
        <v/>
      </c>
    </row>
    <row r="1276">
      <c r="A1276" s="105">
        <f>IF($J1276="","",INDEX(EV_Date,$J1276))</f>
        <v/>
      </c>
      <c r="B1276" s="78">
        <f>IF($J1276="","",INDEX(EV_Name,$J1276))</f>
        <v/>
      </c>
      <c r="C1276" s="106">
        <f>IF($J1276="","",INDEX(EV_ID,$J1276))</f>
        <v/>
      </c>
      <c r="D1276" s="106">
        <f>IF($J1276="","",INDEX(EV_Class,$J1276))</f>
        <v/>
      </c>
      <c r="E1276" s="106">
        <f>IF($J1276="","",INDEX(EV_Type,$J1276))</f>
        <v/>
      </c>
      <c r="F1276" s="106">
        <f>IF($J1276="","",INDEX(EV_Cum,$J1276))</f>
        <v/>
      </c>
      <c r="G1276" s="106">
        <f>IF($J1276="","",INDEX(LevelLabels,MATCH(F1276,LevelValues,1)))</f>
        <v/>
      </c>
      <c r="H1276" s="106">
        <f>IF($J1276="","",IFERROR(INDEX(Stu_ContactReq,MATCH(C1276,Stu_ID,0)),""))</f>
        <v/>
      </c>
      <c r="I1276" s="107">
        <f>IF($J1276="","",IFERROR(INDEX(Stu_Notes,MATCH(C1276,Stu_ID,0)),""))</f>
        <v/>
      </c>
      <c r="J1276" s="40">
        <f>IF(1271&gt;$B$3,"",IFERROR(MATCH(1271-1,EV_Seq,1)+1,1))</f>
        <v/>
      </c>
    </row>
    <row r="1277">
      <c r="A1277" s="105">
        <f>IF($J1277="","",INDEX(EV_Date,$J1277))</f>
        <v/>
      </c>
      <c r="B1277" s="78">
        <f>IF($J1277="","",INDEX(EV_Name,$J1277))</f>
        <v/>
      </c>
      <c r="C1277" s="106">
        <f>IF($J1277="","",INDEX(EV_ID,$J1277))</f>
        <v/>
      </c>
      <c r="D1277" s="106">
        <f>IF($J1277="","",INDEX(EV_Class,$J1277))</f>
        <v/>
      </c>
      <c r="E1277" s="106">
        <f>IF($J1277="","",INDEX(EV_Type,$J1277))</f>
        <v/>
      </c>
      <c r="F1277" s="106">
        <f>IF($J1277="","",INDEX(EV_Cum,$J1277))</f>
        <v/>
      </c>
      <c r="G1277" s="106">
        <f>IF($J1277="","",INDEX(LevelLabels,MATCH(F1277,LevelValues,1)))</f>
        <v/>
      </c>
      <c r="H1277" s="106">
        <f>IF($J1277="","",IFERROR(INDEX(Stu_ContactReq,MATCH(C1277,Stu_ID,0)),""))</f>
        <v/>
      </c>
      <c r="I1277" s="107">
        <f>IF($J1277="","",IFERROR(INDEX(Stu_Notes,MATCH(C1277,Stu_ID,0)),""))</f>
        <v/>
      </c>
      <c r="J1277" s="40">
        <f>IF(1272&gt;$B$3,"",IFERROR(MATCH(1272-1,EV_Seq,1)+1,1))</f>
        <v/>
      </c>
    </row>
    <row r="1278">
      <c r="A1278" s="105">
        <f>IF($J1278="","",INDEX(EV_Date,$J1278))</f>
        <v/>
      </c>
      <c r="B1278" s="78">
        <f>IF($J1278="","",INDEX(EV_Name,$J1278))</f>
        <v/>
      </c>
      <c r="C1278" s="106">
        <f>IF($J1278="","",INDEX(EV_ID,$J1278))</f>
        <v/>
      </c>
      <c r="D1278" s="106">
        <f>IF($J1278="","",INDEX(EV_Class,$J1278))</f>
        <v/>
      </c>
      <c r="E1278" s="106">
        <f>IF($J1278="","",INDEX(EV_Type,$J1278))</f>
        <v/>
      </c>
      <c r="F1278" s="106">
        <f>IF($J1278="","",INDEX(EV_Cum,$J1278))</f>
        <v/>
      </c>
      <c r="G1278" s="106">
        <f>IF($J1278="","",INDEX(LevelLabels,MATCH(F1278,LevelValues,1)))</f>
        <v/>
      </c>
      <c r="H1278" s="106">
        <f>IF($J1278="","",IFERROR(INDEX(Stu_ContactReq,MATCH(C1278,Stu_ID,0)),""))</f>
        <v/>
      </c>
      <c r="I1278" s="107">
        <f>IF($J1278="","",IFERROR(INDEX(Stu_Notes,MATCH(C1278,Stu_ID,0)),""))</f>
        <v/>
      </c>
      <c r="J1278" s="40">
        <f>IF(1273&gt;$B$3,"",IFERROR(MATCH(1273-1,EV_Seq,1)+1,1))</f>
        <v/>
      </c>
    </row>
    <row r="1279">
      <c r="A1279" s="105">
        <f>IF($J1279="","",INDEX(EV_Date,$J1279))</f>
        <v/>
      </c>
      <c r="B1279" s="78">
        <f>IF($J1279="","",INDEX(EV_Name,$J1279))</f>
        <v/>
      </c>
      <c r="C1279" s="106">
        <f>IF($J1279="","",INDEX(EV_ID,$J1279))</f>
        <v/>
      </c>
      <c r="D1279" s="106">
        <f>IF($J1279="","",INDEX(EV_Class,$J1279))</f>
        <v/>
      </c>
      <c r="E1279" s="106">
        <f>IF($J1279="","",INDEX(EV_Type,$J1279))</f>
        <v/>
      </c>
      <c r="F1279" s="106">
        <f>IF($J1279="","",INDEX(EV_Cum,$J1279))</f>
        <v/>
      </c>
      <c r="G1279" s="106">
        <f>IF($J1279="","",INDEX(LevelLabels,MATCH(F1279,LevelValues,1)))</f>
        <v/>
      </c>
      <c r="H1279" s="106">
        <f>IF($J1279="","",IFERROR(INDEX(Stu_ContactReq,MATCH(C1279,Stu_ID,0)),""))</f>
        <v/>
      </c>
      <c r="I1279" s="107">
        <f>IF($J1279="","",IFERROR(INDEX(Stu_Notes,MATCH(C1279,Stu_ID,0)),""))</f>
        <v/>
      </c>
      <c r="J1279" s="40">
        <f>IF(1274&gt;$B$3,"",IFERROR(MATCH(1274-1,EV_Seq,1)+1,1))</f>
        <v/>
      </c>
    </row>
    <row r="1280">
      <c r="A1280" s="105">
        <f>IF($J1280="","",INDEX(EV_Date,$J1280))</f>
        <v/>
      </c>
      <c r="B1280" s="78">
        <f>IF($J1280="","",INDEX(EV_Name,$J1280))</f>
        <v/>
      </c>
      <c r="C1280" s="106">
        <f>IF($J1280="","",INDEX(EV_ID,$J1280))</f>
        <v/>
      </c>
      <c r="D1280" s="106">
        <f>IF($J1280="","",INDEX(EV_Class,$J1280))</f>
        <v/>
      </c>
      <c r="E1280" s="106">
        <f>IF($J1280="","",INDEX(EV_Type,$J1280))</f>
        <v/>
      </c>
      <c r="F1280" s="106">
        <f>IF($J1280="","",INDEX(EV_Cum,$J1280))</f>
        <v/>
      </c>
      <c r="G1280" s="106">
        <f>IF($J1280="","",INDEX(LevelLabels,MATCH(F1280,LevelValues,1)))</f>
        <v/>
      </c>
      <c r="H1280" s="106">
        <f>IF($J1280="","",IFERROR(INDEX(Stu_ContactReq,MATCH(C1280,Stu_ID,0)),""))</f>
        <v/>
      </c>
      <c r="I1280" s="107">
        <f>IF($J1280="","",IFERROR(INDEX(Stu_Notes,MATCH(C1280,Stu_ID,0)),""))</f>
        <v/>
      </c>
      <c r="J1280" s="40">
        <f>IF(1275&gt;$B$3,"",IFERROR(MATCH(1275-1,EV_Seq,1)+1,1))</f>
        <v/>
      </c>
    </row>
    <row r="1281">
      <c r="A1281" s="105">
        <f>IF($J1281="","",INDEX(EV_Date,$J1281))</f>
        <v/>
      </c>
      <c r="B1281" s="78">
        <f>IF($J1281="","",INDEX(EV_Name,$J1281))</f>
        <v/>
      </c>
      <c r="C1281" s="106">
        <f>IF($J1281="","",INDEX(EV_ID,$J1281))</f>
        <v/>
      </c>
      <c r="D1281" s="106">
        <f>IF($J1281="","",INDEX(EV_Class,$J1281))</f>
        <v/>
      </c>
      <c r="E1281" s="106">
        <f>IF($J1281="","",INDEX(EV_Type,$J1281))</f>
        <v/>
      </c>
      <c r="F1281" s="106">
        <f>IF($J1281="","",INDEX(EV_Cum,$J1281))</f>
        <v/>
      </c>
      <c r="G1281" s="106">
        <f>IF($J1281="","",INDEX(LevelLabels,MATCH(F1281,LevelValues,1)))</f>
        <v/>
      </c>
      <c r="H1281" s="106">
        <f>IF($J1281="","",IFERROR(INDEX(Stu_ContactReq,MATCH(C1281,Stu_ID,0)),""))</f>
        <v/>
      </c>
      <c r="I1281" s="107">
        <f>IF($J1281="","",IFERROR(INDEX(Stu_Notes,MATCH(C1281,Stu_ID,0)),""))</f>
        <v/>
      </c>
      <c r="J1281" s="40">
        <f>IF(1276&gt;$B$3,"",IFERROR(MATCH(1276-1,EV_Seq,1)+1,1))</f>
        <v/>
      </c>
    </row>
    <row r="1282">
      <c r="A1282" s="105">
        <f>IF($J1282="","",INDEX(EV_Date,$J1282))</f>
        <v/>
      </c>
      <c r="B1282" s="78">
        <f>IF($J1282="","",INDEX(EV_Name,$J1282))</f>
        <v/>
      </c>
      <c r="C1282" s="106">
        <f>IF($J1282="","",INDEX(EV_ID,$J1282))</f>
        <v/>
      </c>
      <c r="D1282" s="106">
        <f>IF($J1282="","",INDEX(EV_Class,$J1282))</f>
        <v/>
      </c>
      <c r="E1282" s="106">
        <f>IF($J1282="","",INDEX(EV_Type,$J1282))</f>
        <v/>
      </c>
      <c r="F1282" s="106">
        <f>IF($J1282="","",INDEX(EV_Cum,$J1282))</f>
        <v/>
      </c>
      <c r="G1282" s="106">
        <f>IF($J1282="","",INDEX(LevelLabels,MATCH(F1282,LevelValues,1)))</f>
        <v/>
      </c>
      <c r="H1282" s="106">
        <f>IF($J1282="","",IFERROR(INDEX(Stu_ContactReq,MATCH(C1282,Stu_ID,0)),""))</f>
        <v/>
      </c>
      <c r="I1282" s="107">
        <f>IF($J1282="","",IFERROR(INDEX(Stu_Notes,MATCH(C1282,Stu_ID,0)),""))</f>
        <v/>
      </c>
      <c r="J1282" s="40">
        <f>IF(1277&gt;$B$3,"",IFERROR(MATCH(1277-1,EV_Seq,1)+1,1))</f>
        <v/>
      </c>
    </row>
    <row r="1283">
      <c r="A1283" s="105">
        <f>IF($J1283="","",INDEX(EV_Date,$J1283))</f>
        <v/>
      </c>
      <c r="B1283" s="78">
        <f>IF($J1283="","",INDEX(EV_Name,$J1283))</f>
        <v/>
      </c>
      <c r="C1283" s="106">
        <f>IF($J1283="","",INDEX(EV_ID,$J1283))</f>
        <v/>
      </c>
      <c r="D1283" s="106">
        <f>IF($J1283="","",INDEX(EV_Class,$J1283))</f>
        <v/>
      </c>
      <c r="E1283" s="106">
        <f>IF($J1283="","",INDEX(EV_Type,$J1283))</f>
        <v/>
      </c>
      <c r="F1283" s="106">
        <f>IF($J1283="","",INDEX(EV_Cum,$J1283))</f>
        <v/>
      </c>
      <c r="G1283" s="106">
        <f>IF($J1283="","",INDEX(LevelLabels,MATCH(F1283,LevelValues,1)))</f>
        <v/>
      </c>
      <c r="H1283" s="106">
        <f>IF($J1283="","",IFERROR(INDEX(Stu_ContactReq,MATCH(C1283,Stu_ID,0)),""))</f>
        <v/>
      </c>
      <c r="I1283" s="107">
        <f>IF($J1283="","",IFERROR(INDEX(Stu_Notes,MATCH(C1283,Stu_ID,0)),""))</f>
        <v/>
      </c>
      <c r="J1283" s="40">
        <f>IF(1278&gt;$B$3,"",IFERROR(MATCH(1278-1,EV_Seq,1)+1,1))</f>
        <v/>
      </c>
    </row>
    <row r="1284">
      <c r="A1284" s="105">
        <f>IF($J1284="","",INDEX(EV_Date,$J1284))</f>
        <v/>
      </c>
      <c r="B1284" s="78">
        <f>IF($J1284="","",INDEX(EV_Name,$J1284))</f>
        <v/>
      </c>
      <c r="C1284" s="106">
        <f>IF($J1284="","",INDEX(EV_ID,$J1284))</f>
        <v/>
      </c>
      <c r="D1284" s="106">
        <f>IF($J1284="","",INDEX(EV_Class,$J1284))</f>
        <v/>
      </c>
      <c r="E1284" s="106">
        <f>IF($J1284="","",INDEX(EV_Type,$J1284))</f>
        <v/>
      </c>
      <c r="F1284" s="106">
        <f>IF($J1284="","",INDEX(EV_Cum,$J1284))</f>
        <v/>
      </c>
      <c r="G1284" s="106">
        <f>IF($J1284="","",INDEX(LevelLabels,MATCH(F1284,LevelValues,1)))</f>
        <v/>
      </c>
      <c r="H1284" s="106">
        <f>IF($J1284="","",IFERROR(INDEX(Stu_ContactReq,MATCH(C1284,Stu_ID,0)),""))</f>
        <v/>
      </c>
      <c r="I1284" s="107">
        <f>IF($J1284="","",IFERROR(INDEX(Stu_Notes,MATCH(C1284,Stu_ID,0)),""))</f>
        <v/>
      </c>
      <c r="J1284" s="40">
        <f>IF(1279&gt;$B$3,"",IFERROR(MATCH(1279-1,EV_Seq,1)+1,1))</f>
        <v/>
      </c>
    </row>
    <row r="1285">
      <c r="A1285" s="105">
        <f>IF($J1285="","",INDEX(EV_Date,$J1285))</f>
        <v/>
      </c>
      <c r="B1285" s="78">
        <f>IF($J1285="","",INDEX(EV_Name,$J1285))</f>
        <v/>
      </c>
      <c r="C1285" s="106">
        <f>IF($J1285="","",INDEX(EV_ID,$J1285))</f>
        <v/>
      </c>
      <c r="D1285" s="106">
        <f>IF($J1285="","",INDEX(EV_Class,$J1285))</f>
        <v/>
      </c>
      <c r="E1285" s="106">
        <f>IF($J1285="","",INDEX(EV_Type,$J1285))</f>
        <v/>
      </c>
      <c r="F1285" s="106">
        <f>IF($J1285="","",INDEX(EV_Cum,$J1285))</f>
        <v/>
      </c>
      <c r="G1285" s="106">
        <f>IF($J1285="","",INDEX(LevelLabels,MATCH(F1285,LevelValues,1)))</f>
        <v/>
      </c>
      <c r="H1285" s="106">
        <f>IF($J1285="","",IFERROR(INDEX(Stu_ContactReq,MATCH(C1285,Stu_ID,0)),""))</f>
        <v/>
      </c>
      <c r="I1285" s="107">
        <f>IF($J1285="","",IFERROR(INDEX(Stu_Notes,MATCH(C1285,Stu_ID,0)),""))</f>
        <v/>
      </c>
      <c r="J1285" s="40">
        <f>IF(1280&gt;$B$3,"",IFERROR(MATCH(1280-1,EV_Seq,1)+1,1))</f>
        <v/>
      </c>
    </row>
    <row r="1286">
      <c r="A1286" s="105">
        <f>IF($J1286="","",INDEX(EV_Date,$J1286))</f>
        <v/>
      </c>
      <c r="B1286" s="78">
        <f>IF($J1286="","",INDEX(EV_Name,$J1286))</f>
        <v/>
      </c>
      <c r="C1286" s="106">
        <f>IF($J1286="","",INDEX(EV_ID,$J1286))</f>
        <v/>
      </c>
      <c r="D1286" s="106">
        <f>IF($J1286="","",INDEX(EV_Class,$J1286))</f>
        <v/>
      </c>
      <c r="E1286" s="106">
        <f>IF($J1286="","",INDEX(EV_Type,$J1286))</f>
        <v/>
      </c>
      <c r="F1286" s="106">
        <f>IF($J1286="","",INDEX(EV_Cum,$J1286))</f>
        <v/>
      </c>
      <c r="G1286" s="106">
        <f>IF($J1286="","",INDEX(LevelLabels,MATCH(F1286,LevelValues,1)))</f>
        <v/>
      </c>
      <c r="H1286" s="106">
        <f>IF($J1286="","",IFERROR(INDEX(Stu_ContactReq,MATCH(C1286,Stu_ID,0)),""))</f>
        <v/>
      </c>
      <c r="I1286" s="107">
        <f>IF($J1286="","",IFERROR(INDEX(Stu_Notes,MATCH(C1286,Stu_ID,0)),""))</f>
        <v/>
      </c>
      <c r="J1286" s="40">
        <f>IF(1281&gt;$B$3,"",IFERROR(MATCH(1281-1,EV_Seq,1)+1,1))</f>
        <v/>
      </c>
    </row>
    <row r="1287">
      <c r="A1287" s="105">
        <f>IF($J1287="","",INDEX(EV_Date,$J1287))</f>
        <v/>
      </c>
      <c r="B1287" s="78">
        <f>IF($J1287="","",INDEX(EV_Name,$J1287))</f>
        <v/>
      </c>
      <c r="C1287" s="106">
        <f>IF($J1287="","",INDEX(EV_ID,$J1287))</f>
        <v/>
      </c>
      <c r="D1287" s="106">
        <f>IF($J1287="","",INDEX(EV_Class,$J1287))</f>
        <v/>
      </c>
      <c r="E1287" s="106">
        <f>IF($J1287="","",INDEX(EV_Type,$J1287))</f>
        <v/>
      </c>
      <c r="F1287" s="106">
        <f>IF($J1287="","",INDEX(EV_Cum,$J1287))</f>
        <v/>
      </c>
      <c r="G1287" s="106">
        <f>IF($J1287="","",INDEX(LevelLabels,MATCH(F1287,LevelValues,1)))</f>
        <v/>
      </c>
      <c r="H1287" s="106">
        <f>IF($J1287="","",IFERROR(INDEX(Stu_ContactReq,MATCH(C1287,Stu_ID,0)),""))</f>
        <v/>
      </c>
      <c r="I1287" s="107">
        <f>IF($J1287="","",IFERROR(INDEX(Stu_Notes,MATCH(C1287,Stu_ID,0)),""))</f>
        <v/>
      </c>
      <c r="J1287" s="40">
        <f>IF(1282&gt;$B$3,"",IFERROR(MATCH(1282-1,EV_Seq,1)+1,1))</f>
        <v/>
      </c>
    </row>
    <row r="1288">
      <c r="A1288" s="105">
        <f>IF($J1288="","",INDEX(EV_Date,$J1288))</f>
        <v/>
      </c>
      <c r="B1288" s="78">
        <f>IF($J1288="","",INDEX(EV_Name,$J1288))</f>
        <v/>
      </c>
      <c r="C1288" s="106">
        <f>IF($J1288="","",INDEX(EV_ID,$J1288))</f>
        <v/>
      </c>
      <c r="D1288" s="106">
        <f>IF($J1288="","",INDEX(EV_Class,$J1288))</f>
        <v/>
      </c>
      <c r="E1288" s="106">
        <f>IF($J1288="","",INDEX(EV_Type,$J1288))</f>
        <v/>
      </c>
      <c r="F1288" s="106">
        <f>IF($J1288="","",INDEX(EV_Cum,$J1288))</f>
        <v/>
      </c>
      <c r="G1288" s="106">
        <f>IF($J1288="","",INDEX(LevelLabels,MATCH(F1288,LevelValues,1)))</f>
        <v/>
      </c>
      <c r="H1288" s="106">
        <f>IF($J1288="","",IFERROR(INDEX(Stu_ContactReq,MATCH(C1288,Stu_ID,0)),""))</f>
        <v/>
      </c>
      <c r="I1288" s="107">
        <f>IF($J1288="","",IFERROR(INDEX(Stu_Notes,MATCH(C1288,Stu_ID,0)),""))</f>
        <v/>
      </c>
      <c r="J1288" s="40">
        <f>IF(1283&gt;$B$3,"",IFERROR(MATCH(1283-1,EV_Seq,1)+1,1))</f>
        <v/>
      </c>
    </row>
    <row r="1289">
      <c r="A1289" s="105">
        <f>IF($J1289="","",INDEX(EV_Date,$J1289))</f>
        <v/>
      </c>
      <c r="B1289" s="78">
        <f>IF($J1289="","",INDEX(EV_Name,$J1289))</f>
        <v/>
      </c>
      <c r="C1289" s="106">
        <f>IF($J1289="","",INDEX(EV_ID,$J1289))</f>
        <v/>
      </c>
      <c r="D1289" s="106">
        <f>IF($J1289="","",INDEX(EV_Class,$J1289))</f>
        <v/>
      </c>
      <c r="E1289" s="106">
        <f>IF($J1289="","",INDEX(EV_Type,$J1289))</f>
        <v/>
      </c>
      <c r="F1289" s="106">
        <f>IF($J1289="","",INDEX(EV_Cum,$J1289))</f>
        <v/>
      </c>
      <c r="G1289" s="106">
        <f>IF($J1289="","",INDEX(LevelLabels,MATCH(F1289,LevelValues,1)))</f>
        <v/>
      </c>
      <c r="H1289" s="106">
        <f>IF($J1289="","",IFERROR(INDEX(Stu_ContactReq,MATCH(C1289,Stu_ID,0)),""))</f>
        <v/>
      </c>
      <c r="I1289" s="107">
        <f>IF($J1289="","",IFERROR(INDEX(Stu_Notes,MATCH(C1289,Stu_ID,0)),""))</f>
        <v/>
      </c>
      <c r="J1289" s="40">
        <f>IF(1284&gt;$B$3,"",IFERROR(MATCH(1284-1,EV_Seq,1)+1,1))</f>
        <v/>
      </c>
    </row>
    <row r="1290">
      <c r="A1290" s="105">
        <f>IF($J1290="","",INDEX(EV_Date,$J1290))</f>
        <v/>
      </c>
      <c r="B1290" s="78">
        <f>IF($J1290="","",INDEX(EV_Name,$J1290))</f>
        <v/>
      </c>
      <c r="C1290" s="106">
        <f>IF($J1290="","",INDEX(EV_ID,$J1290))</f>
        <v/>
      </c>
      <c r="D1290" s="106">
        <f>IF($J1290="","",INDEX(EV_Class,$J1290))</f>
        <v/>
      </c>
      <c r="E1290" s="106">
        <f>IF($J1290="","",INDEX(EV_Type,$J1290))</f>
        <v/>
      </c>
      <c r="F1290" s="106">
        <f>IF($J1290="","",INDEX(EV_Cum,$J1290))</f>
        <v/>
      </c>
      <c r="G1290" s="106">
        <f>IF($J1290="","",INDEX(LevelLabels,MATCH(F1290,LevelValues,1)))</f>
        <v/>
      </c>
      <c r="H1290" s="106">
        <f>IF($J1290="","",IFERROR(INDEX(Stu_ContactReq,MATCH(C1290,Stu_ID,0)),""))</f>
        <v/>
      </c>
      <c r="I1290" s="107">
        <f>IF($J1290="","",IFERROR(INDEX(Stu_Notes,MATCH(C1290,Stu_ID,0)),""))</f>
        <v/>
      </c>
      <c r="J1290" s="40">
        <f>IF(1285&gt;$B$3,"",IFERROR(MATCH(1285-1,EV_Seq,1)+1,1))</f>
        <v/>
      </c>
    </row>
    <row r="1291">
      <c r="A1291" s="105">
        <f>IF($J1291="","",INDEX(EV_Date,$J1291))</f>
        <v/>
      </c>
      <c r="B1291" s="78">
        <f>IF($J1291="","",INDEX(EV_Name,$J1291))</f>
        <v/>
      </c>
      <c r="C1291" s="106">
        <f>IF($J1291="","",INDEX(EV_ID,$J1291))</f>
        <v/>
      </c>
      <c r="D1291" s="106">
        <f>IF($J1291="","",INDEX(EV_Class,$J1291))</f>
        <v/>
      </c>
      <c r="E1291" s="106">
        <f>IF($J1291="","",INDEX(EV_Type,$J1291))</f>
        <v/>
      </c>
      <c r="F1291" s="106">
        <f>IF($J1291="","",INDEX(EV_Cum,$J1291))</f>
        <v/>
      </c>
      <c r="G1291" s="106">
        <f>IF($J1291="","",INDEX(LevelLabels,MATCH(F1291,LevelValues,1)))</f>
        <v/>
      </c>
      <c r="H1291" s="106">
        <f>IF($J1291="","",IFERROR(INDEX(Stu_ContactReq,MATCH(C1291,Stu_ID,0)),""))</f>
        <v/>
      </c>
      <c r="I1291" s="107">
        <f>IF($J1291="","",IFERROR(INDEX(Stu_Notes,MATCH(C1291,Stu_ID,0)),""))</f>
        <v/>
      </c>
      <c r="J1291" s="40">
        <f>IF(1286&gt;$B$3,"",IFERROR(MATCH(1286-1,EV_Seq,1)+1,1))</f>
        <v/>
      </c>
    </row>
    <row r="1292">
      <c r="A1292" s="105">
        <f>IF($J1292="","",INDEX(EV_Date,$J1292))</f>
        <v/>
      </c>
      <c r="B1292" s="78">
        <f>IF($J1292="","",INDEX(EV_Name,$J1292))</f>
        <v/>
      </c>
      <c r="C1292" s="106">
        <f>IF($J1292="","",INDEX(EV_ID,$J1292))</f>
        <v/>
      </c>
      <c r="D1292" s="106">
        <f>IF($J1292="","",INDEX(EV_Class,$J1292))</f>
        <v/>
      </c>
      <c r="E1292" s="106">
        <f>IF($J1292="","",INDEX(EV_Type,$J1292))</f>
        <v/>
      </c>
      <c r="F1292" s="106">
        <f>IF($J1292="","",INDEX(EV_Cum,$J1292))</f>
        <v/>
      </c>
      <c r="G1292" s="106">
        <f>IF($J1292="","",INDEX(LevelLabels,MATCH(F1292,LevelValues,1)))</f>
        <v/>
      </c>
      <c r="H1292" s="106">
        <f>IF($J1292="","",IFERROR(INDEX(Stu_ContactReq,MATCH(C1292,Stu_ID,0)),""))</f>
        <v/>
      </c>
      <c r="I1292" s="107">
        <f>IF($J1292="","",IFERROR(INDEX(Stu_Notes,MATCH(C1292,Stu_ID,0)),""))</f>
        <v/>
      </c>
      <c r="J1292" s="40">
        <f>IF(1287&gt;$B$3,"",IFERROR(MATCH(1287-1,EV_Seq,1)+1,1))</f>
        <v/>
      </c>
    </row>
    <row r="1293">
      <c r="A1293" s="105">
        <f>IF($J1293="","",INDEX(EV_Date,$J1293))</f>
        <v/>
      </c>
      <c r="B1293" s="78">
        <f>IF($J1293="","",INDEX(EV_Name,$J1293))</f>
        <v/>
      </c>
      <c r="C1293" s="106">
        <f>IF($J1293="","",INDEX(EV_ID,$J1293))</f>
        <v/>
      </c>
      <c r="D1293" s="106">
        <f>IF($J1293="","",INDEX(EV_Class,$J1293))</f>
        <v/>
      </c>
      <c r="E1293" s="106">
        <f>IF($J1293="","",INDEX(EV_Type,$J1293))</f>
        <v/>
      </c>
      <c r="F1293" s="106">
        <f>IF($J1293="","",INDEX(EV_Cum,$J1293))</f>
        <v/>
      </c>
      <c r="G1293" s="106">
        <f>IF($J1293="","",INDEX(LevelLabels,MATCH(F1293,LevelValues,1)))</f>
        <v/>
      </c>
      <c r="H1293" s="106">
        <f>IF($J1293="","",IFERROR(INDEX(Stu_ContactReq,MATCH(C1293,Stu_ID,0)),""))</f>
        <v/>
      </c>
      <c r="I1293" s="107">
        <f>IF($J1293="","",IFERROR(INDEX(Stu_Notes,MATCH(C1293,Stu_ID,0)),""))</f>
        <v/>
      </c>
      <c r="J1293" s="40">
        <f>IF(1288&gt;$B$3,"",IFERROR(MATCH(1288-1,EV_Seq,1)+1,1))</f>
        <v/>
      </c>
    </row>
    <row r="1294">
      <c r="A1294" s="105">
        <f>IF($J1294="","",INDEX(EV_Date,$J1294))</f>
        <v/>
      </c>
      <c r="B1294" s="78">
        <f>IF($J1294="","",INDEX(EV_Name,$J1294))</f>
        <v/>
      </c>
      <c r="C1294" s="106">
        <f>IF($J1294="","",INDEX(EV_ID,$J1294))</f>
        <v/>
      </c>
      <c r="D1294" s="106">
        <f>IF($J1294="","",INDEX(EV_Class,$J1294))</f>
        <v/>
      </c>
      <c r="E1294" s="106">
        <f>IF($J1294="","",INDEX(EV_Type,$J1294))</f>
        <v/>
      </c>
      <c r="F1294" s="106">
        <f>IF($J1294="","",INDEX(EV_Cum,$J1294))</f>
        <v/>
      </c>
      <c r="G1294" s="106">
        <f>IF($J1294="","",INDEX(LevelLabels,MATCH(F1294,LevelValues,1)))</f>
        <v/>
      </c>
      <c r="H1294" s="106">
        <f>IF($J1294="","",IFERROR(INDEX(Stu_ContactReq,MATCH(C1294,Stu_ID,0)),""))</f>
        <v/>
      </c>
      <c r="I1294" s="107">
        <f>IF($J1294="","",IFERROR(INDEX(Stu_Notes,MATCH(C1294,Stu_ID,0)),""))</f>
        <v/>
      </c>
      <c r="J1294" s="40">
        <f>IF(1289&gt;$B$3,"",IFERROR(MATCH(1289-1,EV_Seq,1)+1,1))</f>
        <v/>
      </c>
    </row>
    <row r="1295">
      <c r="A1295" s="105">
        <f>IF($J1295="","",INDEX(EV_Date,$J1295))</f>
        <v/>
      </c>
      <c r="B1295" s="78">
        <f>IF($J1295="","",INDEX(EV_Name,$J1295))</f>
        <v/>
      </c>
      <c r="C1295" s="106">
        <f>IF($J1295="","",INDEX(EV_ID,$J1295))</f>
        <v/>
      </c>
      <c r="D1295" s="106">
        <f>IF($J1295="","",INDEX(EV_Class,$J1295))</f>
        <v/>
      </c>
      <c r="E1295" s="106">
        <f>IF($J1295="","",INDEX(EV_Type,$J1295))</f>
        <v/>
      </c>
      <c r="F1295" s="106">
        <f>IF($J1295="","",INDEX(EV_Cum,$J1295))</f>
        <v/>
      </c>
      <c r="G1295" s="106">
        <f>IF($J1295="","",INDEX(LevelLabels,MATCH(F1295,LevelValues,1)))</f>
        <v/>
      </c>
      <c r="H1295" s="106">
        <f>IF($J1295="","",IFERROR(INDEX(Stu_ContactReq,MATCH(C1295,Stu_ID,0)),""))</f>
        <v/>
      </c>
      <c r="I1295" s="107">
        <f>IF($J1295="","",IFERROR(INDEX(Stu_Notes,MATCH(C1295,Stu_ID,0)),""))</f>
        <v/>
      </c>
      <c r="J1295" s="40">
        <f>IF(1290&gt;$B$3,"",IFERROR(MATCH(1290-1,EV_Seq,1)+1,1))</f>
        <v/>
      </c>
    </row>
    <row r="1296">
      <c r="A1296" s="105">
        <f>IF($J1296="","",INDEX(EV_Date,$J1296))</f>
        <v/>
      </c>
      <c r="B1296" s="78">
        <f>IF($J1296="","",INDEX(EV_Name,$J1296))</f>
        <v/>
      </c>
      <c r="C1296" s="106">
        <f>IF($J1296="","",INDEX(EV_ID,$J1296))</f>
        <v/>
      </c>
      <c r="D1296" s="106">
        <f>IF($J1296="","",INDEX(EV_Class,$J1296))</f>
        <v/>
      </c>
      <c r="E1296" s="106">
        <f>IF($J1296="","",INDEX(EV_Type,$J1296))</f>
        <v/>
      </c>
      <c r="F1296" s="106">
        <f>IF($J1296="","",INDEX(EV_Cum,$J1296))</f>
        <v/>
      </c>
      <c r="G1296" s="106">
        <f>IF($J1296="","",INDEX(LevelLabels,MATCH(F1296,LevelValues,1)))</f>
        <v/>
      </c>
      <c r="H1296" s="106">
        <f>IF($J1296="","",IFERROR(INDEX(Stu_ContactReq,MATCH(C1296,Stu_ID,0)),""))</f>
        <v/>
      </c>
      <c r="I1296" s="107">
        <f>IF($J1296="","",IFERROR(INDEX(Stu_Notes,MATCH(C1296,Stu_ID,0)),""))</f>
        <v/>
      </c>
      <c r="J1296" s="40">
        <f>IF(1291&gt;$B$3,"",IFERROR(MATCH(1291-1,EV_Seq,1)+1,1))</f>
        <v/>
      </c>
    </row>
    <row r="1297">
      <c r="A1297" s="105">
        <f>IF($J1297="","",INDEX(EV_Date,$J1297))</f>
        <v/>
      </c>
      <c r="B1297" s="78">
        <f>IF($J1297="","",INDEX(EV_Name,$J1297))</f>
        <v/>
      </c>
      <c r="C1297" s="106">
        <f>IF($J1297="","",INDEX(EV_ID,$J1297))</f>
        <v/>
      </c>
      <c r="D1297" s="106">
        <f>IF($J1297="","",INDEX(EV_Class,$J1297))</f>
        <v/>
      </c>
      <c r="E1297" s="106">
        <f>IF($J1297="","",INDEX(EV_Type,$J1297))</f>
        <v/>
      </c>
      <c r="F1297" s="106">
        <f>IF($J1297="","",INDEX(EV_Cum,$J1297))</f>
        <v/>
      </c>
      <c r="G1297" s="106">
        <f>IF($J1297="","",INDEX(LevelLabels,MATCH(F1297,LevelValues,1)))</f>
        <v/>
      </c>
      <c r="H1297" s="106">
        <f>IF($J1297="","",IFERROR(INDEX(Stu_ContactReq,MATCH(C1297,Stu_ID,0)),""))</f>
        <v/>
      </c>
      <c r="I1297" s="107">
        <f>IF($J1297="","",IFERROR(INDEX(Stu_Notes,MATCH(C1297,Stu_ID,0)),""))</f>
        <v/>
      </c>
      <c r="J1297" s="40">
        <f>IF(1292&gt;$B$3,"",IFERROR(MATCH(1292-1,EV_Seq,1)+1,1))</f>
        <v/>
      </c>
    </row>
    <row r="1298">
      <c r="A1298" s="105">
        <f>IF($J1298="","",INDEX(EV_Date,$J1298))</f>
        <v/>
      </c>
      <c r="B1298" s="78">
        <f>IF($J1298="","",INDEX(EV_Name,$J1298))</f>
        <v/>
      </c>
      <c r="C1298" s="106">
        <f>IF($J1298="","",INDEX(EV_ID,$J1298))</f>
        <v/>
      </c>
      <c r="D1298" s="106">
        <f>IF($J1298="","",INDEX(EV_Class,$J1298))</f>
        <v/>
      </c>
      <c r="E1298" s="106">
        <f>IF($J1298="","",INDEX(EV_Type,$J1298))</f>
        <v/>
      </c>
      <c r="F1298" s="106">
        <f>IF($J1298="","",INDEX(EV_Cum,$J1298))</f>
        <v/>
      </c>
      <c r="G1298" s="106">
        <f>IF($J1298="","",INDEX(LevelLabels,MATCH(F1298,LevelValues,1)))</f>
        <v/>
      </c>
      <c r="H1298" s="106">
        <f>IF($J1298="","",IFERROR(INDEX(Stu_ContactReq,MATCH(C1298,Stu_ID,0)),""))</f>
        <v/>
      </c>
      <c r="I1298" s="107">
        <f>IF($J1298="","",IFERROR(INDEX(Stu_Notes,MATCH(C1298,Stu_ID,0)),""))</f>
        <v/>
      </c>
      <c r="J1298" s="40">
        <f>IF(1293&gt;$B$3,"",IFERROR(MATCH(1293-1,EV_Seq,1)+1,1))</f>
        <v/>
      </c>
    </row>
    <row r="1299">
      <c r="A1299" s="105">
        <f>IF($J1299="","",INDEX(EV_Date,$J1299))</f>
        <v/>
      </c>
      <c r="B1299" s="78">
        <f>IF($J1299="","",INDEX(EV_Name,$J1299))</f>
        <v/>
      </c>
      <c r="C1299" s="106">
        <f>IF($J1299="","",INDEX(EV_ID,$J1299))</f>
        <v/>
      </c>
      <c r="D1299" s="106">
        <f>IF($J1299="","",INDEX(EV_Class,$J1299))</f>
        <v/>
      </c>
      <c r="E1299" s="106">
        <f>IF($J1299="","",INDEX(EV_Type,$J1299))</f>
        <v/>
      </c>
      <c r="F1299" s="106">
        <f>IF($J1299="","",INDEX(EV_Cum,$J1299))</f>
        <v/>
      </c>
      <c r="G1299" s="106">
        <f>IF($J1299="","",INDEX(LevelLabels,MATCH(F1299,LevelValues,1)))</f>
        <v/>
      </c>
      <c r="H1299" s="106">
        <f>IF($J1299="","",IFERROR(INDEX(Stu_ContactReq,MATCH(C1299,Stu_ID,0)),""))</f>
        <v/>
      </c>
      <c r="I1299" s="107">
        <f>IF($J1299="","",IFERROR(INDEX(Stu_Notes,MATCH(C1299,Stu_ID,0)),""))</f>
        <v/>
      </c>
      <c r="J1299" s="40">
        <f>IF(1294&gt;$B$3,"",IFERROR(MATCH(1294-1,EV_Seq,1)+1,1))</f>
        <v/>
      </c>
    </row>
    <row r="1300">
      <c r="A1300" s="105">
        <f>IF($J1300="","",INDEX(EV_Date,$J1300))</f>
        <v/>
      </c>
      <c r="B1300" s="78">
        <f>IF($J1300="","",INDEX(EV_Name,$J1300))</f>
        <v/>
      </c>
      <c r="C1300" s="106">
        <f>IF($J1300="","",INDEX(EV_ID,$J1300))</f>
        <v/>
      </c>
      <c r="D1300" s="106">
        <f>IF($J1300="","",INDEX(EV_Class,$J1300))</f>
        <v/>
      </c>
      <c r="E1300" s="106">
        <f>IF($J1300="","",INDEX(EV_Type,$J1300))</f>
        <v/>
      </c>
      <c r="F1300" s="106">
        <f>IF($J1300="","",INDEX(EV_Cum,$J1300))</f>
        <v/>
      </c>
      <c r="G1300" s="106">
        <f>IF($J1300="","",INDEX(LevelLabels,MATCH(F1300,LevelValues,1)))</f>
        <v/>
      </c>
      <c r="H1300" s="106">
        <f>IF($J1300="","",IFERROR(INDEX(Stu_ContactReq,MATCH(C1300,Stu_ID,0)),""))</f>
        <v/>
      </c>
      <c r="I1300" s="107">
        <f>IF($J1300="","",IFERROR(INDEX(Stu_Notes,MATCH(C1300,Stu_ID,0)),""))</f>
        <v/>
      </c>
      <c r="J1300" s="40">
        <f>IF(1295&gt;$B$3,"",IFERROR(MATCH(1295-1,EV_Seq,1)+1,1))</f>
        <v/>
      </c>
    </row>
    <row r="1301">
      <c r="A1301" s="105">
        <f>IF($J1301="","",INDEX(EV_Date,$J1301))</f>
        <v/>
      </c>
      <c r="B1301" s="78">
        <f>IF($J1301="","",INDEX(EV_Name,$J1301))</f>
        <v/>
      </c>
      <c r="C1301" s="106">
        <f>IF($J1301="","",INDEX(EV_ID,$J1301))</f>
        <v/>
      </c>
      <c r="D1301" s="106">
        <f>IF($J1301="","",INDEX(EV_Class,$J1301))</f>
        <v/>
      </c>
      <c r="E1301" s="106">
        <f>IF($J1301="","",INDEX(EV_Type,$J1301))</f>
        <v/>
      </c>
      <c r="F1301" s="106">
        <f>IF($J1301="","",INDEX(EV_Cum,$J1301))</f>
        <v/>
      </c>
      <c r="G1301" s="106">
        <f>IF($J1301="","",INDEX(LevelLabels,MATCH(F1301,LevelValues,1)))</f>
        <v/>
      </c>
      <c r="H1301" s="106">
        <f>IF($J1301="","",IFERROR(INDEX(Stu_ContactReq,MATCH(C1301,Stu_ID,0)),""))</f>
        <v/>
      </c>
      <c r="I1301" s="107">
        <f>IF($J1301="","",IFERROR(INDEX(Stu_Notes,MATCH(C1301,Stu_ID,0)),""))</f>
        <v/>
      </c>
      <c r="J1301" s="40">
        <f>IF(1296&gt;$B$3,"",IFERROR(MATCH(1296-1,EV_Seq,1)+1,1))</f>
        <v/>
      </c>
    </row>
    <row r="1302">
      <c r="A1302" s="105">
        <f>IF($J1302="","",INDEX(EV_Date,$J1302))</f>
        <v/>
      </c>
      <c r="B1302" s="78">
        <f>IF($J1302="","",INDEX(EV_Name,$J1302))</f>
        <v/>
      </c>
      <c r="C1302" s="106">
        <f>IF($J1302="","",INDEX(EV_ID,$J1302))</f>
        <v/>
      </c>
      <c r="D1302" s="106">
        <f>IF($J1302="","",INDEX(EV_Class,$J1302))</f>
        <v/>
      </c>
      <c r="E1302" s="106">
        <f>IF($J1302="","",INDEX(EV_Type,$J1302))</f>
        <v/>
      </c>
      <c r="F1302" s="106">
        <f>IF($J1302="","",INDEX(EV_Cum,$J1302))</f>
        <v/>
      </c>
      <c r="G1302" s="106">
        <f>IF($J1302="","",INDEX(LevelLabels,MATCH(F1302,LevelValues,1)))</f>
        <v/>
      </c>
      <c r="H1302" s="106">
        <f>IF($J1302="","",IFERROR(INDEX(Stu_ContactReq,MATCH(C1302,Stu_ID,0)),""))</f>
        <v/>
      </c>
      <c r="I1302" s="107">
        <f>IF($J1302="","",IFERROR(INDEX(Stu_Notes,MATCH(C1302,Stu_ID,0)),""))</f>
        <v/>
      </c>
      <c r="J1302" s="40">
        <f>IF(1297&gt;$B$3,"",IFERROR(MATCH(1297-1,EV_Seq,1)+1,1))</f>
        <v/>
      </c>
    </row>
    <row r="1303">
      <c r="A1303" s="105">
        <f>IF($J1303="","",INDEX(EV_Date,$J1303))</f>
        <v/>
      </c>
      <c r="B1303" s="78">
        <f>IF($J1303="","",INDEX(EV_Name,$J1303))</f>
        <v/>
      </c>
      <c r="C1303" s="106">
        <f>IF($J1303="","",INDEX(EV_ID,$J1303))</f>
        <v/>
      </c>
      <c r="D1303" s="106">
        <f>IF($J1303="","",INDEX(EV_Class,$J1303))</f>
        <v/>
      </c>
      <c r="E1303" s="106">
        <f>IF($J1303="","",INDEX(EV_Type,$J1303))</f>
        <v/>
      </c>
      <c r="F1303" s="106">
        <f>IF($J1303="","",INDEX(EV_Cum,$J1303))</f>
        <v/>
      </c>
      <c r="G1303" s="106">
        <f>IF($J1303="","",INDEX(LevelLabels,MATCH(F1303,LevelValues,1)))</f>
        <v/>
      </c>
      <c r="H1303" s="106">
        <f>IF($J1303="","",IFERROR(INDEX(Stu_ContactReq,MATCH(C1303,Stu_ID,0)),""))</f>
        <v/>
      </c>
      <c r="I1303" s="107">
        <f>IF($J1303="","",IFERROR(INDEX(Stu_Notes,MATCH(C1303,Stu_ID,0)),""))</f>
        <v/>
      </c>
      <c r="J1303" s="40">
        <f>IF(1298&gt;$B$3,"",IFERROR(MATCH(1298-1,EV_Seq,1)+1,1))</f>
        <v/>
      </c>
    </row>
    <row r="1304">
      <c r="A1304" s="105">
        <f>IF($J1304="","",INDEX(EV_Date,$J1304))</f>
        <v/>
      </c>
      <c r="B1304" s="78">
        <f>IF($J1304="","",INDEX(EV_Name,$J1304))</f>
        <v/>
      </c>
      <c r="C1304" s="106">
        <f>IF($J1304="","",INDEX(EV_ID,$J1304))</f>
        <v/>
      </c>
      <c r="D1304" s="106">
        <f>IF($J1304="","",INDEX(EV_Class,$J1304))</f>
        <v/>
      </c>
      <c r="E1304" s="106">
        <f>IF($J1304="","",INDEX(EV_Type,$J1304))</f>
        <v/>
      </c>
      <c r="F1304" s="106">
        <f>IF($J1304="","",INDEX(EV_Cum,$J1304))</f>
        <v/>
      </c>
      <c r="G1304" s="106">
        <f>IF($J1304="","",INDEX(LevelLabels,MATCH(F1304,LevelValues,1)))</f>
        <v/>
      </c>
      <c r="H1304" s="106">
        <f>IF($J1304="","",IFERROR(INDEX(Stu_ContactReq,MATCH(C1304,Stu_ID,0)),""))</f>
        <v/>
      </c>
      <c r="I1304" s="107">
        <f>IF($J1304="","",IFERROR(INDEX(Stu_Notes,MATCH(C1304,Stu_ID,0)),""))</f>
        <v/>
      </c>
      <c r="J1304" s="40">
        <f>IF(1299&gt;$B$3,"",IFERROR(MATCH(1299-1,EV_Seq,1)+1,1))</f>
        <v/>
      </c>
    </row>
    <row r="1305">
      <c r="A1305" s="105">
        <f>IF($J1305="","",INDEX(EV_Date,$J1305))</f>
        <v/>
      </c>
      <c r="B1305" s="78">
        <f>IF($J1305="","",INDEX(EV_Name,$J1305))</f>
        <v/>
      </c>
      <c r="C1305" s="106">
        <f>IF($J1305="","",INDEX(EV_ID,$J1305))</f>
        <v/>
      </c>
      <c r="D1305" s="106">
        <f>IF($J1305="","",INDEX(EV_Class,$J1305))</f>
        <v/>
      </c>
      <c r="E1305" s="106">
        <f>IF($J1305="","",INDEX(EV_Type,$J1305))</f>
        <v/>
      </c>
      <c r="F1305" s="106">
        <f>IF($J1305="","",INDEX(EV_Cum,$J1305))</f>
        <v/>
      </c>
      <c r="G1305" s="106">
        <f>IF($J1305="","",INDEX(LevelLabels,MATCH(F1305,LevelValues,1)))</f>
        <v/>
      </c>
      <c r="H1305" s="106">
        <f>IF($J1305="","",IFERROR(INDEX(Stu_ContactReq,MATCH(C1305,Stu_ID,0)),""))</f>
        <v/>
      </c>
      <c r="I1305" s="107">
        <f>IF($J1305="","",IFERROR(INDEX(Stu_Notes,MATCH(C1305,Stu_ID,0)),""))</f>
        <v/>
      </c>
      <c r="J1305" s="40">
        <f>IF(1300&gt;$B$3,"",IFERROR(MATCH(1300-1,EV_Seq,1)+1,1))</f>
        <v/>
      </c>
    </row>
    <row r="1306">
      <c r="A1306" s="105">
        <f>IF($J1306="","",INDEX(EV_Date,$J1306))</f>
        <v/>
      </c>
      <c r="B1306" s="78">
        <f>IF($J1306="","",INDEX(EV_Name,$J1306))</f>
        <v/>
      </c>
      <c r="C1306" s="106">
        <f>IF($J1306="","",INDEX(EV_ID,$J1306))</f>
        <v/>
      </c>
      <c r="D1306" s="106">
        <f>IF($J1306="","",INDEX(EV_Class,$J1306))</f>
        <v/>
      </c>
      <c r="E1306" s="106">
        <f>IF($J1306="","",INDEX(EV_Type,$J1306))</f>
        <v/>
      </c>
      <c r="F1306" s="106">
        <f>IF($J1306="","",INDEX(EV_Cum,$J1306))</f>
        <v/>
      </c>
      <c r="G1306" s="106">
        <f>IF($J1306="","",INDEX(LevelLabels,MATCH(F1306,LevelValues,1)))</f>
        <v/>
      </c>
      <c r="H1306" s="106">
        <f>IF($J1306="","",IFERROR(INDEX(Stu_ContactReq,MATCH(C1306,Stu_ID,0)),""))</f>
        <v/>
      </c>
      <c r="I1306" s="107">
        <f>IF($J1306="","",IFERROR(INDEX(Stu_Notes,MATCH(C1306,Stu_ID,0)),""))</f>
        <v/>
      </c>
      <c r="J1306" s="40">
        <f>IF(1301&gt;$B$3,"",IFERROR(MATCH(1301-1,EV_Seq,1)+1,1))</f>
        <v/>
      </c>
    </row>
    <row r="1307">
      <c r="A1307" s="105">
        <f>IF($J1307="","",INDEX(EV_Date,$J1307))</f>
        <v/>
      </c>
      <c r="B1307" s="78">
        <f>IF($J1307="","",INDEX(EV_Name,$J1307))</f>
        <v/>
      </c>
      <c r="C1307" s="106">
        <f>IF($J1307="","",INDEX(EV_ID,$J1307))</f>
        <v/>
      </c>
      <c r="D1307" s="106">
        <f>IF($J1307="","",INDEX(EV_Class,$J1307))</f>
        <v/>
      </c>
      <c r="E1307" s="106">
        <f>IF($J1307="","",INDEX(EV_Type,$J1307))</f>
        <v/>
      </c>
      <c r="F1307" s="106">
        <f>IF($J1307="","",INDEX(EV_Cum,$J1307))</f>
        <v/>
      </c>
      <c r="G1307" s="106">
        <f>IF($J1307="","",INDEX(LevelLabels,MATCH(F1307,LevelValues,1)))</f>
        <v/>
      </c>
      <c r="H1307" s="106">
        <f>IF($J1307="","",IFERROR(INDEX(Stu_ContactReq,MATCH(C1307,Stu_ID,0)),""))</f>
        <v/>
      </c>
      <c r="I1307" s="107">
        <f>IF($J1307="","",IFERROR(INDEX(Stu_Notes,MATCH(C1307,Stu_ID,0)),""))</f>
        <v/>
      </c>
      <c r="J1307" s="40">
        <f>IF(1302&gt;$B$3,"",IFERROR(MATCH(1302-1,EV_Seq,1)+1,1))</f>
        <v/>
      </c>
    </row>
    <row r="1308">
      <c r="A1308" s="105">
        <f>IF($J1308="","",INDEX(EV_Date,$J1308))</f>
        <v/>
      </c>
      <c r="B1308" s="78">
        <f>IF($J1308="","",INDEX(EV_Name,$J1308))</f>
        <v/>
      </c>
      <c r="C1308" s="106">
        <f>IF($J1308="","",INDEX(EV_ID,$J1308))</f>
        <v/>
      </c>
      <c r="D1308" s="106">
        <f>IF($J1308="","",INDEX(EV_Class,$J1308))</f>
        <v/>
      </c>
      <c r="E1308" s="106">
        <f>IF($J1308="","",INDEX(EV_Type,$J1308))</f>
        <v/>
      </c>
      <c r="F1308" s="106">
        <f>IF($J1308="","",INDEX(EV_Cum,$J1308))</f>
        <v/>
      </c>
      <c r="G1308" s="106">
        <f>IF($J1308="","",INDEX(LevelLabels,MATCH(F1308,LevelValues,1)))</f>
        <v/>
      </c>
      <c r="H1308" s="106">
        <f>IF($J1308="","",IFERROR(INDEX(Stu_ContactReq,MATCH(C1308,Stu_ID,0)),""))</f>
        <v/>
      </c>
      <c r="I1308" s="107">
        <f>IF($J1308="","",IFERROR(INDEX(Stu_Notes,MATCH(C1308,Stu_ID,0)),""))</f>
        <v/>
      </c>
      <c r="J1308" s="40">
        <f>IF(1303&gt;$B$3,"",IFERROR(MATCH(1303-1,EV_Seq,1)+1,1))</f>
        <v/>
      </c>
    </row>
    <row r="1309">
      <c r="A1309" s="105">
        <f>IF($J1309="","",INDEX(EV_Date,$J1309))</f>
        <v/>
      </c>
      <c r="B1309" s="78">
        <f>IF($J1309="","",INDEX(EV_Name,$J1309))</f>
        <v/>
      </c>
      <c r="C1309" s="106">
        <f>IF($J1309="","",INDEX(EV_ID,$J1309))</f>
        <v/>
      </c>
      <c r="D1309" s="106">
        <f>IF($J1309="","",INDEX(EV_Class,$J1309))</f>
        <v/>
      </c>
      <c r="E1309" s="106">
        <f>IF($J1309="","",INDEX(EV_Type,$J1309))</f>
        <v/>
      </c>
      <c r="F1309" s="106">
        <f>IF($J1309="","",INDEX(EV_Cum,$J1309))</f>
        <v/>
      </c>
      <c r="G1309" s="106">
        <f>IF($J1309="","",INDEX(LevelLabels,MATCH(F1309,LevelValues,1)))</f>
        <v/>
      </c>
      <c r="H1309" s="106">
        <f>IF($J1309="","",IFERROR(INDEX(Stu_ContactReq,MATCH(C1309,Stu_ID,0)),""))</f>
        <v/>
      </c>
      <c r="I1309" s="107">
        <f>IF($J1309="","",IFERROR(INDEX(Stu_Notes,MATCH(C1309,Stu_ID,0)),""))</f>
        <v/>
      </c>
      <c r="J1309" s="40">
        <f>IF(1304&gt;$B$3,"",IFERROR(MATCH(1304-1,EV_Seq,1)+1,1))</f>
        <v/>
      </c>
    </row>
    <row r="1310">
      <c r="A1310" s="105">
        <f>IF($J1310="","",INDEX(EV_Date,$J1310))</f>
        <v/>
      </c>
      <c r="B1310" s="78">
        <f>IF($J1310="","",INDEX(EV_Name,$J1310))</f>
        <v/>
      </c>
      <c r="C1310" s="106">
        <f>IF($J1310="","",INDEX(EV_ID,$J1310))</f>
        <v/>
      </c>
      <c r="D1310" s="106">
        <f>IF($J1310="","",INDEX(EV_Class,$J1310))</f>
        <v/>
      </c>
      <c r="E1310" s="106">
        <f>IF($J1310="","",INDEX(EV_Type,$J1310))</f>
        <v/>
      </c>
      <c r="F1310" s="106">
        <f>IF($J1310="","",INDEX(EV_Cum,$J1310))</f>
        <v/>
      </c>
      <c r="G1310" s="106">
        <f>IF($J1310="","",INDEX(LevelLabels,MATCH(F1310,LevelValues,1)))</f>
        <v/>
      </c>
      <c r="H1310" s="106">
        <f>IF($J1310="","",IFERROR(INDEX(Stu_ContactReq,MATCH(C1310,Stu_ID,0)),""))</f>
        <v/>
      </c>
      <c r="I1310" s="107">
        <f>IF($J1310="","",IFERROR(INDEX(Stu_Notes,MATCH(C1310,Stu_ID,0)),""))</f>
        <v/>
      </c>
      <c r="J1310" s="40">
        <f>IF(1305&gt;$B$3,"",IFERROR(MATCH(1305-1,EV_Seq,1)+1,1))</f>
        <v/>
      </c>
    </row>
    <row r="1311">
      <c r="A1311" s="105">
        <f>IF($J1311="","",INDEX(EV_Date,$J1311))</f>
        <v/>
      </c>
      <c r="B1311" s="78">
        <f>IF($J1311="","",INDEX(EV_Name,$J1311))</f>
        <v/>
      </c>
      <c r="C1311" s="106">
        <f>IF($J1311="","",INDEX(EV_ID,$J1311))</f>
        <v/>
      </c>
      <c r="D1311" s="106">
        <f>IF($J1311="","",INDEX(EV_Class,$J1311))</f>
        <v/>
      </c>
      <c r="E1311" s="106">
        <f>IF($J1311="","",INDEX(EV_Type,$J1311))</f>
        <v/>
      </c>
      <c r="F1311" s="106">
        <f>IF($J1311="","",INDEX(EV_Cum,$J1311))</f>
        <v/>
      </c>
      <c r="G1311" s="106">
        <f>IF($J1311="","",INDEX(LevelLabels,MATCH(F1311,LevelValues,1)))</f>
        <v/>
      </c>
      <c r="H1311" s="106">
        <f>IF($J1311="","",IFERROR(INDEX(Stu_ContactReq,MATCH(C1311,Stu_ID,0)),""))</f>
        <v/>
      </c>
      <c r="I1311" s="107">
        <f>IF($J1311="","",IFERROR(INDEX(Stu_Notes,MATCH(C1311,Stu_ID,0)),""))</f>
        <v/>
      </c>
      <c r="J1311" s="40">
        <f>IF(1306&gt;$B$3,"",IFERROR(MATCH(1306-1,EV_Seq,1)+1,1))</f>
        <v/>
      </c>
    </row>
    <row r="1312">
      <c r="A1312" s="105">
        <f>IF($J1312="","",INDEX(EV_Date,$J1312))</f>
        <v/>
      </c>
      <c r="B1312" s="78">
        <f>IF($J1312="","",INDEX(EV_Name,$J1312))</f>
        <v/>
      </c>
      <c r="C1312" s="106">
        <f>IF($J1312="","",INDEX(EV_ID,$J1312))</f>
        <v/>
      </c>
      <c r="D1312" s="106">
        <f>IF($J1312="","",INDEX(EV_Class,$J1312))</f>
        <v/>
      </c>
      <c r="E1312" s="106">
        <f>IF($J1312="","",INDEX(EV_Type,$J1312))</f>
        <v/>
      </c>
      <c r="F1312" s="106">
        <f>IF($J1312="","",INDEX(EV_Cum,$J1312))</f>
        <v/>
      </c>
      <c r="G1312" s="106">
        <f>IF($J1312="","",INDEX(LevelLabels,MATCH(F1312,LevelValues,1)))</f>
        <v/>
      </c>
      <c r="H1312" s="106">
        <f>IF($J1312="","",IFERROR(INDEX(Stu_ContactReq,MATCH(C1312,Stu_ID,0)),""))</f>
        <v/>
      </c>
      <c r="I1312" s="107">
        <f>IF($J1312="","",IFERROR(INDEX(Stu_Notes,MATCH(C1312,Stu_ID,0)),""))</f>
        <v/>
      </c>
      <c r="J1312" s="40">
        <f>IF(1307&gt;$B$3,"",IFERROR(MATCH(1307-1,EV_Seq,1)+1,1))</f>
        <v/>
      </c>
    </row>
    <row r="1313">
      <c r="A1313" s="105">
        <f>IF($J1313="","",INDEX(EV_Date,$J1313))</f>
        <v/>
      </c>
      <c r="B1313" s="78">
        <f>IF($J1313="","",INDEX(EV_Name,$J1313))</f>
        <v/>
      </c>
      <c r="C1313" s="106">
        <f>IF($J1313="","",INDEX(EV_ID,$J1313))</f>
        <v/>
      </c>
      <c r="D1313" s="106">
        <f>IF($J1313="","",INDEX(EV_Class,$J1313))</f>
        <v/>
      </c>
      <c r="E1313" s="106">
        <f>IF($J1313="","",INDEX(EV_Type,$J1313))</f>
        <v/>
      </c>
      <c r="F1313" s="106">
        <f>IF($J1313="","",INDEX(EV_Cum,$J1313))</f>
        <v/>
      </c>
      <c r="G1313" s="106">
        <f>IF($J1313="","",INDEX(LevelLabels,MATCH(F1313,LevelValues,1)))</f>
        <v/>
      </c>
      <c r="H1313" s="106">
        <f>IF($J1313="","",IFERROR(INDEX(Stu_ContactReq,MATCH(C1313,Stu_ID,0)),""))</f>
        <v/>
      </c>
      <c r="I1313" s="107">
        <f>IF($J1313="","",IFERROR(INDEX(Stu_Notes,MATCH(C1313,Stu_ID,0)),""))</f>
        <v/>
      </c>
      <c r="J1313" s="40">
        <f>IF(1308&gt;$B$3,"",IFERROR(MATCH(1308-1,EV_Seq,1)+1,1))</f>
        <v/>
      </c>
    </row>
    <row r="1314">
      <c r="A1314" s="105">
        <f>IF($J1314="","",INDEX(EV_Date,$J1314))</f>
        <v/>
      </c>
      <c r="B1314" s="78">
        <f>IF($J1314="","",INDEX(EV_Name,$J1314))</f>
        <v/>
      </c>
      <c r="C1314" s="106">
        <f>IF($J1314="","",INDEX(EV_ID,$J1314))</f>
        <v/>
      </c>
      <c r="D1314" s="106">
        <f>IF($J1314="","",INDEX(EV_Class,$J1314))</f>
        <v/>
      </c>
      <c r="E1314" s="106">
        <f>IF($J1314="","",INDEX(EV_Type,$J1314))</f>
        <v/>
      </c>
      <c r="F1314" s="106">
        <f>IF($J1314="","",INDEX(EV_Cum,$J1314))</f>
        <v/>
      </c>
      <c r="G1314" s="106">
        <f>IF($J1314="","",INDEX(LevelLabels,MATCH(F1314,LevelValues,1)))</f>
        <v/>
      </c>
      <c r="H1314" s="106">
        <f>IF($J1314="","",IFERROR(INDEX(Stu_ContactReq,MATCH(C1314,Stu_ID,0)),""))</f>
        <v/>
      </c>
      <c r="I1314" s="107">
        <f>IF($J1314="","",IFERROR(INDEX(Stu_Notes,MATCH(C1314,Stu_ID,0)),""))</f>
        <v/>
      </c>
      <c r="J1314" s="40">
        <f>IF(1309&gt;$B$3,"",IFERROR(MATCH(1309-1,EV_Seq,1)+1,1))</f>
        <v/>
      </c>
    </row>
    <row r="1315">
      <c r="A1315" s="105">
        <f>IF($J1315="","",INDEX(EV_Date,$J1315))</f>
        <v/>
      </c>
      <c r="B1315" s="78">
        <f>IF($J1315="","",INDEX(EV_Name,$J1315))</f>
        <v/>
      </c>
      <c r="C1315" s="106">
        <f>IF($J1315="","",INDEX(EV_ID,$J1315))</f>
        <v/>
      </c>
      <c r="D1315" s="106">
        <f>IF($J1315="","",INDEX(EV_Class,$J1315))</f>
        <v/>
      </c>
      <c r="E1315" s="106">
        <f>IF($J1315="","",INDEX(EV_Type,$J1315))</f>
        <v/>
      </c>
      <c r="F1315" s="106">
        <f>IF($J1315="","",INDEX(EV_Cum,$J1315))</f>
        <v/>
      </c>
      <c r="G1315" s="106">
        <f>IF($J1315="","",INDEX(LevelLabels,MATCH(F1315,LevelValues,1)))</f>
        <v/>
      </c>
      <c r="H1315" s="106">
        <f>IF($J1315="","",IFERROR(INDEX(Stu_ContactReq,MATCH(C1315,Stu_ID,0)),""))</f>
        <v/>
      </c>
      <c r="I1315" s="107">
        <f>IF($J1315="","",IFERROR(INDEX(Stu_Notes,MATCH(C1315,Stu_ID,0)),""))</f>
        <v/>
      </c>
      <c r="J1315" s="40">
        <f>IF(1310&gt;$B$3,"",IFERROR(MATCH(1310-1,EV_Seq,1)+1,1))</f>
        <v/>
      </c>
    </row>
    <row r="1316">
      <c r="A1316" s="105">
        <f>IF($J1316="","",INDEX(EV_Date,$J1316))</f>
        <v/>
      </c>
      <c r="B1316" s="78">
        <f>IF($J1316="","",INDEX(EV_Name,$J1316))</f>
        <v/>
      </c>
      <c r="C1316" s="106">
        <f>IF($J1316="","",INDEX(EV_ID,$J1316))</f>
        <v/>
      </c>
      <c r="D1316" s="106">
        <f>IF($J1316="","",INDEX(EV_Class,$J1316))</f>
        <v/>
      </c>
      <c r="E1316" s="106">
        <f>IF($J1316="","",INDEX(EV_Type,$J1316))</f>
        <v/>
      </c>
      <c r="F1316" s="106">
        <f>IF($J1316="","",INDEX(EV_Cum,$J1316))</f>
        <v/>
      </c>
      <c r="G1316" s="106">
        <f>IF($J1316="","",INDEX(LevelLabels,MATCH(F1316,LevelValues,1)))</f>
        <v/>
      </c>
      <c r="H1316" s="106">
        <f>IF($J1316="","",IFERROR(INDEX(Stu_ContactReq,MATCH(C1316,Stu_ID,0)),""))</f>
        <v/>
      </c>
      <c r="I1316" s="107">
        <f>IF($J1316="","",IFERROR(INDEX(Stu_Notes,MATCH(C1316,Stu_ID,0)),""))</f>
        <v/>
      </c>
      <c r="J1316" s="40">
        <f>IF(1311&gt;$B$3,"",IFERROR(MATCH(1311-1,EV_Seq,1)+1,1))</f>
        <v/>
      </c>
    </row>
    <row r="1317">
      <c r="A1317" s="105">
        <f>IF($J1317="","",INDEX(EV_Date,$J1317))</f>
        <v/>
      </c>
      <c r="B1317" s="78">
        <f>IF($J1317="","",INDEX(EV_Name,$J1317))</f>
        <v/>
      </c>
      <c r="C1317" s="106">
        <f>IF($J1317="","",INDEX(EV_ID,$J1317))</f>
        <v/>
      </c>
      <c r="D1317" s="106">
        <f>IF($J1317="","",INDEX(EV_Class,$J1317))</f>
        <v/>
      </c>
      <c r="E1317" s="106">
        <f>IF($J1317="","",INDEX(EV_Type,$J1317))</f>
        <v/>
      </c>
      <c r="F1317" s="106">
        <f>IF($J1317="","",INDEX(EV_Cum,$J1317))</f>
        <v/>
      </c>
      <c r="G1317" s="106">
        <f>IF($J1317="","",INDEX(LevelLabels,MATCH(F1317,LevelValues,1)))</f>
        <v/>
      </c>
      <c r="H1317" s="106">
        <f>IF($J1317="","",IFERROR(INDEX(Stu_ContactReq,MATCH(C1317,Stu_ID,0)),""))</f>
        <v/>
      </c>
      <c r="I1317" s="107">
        <f>IF($J1317="","",IFERROR(INDEX(Stu_Notes,MATCH(C1317,Stu_ID,0)),""))</f>
        <v/>
      </c>
      <c r="J1317" s="40">
        <f>IF(1312&gt;$B$3,"",IFERROR(MATCH(1312-1,EV_Seq,1)+1,1))</f>
        <v/>
      </c>
    </row>
    <row r="1318">
      <c r="A1318" s="105">
        <f>IF($J1318="","",INDEX(EV_Date,$J1318))</f>
        <v/>
      </c>
      <c r="B1318" s="78">
        <f>IF($J1318="","",INDEX(EV_Name,$J1318))</f>
        <v/>
      </c>
      <c r="C1318" s="106">
        <f>IF($J1318="","",INDEX(EV_ID,$J1318))</f>
        <v/>
      </c>
      <c r="D1318" s="106">
        <f>IF($J1318="","",INDEX(EV_Class,$J1318))</f>
        <v/>
      </c>
      <c r="E1318" s="106">
        <f>IF($J1318="","",INDEX(EV_Type,$J1318))</f>
        <v/>
      </c>
      <c r="F1318" s="106">
        <f>IF($J1318="","",INDEX(EV_Cum,$J1318))</f>
        <v/>
      </c>
      <c r="G1318" s="106">
        <f>IF($J1318="","",INDEX(LevelLabels,MATCH(F1318,LevelValues,1)))</f>
        <v/>
      </c>
      <c r="H1318" s="106">
        <f>IF($J1318="","",IFERROR(INDEX(Stu_ContactReq,MATCH(C1318,Stu_ID,0)),""))</f>
        <v/>
      </c>
      <c r="I1318" s="107">
        <f>IF($J1318="","",IFERROR(INDEX(Stu_Notes,MATCH(C1318,Stu_ID,0)),""))</f>
        <v/>
      </c>
      <c r="J1318" s="40">
        <f>IF(1313&gt;$B$3,"",IFERROR(MATCH(1313-1,EV_Seq,1)+1,1))</f>
        <v/>
      </c>
    </row>
    <row r="1319">
      <c r="A1319" s="105">
        <f>IF($J1319="","",INDEX(EV_Date,$J1319))</f>
        <v/>
      </c>
      <c r="B1319" s="78">
        <f>IF($J1319="","",INDEX(EV_Name,$J1319))</f>
        <v/>
      </c>
      <c r="C1319" s="106">
        <f>IF($J1319="","",INDEX(EV_ID,$J1319))</f>
        <v/>
      </c>
      <c r="D1319" s="106">
        <f>IF($J1319="","",INDEX(EV_Class,$J1319))</f>
        <v/>
      </c>
      <c r="E1319" s="106">
        <f>IF($J1319="","",INDEX(EV_Type,$J1319))</f>
        <v/>
      </c>
      <c r="F1319" s="106">
        <f>IF($J1319="","",INDEX(EV_Cum,$J1319))</f>
        <v/>
      </c>
      <c r="G1319" s="106">
        <f>IF($J1319="","",INDEX(LevelLabels,MATCH(F1319,LevelValues,1)))</f>
        <v/>
      </c>
      <c r="H1319" s="106">
        <f>IF($J1319="","",IFERROR(INDEX(Stu_ContactReq,MATCH(C1319,Stu_ID,0)),""))</f>
        <v/>
      </c>
      <c r="I1319" s="107">
        <f>IF($J1319="","",IFERROR(INDEX(Stu_Notes,MATCH(C1319,Stu_ID,0)),""))</f>
        <v/>
      </c>
      <c r="J1319" s="40">
        <f>IF(1314&gt;$B$3,"",IFERROR(MATCH(1314-1,EV_Seq,1)+1,1))</f>
        <v/>
      </c>
    </row>
    <row r="1320">
      <c r="A1320" s="105">
        <f>IF($J1320="","",INDEX(EV_Date,$J1320))</f>
        <v/>
      </c>
      <c r="B1320" s="78">
        <f>IF($J1320="","",INDEX(EV_Name,$J1320))</f>
        <v/>
      </c>
      <c r="C1320" s="106">
        <f>IF($J1320="","",INDEX(EV_ID,$J1320))</f>
        <v/>
      </c>
      <c r="D1320" s="106">
        <f>IF($J1320="","",INDEX(EV_Class,$J1320))</f>
        <v/>
      </c>
      <c r="E1320" s="106">
        <f>IF($J1320="","",INDEX(EV_Type,$J1320))</f>
        <v/>
      </c>
      <c r="F1320" s="106">
        <f>IF($J1320="","",INDEX(EV_Cum,$J1320))</f>
        <v/>
      </c>
      <c r="G1320" s="106">
        <f>IF($J1320="","",INDEX(LevelLabels,MATCH(F1320,LevelValues,1)))</f>
        <v/>
      </c>
      <c r="H1320" s="106">
        <f>IF($J1320="","",IFERROR(INDEX(Stu_ContactReq,MATCH(C1320,Stu_ID,0)),""))</f>
        <v/>
      </c>
      <c r="I1320" s="107">
        <f>IF($J1320="","",IFERROR(INDEX(Stu_Notes,MATCH(C1320,Stu_ID,0)),""))</f>
        <v/>
      </c>
      <c r="J1320" s="40">
        <f>IF(1315&gt;$B$3,"",IFERROR(MATCH(1315-1,EV_Seq,1)+1,1))</f>
        <v/>
      </c>
    </row>
    <row r="1321">
      <c r="A1321" s="105">
        <f>IF($J1321="","",INDEX(EV_Date,$J1321))</f>
        <v/>
      </c>
      <c r="B1321" s="78">
        <f>IF($J1321="","",INDEX(EV_Name,$J1321))</f>
        <v/>
      </c>
      <c r="C1321" s="106">
        <f>IF($J1321="","",INDEX(EV_ID,$J1321))</f>
        <v/>
      </c>
      <c r="D1321" s="106">
        <f>IF($J1321="","",INDEX(EV_Class,$J1321))</f>
        <v/>
      </c>
      <c r="E1321" s="106">
        <f>IF($J1321="","",INDEX(EV_Type,$J1321))</f>
        <v/>
      </c>
      <c r="F1321" s="106">
        <f>IF($J1321="","",INDEX(EV_Cum,$J1321))</f>
        <v/>
      </c>
      <c r="G1321" s="106">
        <f>IF($J1321="","",INDEX(LevelLabels,MATCH(F1321,LevelValues,1)))</f>
        <v/>
      </c>
      <c r="H1321" s="106">
        <f>IF($J1321="","",IFERROR(INDEX(Stu_ContactReq,MATCH(C1321,Stu_ID,0)),""))</f>
        <v/>
      </c>
      <c r="I1321" s="107">
        <f>IF($J1321="","",IFERROR(INDEX(Stu_Notes,MATCH(C1321,Stu_ID,0)),""))</f>
        <v/>
      </c>
      <c r="J1321" s="40">
        <f>IF(1316&gt;$B$3,"",IFERROR(MATCH(1316-1,EV_Seq,1)+1,1))</f>
        <v/>
      </c>
    </row>
    <row r="1322">
      <c r="A1322" s="105">
        <f>IF($J1322="","",INDEX(EV_Date,$J1322))</f>
        <v/>
      </c>
      <c r="B1322" s="78">
        <f>IF($J1322="","",INDEX(EV_Name,$J1322))</f>
        <v/>
      </c>
      <c r="C1322" s="106">
        <f>IF($J1322="","",INDEX(EV_ID,$J1322))</f>
        <v/>
      </c>
      <c r="D1322" s="106">
        <f>IF($J1322="","",INDEX(EV_Class,$J1322))</f>
        <v/>
      </c>
      <c r="E1322" s="106">
        <f>IF($J1322="","",INDEX(EV_Type,$J1322))</f>
        <v/>
      </c>
      <c r="F1322" s="106">
        <f>IF($J1322="","",INDEX(EV_Cum,$J1322))</f>
        <v/>
      </c>
      <c r="G1322" s="106">
        <f>IF($J1322="","",INDEX(LevelLabels,MATCH(F1322,LevelValues,1)))</f>
        <v/>
      </c>
      <c r="H1322" s="106">
        <f>IF($J1322="","",IFERROR(INDEX(Stu_ContactReq,MATCH(C1322,Stu_ID,0)),""))</f>
        <v/>
      </c>
      <c r="I1322" s="107">
        <f>IF($J1322="","",IFERROR(INDEX(Stu_Notes,MATCH(C1322,Stu_ID,0)),""))</f>
        <v/>
      </c>
      <c r="J1322" s="40">
        <f>IF(1317&gt;$B$3,"",IFERROR(MATCH(1317-1,EV_Seq,1)+1,1))</f>
        <v/>
      </c>
    </row>
    <row r="1323">
      <c r="A1323" s="105">
        <f>IF($J1323="","",INDEX(EV_Date,$J1323))</f>
        <v/>
      </c>
      <c r="B1323" s="78">
        <f>IF($J1323="","",INDEX(EV_Name,$J1323))</f>
        <v/>
      </c>
      <c r="C1323" s="106">
        <f>IF($J1323="","",INDEX(EV_ID,$J1323))</f>
        <v/>
      </c>
      <c r="D1323" s="106">
        <f>IF($J1323="","",INDEX(EV_Class,$J1323))</f>
        <v/>
      </c>
      <c r="E1323" s="106">
        <f>IF($J1323="","",INDEX(EV_Type,$J1323))</f>
        <v/>
      </c>
      <c r="F1323" s="106">
        <f>IF($J1323="","",INDEX(EV_Cum,$J1323))</f>
        <v/>
      </c>
      <c r="G1323" s="106">
        <f>IF($J1323="","",INDEX(LevelLabels,MATCH(F1323,LevelValues,1)))</f>
        <v/>
      </c>
      <c r="H1323" s="106">
        <f>IF($J1323="","",IFERROR(INDEX(Stu_ContactReq,MATCH(C1323,Stu_ID,0)),""))</f>
        <v/>
      </c>
      <c r="I1323" s="107">
        <f>IF($J1323="","",IFERROR(INDEX(Stu_Notes,MATCH(C1323,Stu_ID,0)),""))</f>
        <v/>
      </c>
      <c r="J1323" s="40">
        <f>IF(1318&gt;$B$3,"",IFERROR(MATCH(1318-1,EV_Seq,1)+1,1))</f>
        <v/>
      </c>
    </row>
    <row r="1324">
      <c r="A1324" s="105">
        <f>IF($J1324="","",INDEX(EV_Date,$J1324))</f>
        <v/>
      </c>
      <c r="B1324" s="78">
        <f>IF($J1324="","",INDEX(EV_Name,$J1324))</f>
        <v/>
      </c>
      <c r="C1324" s="106">
        <f>IF($J1324="","",INDEX(EV_ID,$J1324))</f>
        <v/>
      </c>
      <c r="D1324" s="106">
        <f>IF($J1324="","",INDEX(EV_Class,$J1324))</f>
        <v/>
      </c>
      <c r="E1324" s="106">
        <f>IF($J1324="","",INDEX(EV_Type,$J1324))</f>
        <v/>
      </c>
      <c r="F1324" s="106">
        <f>IF($J1324="","",INDEX(EV_Cum,$J1324))</f>
        <v/>
      </c>
      <c r="G1324" s="106">
        <f>IF($J1324="","",INDEX(LevelLabels,MATCH(F1324,LevelValues,1)))</f>
        <v/>
      </c>
      <c r="H1324" s="106">
        <f>IF($J1324="","",IFERROR(INDEX(Stu_ContactReq,MATCH(C1324,Stu_ID,0)),""))</f>
        <v/>
      </c>
      <c r="I1324" s="107">
        <f>IF($J1324="","",IFERROR(INDEX(Stu_Notes,MATCH(C1324,Stu_ID,0)),""))</f>
        <v/>
      </c>
      <c r="J1324" s="40">
        <f>IF(1319&gt;$B$3,"",IFERROR(MATCH(1319-1,EV_Seq,1)+1,1))</f>
        <v/>
      </c>
    </row>
    <row r="1325">
      <c r="A1325" s="105">
        <f>IF($J1325="","",INDEX(EV_Date,$J1325))</f>
        <v/>
      </c>
      <c r="B1325" s="78">
        <f>IF($J1325="","",INDEX(EV_Name,$J1325))</f>
        <v/>
      </c>
      <c r="C1325" s="106">
        <f>IF($J1325="","",INDEX(EV_ID,$J1325))</f>
        <v/>
      </c>
      <c r="D1325" s="106">
        <f>IF($J1325="","",INDEX(EV_Class,$J1325))</f>
        <v/>
      </c>
      <c r="E1325" s="106">
        <f>IF($J1325="","",INDEX(EV_Type,$J1325))</f>
        <v/>
      </c>
      <c r="F1325" s="106">
        <f>IF($J1325="","",INDEX(EV_Cum,$J1325))</f>
        <v/>
      </c>
      <c r="G1325" s="106">
        <f>IF($J1325="","",INDEX(LevelLabels,MATCH(F1325,LevelValues,1)))</f>
        <v/>
      </c>
      <c r="H1325" s="106">
        <f>IF($J1325="","",IFERROR(INDEX(Stu_ContactReq,MATCH(C1325,Stu_ID,0)),""))</f>
        <v/>
      </c>
      <c r="I1325" s="107">
        <f>IF($J1325="","",IFERROR(INDEX(Stu_Notes,MATCH(C1325,Stu_ID,0)),""))</f>
        <v/>
      </c>
      <c r="J1325" s="40">
        <f>IF(1320&gt;$B$3,"",IFERROR(MATCH(1320-1,EV_Seq,1)+1,1))</f>
        <v/>
      </c>
    </row>
    <row r="1326">
      <c r="A1326" s="105">
        <f>IF($J1326="","",INDEX(EV_Date,$J1326))</f>
        <v/>
      </c>
      <c r="B1326" s="78">
        <f>IF($J1326="","",INDEX(EV_Name,$J1326))</f>
        <v/>
      </c>
      <c r="C1326" s="106">
        <f>IF($J1326="","",INDEX(EV_ID,$J1326))</f>
        <v/>
      </c>
      <c r="D1326" s="106">
        <f>IF($J1326="","",INDEX(EV_Class,$J1326))</f>
        <v/>
      </c>
      <c r="E1326" s="106">
        <f>IF($J1326="","",INDEX(EV_Type,$J1326))</f>
        <v/>
      </c>
      <c r="F1326" s="106">
        <f>IF($J1326="","",INDEX(EV_Cum,$J1326))</f>
        <v/>
      </c>
      <c r="G1326" s="106">
        <f>IF($J1326="","",INDEX(LevelLabels,MATCH(F1326,LevelValues,1)))</f>
        <v/>
      </c>
      <c r="H1326" s="106">
        <f>IF($J1326="","",IFERROR(INDEX(Stu_ContactReq,MATCH(C1326,Stu_ID,0)),""))</f>
        <v/>
      </c>
      <c r="I1326" s="107">
        <f>IF($J1326="","",IFERROR(INDEX(Stu_Notes,MATCH(C1326,Stu_ID,0)),""))</f>
        <v/>
      </c>
      <c r="J1326" s="40">
        <f>IF(1321&gt;$B$3,"",IFERROR(MATCH(1321-1,EV_Seq,1)+1,1))</f>
        <v/>
      </c>
    </row>
    <row r="1327">
      <c r="A1327" s="105">
        <f>IF($J1327="","",INDEX(EV_Date,$J1327))</f>
        <v/>
      </c>
      <c r="B1327" s="78">
        <f>IF($J1327="","",INDEX(EV_Name,$J1327))</f>
        <v/>
      </c>
      <c r="C1327" s="106">
        <f>IF($J1327="","",INDEX(EV_ID,$J1327))</f>
        <v/>
      </c>
      <c r="D1327" s="106">
        <f>IF($J1327="","",INDEX(EV_Class,$J1327))</f>
        <v/>
      </c>
      <c r="E1327" s="106">
        <f>IF($J1327="","",INDEX(EV_Type,$J1327))</f>
        <v/>
      </c>
      <c r="F1327" s="106">
        <f>IF($J1327="","",INDEX(EV_Cum,$J1327))</f>
        <v/>
      </c>
      <c r="G1327" s="106">
        <f>IF($J1327="","",INDEX(LevelLabels,MATCH(F1327,LevelValues,1)))</f>
        <v/>
      </c>
      <c r="H1327" s="106">
        <f>IF($J1327="","",IFERROR(INDEX(Stu_ContactReq,MATCH(C1327,Stu_ID,0)),""))</f>
        <v/>
      </c>
      <c r="I1327" s="107">
        <f>IF($J1327="","",IFERROR(INDEX(Stu_Notes,MATCH(C1327,Stu_ID,0)),""))</f>
        <v/>
      </c>
      <c r="J1327" s="40">
        <f>IF(1322&gt;$B$3,"",IFERROR(MATCH(1322-1,EV_Seq,1)+1,1))</f>
        <v/>
      </c>
    </row>
    <row r="1328">
      <c r="A1328" s="105">
        <f>IF($J1328="","",INDEX(EV_Date,$J1328))</f>
        <v/>
      </c>
      <c r="B1328" s="78">
        <f>IF($J1328="","",INDEX(EV_Name,$J1328))</f>
        <v/>
      </c>
      <c r="C1328" s="106">
        <f>IF($J1328="","",INDEX(EV_ID,$J1328))</f>
        <v/>
      </c>
      <c r="D1328" s="106">
        <f>IF($J1328="","",INDEX(EV_Class,$J1328))</f>
        <v/>
      </c>
      <c r="E1328" s="106">
        <f>IF($J1328="","",INDEX(EV_Type,$J1328))</f>
        <v/>
      </c>
      <c r="F1328" s="106">
        <f>IF($J1328="","",INDEX(EV_Cum,$J1328))</f>
        <v/>
      </c>
      <c r="G1328" s="106">
        <f>IF($J1328="","",INDEX(LevelLabels,MATCH(F1328,LevelValues,1)))</f>
        <v/>
      </c>
      <c r="H1328" s="106">
        <f>IF($J1328="","",IFERROR(INDEX(Stu_ContactReq,MATCH(C1328,Stu_ID,0)),""))</f>
        <v/>
      </c>
      <c r="I1328" s="107">
        <f>IF($J1328="","",IFERROR(INDEX(Stu_Notes,MATCH(C1328,Stu_ID,0)),""))</f>
        <v/>
      </c>
      <c r="J1328" s="40">
        <f>IF(1323&gt;$B$3,"",IFERROR(MATCH(1323-1,EV_Seq,1)+1,1))</f>
        <v/>
      </c>
    </row>
    <row r="1329">
      <c r="A1329" s="105">
        <f>IF($J1329="","",INDEX(EV_Date,$J1329))</f>
        <v/>
      </c>
      <c r="B1329" s="78">
        <f>IF($J1329="","",INDEX(EV_Name,$J1329))</f>
        <v/>
      </c>
      <c r="C1329" s="106">
        <f>IF($J1329="","",INDEX(EV_ID,$J1329))</f>
        <v/>
      </c>
      <c r="D1329" s="106">
        <f>IF($J1329="","",INDEX(EV_Class,$J1329))</f>
        <v/>
      </c>
      <c r="E1329" s="106">
        <f>IF($J1329="","",INDEX(EV_Type,$J1329))</f>
        <v/>
      </c>
      <c r="F1329" s="106">
        <f>IF($J1329="","",INDEX(EV_Cum,$J1329))</f>
        <v/>
      </c>
      <c r="G1329" s="106">
        <f>IF($J1329="","",INDEX(LevelLabels,MATCH(F1329,LevelValues,1)))</f>
        <v/>
      </c>
      <c r="H1329" s="106">
        <f>IF($J1329="","",IFERROR(INDEX(Stu_ContactReq,MATCH(C1329,Stu_ID,0)),""))</f>
        <v/>
      </c>
      <c r="I1329" s="107">
        <f>IF($J1329="","",IFERROR(INDEX(Stu_Notes,MATCH(C1329,Stu_ID,0)),""))</f>
        <v/>
      </c>
      <c r="J1329" s="40">
        <f>IF(1324&gt;$B$3,"",IFERROR(MATCH(1324-1,EV_Seq,1)+1,1))</f>
        <v/>
      </c>
    </row>
    <row r="1330">
      <c r="A1330" s="105">
        <f>IF($J1330="","",INDEX(EV_Date,$J1330))</f>
        <v/>
      </c>
      <c r="B1330" s="78">
        <f>IF($J1330="","",INDEX(EV_Name,$J1330))</f>
        <v/>
      </c>
      <c r="C1330" s="106">
        <f>IF($J1330="","",INDEX(EV_ID,$J1330))</f>
        <v/>
      </c>
      <c r="D1330" s="106">
        <f>IF($J1330="","",INDEX(EV_Class,$J1330))</f>
        <v/>
      </c>
      <c r="E1330" s="106">
        <f>IF($J1330="","",INDEX(EV_Type,$J1330))</f>
        <v/>
      </c>
      <c r="F1330" s="106">
        <f>IF($J1330="","",INDEX(EV_Cum,$J1330))</f>
        <v/>
      </c>
      <c r="G1330" s="106">
        <f>IF($J1330="","",INDEX(LevelLabels,MATCH(F1330,LevelValues,1)))</f>
        <v/>
      </c>
      <c r="H1330" s="106">
        <f>IF($J1330="","",IFERROR(INDEX(Stu_ContactReq,MATCH(C1330,Stu_ID,0)),""))</f>
        <v/>
      </c>
      <c r="I1330" s="107">
        <f>IF($J1330="","",IFERROR(INDEX(Stu_Notes,MATCH(C1330,Stu_ID,0)),""))</f>
        <v/>
      </c>
      <c r="J1330" s="40">
        <f>IF(1325&gt;$B$3,"",IFERROR(MATCH(1325-1,EV_Seq,1)+1,1))</f>
        <v/>
      </c>
    </row>
    <row r="1331">
      <c r="A1331" s="105">
        <f>IF($J1331="","",INDEX(EV_Date,$J1331))</f>
        <v/>
      </c>
      <c r="B1331" s="78">
        <f>IF($J1331="","",INDEX(EV_Name,$J1331))</f>
        <v/>
      </c>
      <c r="C1331" s="106">
        <f>IF($J1331="","",INDEX(EV_ID,$J1331))</f>
        <v/>
      </c>
      <c r="D1331" s="106">
        <f>IF($J1331="","",INDEX(EV_Class,$J1331))</f>
        <v/>
      </c>
      <c r="E1331" s="106">
        <f>IF($J1331="","",INDEX(EV_Type,$J1331))</f>
        <v/>
      </c>
      <c r="F1331" s="106">
        <f>IF($J1331="","",INDEX(EV_Cum,$J1331))</f>
        <v/>
      </c>
      <c r="G1331" s="106">
        <f>IF($J1331="","",INDEX(LevelLabels,MATCH(F1331,LevelValues,1)))</f>
        <v/>
      </c>
      <c r="H1331" s="106">
        <f>IF($J1331="","",IFERROR(INDEX(Stu_ContactReq,MATCH(C1331,Stu_ID,0)),""))</f>
        <v/>
      </c>
      <c r="I1331" s="107">
        <f>IF($J1331="","",IFERROR(INDEX(Stu_Notes,MATCH(C1331,Stu_ID,0)),""))</f>
        <v/>
      </c>
      <c r="J1331" s="40">
        <f>IF(1326&gt;$B$3,"",IFERROR(MATCH(1326-1,EV_Seq,1)+1,1))</f>
        <v/>
      </c>
    </row>
    <row r="1332">
      <c r="A1332" s="105">
        <f>IF($J1332="","",INDEX(EV_Date,$J1332))</f>
        <v/>
      </c>
      <c r="B1332" s="78">
        <f>IF($J1332="","",INDEX(EV_Name,$J1332))</f>
        <v/>
      </c>
      <c r="C1332" s="106">
        <f>IF($J1332="","",INDEX(EV_ID,$J1332))</f>
        <v/>
      </c>
      <c r="D1332" s="106">
        <f>IF($J1332="","",INDEX(EV_Class,$J1332))</f>
        <v/>
      </c>
      <c r="E1332" s="106">
        <f>IF($J1332="","",INDEX(EV_Type,$J1332))</f>
        <v/>
      </c>
      <c r="F1332" s="106">
        <f>IF($J1332="","",INDEX(EV_Cum,$J1332))</f>
        <v/>
      </c>
      <c r="G1332" s="106">
        <f>IF($J1332="","",INDEX(LevelLabels,MATCH(F1332,LevelValues,1)))</f>
        <v/>
      </c>
      <c r="H1332" s="106">
        <f>IF($J1332="","",IFERROR(INDEX(Stu_ContactReq,MATCH(C1332,Stu_ID,0)),""))</f>
        <v/>
      </c>
      <c r="I1332" s="107">
        <f>IF($J1332="","",IFERROR(INDEX(Stu_Notes,MATCH(C1332,Stu_ID,0)),""))</f>
        <v/>
      </c>
      <c r="J1332" s="40">
        <f>IF(1327&gt;$B$3,"",IFERROR(MATCH(1327-1,EV_Seq,1)+1,1))</f>
        <v/>
      </c>
    </row>
    <row r="1333">
      <c r="A1333" s="105">
        <f>IF($J1333="","",INDEX(EV_Date,$J1333))</f>
        <v/>
      </c>
      <c r="B1333" s="78">
        <f>IF($J1333="","",INDEX(EV_Name,$J1333))</f>
        <v/>
      </c>
      <c r="C1333" s="106">
        <f>IF($J1333="","",INDEX(EV_ID,$J1333))</f>
        <v/>
      </c>
      <c r="D1333" s="106">
        <f>IF($J1333="","",INDEX(EV_Class,$J1333))</f>
        <v/>
      </c>
      <c r="E1333" s="106">
        <f>IF($J1333="","",INDEX(EV_Type,$J1333))</f>
        <v/>
      </c>
      <c r="F1333" s="106">
        <f>IF($J1333="","",INDEX(EV_Cum,$J1333))</f>
        <v/>
      </c>
      <c r="G1333" s="106">
        <f>IF($J1333="","",INDEX(LevelLabels,MATCH(F1333,LevelValues,1)))</f>
        <v/>
      </c>
      <c r="H1333" s="106">
        <f>IF($J1333="","",IFERROR(INDEX(Stu_ContactReq,MATCH(C1333,Stu_ID,0)),""))</f>
        <v/>
      </c>
      <c r="I1333" s="107">
        <f>IF($J1333="","",IFERROR(INDEX(Stu_Notes,MATCH(C1333,Stu_ID,0)),""))</f>
        <v/>
      </c>
      <c r="J1333" s="40">
        <f>IF(1328&gt;$B$3,"",IFERROR(MATCH(1328-1,EV_Seq,1)+1,1))</f>
        <v/>
      </c>
    </row>
    <row r="1334">
      <c r="A1334" s="105">
        <f>IF($J1334="","",INDEX(EV_Date,$J1334))</f>
        <v/>
      </c>
      <c r="B1334" s="78">
        <f>IF($J1334="","",INDEX(EV_Name,$J1334))</f>
        <v/>
      </c>
      <c r="C1334" s="106">
        <f>IF($J1334="","",INDEX(EV_ID,$J1334))</f>
        <v/>
      </c>
      <c r="D1334" s="106">
        <f>IF($J1334="","",INDEX(EV_Class,$J1334))</f>
        <v/>
      </c>
      <c r="E1334" s="106">
        <f>IF($J1334="","",INDEX(EV_Type,$J1334))</f>
        <v/>
      </c>
      <c r="F1334" s="106">
        <f>IF($J1334="","",INDEX(EV_Cum,$J1334))</f>
        <v/>
      </c>
      <c r="G1334" s="106">
        <f>IF($J1334="","",INDEX(LevelLabels,MATCH(F1334,LevelValues,1)))</f>
        <v/>
      </c>
      <c r="H1334" s="106">
        <f>IF($J1334="","",IFERROR(INDEX(Stu_ContactReq,MATCH(C1334,Stu_ID,0)),""))</f>
        <v/>
      </c>
      <c r="I1334" s="107">
        <f>IF($J1334="","",IFERROR(INDEX(Stu_Notes,MATCH(C1334,Stu_ID,0)),""))</f>
        <v/>
      </c>
      <c r="J1334" s="40">
        <f>IF(1329&gt;$B$3,"",IFERROR(MATCH(1329-1,EV_Seq,1)+1,1))</f>
        <v/>
      </c>
    </row>
    <row r="1335">
      <c r="A1335" s="105">
        <f>IF($J1335="","",INDEX(EV_Date,$J1335))</f>
        <v/>
      </c>
      <c r="B1335" s="78">
        <f>IF($J1335="","",INDEX(EV_Name,$J1335))</f>
        <v/>
      </c>
      <c r="C1335" s="106">
        <f>IF($J1335="","",INDEX(EV_ID,$J1335))</f>
        <v/>
      </c>
      <c r="D1335" s="106">
        <f>IF($J1335="","",INDEX(EV_Class,$J1335))</f>
        <v/>
      </c>
      <c r="E1335" s="106">
        <f>IF($J1335="","",INDEX(EV_Type,$J1335))</f>
        <v/>
      </c>
      <c r="F1335" s="106">
        <f>IF($J1335="","",INDEX(EV_Cum,$J1335))</f>
        <v/>
      </c>
      <c r="G1335" s="106">
        <f>IF($J1335="","",INDEX(LevelLabels,MATCH(F1335,LevelValues,1)))</f>
        <v/>
      </c>
      <c r="H1335" s="106">
        <f>IF($J1335="","",IFERROR(INDEX(Stu_ContactReq,MATCH(C1335,Stu_ID,0)),""))</f>
        <v/>
      </c>
      <c r="I1335" s="107">
        <f>IF($J1335="","",IFERROR(INDEX(Stu_Notes,MATCH(C1335,Stu_ID,0)),""))</f>
        <v/>
      </c>
      <c r="J1335" s="40">
        <f>IF(1330&gt;$B$3,"",IFERROR(MATCH(1330-1,EV_Seq,1)+1,1))</f>
        <v/>
      </c>
    </row>
    <row r="1336">
      <c r="A1336" s="105">
        <f>IF($J1336="","",INDEX(EV_Date,$J1336))</f>
        <v/>
      </c>
      <c r="B1336" s="78">
        <f>IF($J1336="","",INDEX(EV_Name,$J1336))</f>
        <v/>
      </c>
      <c r="C1336" s="106">
        <f>IF($J1336="","",INDEX(EV_ID,$J1336))</f>
        <v/>
      </c>
      <c r="D1336" s="106">
        <f>IF($J1336="","",INDEX(EV_Class,$J1336))</f>
        <v/>
      </c>
      <c r="E1336" s="106">
        <f>IF($J1336="","",INDEX(EV_Type,$J1336))</f>
        <v/>
      </c>
      <c r="F1336" s="106">
        <f>IF($J1336="","",INDEX(EV_Cum,$J1336))</f>
        <v/>
      </c>
      <c r="G1336" s="106">
        <f>IF($J1336="","",INDEX(LevelLabels,MATCH(F1336,LevelValues,1)))</f>
        <v/>
      </c>
      <c r="H1336" s="106">
        <f>IF($J1336="","",IFERROR(INDEX(Stu_ContactReq,MATCH(C1336,Stu_ID,0)),""))</f>
        <v/>
      </c>
      <c r="I1336" s="107">
        <f>IF($J1336="","",IFERROR(INDEX(Stu_Notes,MATCH(C1336,Stu_ID,0)),""))</f>
        <v/>
      </c>
      <c r="J1336" s="40">
        <f>IF(1331&gt;$B$3,"",IFERROR(MATCH(1331-1,EV_Seq,1)+1,1))</f>
        <v/>
      </c>
    </row>
    <row r="1337">
      <c r="A1337" s="105">
        <f>IF($J1337="","",INDEX(EV_Date,$J1337))</f>
        <v/>
      </c>
      <c r="B1337" s="78">
        <f>IF($J1337="","",INDEX(EV_Name,$J1337))</f>
        <v/>
      </c>
      <c r="C1337" s="106">
        <f>IF($J1337="","",INDEX(EV_ID,$J1337))</f>
        <v/>
      </c>
      <c r="D1337" s="106">
        <f>IF($J1337="","",INDEX(EV_Class,$J1337))</f>
        <v/>
      </c>
      <c r="E1337" s="106">
        <f>IF($J1337="","",INDEX(EV_Type,$J1337))</f>
        <v/>
      </c>
      <c r="F1337" s="106">
        <f>IF($J1337="","",INDEX(EV_Cum,$J1337))</f>
        <v/>
      </c>
      <c r="G1337" s="106">
        <f>IF($J1337="","",INDEX(LevelLabels,MATCH(F1337,LevelValues,1)))</f>
        <v/>
      </c>
      <c r="H1337" s="106">
        <f>IF($J1337="","",IFERROR(INDEX(Stu_ContactReq,MATCH(C1337,Stu_ID,0)),""))</f>
        <v/>
      </c>
      <c r="I1337" s="107">
        <f>IF($J1337="","",IFERROR(INDEX(Stu_Notes,MATCH(C1337,Stu_ID,0)),""))</f>
        <v/>
      </c>
      <c r="J1337" s="40">
        <f>IF(1332&gt;$B$3,"",IFERROR(MATCH(1332-1,EV_Seq,1)+1,1))</f>
        <v/>
      </c>
    </row>
    <row r="1338">
      <c r="A1338" s="105">
        <f>IF($J1338="","",INDEX(EV_Date,$J1338))</f>
        <v/>
      </c>
      <c r="B1338" s="78">
        <f>IF($J1338="","",INDEX(EV_Name,$J1338))</f>
        <v/>
      </c>
      <c r="C1338" s="106">
        <f>IF($J1338="","",INDEX(EV_ID,$J1338))</f>
        <v/>
      </c>
      <c r="D1338" s="106">
        <f>IF($J1338="","",INDEX(EV_Class,$J1338))</f>
        <v/>
      </c>
      <c r="E1338" s="106">
        <f>IF($J1338="","",INDEX(EV_Type,$J1338))</f>
        <v/>
      </c>
      <c r="F1338" s="106">
        <f>IF($J1338="","",INDEX(EV_Cum,$J1338))</f>
        <v/>
      </c>
      <c r="G1338" s="106">
        <f>IF($J1338="","",INDEX(LevelLabels,MATCH(F1338,LevelValues,1)))</f>
        <v/>
      </c>
      <c r="H1338" s="106">
        <f>IF($J1338="","",IFERROR(INDEX(Stu_ContactReq,MATCH(C1338,Stu_ID,0)),""))</f>
        <v/>
      </c>
      <c r="I1338" s="107">
        <f>IF($J1338="","",IFERROR(INDEX(Stu_Notes,MATCH(C1338,Stu_ID,0)),""))</f>
        <v/>
      </c>
      <c r="J1338" s="40">
        <f>IF(1333&gt;$B$3,"",IFERROR(MATCH(1333-1,EV_Seq,1)+1,1))</f>
        <v/>
      </c>
    </row>
    <row r="1339">
      <c r="A1339" s="105">
        <f>IF($J1339="","",INDEX(EV_Date,$J1339))</f>
        <v/>
      </c>
      <c r="B1339" s="78">
        <f>IF($J1339="","",INDEX(EV_Name,$J1339))</f>
        <v/>
      </c>
      <c r="C1339" s="106">
        <f>IF($J1339="","",INDEX(EV_ID,$J1339))</f>
        <v/>
      </c>
      <c r="D1339" s="106">
        <f>IF($J1339="","",INDEX(EV_Class,$J1339))</f>
        <v/>
      </c>
      <c r="E1339" s="106">
        <f>IF($J1339="","",INDEX(EV_Type,$J1339))</f>
        <v/>
      </c>
      <c r="F1339" s="106">
        <f>IF($J1339="","",INDEX(EV_Cum,$J1339))</f>
        <v/>
      </c>
      <c r="G1339" s="106">
        <f>IF($J1339="","",INDEX(LevelLabels,MATCH(F1339,LevelValues,1)))</f>
        <v/>
      </c>
      <c r="H1339" s="106">
        <f>IF($J1339="","",IFERROR(INDEX(Stu_ContactReq,MATCH(C1339,Stu_ID,0)),""))</f>
        <v/>
      </c>
      <c r="I1339" s="107">
        <f>IF($J1339="","",IFERROR(INDEX(Stu_Notes,MATCH(C1339,Stu_ID,0)),""))</f>
        <v/>
      </c>
      <c r="J1339" s="40">
        <f>IF(1334&gt;$B$3,"",IFERROR(MATCH(1334-1,EV_Seq,1)+1,1))</f>
        <v/>
      </c>
    </row>
    <row r="1340">
      <c r="A1340" s="105">
        <f>IF($J1340="","",INDEX(EV_Date,$J1340))</f>
        <v/>
      </c>
      <c r="B1340" s="78">
        <f>IF($J1340="","",INDEX(EV_Name,$J1340))</f>
        <v/>
      </c>
      <c r="C1340" s="106">
        <f>IF($J1340="","",INDEX(EV_ID,$J1340))</f>
        <v/>
      </c>
      <c r="D1340" s="106">
        <f>IF($J1340="","",INDEX(EV_Class,$J1340))</f>
        <v/>
      </c>
      <c r="E1340" s="106">
        <f>IF($J1340="","",INDEX(EV_Type,$J1340))</f>
        <v/>
      </c>
      <c r="F1340" s="106">
        <f>IF($J1340="","",INDEX(EV_Cum,$J1340))</f>
        <v/>
      </c>
      <c r="G1340" s="106">
        <f>IF($J1340="","",INDEX(LevelLabels,MATCH(F1340,LevelValues,1)))</f>
        <v/>
      </c>
      <c r="H1340" s="106">
        <f>IF($J1340="","",IFERROR(INDEX(Stu_ContactReq,MATCH(C1340,Stu_ID,0)),""))</f>
        <v/>
      </c>
      <c r="I1340" s="107">
        <f>IF($J1340="","",IFERROR(INDEX(Stu_Notes,MATCH(C1340,Stu_ID,0)),""))</f>
        <v/>
      </c>
      <c r="J1340" s="40">
        <f>IF(1335&gt;$B$3,"",IFERROR(MATCH(1335-1,EV_Seq,1)+1,1))</f>
        <v/>
      </c>
    </row>
    <row r="1341">
      <c r="A1341" s="105">
        <f>IF($J1341="","",INDEX(EV_Date,$J1341))</f>
        <v/>
      </c>
      <c r="B1341" s="78">
        <f>IF($J1341="","",INDEX(EV_Name,$J1341))</f>
        <v/>
      </c>
      <c r="C1341" s="106">
        <f>IF($J1341="","",INDEX(EV_ID,$J1341))</f>
        <v/>
      </c>
      <c r="D1341" s="106">
        <f>IF($J1341="","",INDEX(EV_Class,$J1341))</f>
        <v/>
      </c>
      <c r="E1341" s="106">
        <f>IF($J1341="","",INDEX(EV_Type,$J1341))</f>
        <v/>
      </c>
      <c r="F1341" s="106">
        <f>IF($J1341="","",INDEX(EV_Cum,$J1341))</f>
        <v/>
      </c>
      <c r="G1341" s="106">
        <f>IF($J1341="","",INDEX(LevelLabels,MATCH(F1341,LevelValues,1)))</f>
        <v/>
      </c>
      <c r="H1341" s="106">
        <f>IF($J1341="","",IFERROR(INDEX(Stu_ContactReq,MATCH(C1341,Stu_ID,0)),""))</f>
        <v/>
      </c>
      <c r="I1341" s="107">
        <f>IF($J1341="","",IFERROR(INDEX(Stu_Notes,MATCH(C1341,Stu_ID,0)),""))</f>
        <v/>
      </c>
      <c r="J1341" s="40">
        <f>IF(1336&gt;$B$3,"",IFERROR(MATCH(1336-1,EV_Seq,1)+1,1))</f>
        <v/>
      </c>
    </row>
    <row r="1342">
      <c r="A1342" s="105">
        <f>IF($J1342="","",INDEX(EV_Date,$J1342))</f>
        <v/>
      </c>
      <c r="B1342" s="78">
        <f>IF($J1342="","",INDEX(EV_Name,$J1342))</f>
        <v/>
      </c>
      <c r="C1342" s="106">
        <f>IF($J1342="","",INDEX(EV_ID,$J1342))</f>
        <v/>
      </c>
      <c r="D1342" s="106">
        <f>IF($J1342="","",INDEX(EV_Class,$J1342))</f>
        <v/>
      </c>
      <c r="E1342" s="106">
        <f>IF($J1342="","",INDEX(EV_Type,$J1342))</f>
        <v/>
      </c>
      <c r="F1342" s="106">
        <f>IF($J1342="","",INDEX(EV_Cum,$J1342))</f>
        <v/>
      </c>
      <c r="G1342" s="106">
        <f>IF($J1342="","",INDEX(LevelLabels,MATCH(F1342,LevelValues,1)))</f>
        <v/>
      </c>
      <c r="H1342" s="106">
        <f>IF($J1342="","",IFERROR(INDEX(Stu_ContactReq,MATCH(C1342,Stu_ID,0)),""))</f>
        <v/>
      </c>
      <c r="I1342" s="107">
        <f>IF($J1342="","",IFERROR(INDEX(Stu_Notes,MATCH(C1342,Stu_ID,0)),""))</f>
        <v/>
      </c>
      <c r="J1342" s="40">
        <f>IF(1337&gt;$B$3,"",IFERROR(MATCH(1337-1,EV_Seq,1)+1,1))</f>
        <v/>
      </c>
    </row>
    <row r="1343">
      <c r="A1343" s="105">
        <f>IF($J1343="","",INDEX(EV_Date,$J1343))</f>
        <v/>
      </c>
      <c r="B1343" s="78">
        <f>IF($J1343="","",INDEX(EV_Name,$J1343))</f>
        <v/>
      </c>
      <c r="C1343" s="106">
        <f>IF($J1343="","",INDEX(EV_ID,$J1343))</f>
        <v/>
      </c>
      <c r="D1343" s="106">
        <f>IF($J1343="","",INDEX(EV_Class,$J1343))</f>
        <v/>
      </c>
      <c r="E1343" s="106">
        <f>IF($J1343="","",INDEX(EV_Type,$J1343))</f>
        <v/>
      </c>
      <c r="F1343" s="106">
        <f>IF($J1343="","",INDEX(EV_Cum,$J1343))</f>
        <v/>
      </c>
      <c r="G1343" s="106">
        <f>IF($J1343="","",INDEX(LevelLabels,MATCH(F1343,LevelValues,1)))</f>
        <v/>
      </c>
      <c r="H1343" s="106">
        <f>IF($J1343="","",IFERROR(INDEX(Stu_ContactReq,MATCH(C1343,Stu_ID,0)),""))</f>
        <v/>
      </c>
      <c r="I1343" s="107">
        <f>IF($J1343="","",IFERROR(INDEX(Stu_Notes,MATCH(C1343,Stu_ID,0)),""))</f>
        <v/>
      </c>
      <c r="J1343" s="40">
        <f>IF(1338&gt;$B$3,"",IFERROR(MATCH(1338-1,EV_Seq,1)+1,1))</f>
        <v/>
      </c>
    </row>
    <row r="1344">
      <c r="A1344" s="105">
        <f>IF($J1344="","",INDEX(EV_Date,$J1344))</f>
        <v/>
      </c>
      <c r="B1344" s="78">
        <f>IF($J1344="","",INDEX(EV_Name,$J1344))</f>
        <v/>
      </c>
      <c r="C1344" s="106">
        <f>IF($J1344="","",INDEX(EV_ID,$J1344))</f>
        <v/>
      </c>
      <c r="D1344" s="106">
        <f>IF($J1344="","",INDEX(EV_Class,$J1344))</f>
        <v/>
      </c>
      <c r="E1344" s="106">
        <f>IF($J1344="","",INDEX(EV_Type,$J1344))</f>
        <v/>
      </c>
      <c r="F1344" s="106">
        <f>IF($J1344="","",INDEX(EV_Cum,$J1344))</f>
        <v/>
      </c>
      <c r="G1344" s="106">
        <f>IF($J1344="","",INDEX(LevelLabels,MATCH(F1344,LevelValues,1)))</f>
        <v/>
      </c>
      <c r="H1344" s="106">
        <f>IF($J1344="","",IFERROR(INDEX(Stu_ContactReq,MATCH(C1344,Stu_ID,0)),""))</f>
        <v/>
      </c>
      <c r="I1344" s="107">
        <f>IF($J1344="","",IFERROR(INDEX(Stu_Notes,MATCH(C1344,Stu_ID,0)),""))</f>
        <v/>
      </c>
      <c r="J1344" s="40">
        <f>IF(1339&gt;$B$3,"",IFERROR(MATCH(1339-1,EV_Seq,1)+1,1))</f>
        <v/>
      </c>
    </row>
    <row r="1345">
      <c r="A1345" s="105">
        <f>IF($J1345="","",INDEX(EV_Date,$J1345))</f>
        <v/>
      </c>
      <c r="B1345" s="78">
        <f>IF($J1345="","",INDEX(EV_Name,$J1345))</f>
        <v/>
      </c>
      <c r="C1345" s="106">
        <f>IF($J1345="","",INDEX(EV_ID,$J1345))</f>
        <v/>
      </c>
      <c r="D1345" s="106">
        <f>IF($J1345="","",INDEX(EV_Class,$J1345))</f>
        <v/>
      </c>
      <c r="E1345" s="106">
        <f>IF($J1345="","",INDEX(EV_Type,$J1345))</f>
        <v/>
      </c>
      <c r="F1345" s="106">
        <f>IF($J1345="","",INDEX(EV_Cum,$J1345))</f>
        <v/>
      </c>
      <c r="G1345" s="106">
        <f>IF($J1345="","",INDEX(LevelLabels,MATCH(F1345,LevelValues,1)))</f>
        <v/>
      </c>
      <c r="H1345" s="106">
        <f>IF($J1345="","",IFERROR(INDEX(Stu_ContactReq,MATCH(C1345,Stu_ID,0)),""))</f>
        <v/>
      </c>
      <c r="I1345" s="107">
        <f>IF($J1345="","",IFERROR(INDEX(Stu_Notes,MATCH(C1345,Stu_ID,0)),""))</f>
        <v/>
      </c>
      <c r="J1345" s="40">
        <f>IF(1340&gt;$B$3,"",IFERROR(MATCH(1340-1,EV_Seq,1)+1,1))</f>
        <v/>
      </c>
    </row>
    <row r="1346">
      <c r="A1346" s="105">
        <f>IF($J1346="","",INDEX(EV_Date,$J1346))</f>
        <v/>
      </c>
      <c r="B1346" s="78">
        <f>IF($J1346="","",INDEX(EV_Name,$J1346))</f>
        <v/>
      </c>
      <c r="C1346" s="106">
        <f>IF($J1346="","",INDEX(EV_ID,$J1346))</f>
        <v/>
      </c>
      <c r="D1346" s="106">
        <f>IF($J1346="","",INDEX(EV_Class,$J1346))</f>
        <v/>
      </c>
      <c r="E1346" s="106">
        <f>IF($J1346="","",INDEX(EV_Type,$J1346))</f>
        <v/>
      </c>
      <c r="F1346" s="106">
        <f>IF($J1346="","",INDEX(EV_Cum,$J1346))</f>
        <v/>
      </c>
      <c r="G1346" s="106">
        <f>IF($J1346="","",INDEX(LevelLabels,MATCH(F1346,LevelValues,1)))</f>
        <v/>
      </c>
      <c r="H1346" s="106">
        <f>IF($J1346="","",IFERROR(INDEX(Stu_ContactReq,MATCH(C1346,Stu_ID,0)),""))</f>
        <v/>
      </c>
      <c r="I1346" s="107">
        <f>IF($J1346="","",IFERROR(INDEX(Stu_Notes,MATCH(C1346,Stu_ID,0)),""))</f>
        <v/>
      </c>
      <c r="J1346" s="40">
        <f>IF(1341&gt;$B$3,"",IFERROR(MATCH(1341-1,EV_Seq,1)+1,1))</f>
        <v/>
      </c>
    </row>
    <row r="1347">
      <c r="A1347" s="105">
        <f>IF($J1347="","",INDEX(EV_Date,$J1347))</f>
        <v/>
      </c>
      <c r="B1347" s="78">
        <f>IF($J1347="","",INDEX(EV_Name,$J1347))</f>
        <v/>
      </c>
      <c r="C1347" s="106">
        <f>IF($J1347="","",INDEX(EV_ID,$J1347))</f>
        <v/>
      </c>
      <c r="D1347" s="106">
        <f>IF($J1347="","",INDEX(EV_Class,$J1347))</f>
        <v/>
      </c>
      <c r="E1347" s="106">
        <f>IF($J1347="","",INDEX(EV_Type,$J1347))</f>
        <v/>
      </c>
      <c r="F1347" s="106">
        <f>IF($J1347="","",INDEX(EV_Cum,$J1347))</f>
        <v/>
      </c>
      <c r="G1347" s="106">
        <f>IF($J1347="","",INDEX(LevelLabels,MATCH(F1347,LevelValues,1)))</f>
        <v/>
      </c>
      <c r="H1347" s="106">
        <f>IF($J1347="","",IFERROR(INDEX(Stu_ContactReq,MATCH(C1347,Stu_ID,0)),""))</f>
        <v/>
      </c>
      <c r="I1347" s="107">
        <f>IF($J1347="","",IFERROR(INDEX(Stu_Notes,MATCH(C1347,Stu_ID,0)),""))</f>
        <v/>
      </c>
      <c r="J1347" s="40">
        <f>IF(1342&gt;$B$3,"",IFERROR(MATCH(1342-1,EV_Seq,1)+1,1))</f>
        <v/>
      </c>
    </row>
    <row r="1348">
      <c r="A1348" s="105">
        <f>IF($J1348="","",INDEX(EV_Date,$J1348))</f>
        <v/>
      </c>
      <c r="B1348" s="78">
        <f>IF($J1348="","",INDEX(EV_Name,$J1348))</f>
        <v/>
      </c>
      <c r="C1348" s="106">
        <f>IF($J1348="","",INDEX(EV_ID,$J1348))</f>
        <v/>
      </c>
      <c r="D1348" s="106">
        <f>IF($J1348="","",INDEX(EV_Class,$J1348))</f>
        <v/>
      </c>
      <c r="E1348" s="106">
        <f>IF($J1348="","",INDEX(EV_Type,$J1348))</f>
        <v/>
      </c>
      <c r="F1348" s="106">
        <f>IF($J1348="","",INDEX(EV_Cum,$J1348))</f>
        <v/>
      </c>
      <c r="G1348" s="106">
        <f>IF($J1348="","",INDEX(LevelLabels,MATCH(F1348,LevelValues,1)))</f>
        <v/>
      </c>
      <c r="H1348" s="106">
        <f>IF($J1348="","",IFERROR(INDEX(Stu_ContactReq,MATCH(C1348,Stu_ID,0)),""))</f>
        <v/>
      </c>
      <c r="I1348" s="107">
        <f>IF($J1348="","",IFERROR(INDEX(Stu_Notes,MATCH(C1348,Stu_ID,0)),""))</f>
        <v/>
      </c>
      <c r="J1348" s="40">
        <f>IF(1343&gt;$B$3,"",IFERROR(MATCH(1343-1,EV_Seq,1)+1,1))</f>
        <v/>
      </c>
    </row>
    <row r="1349">
      <c r="A1349" s="105">
        <f>IF($J1349="","",INDEX(EV_Date,$J1349))</f>
        <v/>
      </c>
      <c r="B1349" s="78">
        <f>IF($J1349="","",INDEX(EV_Name,$J1349))</f>
        <v/>
      </c>
      <c r="C1349" s="106">
        <f>IF($J1349="","",INDEX(EV_ID,$J1349))</f>
        <v/>
      </c>
      <c r="D1349" s="106">
        <f>IF($J1349="","",INDEX(EV_Class,$J1349))</f>
        <v/>
      </c>
      <c r="E1349" s="106">
        <f>IF($J1349="","",INDEX(EV_Type,$J1349))</f>
        <v/>
      </c>
      <c r="F1349" s="106">
        <f>IF($J1349="","",INDEX(EV_Cum,$J1349))</f>
        <v/>
      </c>
      <c r="G1349" s="106">
        <f>IF($J1349="","",INDEX(LevelLabels,MATCH(F1349,LevelValues,1)))</f>
        <v/>
      </c>
      <c r="H1349" s="106">
        <f>IF($J1349="","",IFERROR(INDEX(Stu_ContactReq,MATCH(C1349,Stu_ID,0)),""))</f>
        <v/>
      </c>
      <c r="I1349" s="107">
        <f>IF($J1349="","",IFERROR(INDEX(Stu_Notes,MATCH(C1349,Stu_ID,0)),""))</f>
        <v/>
      </c>
      <c r="J1349" s="40">
        <f>IF(1344&gt;$B$3,"",IFERROR(MATCH(1344-1,EV_Seq,1)+1,1))</f>
        <v/>
      </c>
    </row>
    <row r="1350">
      <c r="A1350" s="105">
        <f>IF($J1350="","",INDEX(EV_Date,$J1350))</f>
        <v/>
      </c>
      <c r="B1350" s="78">
        <f>IF($J1350="","",INDEX(EV_Name,$J1350))</f>
        <v/>
      </c>
      <c r="C1350" s="106">
        <f>IF($J1350="","",INDEX(EV_ID,$J1350))</f>
        <v/>
      </c>
      <c r="D1350" s="106">
        <f>IF($J1350="","",INDEX(EV_Class,$J1350))</f>
        <v/>
      </c>
      <c r="E1350" s="106">
        <f>IF($J1350="","",INDEX(EV_Type,$J1350))</f>
        <v/>
      </c>
      <c r="F1350" s="106">
        <f>IF($J1350="","",INDEX(EV_Cum,$J1350))</f>
        <v/>
      </c>
      <c r="G1350" s="106">
        <f>IF($J1350="","",INDEX(LevelLabels,MATCH(F1350,LevelValues,1)))</f>
        <v/>
      </c>
      <c r="H1350" s="106">
        <f>IF($J1350="","",IFERROR(INDEX(Stu_ContactReq,MATCH(C1350,Stu_ID,0)),""))</f>
        <v/>
      </c>
      <c r="I1350" s="107">
        <f>IF($J1350="","",IFERROR(INDEX(Stu_Notes,MATCH(C1350,Stu_ID,0)),""))</f>
        <v/>
      </c>
      <c r="J1350" s="40">
        <f>IF(1345&gt;$B$3,"",IFERROR(MATCH(1345-1,EV_Seq,1)+1,1))</f>
        <v/>
      </c>
    </row>
    <row r="1351">
      <c r="A1351" s="105">
        <f>IF($J1351="","",INDEX(EV_Date,$J1351))</f>
        <v/>
      </c>
      <c r="B1351" s="78">
        <f>IF($J1351="","",INDEX(EV_Name,$J1351))</f>
        <v/>
      </c>
      <c r="C1351" s="106">
        <f>IF($J1351="","",INDEX(EV_ID,$J1351))</f>
        <v/>
      </c>
      <c r="D1351" s="106">
        <f>IF($J1351="","",INDEX(EV_Class,$J1351))</f>
        <v/>
      </c>
      <c r="E1351" s="106">
        <f>IF($J1351="","",INDEX(EV_Type,$J1351))</f>
        <v/>
      </c>
      <c r="F1351" s="106">
        <f>IF($J1351="","",INDEX(EV_Cum,$J1351))</f>
        <v/>
      </c>
      <c r="G1351" s="106">
        <f>IF($J1351="","",INDEX(LevelLabels,MATCH(F1351,LevelValues,1)))</f>
        <v/>
      </c>
      <c r="H1351" s="106">
        <f>IF($J1351="","",IFERROR(INDEX(Stu_ContactReq,MATCH(C1351,Stu_ID,0)),""))</f>
        <v/>
      </c>
      <c r="I1351" s="107">
        <f>IF($J1351="","",IFERROR(INDEX(Stu_Notes,MATCH(C1351,Stu_ID,0)),""))</f>
        <v/>
      </c>
      <c r="J1351" s="40">
        <f>IF(1346&gt;$B$3,"",IFERROR(MATCH(1346-1,EV_Seq,1)+1,1))</f>
        <v/>
      </c>
    </row>
    <row r="1352">
      <c r="A1352" s="105">
        <f>IF($J1352="","",INDEX(EV_Date,$J1352))</f>
        <v/>
      </c>
      <c r="B1352" s="78">
        <f>IF($J1352="","",INDEX(EV_Name,$J1352))</f>
        <v/>
      </c>
      <c r="C1352" s="106">
        <f>IF($J1352="","",INDEX(EV_ID,$J1352))</f>
        <v/>
      </c>
      <c r="D1352" s="106">
        <f>IF($J1352="","",INDEX(EV_Class,$J1352))</f>
        <v/>
      </c>
      <c r="E1352" s="106">
        <f>IF($J1352="","",INDEX(EV_Type,$J1352))</f>
        <v/>
      </c>
      <c r="F1352" s="106">
        <f>IF($J1352="","",INDEX(EV_Cum,$J1352))</f>
        <v/>
      </c>
      <c r="G1352" s="106">
        <f>IF($J1352="","",INDEX(LevelLabels,MATCH(F1352,LevelValues,1)))</f>
        <v/>
      </c>
      <c r="H1352" s="106">
        <f>IF($J1352="","",IFERROR(INDEX(Stu_ContactReq,MATCH(C1352,Stu_ID,0)),""))</f>
        <v/>
      </c>
      <c r="I1352" s="107">
        <f>IF($J1352="","",IFERROR(INDEX(Stu_Notes,MATCH(C1352,Stu_ID,0)),""))</f>
        <v/>
      </c>
      <c r="J1352" s="40">
        <f>IF(1347&gt;$B$3,"",IFERROR(MATCH(1347-1,EV_Seq,1)+1,1))</f>
        <v/>
      </c>
    </row>
    <row r="1353">
      <c r="A1353" s="105">
        <f>IF($J1353="","",INDEX(EV_Date,$J1353))</f>
        <v/>
      </c>
      <c r="B1353" s="78">
        <f>IF($J1353="","",INDEX(EV_Name,$J1353))</f>
        <v/>
      </c>
      <c r="C1353" s="106">
        <f>IF($J1353="","",INDEX(EV_ID,$J1353))</f>
        <v/>
      </c>
      <c r="D1353" s="106">
        <f>IF($J1353="","",INDEX(EV_Class,$J1353))</f>
        <v/>
      </c>
      <c r="E1353" s="106">
        <f>IF($J1353="","",INDEX(EV_Type,$J1353))</f>
        <v/>
      </c>
      <c r="F1353" s="106">
        <f>IF($J1353="","",INDEX(EV_Cum,$J1353))</f>
        <v/>
      </c>
      <c r="G1353" s="106">
        <f>IF($J1353="","",INDEX(LevelLabels,MATCH(F1353,LevelValues,1)))</f>
        <v/>
      </c>
      <c r="H1353" s="106">
        <f>IF($J1353="","",IFERROR(INDEX(Stu_ContactReq,MATCH(C1353,Stu_ID,0)),""))</f>
        <v/>
      </c>
      <c r="I1353" s="107">
        <f>IF($J1353="","",IFERROR(INDEX(Stu_Notes,MATCH(C1353,Stu_ID,0)),""))</f>
        <v/>
      </c>
      <c r="J1353" s="40">
        <f>IF(1348&gt;$B$3,"",IFERROR(MATCH(1348-1,EV_Seq,1)+1,1))</f>
        <v/>
      </c>
    </row>
    <row r="1354">
      <c r="A1354" s="105">
        <f>IF($J1354="","",INDEX(EV_Date,$J1354))</f>
        <v/>
      </c>
      <c r="B1354" s="78">
        <f>IF($J1354="","",INDEX(EV_Name,$J1354))</f>
        <v/>
      </c>
      <c r="C1354" s="106">
        <f>IF($J1354="","",INDEX(EV_ID,$J1354))</f>
        <v/>
      </c>
      <c r="D1354" s="106">
        <f>IF($J1354="","",INDEX(EV_Class,$J1354))</f>
        <v/>
      </c>
      <c r="E1354" s="106">
        <f>IF($J1354="","",INDEX(EV_Type,$J1354))</f>
        <v/>
      </c>
      <c r="F1354" s="106">
        <f>IF($J1354="","",INDEX(EV_Cum,$J1354))</f>
        <v/>
      </c>
      <c r="G1354" s="106">
        <f>IF($J1354="","",INDEX(LevelLabels,MATCH(F1354,LevelValues,1)))</f>
        <v/>
      </c>
      <c r="H1354" s="106">
        <f>IF($J1354="","",IFERROR(INDEX(Stu_ContactReq,MATCH(C1354,Stu_ID,0)),""))</f>
        <v/>
      </c>
      <c r="I1354" s="107">
        <f>IF($J1354="","",IFERROR(INDEX(Stu_Notes,MATCH(C1354,Stu_ID,0)),""))</f>
        <v/>
      </c>
      <c r="J1354" s="40">
        <f>IF(1349&gt;$B$3,"",IFERROR(MATCH(1349-1,EV_Seq,1)+1,1))</f>
        <v/>
      </c>
    </row>
    <row r="1355">
      <c r="A1355" s="105">
        <f>IF($J1355="","",INDEX(EV_Date,$J1355))</f>
        <v/>
      </c>
      <c r="B1355" s="78">
        <f>IF($J1355="","",INDEX(EV_Name,$J1355))</f>
        <v/>
      </c>
      <c r="C1355" s="106">
        <f>IF($J1355="","",INDEX(EV_ID,$J1355))</f>
        <v/>
      </c>
      <c r="D1355" s="106">
        <f>IF($J1355="","",INDEX(EV_Class,$J1355))</f>
        <v/>
      </c>
      <c r="E1355" s="106">
        <f>IF($J1355="","",INDEX(EV_Type,$J1355))</f>
        <v/>
      </c>
      <c r="F1355" s="106">
        <f>IF($J1355="","",INDEX(EV_Cum,$J1355))</f>
        <v/>
      </c>
      <c r="G1355" s="106">
        <f>IF($J1355="","",INDEX(LevelLabels,MATCH(F1355,LevelValues,1)))</f>
        <v/>
      </c>
      <c r="H1355" s="106">
        <f>IF($J1355="","",IFERROR(INDEX(Stu_ContactReq,MATCH(C1355,Stu_ID,0)),""))</f>
        <v/>
      </c>
      <c r="I1355" s="107">
        <f>IF($J1355="","",IFERROR(INDEX(Stu_Notes,MATCH(C1355,Stu_ID,0)),""))</f>
        <v/>
      </c>
      <c r="J1355" s="40">
        <f>IF(1350&gt;$B$3,"",IFERROR(MATCH(1350-1,EV_Seq,1)+1,1))</f>
        <v/>
      </c>
    </row>
    <row r="1356">
      <c r="A1356" s="105">
        <f>IF($J1356="","",INDEX(EV_Date,$J1356))</f>
        <v/>
      </c>
      <c r="B1356" s="78">
        <f>IF($J1356="","",INDEX(EV_Name,$J1356))</f>
        <v/>
      </c>
      <c r="C1356" s="106">
        <f>IF($J1356="","",INDEX(EV_ID,$J1356))</f>
        <v/>
      </c>
      <c r="D1356" s="106">
        <f>IF($J1356="","",INDEX(EV_Class,$J1356))</f>
        <v/>
      </c>
      <c r="E1356" s="106">
        <f>IF($J1356="","",INDEX(EV_Type,$J1356))</f>
        <v/>
      </c>
      <c r="F1356" s="106">
        <f>IF($J1356="","",INDEX(EV_Cum,$J1356))</f>
        <v/>
      </c>
      <c r="G1356" s="106">
        <f>IF($J1356="","",INDEX(LevelLabels,MATCH(F1356,LevelValues,1)))</f>
        <v/>
      </c>
      <c r="H1356" s="106">
        <f>IF($J1356="","",IFERROR(INDEX(Stu_ContactReq,MATCH(C1356,Stu_ID,0)),""))</f>
        <v/>
      </c>
      <c r="I1356" s="107">
        <f>IF($J1356="","",IFERROR(INDEX(Stu_Notes,MATCH(C1356,Stu_ID,0)),""))</f>
        <v/>
      </c>
      <c r="J1356" s="40">
        <f>IF(1351&gt;$B$3,"",IFERROR(MATCH(1351-1,EV_Seq,1)+1,1))</f>
        <v/>
      </c>
    </row>
    <row r="1357">
      <c r="A1357" s="105">
        <f>IF($J1357="","",INDEX(EV_Date,$J1357))</f>
        <v/>
      </c>
      <c r="B1357" s="78">
        <f>IF($J1357="","",INDEX(EV_Name,$J1357))</f>
        <v/>
      </c>
      <c r="C1357" s="106">
        <f>IF($J1357="","",INDEX(EV_ID,$J1357))</f>
        <v/>
      </c>
      <c r="D1357" s="106">
        <f>IF($J1357="","",INDEX(EV_Class,$J1357))</f>
        <v/>
      </c>
      <c r="E1357" s="106">
        <f>IF($J1357="","",INDEX(EV_Type,$J1357))</f>
        <v/>
      </c>
      <c r="F1357" s="106">
        <f>IF($J1357="","",INDEX(EV_Cum,$J1357))</f>
        <v/>
      </c>
      <c r="G1357" s="106">
        <f>IF($J1357="","",INDEX(LevelLabels,MATCH(F1357,LevelValues,1)))</f>
        <v/>
      </c>
      <c r="H1357" s="106">
        <f>IF($J1357="","",IFERROR(INDEX(Stu_ContactReq,MATCH(C1357,Stu_ID,0)),""))</f>
        <v/>
      </c>
      <c r="I1357" s="107">
        <f>IF($J1357="","",IFERROR(INDEX(Stu_Notes,MATCH(C1357,Stu_ID,0)),""))</f>
        <v/>
      </c>
      <c r="J1357" s="40">
        <f>IF(1352&gt;$B$3,"",IFERROR(MATCH(1352-1,EV_Seq,1)+1,1))</f>
        <v/>
      </c>
    </row>
    <row r="1358">
      <c r="A1358" s="105">
        <f>IF($J1358="","",INDEX(EV_Date,$J1358))</f>
        <v/>
      </c>
      <c r="B1358" s="78">
        <f>IF($J1358="","",INDEX(EV_Name,$J1358))</f>
        <v/>
      </c>
      <c r="C1358" s="106">
        <f>IF($J1358="","",INDEX(EV_ID,$J1358))</f>
        <v/>
      </c>
      <c r="D1358" s="106">
        <f>IF($J1358="","",INDEX(EV_Class,$J1358))</f>
        <v/>
      </c>
      <c r="E1358" s="106">
        <f>IF($J1358="","",INDEX(EV_Type,$J1358))</f>
        <v/>
      </c>
      <c r="F1358" s="106">
        <f>IF($J1358="","",INDEX(EV_Cum,$J1358))</f>
        <v/>
      </c>
      <c r="G1358" s="106">
        <f>IF($J1358="","",INDEX(LevelLabels,MATCH(F1358,LevelValues,1)))</f>
        <v/>
      </c>
      <c r="H1358" s="106">
        <f>IF($J1358="","",IFERROR(INDEX(Stu_ContactReq,MATCH(C1358,Stu_ID,0)),""))</f>
        <v/>
      </c>
      <c r="I1358" s="107">
        <f>IF($J1358="","",IFERROR(INDEX(Stu_Notes,MATCH(C1358,Stu_ID,0)),""))</f>
        <v/>
      </c>
      <c r="J1358" s="40">
        <f>IF(1353&gt;$B$3,"",IFERROR(MATCH(1353-1,EV_Seq,1)+1,1))</f>
        <v/>
      </c>
    </row>
    <row r="1359">
      <c r="A1359" s="105">
        <f>IF($J1359="","",INDEX(EV_Date,$J1359))</f>
        <v/>
      </c>
      <c r="B1359" s="78">
        <f>IF($J1359="","",INDEX(EV_Name,$J1359))</f>
        <v/>
      </c>
      <c r="C1359" s="106">
        <f>IF($J1359="","",INDEX(EV_ID,$J1359))</f>
        <v/>
      </c>
      <c r="D1359" s="106">
        <f>IF($J1359="","",INDEX(EV_Class,$J1359))</f>
        <v/>
      </c>
      <c r="E1359" s="106">
        <f>IF($J1359="","",INDEX(EV_Type,$J1359))</f>
        <v/>
      </c>
      <c r="F1359" s="106">
        <f>IF($J1359="","",INDEX(EV_Cum,$J1359))</f>
        <v/>
      </c>
      <c r="G1359" s="106">
        <f>IF($J1359="","",INDEX(LevelLabels,MATCH(F1359,LevelValues,1)))</f>
        <v/>
      </c>
      <c r="H1359" s="106">
        <f>IF($J1359="","",IFERROR(INDEX(Stu_ContactReq,MATCH(C1359,Stu_ID,0)),""))</f>
        <v/>
      </c>
      <c r="I1359" s="107">
        <f>IF($J1359="","",IFERROR(INDEX(Stu_Notes,MATCH(C1359,Stu_ID,0)),""))</f>
        <v/>
      </c>
      <c r="J1359" s="40">
        <f>IF(1354&gt;$B$3,"",IFERROR(MATCH(1354-1,EV_Seq,1)+1,1))</f>
        <v/>
      </c>
    </row>
    <row r="1360">
      <c r="A1360" s="105">
        <f>IF($J1360="","",INDEX(EV_Date,$J1360))</f>
        <v/>
      </c>
      <c r="B1360" s="78">
        <f>IF($J1360="","",INDEX(EV_Name,$J1360))</f>
        <v/>
      </c>
      <c r="C1360" s="106">
        <f>IF($J1360="","",INDEX(EV_ID,$J1360))</f>
        <v/>
      </c>
      <c r="D1360" s="106">
        <f>IF($J1360="","",INDEX(EV_Class,$J1360))</f>
        <v/>
      </c>
      <c r="E1360" s="106">
        <f>IF($J1360="","",INDEX(EV_Type,$J1360))</f>
        <v/>
      </c>
      <c r="F1360" s="106">
        <f>IF($J1360="","",INDEX(EV_Cum,$J1360))</f>
        <v/>
      </c>
      <c r="G1360" s="106">
        <f>IF($J1360="","",INDEX(LevelLabels,MATCH(F1360,LevelValues,1)))</f>
        <v/>
      </c>
      <c r="H1360" s="106">
        <f>IF($J1360="","",IFERROR(INDEX(Stu_ContactReq,MATCH(C1360,Stu_ID,0)),""))</f>
        <v/>
      </c>
      <c r="I1360" s="107">
        <f>IF($J1360="","",IFERROR(INDEX(Stu_Notes,MATCH(C1360,Stu_ID,0)),""))</f>
        <v/>
      </c>
      <c r="J1360" s="40">
        <f>IF(1355&gt;$B$3,"",IFERROR(MATCH(1355-1,EV_Seq,1)+1,1))</f>
        <v/>
      </c>
    </row>
    <row r="1361">
      <c r="A1361" s="105">
        <f>IF($J1361="","",INDEX(EV_Date,$J1361))</f>
        <v/>
      </c>
      <c r="B1361" s="78">
        <f>IF($J1361="","",INDEX(EV_Name,$J1361))</f>
        <v/>
      </c>
      <c r="C1361" s="106">
        <f>IF($J1361="","",INDEX(EV_ID,$J1361))</f>
        <v/>
      </c>
      <c r="D1361" s="106">
        <f>IF($J1361="","",INDEX(EV_Class,$J1361))</f>
        <v/>
      </c>
      <c r="E1361" s="106">
        <f>IF($J1361="","",INDEX(EV_Type,$J1361))</f>
        <v/>
      </c>
      <c r="F1361" s="106">
        <f>IF($J1361="","",INDEX(EV_Cum,$J1361))</f>
        <v/>
      </c>
      <c r="G1361" s="106">
        <f>IF($J1361="","",INDEX(LevelLabels,MATCH(F1361,LevelValues,1)))</f>
        <v/>
      </c>
      <c r="H1361" s="106">
        <f>IF($J1361="","",IFERROR(INDEX(Stu_ContactReq,MATCH(C1361,Stu_ID,0)),""))</f>
        <v/>
      </c>
      <c r="I1361" s="107">
        <f>IF($J1361="","",IFERROR(INDEX(Stu_Notes,MATCH(C1361,Stu_ID,0)),""))</f>
        <v/>
      </c>
      <c r="J1361" s="40">
        <f>IF(1356&gt;$B$3,"",IFERROR(MATCH(1356-1,EV_Seq,1)+1,1))</f>
        <v/>
      </c>
    </row>
    <row r="1362">
      <c r="A1362" s="105">
        <f>IF($J1362="","",INDEX(EV_Date,$J1362))</f>
        <v/>
      </c>
      <c r="B1362" s="78">
        <f>IF($J1362="","",INDEX(EV_Name,$J1362))</f>
        <v/>
      </c>
      <c r="C1362" s="106">
        <f>IF($J1362="","",INDEX(EV_ID,$J1362))</f>
        <v/>
      </c>
      <c r="D1362" s="106">
        <f>IF($J1362="","",INDEX(EV_Class,$J1362))</f>
        <v/>
      </c>
      <c r="E1362" s="106">
        <f>IF($J1362="","",INDEX(EV_Type,$J1362))</f>
        <v/>
      </c>
      <c r="F1362" s="106">
        <f>IF($J1362="","",INDEX(EV_Cum,$J1362))</f>
        <v/>
      </c>
      <c r="G1362" s="106">
        <f>IF($J1362="","",INDEX(LevelLabels,MATCH(F1362,LevelValues,1)))</f>
        <v/>
      </c>
      <c r="H1362" s="106">
        <f>IF($J1362="","",IFERROR(INDEX(Stu_ContactReq,MATCH(C1362,Stu_ID,0)),""))</f>
        <v/>
      </c>
      <c r="I1362" s="107">
        <f>IF($J1362="","",IFERROR(INDEX(Stu_Notes,MATCH(C1362,Stu_ID,0)),""))</f>
        <v/>
      </c>
      <c r="J1362" s="40">
        <f>IF(1357&gt;$B$3,"",IFERROR(MATCH(1357-1,EV_Seq,1)+1,1))</f>
        <v/>
      </c>
    </row>
    <row r="1363">
      <c r="A1363" s="105">
        <f>IF($J1363="","",INDEX(EV_Date,$J1363))</f>
        <v/>
      </c>
      <c r="B1363" s="78">
        <f>IF($J1363="","",INDEX(EV_Name,$J1363))</f>
        <v/>
      </c>
      <c r="C1363" s="106">
        <f>IF($J1363="","",INDEX(EV_ID,$J1363))</f>
        <v/>
      </c>
      <c r="D1363" s="106">
        <f>IF($J1363="","",INDEX(EV_Class,$J1363))</f>
        <v/>
      </c>
      <c r="E1363" s="106">
        <f>IF($J1363="","",INDEX(EV_Type,$J1363))</f>
        <v/>
      </c>
      <c r="F1363" s="106">
        <f>IF($J1363="","",INDEX(EV_Cum,$J1363))</f>
        <v/>
      </c>
      <c r="G1363" s="106">
        <f>IF($J1363="","",INDEX(LevelLabels,MATCH(F1363,LevelValues,1)))</f>
        <v/>
      </c>
      <c r="H1363" s="106">
        <f>IF($J1363="","",IFERROR(INDEX(Stu_ContactReq,MATCH(C1363,Stu_ID,0)),""))</f>
        <v/>
      </c>
      <c r="I1363" s="107">
        <f>IF($J1363="","",IFERROR(INDEX(Stu_Notes,MATCH(C1363,Stu_ID,0)),""))</f>
        <v/>
      </c>
      <c r="J1363" s="40">
        <f>IF(1358&gt;$B$3,"",IFERROR(MATCH(1358-1,EV_Seq,1)+1,1))</f>
        <v/>
      </c>
    </row>
    <row r="1364">
      <c r="A1364" s="105">
        <f>IF($J1364="","",INDEX(EV_Date,$J1364))</f>
        <v/>
      </c>
      <c r="B1364" s="78">
        <f>IF($J1364="","",INDEX(EV_Name,$J1364))</f>
        <v/>
      </c>
      <c r="C1364" s="106">
        <f>IF($J1364="","",INDEX(EV_ID,$J1364))</f>
        <v/>
      </c>
      <c r="D1364" s="106">
        <f>IF($J1364="","",INDEX(EV_Class,$J1364))</f>
        <v/>
      </c>
      <c r="E1364" s="106">
        <f>IF($J1364="","",INDEX(EV_Type,$J1364))</f>
        <v/>
      </c>
      <c r="F1364" s="106">
        <f>IF($J1364="","",INDEX(EV_Cum,$J1364))</f>
        <v/>
      </c>
      <c r="G1364" s="106">
        <f>IF($J1364="","",INDEX(LevelLabels,MATCH(F1364,LevelValues,1)))</f>
        <v/>
      </c>
      <c r="H1364" s="106">
        <f>IF($J1364="","",IFERROR(INDEX(Stu_ContactReq,MATCH(C1364,Stu_ID,0)),""))</f>
        <v/>
      </c>
      <c r="I1364" s="107">
        <f>IF($J1364="","",IFERROR(INDEX(Stu_Notes,MATCH(C1364,Stu_ID,0)),""))</f>
        <v/>
      </c>
      <c r="J1364" s="40">
        <f>IF(1359&gt;$B$3,"",IFERROR(MATCH(1359-1,EV_Seq,1)+1,1))</f>
        <v/>
      </c>
    </row>
    <row r="1365">
      <c r="A1365" s="105">
        <f>IF($J1365="","",INDEX(EV_Date,$J1365))</f>
        <v/>
      </c>
      <c r="B1365" s="78">
        <f>IF($J1365="","",INDEX(EV_Name,$J1365))</f>
        <v/>
      </c>
      <c r="C1365" s="106">
        <f>IF($J1365="","",INDEX(EV_ID,$J1365))</f>
        <v/>
      </c>
      <c r="D1365" s="106">
        <f>IF($J1365="","",INDEX(EV_Class,$J1365))</f>
        <v/>
      </c>
      <c r="E1365" s="106">
        <f>IF($J1365="","",INDEX(EV_Type,$J1365))</f>
        <v/>
      </c>
      <c r="F1365" s="106">
        <f>IF($J1365="","",INDEX(EV_Cum,$J1365))</f>
        <v/>
      </c>
      <c r="G1365" s="106">
        <f>IF($J1365="","",INDEX(LevelLabels,MATCH(F1365,LevelValues,1)))</f>
        <v/>
      </c>
      <c r="H1365" s="106">
        <f>IF($J1365="","",IFERROR(INDEX(Stu_ContactReq,MATCH(C1365,Stu_ID,0)),""))</f>
        <v/>
      </c>
      <c r="I1365" s="107">
        <f>IF($J1365="","",IFERROR(INDEX(Stu_Notes,MATCH(C1365,Stu_ID,0)),""))</f>
        <v/>
      </c>
      <c r="J1365" s="40">
        <f>IF(1360&gt;$B$3,"",IFERROR(MATCH(1360-1,EV_Seq,1)+1,1))</f>
        <v/>
      </c>
    </row>
    <row r="1366">
      <c r="A1366" s="105">
        <f>IF($J1366="","",INDEX(EV_Date,$J1366))</f>
        <v/>
      </c>
      <c r="B1366" s="78">
        <f>IF($J1366="","",INDEX(EV_Name,$J1366))</f>
        <v/>
      </c>
      <c r="C1366" s="106">
        <f>IF($J1366="","",INDEX(EV_ID,$J1366))</f>
        <v/>
      </c>
      <c r="D1366" s="106">
        <f>IF($J1366="","",INDEX(EV_Class,$J1366))</f>
        <v/>
      </c>
      <c r="E1366" s="106">
        <f>IF($J1366="","",INDEX(EV_Type,$J1366))</f>
        <v/>
      </c>
      <c r="F1366" s="106">
        <f>IF($J1366="","",INDEX(EV_Cum,$J1366))</f>
        <v/>
      </c>
      <c r="G1366" s="106">
        <f>IF($J1366="","",INDEX(LevelLabels,MATCH(F1366,LevelValues,1)))</f>
        <v/>
      </c>
      <c r="H1366" s="106">
        <f>IF($J1366="","",IFERROR(INDEX(Stu_ContactReq,MATCH(C1366,Stu_ID,0)),""))</f>
        <v/>
      </c>
      <c r="I1366" s="107">
        <f>IF($J1366="","",IFERROR(INDEX(Stu_Notes,MATCH(C1366,Stu_ID,0)),""))</f>
        <v/>
      </c>
      <c r="J1366" s="40">
        <f>IF(1361&gt;$B$3,"",IFERROR(MATCH(1361-1,EV_Seq,1)+1,1))</f>
        <v/>
      </c>
    </row>
    <row r="1367">
      <c r="A1367" s="105">
        <f>IF($J1367="","",INDEX(EV_Date,$J1367))</f>
        <v/>
      </c>
      <c r="B1367" s="78">
        <f>IF($J1367="","",INDEX(EV_Name,$J1367))</f>
        <v/>
      </c>
      <c r="C1367" s="106">
        <f>IF($J1367="","",INDEX(EV_ID,$J1367))</f>
        <v/>
      </c>
      <c r="D1367" s="106">
        <f>IF($J1367="","",INDEX(EV_Class,$J1367))</f>
        <v/>
      </c>
      <c r="E1367" s="106">
        <f>IF($J1367="","",INDEX(EV_Type,$J1367))</f>
        <v/>
      </c>
      <c r="F1367" s="106">
        <f>IF($J1367="","",INDEX(EV_Cum,$J1367))</f>
        <v/>
      </c>
      <c r="G1367" s="106">
        <f>IF($J1367="","",INDEX(LevelLabels,MATCH(F1367,LevelValues,1)))</f>
        <v/>
      </c>
      <c r="H1367" s="106">
        <f>IF($J1367="","",IFERROR(INDEX(Stu_ContactReq,MATCH(C1367,Stu_ID,0)),""))</f>
        <v/>
      </c>
      <c r="I1367" s="107">
        <f>IF($J1367="","",IFERROR(INDEX(Stu_Notes,MATCH(C1367,Stu_ID,0)),""))</f>
        <v/>
      </c>
      <c r="J1367" s="40">
        <f>IF(1362&gt;$B$3,"",IFERROR(MATCH(1362-1,EV_Seq,1)+1,1))</f>
        <v/>
      </c>
    </row>
    <row r="1368">
      <c r="A1368" s="105">
        <f>IF($J1368="","",INDEX(EV_Date,$J1368))</f>
        <v/>
      </c>
      <c r="B1368" s="78">
        <f>IF($J1368="","",INDEX(EV_Name,$J1368))</f>
        <v/>
      </c>
      <c r="C1368" s="106">
        <f>IF($J1368="","",INDEX(EV_ID,$J1368))</f>
        <v/>
      </c>
      <c r="D1368" s="106">
        <f>IF($J1368="","",INDEX(EV_Class,$J1368))</f>
        <v/>
      </c>
      <c r="E1368" s="106">
        <f>IF($J1368="","",INDEX(EV_Type,$J1368))</f>
        <v/>
      </c>
      <c r="F1368" s="106">
        <f>IF($J1368="","",INDEX(EV_Cum,$J1368))</f>
        <v/>
      </c>
      <c r="G1368" s="106">
        <f>IF($J1368="","",INDEX(LevelLabels,MATCH(F1368,LevelValues,1)))</f>
        <v/>
      </c>
      <c r="H1368" s="106">
        <f>IF($J1368="","",IFERROR(INDEX(Stu_ContactReq,MATCH(C1368,Stu_ID,0)),""))</f>
        <v/>
      </c>
      <c r="I1368" s="107">
        <f>IF($J1368="","",IFERROR(INDEX(Stu_Notes,MATCH(C1368,Stu_ID,0)),""))</f>
        <v/>
      </c>
      <c r="J1368" s="40">
        <f>IF(1363&gt;$B$3,"",IFERROR(MATCH(1363-1,EV_Seq,1)+1,1))</f>
        <v/>
      </c>
    </row>
    <row r="1369">
      <c r="A1369" s="105">
        <f>IF($J1369="","",INDEX(EV_Date,$J1369))</f>
        <v/>
      </c>
      <c r="B1369" s="78">
        <f>IF($J1369="","",INDEX(EV_Name,$J1369))</f>
        <v/>
      </c>
      <c r="C1369" s="106">
        <f>IF($J1369="","",INDEX(EV_ID,$J1369))</f>
        <v/>
      </c>
      <c r="D1369" s="106">
        <f>IF($J1369="","",INDEX(EV_Class,$J1369))</f>
        <v/>
      </c>
      <c r="E1369" s="106">
        <f>IF($J1369="","",INDEX(EV_Type,$J1369))</f>
        <v/>
      </c>
      <c r="F1369" s="106">
        <f>IF($J1369="","",INDEX(EV_Cum,$J1369))</f>
        <v/>
      </c>
      <c r="G1369" s="106">
        <f>IF($J1369="","",INDEX(LevelLabels,MATCH(F1369,LevelValues,1)))</f>
        <v/>
      </c>
      <c r="H1369" s="106">
        <f>IF($J1369="","",IFERROR(INDEX(Stu_ContactReq,MATCH(C1369,Stu_ID,0)),""))</f>
        <v/>
      </c>
      <c r="I1369" s="107">
        <f>IF($J1369="","",IFERROR(INDEX(Stu_Notes,MATCH(C1369,Stu_ID,0)),""))</f>
        <v/>
      </c>
      <c r="J1369" s="40">
        <f>IF(1364&gt;$B$3,"",IFERROR(MATCH(1364-1,EV_Seq,1)+1,1))</f>
        <v/>
      </c>
    </row>
    <row r="1370">
      <c r="A1370" s="105">
        <f>IF($J1370="","",INDEX(EV_Date,$J1370))</f>
        <v/>
      </c>
      <c r="B1370" s="78">
        <f>IF($J1370="","",INDEX(EV_Name,$J1370))</f>
        <v/>
      </c>
      <c r="C1370" s="106">
        <f>IF($J1370="","",INDEX(EV_ID,$J1370))</f>
        <v/>
      </c>
      <c r="D1370" s="106">
        <f>IF($J1370="","",INDEX(EV_Class,$J1370))</f>
        <v/>
      </c>
      <c r="E1370" s="106">
        <f>IF($J1370="","",INDEX(EV_Type,$J1370))</f>
        <v/>
      </c>
      <c r="F1370" s="106">
        <f>IF($J1370="","",INDEX(EV_Cum,$J1370))</f>
        <v/>
      </c>
      <c r="G1370" s="106">
        <f>IF($J1370="","",INDEX(LevelLabels,MATCH(F1370,LevelValues,1)))</f>
        <v/>
      </c>
      <c r="H1370" s="106">
        <f>IF($J1370="","",IFERROR(INDEX(Stu_ContactReq,MATCH(C1370,Stu_ID,0)),""))</f>
        <v/>
      </c>
      <c r="I1370" s="107">
        <f>IF($J1370="","",IFERROR(INDEX(Stu_Notes,MATCH(C1370,Stu_ID,0)),""))</f>
        <v/>
      </c>
      <c r="J1370" s="40">
        <f>IF(1365&gt;$B$3,"",IFERROR(MATCH(1365-1,EV_Seq,1)+1,1))</f>
        <v/>
      </c>
    </row>
    <row r="1371">
      <c r="A1371" s="105">
        <f>IF($J1371="","",INDEX(EV_Date,$J1371))</f>
        <v/>
      </c>
      <c r="B1371" s="78">
        <f>IF($J1371="","",INDEX(EV_Name,$J1371))</f>
        <v/>
      </c>
      <c r="C1371" s="106">
        <f>IF($J1371="","",INDEX(EV_ID,$J1371))</f>
        <v/>
      </c>
      <c r="D1371" s="106">
        <f>IF($J1371="","",INDEX(EV_Class,$J1371))</f>
        <v/>
      </c>
      <c r="E1371" s="106">
        <f>IF($J1371="","",INDEX(EV_Type,$J1371))</f>
        <v/>
      </c>
      <c r="F1371" s="106">
        <f>IF($J1371="","",INDEX(EV_Cum,$J1371))</f>
        <v/>
      </c>
      <c r="G1371" s="106">
        <f>IF($J1371="","",INDEX(LevelLabels,MATCH(F1371,LevelValues,1)))</f>
        <v/>
      </c>
      <c r="H1371" s="106">
        <f>IF($J1371="","",IFERROR(INDEX(Stu_ContactReq,MATCH(C1371,Stu_ID,0)),""))</f>
        <v/>
      </c>
      <c r="I1371" s="107">
        <f>IF($J1371="","",IFERROR(INDEX(Stu_Notes,MATCH(C1371,Stu_ID,0)),""))</f>
        <v/>
      </c>
      <c r="J1371" s="40">
        <f>IF(1366&gt;$B$3,"",IFERROR(MATCH(1366-1,EV_Seq,1)+1,1))</f>
        <v/>
      </c>
    </row>
    <row r="1372">
      <c r="A1372" s="105">
        <f>IF($J1372="","",INDEX(EV_Date,$J1372))</f>
        <v/>
      </c>
      <c r="B1372" s="78">
        <f>IF($J1372="","",INDEX(EV_Name,$J1372))</f>
        <v/>
      </c>
      <c r="C1372" s="106">
        <f>IF($J1372="","",INDEX(EV_ID,$J1372))</f>
        <v/>
      </c>
      <c r="D1372" s="106">
        <f>IF($J1372="","",INDEX(EV_Class,$J1372))</f>
        <v/>
      </c>
      <c r="E1372" s="106">
        <f>IF($J1372="","",INDEX(EV_Type,$J1372))</f>
        <v/>
      </c>
      <c r="F1372" s="106">
        <f>IF($J1372="","",INDEX(EV_Cum,$J1372))</f>
        <v/>
      </c>
      <c r="G1372" s="106">
        <f>IF($J1372="","",INDEX(LevelLabels,MATCH(F1372,LevelValues,1)))</f>
        <v/>
      </c>
      <c r="H1372" s="106">
        <f>IF($J1372="","",IFERROR(INDEX(Stu_ContactReq,MATCH(C1372,Stu_ID,0)),""))</f>
        <v/>
      </c>
      <c r="I1372" s="107">
        <f>IF($J1372="","",IFERROR(INDEX(Stu_Notes,MATCH(C1372,Stu_ID,0)),""))</f>
        <v/>
      </c>
      <c r="J1372" s="40">
        <f>IF(1367&gt;$B$3,"",IFERROR(MATCH(1367-1,EV_Seq,1)+1,1))</f>
        <v/>
      </c>
    </row>
    <row r="1373">
      <c r="A1373" s="105">
        <f>IF($J1373="","",INDEX(EV_Date,$J1373))</f>
        <v/>
      </c>
      <c r="B1373" s="78">
        <f>IF($J1373="","",INDEX(EV_Name,$J1373))</f>
        <v/>
      </c>
      <c r="C1373" s="106">
        <f>IF($J1373="","",INDEX(EV_ID,$J1373))</f>
        <v/>
      </c>
      <c r="D1373" s="106">
        <f>IF($J1373="","",INDEX(EV_Class,$J1373))</f>
        <v/>
      </c>
      <c r="E1373" s="106">
        <f>IF($J1373="","",INDEX(EV_Type,$J1373))</f>
        <v/>
      </c>
      <c r="F1373" s="106">
        <f>IF($J1373="","",INDEX(EV_Cum,$J1373))</f>
        <v/>
      </c>
      <c r="G1373" s="106">
        <f>IF($J1373="","",INDEX(LevelLabels,MATCH(F1373,LevelValues,1)))</f>
        <v/>
      </c>
      <c r="H1373" s="106">
        <f>IF($J1373="","",IFERROR(INDEX(Stu_ContactReq,MATCH(C1373,Stu_ID,0)),""))</f>
        <v/>
      </c>
      <c r="I1373" s="107">
        <f>IF($J1373="","",IFERROR(INDEX(Stu_Notes,MATCH(C1373,Stu_ID,0)),""))</f>
        <v/>
      </c>
      <c r="J1373" s="40">
        <f>IF(1368&gt;$B$3,"",IFERROR(MATCH(1368-1,EV_Seq,1)+1,1))</f>
        <v/>
      </c>
    </row>
    <row r="1374">
      <c r="A1374" s="105">
        <f>IF($J1374="","",INDEX(EV_Date,$J1374))</f>
        <v/>
      </c>
      <c r="B1374" s="78">
        <f>IF($J1374="","",INDEX(EV_Name,$J1374))</f>
        <v/>
      </c>
      <c r="C1374" s="106">
        <f>IF($J1374="","",INDEX(EV_ID,$J1374))</f>
        <v/>
      </c>
      <c r="D1374" s="106">
        <f>IF($J1374="","",INDEX(EV_Class,$J1374))</f>
        <v/>
      </c>
      <c r="E1374" s="106">
        <f>IF($J1374="","",INDEX(EV_Type,$J1374))</f>
        <v/>
      </c>
      <c r="F1374" s="106">
        <f>IF($J1374="","",INDEX(EV_Cum,$J1374))</f>
        <v/>
      </c>
      <c r="G1374" s="106">
        <f>IF($J1374="","",INDEX(LevelLabels,MATCH(F1374,LevelValues,1)))</f>
        <v/>
      </c>
      <c r="H1374" s="106">
        <f>IF($J1374="","",IFERROR(INDEX(Stu_ContactReq,MATCH(C1374,Stu_ID,0)),""))</f>
        <v/>
      </c>
      <c r="I1374" s="107">
        <f>IF($J1374="","",IFERROR(INDEX(Stu_Notes,MATCH(C1374,Stu_ID,0)),""))</f>
        <v/>
      </c>
      <c r="J1374" s="40">
        <f>IF(1369&gt;$B$3,"",IFERROR(MATCH(1369-1,EV_Seq,1)+1,1))</f>
        <v/>
      </c>
    </row>
    <row r="1375">
      <c r="A1375" s="105">
        <f>IF($J1375="","",INDEX(EV_Date,$J1375))</f>
        <v/>
      </c>
      <c r="B1375" s="78">
        <f>IF($J1375="","",INDEX(EV_Name,$J1375))</f>
        <v/>
      </c>
      <c r="C1375" s="106">
        <f>IF($J1375="","",INDEX(EV_ID,$J1375))</f>
        <v/>
      </c>
      <c r="D1375" s="106">
        <f>IF($J1375="","",INDEX(EV_Class,$J1375))</f>
        <v/>
      </c>
      <c r="E1375" s="106">
        <f>IF($J1375="","",INDEX(EV_Type,$J1375))</f>
        <v/>
      </c>
      <c r="F1375" s="106">
        <f>IF($J1375="","",INDEX(EV_Cum,$J1375))</f>
        <v/>
      </c>
      <c r="G1375" s="106">
        <f>IF($J1375="","",INDEX(LevelLabels,MATCH(F1375,LevelValues,1)))</f>
        <v/>
      </c>
      <c r="H1375" s="106">
        <f>IF($J1375="","",IFERROR(INDEX(Stu_ContactReq,MATCH(C1375,Stu_ID,0)),""))</f>
        <v/>
      </c>
      <c r="I1375" s="107">
        <f>IF($J1375="","",IFERROR(INDEX(Stu_Notes,MATCH(C1375,Stu_ID,0)),""))</f>
        <v/>
      </c>
      <c r="J1375" s="40">
        <f>IF(1370&gt;$B$3,"",IFERROR(MATCH(1370-1,EV_Seq,1)+1,1))</f>
        <v/>
      </c>
    </row>
    <row r="1376">
      <c r="A1376" s="105">
        <f>IF($J1376="","",INDEX(EV_Date,$J1376))</f>
        <v/>
      </c>
      <c r="B1376" s="78">
        <f>IF($J1376="","",INDEX(EV_Name,$J1376))</f>
        <v/>
      </c>
      <c r="C1376" s="106">
        <f>IF($J1376="","",INDEX(EV_ID,$J1376))</f>
        <v/>
      </c>
      <c r="D1376" s="106">
        <f>IF($J1376="","",INDEX(EV_Class,$J1376))</f>
        <v/>
      </c>
      <c r="E1376" s="106">
        <f>IF($J1376="","",INDEX(EV_Type,$J1376))</f>
        <v/>
      </c>
      <c r="F1376" s="106">
        <f>IF($J1376="","",INDEX(EV_Cum,$J1376))</f>
        <v/>
      </c>
      <c r="G1376" s="106">
        <f>IF($J1376="","",INDEX(LevelLabels,MATCH(F1376,LevelValues,1)))</f>
        <v/>
      </c>
      <c r="H1376" s="106">
        <f>IF($J1376="","",IFERROR(INDEX(Stu_ContactReq,MATCH(C1376,Stu_ID,0)),""))</f>
        <v/>
      </c>
      <c r="I1376" s="107">
        <f>IF($J1376="","",IFERROR(INDEX(Stu_Notes,MATCH(C1376,Stu_ID,0)),""))</f>
        <v/>
      </c>
      <c r="J1376" s="40">
        <f>IF(1371&gt;$B$3,"",IFERROR(MATCH(1371-1,EV_Seq,1)+1,1))</f>
        <v/>
      </c>
    </row>
    <row r="1377">
      <c r="A1377" s="105">
        <f>IF($J1377="","",INDEX(EV_Date,$J1377))</f>
        <v/>
      </c>
      <c r="B1377" s="78">
        <f>IF($J1377="","",INDEX(EV_Name,$J1377))</f>
        <v/>
      </c>
      <c r="C1377" s="106">
        <f>IF($J1377="","",INDEX(EV_ID,$J1377))</f>
        <v/>
      </c>
      <c r="D1377" s="106">
        <f>IF($J1377="","",INDEX(EV_Class,$J1377))</f>
        <v/>
      </c>
      <c r="E1377" s="106">
        <f>IF($J1377="","",INDEX(EV_Type,$J1377))</f>
        <v/>
      </c>
      <c r="F1377" s="106">
        <f>IF($J1377="","",INDEX(EV_Cum,$J1377))</f>
        <v/>
      </c>
      <c r="G1377" s="106">
        <f>IF($J1377="","",INDEX(LevelLabels,MATCH(F1377,LevelValues,1)))</f>
        <v/>
      </c>
      <c r="H1377" s="106">
        <f>IF($J1377="","",IFERROR(INDEX(Stu_ContactReq,MATCH(C1377,Stu_ID,0)),""))</f>
        <v/>
      </c>
      <c r="I1377" s="107">
        <f>IF($J1377="","",IFERROR(INDEX(Stu_Notes,MATCH(C1377,Stu_ID,0)),""))</f>
        <v/>
      </c>
      <c r="J1377" s="40">
        <f>IF(1372&gt;$B$3,"",IFERROR(MATCH(1372-1,EV_Seq,1)+1,1))</f>
        <v/>
      </c>
    </row>
    <row r="1378">
      <c r="A1378" s="105">
        <f>IF($J1378="","",INDEX(EV_Date,$J1378))</f>
        <v/>
      </c>
      <c r="B1378" s="78">
        <f>IF($J1378="","",INDEX(EV_Name,$J1378))</f>
        <v/>
      </c>
      <c r="C1378" s="106">
        <f>IF($J1378="","",INDEX(EV_ID,$J1378))</f>
        <v/>
      </c>
      <c r="D1378" s="106">
        <f>IF($J1378="","",INDEX(EV_Class,$J1378))</f>
        <v/>
      </c>
      <c r="E1378" s="106">
        <f>IF($J1378="","",INDEX(EV_Type,$J1378))</f>
        <v/>
      </c>
      <c r="F1378" s="106">
        <f>IF($J1378="","",INDEX(EV_Cum,$J1378))</f>
        <v/>
      </c>
      <c r="G1378" s="106">
        <f>IF($J1378="","",INDEX(LevelLabels,MATCH(F1378,LevelValues,1)))</f>
        <v/>
      </c>
      <c r="H1378" s="106">
        <f>IF($J1378="","",IFERROR(INDEX(Stu_ContactReq,MATCH(C1378,Stu_ID,0)),""))</f>
        <v/>
      </c>
      <c r="I1378" s="107">
        <f>IF($J1378="","",IFERROR(INDEX(Stu_Notes,MATCH(C1378,Stu_ID,0)),""))</f>
        <v/>
      </c>
      <c r="J1378" s="40">
        <f>IF(1373&gt;$B$3,"",IFERROR(MATCH(1373-1,EV_Seq,1)+1,1))</f>
        <v/>
      </c>
    </row>
    <row r="1379">
      <c r="A1379" s="105">
        <f>IF($J1379="","",INDEX(EV_Date,$J1379))</f>
        <v/>
      </c>
      <c r="B1379" s="78">
        <f>IF($J1379="","",INDEX(EV_Name,$J1379))</f>
        <v/>
      </c>
      <c r="C1379" s="106">
        <f>IF($J1379="","",INDEX(EV_ID,$J1379))</f>
        <v/>
      </c>
      <c r="D1379" s="106">
        <f>IF($J1379="","",INDEX(EV_Class,$J1379))</f>
        <v/>
      </c>
      <c r="E1379" s="106">
        <f>IF($J1379="","",INDEX(EV_Type,$J1379))</f>
        <v/>
      </c>
      <c r="F1379" s="106">
        <f>IF($J1379="","",INDEX(EV_Cum,$J1379))</f>
        <v/>
      </c>
      <c r="G1379" s="106">
        <f>IF($J1379="","",INDEX(LevelLabels,MATCH(F1379,LevelValues,1)))</f>
        <v/>
      </c>
      <c r="H1379" s="106">
        <f>IF($J1379="","",IFERROR(INDEX(Stu_ContactReq,MATCH(C1379,Stu_ID,0)),""))</f>
        <v/>
      </c>
      <c r="I1379" s="107">
        <f>IF($J1379="","",IFERROR(INDEX(Stu_Notes,MATCH(C1379,Stu_ID,0)),""))</f>
        <v/>
      </c>
      <c r="J1379" s="40">
        <f>IF(1374&gt;$B$3,"",IFERROR(MATCH(1374-1,EV_Seq,1)+1,1))</f>
        <v/>
      </c>
    </row>
    <row r="1380">
      <c r="A1380" s="105">
        <f>IF($J1380="","",INDEX(EV_Date,$J1380))</f>
        <v/>
      </c>
      <c r="B1380" s="78">
        <f>IF($J1380="","",INDEX(EV_Name,$J1380))</f>
        <v/>
      </c>
      <c r="C1380" s="106">
        <f>IF($J1380="","",INDEX(EV_ID,$J1380))</f>
        <v/>
      </c>
      <c r="D1380" s="106">
        <f>IF($J1380="","",INDEX(EV_Class,$J1380))</f>
        <v/>
      </c>
      <c r="E1380" s="106">
        <f>IF($J1380="","",INDEX(EV_Type,$J1380))</f>
        <v/>
      </c>
      <c r="F1380" s="106">
        <f>IF($J1380="","",INDEX(EV_Cum,$J1380))</f>
        <v/>
      </c>
      <c r="G1380" s="106">
        <f>IF($J1380="","",INDEX(LevelLabels,MATCH(F1380,LevelValues,1)))</f>
        <v/>
      </c>
      <c r="H1380" s="106">
        <f>IF($J1380="","",IFERROR(INDEX(Stu_ContactReq,MATCH(C1380,Stu_ID,0)),""))</f>
        <v/>
      </c>
      <c r="I1380" s="107">
        <f>IF($J1380="","",IFERROR(INDEX(Stu_Notes,MATCH(C1380,Stu_ID,0)),""))</f>
        <v/>
      </c>
      <c r="J1380" s="40">
        <f>IF(1375&gt;$B$3,"",IFERROR(MATCH(1375-1,EV_Seq,1)+1,1))</f>
        <v/>
      </c>
    </row>
    <row r="1381">
      <c r="A1381" s="105">
        <f>IF($J1381="","",INDEX(EV_Date,$J1381))</f>
        <v/>
      </c>
      <c r="B1381" s="78">
        <f>IF($J1381="","",INDEX(EV_Name,$J1381))</f>
        <v/>
      </c>
      <c r="C1381" s="106">
        <f>IF($J1381="","",INDEX(EV_ID,$J1381))</f>
        <v/>
      </c>
      <c r="D1381" s="106">
        <f>IF($J1381="","",INDEX(EV_Class,$J1381))</f>
        <v/>
      </c>
      <c r="E1381" s="106">
        <f>IF($J1381="","",INDEX(EV_Type,$J1381))</f>
        <v/>
      </c>
      <c r="F1381" s="106">
        <f>IF($J1381="","",INDEX(EV_Cum,$J1381))</f>
        <v/>
      </c>
      <c r="G1381" s="106">
        <f>IF($J1381="","",INDEX(LevelLabels,MATCH(F1381,LevelValues,1)))</f>
        <v/>
      </c>
      <c r="H1381" s="106">
        <f>IF($J1381="","",IFERROR(INDEX(Stu_ContactReq,MATCH(C1381,Stu_ID,0)),""))</f>
        <v/>
      </c>
      <c r="I1381" s="107">
        <f>IF($J1381="","",IFERROR(INDEX(Stu_Notes,MATCH(C1381,Stu_ID,0)),""))</f>
        <v/>
      </c>
      <c r="J1381" s="40">
        <f>IF(1376&gt;$B$3,"",IFERROR(MATCH(1376-1,EV_Seq,1)+1,1))</f>
        <v/>
      </c>
    </row>
    <row r="1382">
      <c r="A1382" s="105">
        <f>IF($J1382="","",INDEX(EV_Date,$J1382))</f>
        <v/>
      </c>
      <c r="B1382" s="78">
        <f>IF($J1382="","",INDEX(EV_Name,$J1382))</f>
        <v/>
      </c>
      <c r="C1382" s="106">
        <f>IF($J1382="","",INDEX(EV_ID,$J1382))</f>
        <v/>
      </c>
      <c r="D1382" s="106">
        <f>IF($J1382="","",INDEX(EV_Class,$J1382))</f>
        <v/>
      </c>
      <c r="E1382" s="106">
        <f>IF($J1382="","",INDEX(EV_Type,$J1382))</f>
        <v/>
      </c>
      <c r="F1382" s="106">
        <f>IF($J1382="","",INDEX(EV_Cum,$J1382))</f>
        <v/>
      </c>
      <c r="G1382" s="106">
        <f>IF($J1382="","",INDEX(LevelLabels,MATCH(F1382,LevelValues,1)))</f>
        <v/>
      </c>
      <c r="H1382" s="106">
        <f>IF($J1382="","",IFERROR(INDEX(Stu_ContactReq,MATCH(C1382,Stu_ID,0)),""))</f>
        <v/>
      </c>
      <c r="I1382" s="107">
        <f>IF($J1382="","",IFERROR(INDEX(Stu_Notes,MATCH(C1382,Stu_ID,0)),""))</f>
        <v/>
      </c>
      <c r="J1382" s="40">
        <f>IF(1377&gt;$B$3,"",IFERROR(MATCH(1377-1,EV_Seq,1)+1,1))</f>
        <v/>
      </c>
    </row>
    <row r="1383">
      <c r="A1383" s="105">
        <f>IF($J1383="","",INDEX(EV_Date,$J1383))</f>
        <v/>
      </c>
      <c r="B1383" s="78">
        <f>IF($J1383="","",INDEX(EV_Name,$J1383))</f>
        <v/>
      </c>
      <c r="C1383" s="106">
        <f>IF($J1383="","",INDEX(EV_ID,$J1383))</f>
        <v/>
      </c>
      <c r="D1383" s="106">
        <f>IF($J1383="","",INDEX(EV_Class,$J1383))</f>
        <v/>
      </c>
      <c r="E1383" s="106">
        <f>IF($J1383="","",INDEX(EV_Type,$J1383))</f>
        <v/>
      </c>
      <c r="F1383" s="106">
        <f>IF($J1383="","",INDEX(EV_Cum,$J1383))</f>
        <v/>
      </c>
      <c r="G1383" s="106">
        <f>IF($J1383="","",INDEX(LevelLabels,MATCH(F1383,LevelValues,1)))</f>
        <v/>
      </c>
      <c r="H1383" s="106">
        <f>IF($J1383="","",IFERROR(INDEX(Stu_ContactReq,MATCH(C1383,Stu_ID,0)),""))</f>
        <v/>
      </c>
      <c r="I1383" s="107">
        <f>IF($J1383="","",IFERROR(INDEX(Stu_Notes,MATCH(C1383,Stu_ID,0)),""))</f>
        <v/>
      </c>
      <c r="J1383" s="40">
        <f>IF(1378&gt;$B$3,"",IFERROR(MATCH(1378-1,EV_Seq,1)+1,1))</f>
        <v/>
      </c>
    </row>
    <row r="1384">
      <c r="A1384" s="105">
        <f>IF($J1384="","",INDEX(EV_Date,$J1384))</f>
        <v/>
      </c>
      <c r="B1384" s="78">
        <f>IF($J1384="","",INDEX(EV_Name,$J1384))</f>
        <v/>
      </c>
      <c r="C1384" s="106">
        <f>IF($J1384="","",INDEX(EV_ID,$J1384))</f>
        <v/>
      </c>
      <c r="D1384" s="106">
        <f>IF($J1384="","",INDEX(EV_Class,$J1384))</f>
        <v/>
      </c>
      <c r="E1384" s="106">
        <f>IF($J1384="","",INDEX(EV_Type,$J1384))</f>
        <v/>
      </c>
      <c r="F1384" s="106">
        <f>IF($J1384="","",INDEX(EV_Cum,$J1384))</f>
        <v/>
      </c>
      <c r="G1384" s="106">
        <f>IF($J1384="","",INDEX(LevelLabels,MATCH(F1384,LevelValues,1)))</f>
        <v/>
      </c>
      <c r="H1384" s="106">
        <f>IF($J1384="","",IFERROR(INDEX(Stu_ContactReq,MATCH(C1384,Stu_ID,0)),""))</f>
        <v/>
      </c>
      <c r="I1384" s="107">
        <f>IF($J1384="","",IFERROR(INDEX(Stu_Notes,MATCH(C1384,Stu_ID,0)),""))</f>
        <v/>
      </c>
      <c r="J1384" s="40">
        <f>IF(1379&gt;$B$3,"",IFERROR(MATCH(1379-1,EV_Seq,1)+1,1))</f>
        <v/>
      </c>
    </row>
    <row r="1385">
      <c r="A1385" s="105">
        <f>IF($J1385="","",INDEX(EV_Date,$J1385))</f>
        <v/>
      </c>
      <c r="B1385" s="78">
        <f>IF($J1385="","",INDEX(EV_Name,$J1385))</f>
        <v/>
      </c>
      <c r="C1385" s="106">
        <f>IF($J1385="","",INDEX(EV_ID,$J1385))</f>
        <v/>
      </c>
      <c r="D1385" s="106">
        <f>IF($J1385="","",INDEX(EV_Class,$J1385))</f>
        <v/>
      </c>
      <c r="E1385" s="106">
        <f>IF($J1385="","",INDEX(EV_Type,$J1385))</f>
        <v/>
      </c>
      <c r="F1385" s="106">
        <f>IF($J1385="","",INDEX(EV_Cum,$J1385))</f>
        <v/>
      </c>
      <c r="G1385" s="106">
        <f>IF($J1385="","",INDEX(LevelLabels,MATCH(F1385,LevelValues,1)))</f>
        <v/>
      </c>
      <c r="H1385" s="106">
        <f>IF($J1385="","",IFERROR(INDEX(Stu_ContactReq,MATCH(C1385,Stu_ID,0)),""))</f>
        <v/>
      </c>
      <c r="I1385" s="107">
        <f>IF($J1385="","",IFERROR(INDEX(Stu_Notes,MATCH(C1385,Stu_ID,0)),""))</f>
        <v/>
      </c>
      <c r="J1385" s="40">
        <f>IF(1380&gt;$B$3,"",IFERROR(MATCH(1380-1,EV_Seq,1)+1,1))</f>
        <v/>
      </c>
    </row>
    <row r="1386">
      <c r="A1386" s="105">
        <f>IF($J1386="","",INDEX(EV_Date,$J1386))</f>
        <v/>
      </c>
      <c r="B1386" s="78">
        <f>IF($J1386="","",INDEX(EV_Name,$J1386))</f>
        <v/>
      </c>
      <c r="C1386" s="106">
        <f>IF($J1386="","",INDEX(EV_ID,$J1386))</f>
        <v/>
      </c>
      <c r="D1386" s="106">
        <f>IF($J1386="","",INDEX(EV_Class,$J1386))</f>
        <v/>
      </c>
      <c r="E1386" s="106">
        <f>IF($J1386="","",INDEX(EV_Type,$J1386))</f>
        <v/>
      </c>
      <c r="F1386" s="106">
        <f>IF($J1386="","",INDEX(EV_Cum,$J1386))</f>
        <v/>
      </c>
      <c r="G1386" s="106">
        <f>IF($J1386="","",INDEX(LevelLabels,MATCH(F1386,LevelValues,1)))</f>
        <v/>
      </c>
      <c r="H1386" s="106">
        <f>IF($J1386="","",IFERROR(INDEX(Stu_ContactReq,MATCH(C1386,Stu_ID,0)),""))</f>
        <v/>
      </c>
      <c r="I1386" s="107">
        <f>IF($J1386="","",IFERROR(INDEX(Stu_Notes,MATCH(C1386,Stu_ID,0)),""))</f>
        <v/>
      </c>
      <c r="J1386" s="40">
        <f>IF(1381&gt;$B$3,"",IFERROR(MATCH(1381-1,EV_Seq,1)+1,1))</f>
        <v/>
      </c>
    </row>
    <row r="1387">
      <c r="A1387" s="105">
        <f>IF($J1387="","",INDEX(EV_Date,$J1387))</f>
        <v/>
      </c>
      <c r="B1387" s="78">
        <f>IF($J1387="","",INDEX(EV_Name,$J1387))</f>
        <v/>
      </c>
      <c r="C1387" s="106">
        <f>IF($J1387="","",INDEX(EV_ID,$J1387))</f>
        <v/>
      </c>
      <c r="D1387" s="106">
        <f>IF($J1387="","",INDEX(EV_Class,$J1387))</f>
        <v/>
      </c>
      <c r="E1387" s="106">
        <f>IF($J1387="","",INDEX(EV_Type,$J1387))</f>
        <v/>
      </c>
      <c r="F1387" s="106">
        <f>IF($J1387="","",INDEX(EV_Cum,$J1387))</f>
        <v/>
      </c>
      <c r="G1387" s="106">
        <f>IF($J1387="","",INDEX(LevelLabels,MATCH(F1387,LevelValues,1)))</f>
        <v/>
      </c>
      <c r="H1387" s="106">
        <f>IF($J1387="","",IFERROR(INDEX(Stu_ContactReq,MATCH(C1387,Stu_ID,0)),""))</f>
        <v/>
      </c>
      <c r="I1387" s="107">
        <f>IF($J1387="","",IFERROR(INDEX(Stu_Notes,MATCH(C1387,Stu_ID,0)),""))</f>
        <v/>
      </c>
      <c r="J1387" s="40">
        <f>IF(1382&gt;$B$3,"",IFERROR(MATCH(1382-1,EV_Seq,1)+1,1))</f>
        <v/>
      </c>
    </row>
    <row r="1388">
      <c r="A1388" s="105">
        <f>IF($J1388="","",INDEX(EV_Date,$J1388))</f>
        <v/>
      </c>
      <c r="B1388" s="78">
        <f>IF($J1388="","",INDEX(EV_Name,$J1388))</f>
        <v/>
      </c>
      <c r="C1388" s="106">
        <f>IF($J1388="","",INDEX(EV_ID,$J1388))</f>
        <v/>
      </c>
      <c r="D1388" s="106">
        <f>IF($J1388="","",INDEX(EV_Class,$J1388))</f>
        <v/>
      </c>
      <c r="E1388" s="106">
        <f>IF($J1388="","",INDEX(EV_Type,$J1388))</f>
        <v/>
      </c>
      <c r="F1388" s="106">
        <f>IF($J1388="","",INDEX(EV_Cum,$J1388))</f>
        <v/>
      </c>
      <c r="G1388" s="106">
        <f>IF($J1388="","",INDEX(LevelLabels,MATCH(F1388,LevelValues,1)))</f>
        <v/>
      </c>
      <c r="H1388" s="106">
        <f>IF($J1388="","",IFERROR(INDEX(Stu_ContactReq,MATCH(C1388,Stu_ID,0)),""))</f>
        <v/>
      </c>
      <c r="I1388" s="107">
        <f>IF($J1388="","",IFERROR(INDEX(Stu_Notes,MATCH(C1388,Stu_ID,0)),""))</f>
        <v/>
      </c>
      <c r="J1388" s="40">
        <f>IF(1383&gt;$B$3,"",IFERROR(MATCH(1383-1,EV_Seq,1)+1,1))</f>
        <v/>
      </c>
    </row>
    <row r="1389">
      <c r="A1389" s="105">
        <f>IF($J1389="","",INDEX(EV_Date,$J1389))</f>
        <v/>
      </c>
      <c r="B1389" s="78">
        <f>IF($J1389="","",INDEX(EV_Name,$J1389))</f>
        <v/>
      </c>
      <c r="C1389" s="106">
        <f>IF($J1389="","",INDEX(EV_ID,$J1389))</f>
        <v/>
      </c>
      <c r="D1389" s="106">
        <f>IF($J1389="","",INDEX(EV_Class,$J1389))</f>
        <v/>
      </c>
      <c r="E1389" s="106">
        <f>IF($J1389="","",INDEX(EV_Type,$J1389))</f>
        <v/>
      </c>
      <c r="F1389" s="106">
        <f>IF($J1389="","",INDEX(EV_Cum,$J1389))</f>
        <v/>
      </c>
      <c r="G1389" s="106">
        <f>IF($J1389="","",INDEX(LevelLabels,MATCH(F1389,LevelValues,1)))</f>
        <v/>
      </c>
      <c r="H1389" s="106">
        <f>IF($J1389="","",IFERROR(INDEX(Stu_ContactReq,MATCH(C1389,Stu_ID,0)),""))</f>
        <v/>
      </c>
      <c r="I1389" s="107">
        <f>IF($J1389="","",IFERROR(INDEX(Stu_Notes,MATCH(C1389,Stu_ID,0)),""))</f>
        <v/>
      </c>
      <c r="J1389" s="40">
        <f>IF(1384&gt;$B$3,"",IFERROR(MATCH(1384-1,EV_Seq,1)+1,1))</f>
        <v/>
      </c>
    </row>
    <row r="1390">
      <c r="A1390" s="105">
        <f>IF($J1390="","",INDEX(EV_Date,$J1390))</f>
        <v/>
      </c>
      <c r="B1390" s="78">
        <f>IF($J1390="","",INDEX(EV_Name,$J1390))</f>
        <v/>
      </c>
      <c r="C1390" s="106">
        <f>IF($J1390="","",INDEX(EV_ID,$J1390))</f>
        <v/>
      </c>
      <c r="D1390" s="106">
        <f>IF($J1390="","",INDEX(EV_Class,$J1390))</f>
        <v/>
      </c>
      <c r="E1390" s="106">
        <f>IF($J1390="","",INDEX(EV_Type,$J1390))</f>
        <v/>
      </c>
      <c r="F1390" s="106">
        <f>IF($J1390="","",INDEX(EV_Cum,$J1390))</f>
        <v/>
      </c>
      <c r="G1390" s="106">
        <f>IF($J1390="","",INDEX(LevelLabels,MATCH(F1390,LevelValues,1)))</f>
        <v/>
      </c>
      <c r="H1390" s="106">
        <f>IF($J1390="","",IFERROR(INDEX(Stu_ContactReq,MATCH(C1390,Stu_ID,0)),""))</f>
        <v/>
      </c>
      <c r="I1390" s="107">
        <f>IF($J1390="","",IFERROR(INDEX(Stu_Notes,MATCH(C1390,Stu_ID,0)),""))</f>
        <v/>
      </c>
      <c r="J1390" s="40">
        <f>IF(1385&gt;$B$3,"",IFERROR(MATCH(1385-1,EV_Seq,1)+1,1))</f>
        <v/>
      </c>
    </row>
    <row r="1391">
      <c r="A1391" s="105">
        <f>IF($J1391="","",INDEX(EV_Date,$J1391))</f>
        <v/>
      </c>
      <c r="B1391" s="78">
        <f>IF($J1391="","",INDEX(EV_Name,$J1391))</f>
        <v/>
      </c>
      <c r="C1391" s="106">
        <f>IF($J1391="","",INDEX(EV_ID,$J1391))</f>
        <v/>
      </c>
      <c r="D1391" s="106">
        <f>IF($J1391="","",INDEX(EV_Class,$J1391))</f>
        <v/>
      </c>
      <c r="E1391" s="106">
        <f>IF($J1391="","",INDEX(EV_Type,$J1391))</f>
        <v/>
      </c>
      <c r="F1391" s="106">
        <f>IF($J1391="","",INDEX(EV_Cum,$J1391))</f>
        <v/>
      </c>
      <c r="G1391" s="106">
        <f>IF($J1391="","",INDEX(LevelLabels,MATCH(F1391,LevelValues,1)))</f>
        <v/>
      </c>
      <c r="H1391" s="106">
        <f>IF($J1391="","",IFERROR(INDEX(Stu_ContactReq,MATCH(C1391,Stu_ID,0)),""))</f>
        <v/>
      </c>
      <c r="I1391" s="107">
        <f>IF($J1391="","",IFERROR(INDEX(Stu_Notes,MATCH(C1391,Stu_ID,0)),""))</f>
        <v/>
      </c>
      <c r="J1391" s="40">
        <f>IF(1386&gt;$B$3,"",IFERROR(MATCH(1386-1,EV_Seq,1)+1,1))</f>
        <v/>
      </c>
    </row>
    <row r="1392">
      <c r="A1392" s="105">
        <f>IF($J1392="","",INDEX(EV_Date,$J1392))</f>
        <v/>
      </c>
      <c r="B1392" s="78">
        <f>IF($J1392="","",INDEX(EV_Name,$J1392))</f>
        <v/>
      </c>
      <c r="C1392" s="106">
        <f>IF($J1392="","",INDEX(EV_ID,$J1392))</f>
        <v/>
      </c>
      <c r="D1392" s="106">
        <f>IF($J1392="","",INDEX(EV_Class,$J1392))</f>
        <v/>
      </c>
      <c r="E1392" s="106">
        <f>IF($J1392="","",INDEX(EV_Type,$J1392))</f>
        <v/>
      </c>
      <c r="F1392" s="106">
        <f>IF($J1392="","",INDEX(EV_Cum,$J1392))</f>
        <v/>
      </c>
      <c r="G1392" s="106">
        <f>IF($J1392="","",INDEX(LevelLabels,MATCH(F1392,LevelValues,1)))</f>
        <v/>
      </c>
      <c r="H1392" s="106">
        <f>IF($J1392="","",IFERROR(INDEX(Stu_ContactReq,MATCH(C1392,Stu_ID,0)),""))</f>
        <v/>
      </c>
      <c r="I1392" s="107">
        <f>IF($J1392="","",IFERROR(INDEX(Stu_Notes,MATCH(C1392,Stu_ID,0)),""))</f>
        <v/>
      </c>
      <c r="J1392" s="40">
        <f>IF(1387&gt;$B$3,"",IFERROR(MATCH(1387-1,EV_Seq,1)+1,1))</f>
        <v/>
      </c>
    </row>
    <row r="1393">
      <c r="A1393" s="105">
        <f>IF($J1393="","",INDEX(EV_Date,$J1393))</f>
        <v/>
      </c>
      <c r="B1393" s="78">
        <f>IF($J1393="","",INDEX(EV_Name,$J1393))</f>
        <v/>
      </c>
      <c r="C1393" s="106">
        <f>IF($J1393="","",INDEX(EV_ID,$J1393))</f>
        <v/>
      </c>
      <c r="D1393" s="106">
        <f>IF($J1393="","",INDEX(EV_Class,$J1393))</f>
        <v/>
      </c>
      <c r="E1393" s="106">
        <f>IF($J1393="","",INDEX(EV_Type,$J1393))</f>
        <v/>
      </c>
      <c r="F1393" s="106">
        <f>IF($J1393="","",INDEX(EV_Cum,$J1393))</f>
        <v/>
      </c>
      <c r="G1393" s="106">
        <f>IF($J1393="","",INDEX(LevelLabels,MATCH(F1393,LevelValues,1)))</f>
        <v/>
      </c>
      <c r="H1393" s="106">
        <f>IF($J1393="","",IFERROR(INDEX(Stu_ContactReq,MATCH(C1393,Stu_ID,0)),""))</f>
        <v/>
      </c>
      <c r="I1393" s="107">
        <f>IF($J1393="","",IFERROR(INDEX(Stu_Notes,MATCH(C1393,Stu_ID,0)),""))</f>
        <v/>
      </c>
      <c r="J1393" s="40">
        <f>IF(1388&gt;$B$3,"",IFERROR(MATCH(1388-1,EV_Seq,1)+1,1))</f>
        <v/>
      </c>
    </row>
    <row r="1394">
      <c r="A1394" s="105">
        <f>IF($J1394="","",INDEX(EV_Date,$J1394))</f>
        <v/>
      </c>
      <c r="B1394" s="78">
        <f>IF($J1394="","",INDEX(EV_Name,$J1394))</f>
        <v/>
      </c>
      <c r="C1394" s="106">
        <f>IF($J1394="","",INDEX(EV_ID,$J1394))</f>
        <v/>
      </c>
      <c r="D1394" s="106">
        <f>IF($J1394="","",INDEX(EV_Class,$J1394))</f>
        <v/>
      </c>
      <c r="E1394" s="106">
        <f>IF($J1394="","",INDEX(EV_Type,$J1394))</f>
        <v/>
      </c>
      <c r="F1394" s="106">
        <f>IF($J1394="","",INDEX(EV_Cum,$J1394))</f>
        <v/>
      </c>
      <c r="G1394" s="106">
        <f>IF($J1394="","",INDEX(LevelLabels,MATCH(F1394,LevelValues,1)))</f>
        <v/>
      </c>
      <c r="H1394" s="106">
        <f>IF($J1394="","",IFERROR(INDEX(Stu_ContactReq,MATCH(C1394,Stu_ID,0)),""))</f>
        <v/>
      </c>
      <c r="I1394" s="107">
        <f>IF($J1394="","",IFERROR(INDEX(Stu_Notes,MATCH(C1394,Stu_ID,0)),""))</f>
        <v/>
      </c>
      <c r="J1394" s="40">
        <f>IF(1389&gt;$B$3,"",IFERROR(MATCH(1389-1,EV_Seq,1)+1,1))</f>
        <v/>
      </c>
    </row>
    <row r="1395">
      <c r="A1395" s="105">
        <f>IF($J1395="","",INDEX(EV_Date,$J1395))</f>
        <v/>
      </c>
      <c r="B1395" s="78">
        <f>IF($J1395="","",INDEX(EV_Name,$J1395))</f>
        <v/>
      </c>
      <c r="C1395" s="106">
        <f>IF($J1395="","",INDEX(EV_ID,$J1395))</f>
        <v/>
      </c>
      <c r="D1395" s="106">
        <f>IF($J1395="","",INDEX(EV_Class,$J1395))</f>
        <v/>
      </c>
      <c r="E1395" s="106">
        <f>IF($J1395="","",INDEX(EV_Type,$J1395))</f>
        <v/>
      </c>
      <c r="F1395" s="106">
        <f>IF($J1395="","",INDEX(EV_Cum,$J1395))</f>
        <v/>
      </c>
      <c r="G1395" s="106">
        <f>IF($J1395="","",INDEX(LevelLabels,MATCH(F1395,LevelValues,1)))</f>
        <v/>
      </c>
      <c r="H1395" s="106">
        <f>IF($J1395="","",IFERROR(INDEX(Stu_ContactReq,MATCH(C1395,Stu_ID,0)),""))</f>
        <v/>
      </c>
      <c r="I1395" s="107">
        <f>IF($J1395="","",IFERROR(INDEX(Stu_Notes,MATCH(C1395,Stu_ID,0)),""))</f>
        <v/>
      </c>
      <c r="J1395" s="40">
        <f>IF(1390&gt;$B$3,"",IFERROR(MATCH(1390-1,EV_Seq,1)+1,1))</f>
        <v/>
      </c>
    </row>
    <row r="1396">
      <c r="A1396" s="105">
        <f>IF($J1396="","",INDEX(EV_Date,$J1396))</f>
        <v/>
      </c>
      <c r="B1396" s="78">
        <f>IF($J1396="","",INDEX(EV_Name,$J1396))</f>
        <v/>
      </c>
      <c r="C1396" s="106">
        <f>IF($J1396="","",INDEX(EV_ID,$J1396))</f>
        <v/>
      </c>
      <c r="D1396" s="106">
        <f>IF($J1396="","",INDEX(EV_Class,$J1396))</f>
        <v/>
      </c>
      <c r="E1396" s="106">
        <f>IF($J1396="","",INDEX(EV_Type,$J1396))</f>
        <v/>
      </c>
      <c r="F1396" s="106">
        <f>IF($J1396="","",INDEX(EV_Cum,$J1396))</f>
        <v/>
      </c>
      <c r="G1396" s="106">
        <f>IF($J1396="","",INDEX(LevelLabels,MATCH(F1396,LevelValues,1)))</f>
        <v/>
      </c>
      <c r="H1396" s="106">
        <f>IF($J1396="","",IFERROR(INDEX(Stu_ContactReq,MATCH(C1396,Stu_ID,0)),""))</f>
        <v/>
      </c>
      <c r="I1396" s="107">
        <f>IF($J1396="","",IFERROR(INDEX(Stu_Notes,MATCH(C1396,Stu_ID,0)),""))</f>
        <v/>
      </c>
      <c r="J1396" s="40">
        <f>IF(1391&gt;$B$3,"",IFERROR(MATCH(1391-1,EV_Seq,1)+1,1))</f>
        <v/>
      </c>
    </row>
    <row r="1397">
      <c r="A1397" s="105">
        <f>IF($J1397="","",INDEX(EV_Date,$J1397))</f>
        <v/>
      </c>
      <c r="B1397" s="78">
        <f>IF($J1397="","",INDEX(EV_Name,$J1397))</f>
        <v/>
      </c>
      <c r="C1397" s="106">
        <f>IF($J1397="","",INDEX(EV_ID,$J1397))</f>
        <v/>
      </c>
      <c r="D1397" s="106">
        <f>IF($J1397="","",INDEX(EV_Class,$J1397))</f>
        <v/>
      </c>
      <c r="E1397" s="106">
        <f>IF($J1397="","",INDEX(EV_Type,$J1397))</f>
        <v/>
      </c>
      <c r="F1397" s="106">
        <f>IF($J1397="","",INDEX(EV_Cum,$J1397))</f>
        <v/>
      </c>
      <c r="G1397" s="106">
        <f>IF($J1397="","",INDEX(LevelLabels,MATCH(F1397,LevelValues,1)))</f>
        <v/>
      </c>
      <c r="H1397" s="106">
        <f>IF($J1397="","",IFERROR(INDEX(Stu_ContactReq,MATCH(C1397,Stu_ID,0)),""))</f>
        <v/>
      </c>
      <c r="I1397" s="107">
        <f>IF($J1397="","",IFERROR(INDEX(Stu_Notes,MATCH(C1397,Stu_ID,0)),""))</f>
        <v/>
      </c>
      <c r="J1397" s="40">
        <f>IF(1392&gt;$B$3,"",IFERROR(MATCH(1392-1,EV_Seq,1)+1,1))</f>
        <v/>
      </c>
    </row>
    <row r="1398">
      <c r="A1398" s="105">
        <f>IF($J1398="","",INDEX(EV_Date,$J1398))</f>
        <v/>
      </c>
      <c r="B1398" s="78">
        <f>IF($J1398="","",INDEX(EV_Name,$J1398))</f>
        <v/>
      </c>
      <c r="C1398" s="106">
        <f>IF($J1398="","",INDEX(EV_ID,$J1398))</f>
        <v/>
      </c>
      <c r="D1398" s="106">
        <f>IF($J1398="","",INDEX(EV_Class,$J1398))</f>
        <v/>
      </c>
      <c r="E1398" s="106">
        <f>IF($J1398="","",INDEX(EV_Type,$J1398))</f>
        <v/>
      </c>
      <c r="F1398" s="106">
        <f>IF($J1398="","",INDEX(EV_Cum,$J1398))</f>
        <v/>
      </c>
      <c r="G1398" s="106">
        <f>IF($J1398="","",INDEX(LevelLabels,MATCH(F1398,LevelValues,1)))</f>
        <v/>
      </c>
      <c r="H1398" s="106">
        <f>IF($J1398="","",IFERROR(INDEX(Stu_ContactReq,MATCH(C1398,Stu_ID,0)),""))</f>
        <v/>
      </c>
      <c r="I1398" s="107">
        <f>IF($J1398="","",IFERROR(INDEX(Stu_Notes,MATCH(C1398,Stu_ID,0)),""))</f>
        <v/>
      </c>
      <c r="J1398" s="40">
        <f>IF(1393&gt;$B$3,"",IFERROR(MATCH(1393-1,EV_Seq,1)+1,1))</f>
        <v/>
      </c>
    </row>
    <row r="1399">
      <c r="A1399" s="105">
        <f>IF($J1399="","",INDEX(EV_Date,$J1399))</f>
        <v/>
      </c>
      <c r="B1399" s="78">
        <f>IF($J1399="","",INDEX(EV_Name,$J1399))</f>
        <v/>
      </c>
      <c r="C1399" s="106">
        <f>IF($J1399="","",INDEX(EV_ID,$J1399))</f>
        <v/>
      </c>
      <c r="D1399" s="106">
        <f>IF($J1399="","",INDEX(EV_Class,$J1399))</f>
        <v/>
      </c>
      <c r="E1399" s="106">
        <f>IF($J1399="","",INDEX(EV_Type,$J1399))</f>
        <v/>
      </c>
      <c r="F1399" s="106">
        <f>IF($J1399="","",INDEX(EV_Cum,$J1399))</f>
        <v/>
      </c>
      <c r="G1399" s="106">
        <f>IF($J1399="","",INDEX(LevelLabels,MATCH(F1399,LevelValues,1)))</f>
        <v/>
      </c>
      <c r="H1399" s="106">
        <f>IF($J1399="","",IFERROR(INDEX(Stu_ContactReq,MATCH(C1399,Stu_ID,0)),""))</f>
        <v/>
      </c>
      <c r="I1399" s="107">
        <f>IF($J1399="","",IFERROR(INDEX(Stu_Notes,MATCH(C1399,Stu_ID,0)),""))</f>
        <v/>
      </c>
      <c r="J1399" s="40">
        <f>IF(1394&gt;$B$3,"",IFERROR(MATCH(1394-1,EV_Seq,1)+1,1))</f>
        <v/>
      </c>
    </row>
    <row r="1400">
      <c r="A1400" s="105">
        <f>IF($J1400="","",INDEX(EV_Date,$J1400))</f>
        <v/>
      </c>
      <c r="B1400" s="78">
        <f>IF($J1400="","",INDEX(EV_Name,$J1400))</f>
        <v/>
      </c>
      <c r="C1400" s="106">
        <f>IF($J1400="","",INDEX(EV_ID,$J1400))</f>
        <v/>
      </c>
      <c r="D1400" s="106">
        <f>IF($J1400="","",INDEX(EV_Class,$J1400))</f>
        <v/>
      </c>
      <c r="E1400" s="106">
        <f>IF($J1400="","",INDEX(EV_Type,$J1400))</f>
        <v/>
      </c>
      <c r="F1400" s="106">
        <f>IF($J1400="","",INDEX(EV_Cum,$J1400))</f>
        <v/>
      </c>
      <c r="G1400" s="106">
        <f>IF($J1400="","",INDEX(LevelLabels,MATCH(F1400,LevelValues,1)))</f>
        <v/>
      </c>
      <c r="H1400" s="106">
        <f>IF($J1400="","",IFERROR(INDEX(Stu_ContactReq,MATCH(C1400,Stu_ID,0)),""))</f>
        <v/>
      </c>
      <c r="I1400" s="107">
        <f>IF($J1400="","",IFERROR(INDEX(Stu_Notes,MATCH(C1400,Stu_ID,0)),""))</f>
        <v/>
      </c>
      <c r="J1400" s="40">
        <f>IF(1395&gt;$B$3,"",IFERROR(MATCH(1395-1,EV_Seq,1)+1,1))</f>
        <v/>
      </c>
    </row>
    <row r="1401">
      <c r="A1401" s="105">
        <f>IF($J1401="","",INDEX(EV_Date,$J1401))</f>
        <v/>
      </c>
      <c r="B1401" s="78">
        <f>IF($J1401="","",INDEX(EV_Name,$J1401))</f>
        <v/>
      </c>
      <c r="C1401" s="106">
        <f>IF($J1401="","",INDEX(EV_ID,$J1401))</f>
        <v/>
      </c>
      <c r="D1401" s="106">
        <f>IF($J1401="","",INDEX(EV_Class,$J1401))</f>
        <v/>
      </c>
      <c r="E1401" s="106">
        <f>IF($J1401="","",INDEX(EV_Type,$J1401))</f>
        <v/>
      </c>
      <c r="F1401" s="106">
        <f>IF($J1401="","",INDEX(EV_Cum,$J1401))</f>
        <v/>
      </c>
      <c r="G1401" s="106">
        <f>IF($J1401="","",INDEX(LevelLabels,MATCH(F1401,LevelValues,1)))</f>
        <v/>
      </c>
      <c r="H1401" s="106">
        <f>IF($J1401="","",IFERROR(INDEX(Stu_ContactReq,MATCH(C1401,Stu_ID,0)),""))</f>
        <v/>
      </c>
      <c r="I1401" s="107">
        <f>IF($J1401="","",IFERROR(INDEX(Stu_Notes,MATCH(C1401,Stu_ID,0)),""))</f>
        <v/>
      </c>
      <c r="J1401" s="40">
        <f>IF(1396&gt;$B$3,"",IFERROR(MATCH(1396-1,EV_Seq,1)+1,1))</f>
        <v/>
      </c>
    </row>
    <row r="1402">
      <c r="A1402" s="105">
        <f>IF($J1402="","",INDEX(EV_Date,$J1402))</f>
        <v/>
      </c>
      <c r="B1402" s="78">
        <f>IF($J1402="","",INDEX(EV_Name,$J1402))</f>
        <v/>
      </c>
      <c r="C1402" s="106">
        <f>IF($J1402="","",INDEX(EV_ID,$J1402))</f>
        <v/>
      </c>
      <c r="D1402" s="106">
        <f>IF($J1402="","",INDEX(EV_Class,$J1402))</f>
        <v/>
      </c>
      <c r="E1402" s="106">
        <f>IF($J1402="","",INDEX(EV_Type,$J1402))</f>
        <v/>
      </c>
      <c r="F1402" s="106">
        <f>IF($J1402="","",INDEX(EV_Cum,$J1402))</f>
        <v/>
      </c>
      <c r="G1402" s="106">
        <f>IF($J1402="","",INDEX(LevelLabels,MATCH(F1402,LevelValues,1)))</f>
        <v/>
      </c>
      <c r="H1402" s="106">
        <f>IF($J1402="","",IFERROR(INDEX(Stu_ContactReq,MATCH(C1402,Stu_ID,0)),""))</f>
        <v/>
      </c>
      <c r="I1402" s="107">
        <f>IF($J1402="","",IFERROR(INDEX(Stu_Notes,MATCH(C1402,Stu_ID,0)),""))</f>
        <v/>
      </c>
      <c r="J1402" s="40">
        <f>IF(1397&gt;$B$3,"",IFERROR(MATCH(1397-1,EV_Seq,1)+1,1))</f>
        <v/>
      </c>
    </row>
    <row r="1403">
      <c r="A1403" s="105">
        <f>IF($J1403="","",INDEX(EV_Date,$J1403))</f>
        <v/>
      </c>
      <c r="B1403" s="78">
        <f>IF($J1403="","",INDEX(EV_Name,$J1403))</f>
        <v/>
      </c>
      <c r="C1403" s="106">
        <f>IF($J1403="","",INDEX(EV_ID,$J1403))</f>
        <v/>
      </c>
      <c r="D1403" s="106">
        <f>IF($J1403="","",INDEX(EV_Class,$J1403))</f>
        <v/>
      </c>
      <c r="E1403" s="106">
        <f>IF($J1403="","",INDEX(EV_Type,$J1403))</f>
        <v/>
      </c>
      <c r="F1403" s="106">
        <f>IF($J1403="","",INDEX(EV_Cum,$J1403))</f>
        <v/>
      </c>
      <c r="G1403" s="106">
        <f>IF($J1403="","",INDEX(LevelLabels,MATCH(F1403,LevelValues,1)))</f>
        <v/>
      </c>
      <c r="H1403" s="106">
        <f>IF($J1403="","",IFERROR(INDEX(Stu_ContactReq,MATCH(C1403,Stu_ID,0)),""))</f>
        <v/>
      </c>
      <c r="I1403" s="107">
        <f>IF($J1403="","",IFERROR(INDEX(Stu_Notes,MATCH(C1403,Stu_ID,0)),""))</f>
        <v/>
      </c>
      <c r="J1403" s="40">
        <f>IF(1398&gt;$B$3,"",IFERROR(MATCH(1398-1,EV_Seq,1)+1,1))</f>
        <v/>
      </c>
    </row>
    <row r="1404">
      <c r="A1404" s="105">
        <f>IF($J1404="","",INDEX(EV_Date,$J1404))</f>
        <v/>
      </c>
      <c r="B1404" s="78">
        <f>IF($J1404="","",INDEX(EV_Name,$J1404))</f>
        <v/>
      </c>
      <c r="C1404" s="106">
        <f>IF($J1404="","",INDEX(EV_ID,$J1404))</f>
        <v/>
      </c>
      <c r="D1404" s="106">
        <f>IF($J1404="","",INDEX(EV_Class,$J1404))</f>
        <v/>
      </c>
      <c r="E1404" s="106">
        <f>IF($J1404="","",INDEX(EV_Type,$J1404))</f>
        <v/>
      </c>
      <c r="F1404" s="106">
        <f>IF($J1404="","",INDEX(EV_Cum,$J1404))</f>
        <v/>
      </c>
      <c r="G1404" s="106">
        <f>IF($J1404="","",INDEX(LevelLabels,MATCH(F1404,LevelValues,1)))</f>
        <v/>
      </c>
      <c r="H1404" s="106">
        <f>IF($J1404="","",IFERROR(INDEX(Stu_ContactReq,MATCH(C1404,Stu_ID,0)),""))</f>
        <v/>
      </c>
      <c r="I1404" s="107">
        <f>IF($J1404="","",IFERROR(INDEX(Stu_Notes,MATCH(C1404,Stu_ID,0)),""))</f>
        <v/>
      </c>
      <c r="J1404" s="40">
        <f>IF(1399&gt;$B$3,"",IFERROR(MATCH(1399-1,EV_Seq,1)+1,1))</f>
        <v/>
      </c>
    </row>
    <row r="1405">
      <c r="A1405" s="105">
        <f>IF($J1405="","",INDEX(EV_Date,$J1405))</f>
        <v/>
      </c>
      <c r="B1405" s="78">
        <f>IF($J1405="","",INDEX(EV_Name,$J1405))</f>
        <v/>
      </c>
      <c r="C1405" s="106">
        <f>IF($J1405="","",INDEX(EV_ID,$J1405))</f>
        <v/>
      </c>
      <c r="D1405" s="106">
        <f>IF($J1405="","",INDEX(EV_Class,$J1405))</f>
        <v/>
      </c>
      <c r="E1405" s="106">
        <f>IF($J1405="","",INDEX(EV_Type,$J1405))</f>
        <v/>
      </c>
      <c r="F1405" s="106">
        <f>IF($J1405="","",INDEX(EV_Cum,$J1405))</f>
        <v/>
      </c>
      <c r="G1405" s="106">
        <f>IF($J1405="","",INDEX(LevelLabels,MATCH(F1405,LevelValues,1)))</f>
        <v/>
      </c>
      <c r="H1405" s="106">
        <f>IF($J1405="","",IFERROR(INDEX(Stu_ContactReq,MATCH(C1405,Stu_ID,0)),""))</f>
        <v/>
      </c>
      <c r="I1405" s="107">
        <f>IF($J1405="","",IFERROR(INDEX(Stu_Notes,MATCH(C1405,Stu_ID,0)),""))</f>
        <v/>
      </c>
      <c r="J1405" s="40">
        <f>IF(1400&gt;$B$3,"",IFERROR(MATCH(1400-1,EV_Seq,1)+1,1))</f>
        <v/>
      </c>
    </row>
    <row r="1406">
      <c r="A1406" s="105">
        <f>IF($J1406="","",INDEX(EV_Date,$J1406))</f>
        <v/>
      </c>
      <c r="B1406" s="78">
        <f>IF($J1406="","",INDEX(EV_Name,$J1406))</f>
        <v/>
      </c>
      <c r="C1406" s="106">
        <f>IF($J1406="","",INDEX(EV_ID,$J1406))</f>
        <v/>
      </c>
      <c r="D1406" s="106">
        <f>IF($J1406="","",INDEX(EV_Class,$J1406))</f>
        <v/>
      </c>
      <c r="E1406" s="106">
        <f>IF($J1406="","",INDEX(EV_Type,$J1406))</f>
        <v/>
      </c>
      <c r="F1406" s="106">
        <f>IF($J1406="","",INDEX(EV_Cum,$J1406))</f>
        <v/>
      </c>
      <c r="G1406" s="106">
        <f>IF($J1406="","",INDEX(LevelLabels,MATCH(F1406,LevelValues,1)))</f>
        <v/>
      </c>
      <c r="H1406" s="106">
        <f>IF($J1406="","",IFERROR(INDEX(Stu_ContactReq,MATCH(C1406,Stu_ID,0)),""))</f>
        <v/>
      </c>
      <c r="I1406" s="107">
        <f>IF($J1406="","",IFERROR(INDEX(Stu_Notes,MATCH(C1406,Stu_ID,0)),""))</f>
        <v/>
      </c>
      <c r="J1406" s="40">
        <f>IF(1401&gt;$B$3,"",IFERROR(MATCH(1401-1,EV_Seq,1)+1,1))</f>
        <v/>
      </c>
    </row>
    <row r="1407">
      <c r="A1407" s="105">
        <f>IF($J1407="","",INDEX(EV_Date,$J1407))</f>
        <v/>
      </c>
      <c r="B1407" s="78">
        <f>IF($J1407="","",INDEX(EV_Name,$J1407))</f>
        <v/>
      </c>
      <c r="C1407" s="106">
        <f>IF($J1407="","",INDEX(EV_ID,$J1407))</f>
        <v/>
      </c>
      <c r="D1407" s="106">
        <f>IF($J1407="","",INDEX(EV_Class,$J1407))</f>
        <v/>
      </c>
      <c r="E1407" s="106">
        <f>IF($J1407="","",INDEX(EV_Type,$J1407))</f>
        <v/>
      </c>
      <c r="F1407" s="106">
        <f>IF($J1407="","",INDEX(EV_Cum,$J1407))</f>
        <v/>
      </c>
      <c r="G1407" s="106">
        <f>IF($J1407="","",INDEX(LevelLabels,MATCH(F1407,LevelValues,1)))</f>
        <v/>
      </c>
      <c r="H1407" s="106">
        <f>IF($J1407="","",IFERROR(INDEX(Stu_ContactReq,MATCH(C1407,Stu_ID,0)),""))</f>
        <v/>
      </c>
      <c r="I1407" s="107">
        <f>IF($J1407="","",IFERROR(INDEX(Stu_Notes,MATCH(C1407,Stu_ID,0)),""))</f>
        <v/>
      </c>
      <c r="J1407" s="40">
        <f>IF(1402&gt;$B$3,"",IFERROR(MATCH(1402-1,EV_Seq,1)+1,1))</f>
        <v/>
      </c>
    </row>
    <row r="1408">
      <c r="A1408" s="105">
        <f>IF($J1408="","",INDEX(EV_Date,$J1408))</f>
        <v/>
      </c>
      <c r="B1408" s="78">
        <f>IF($J1408="","",INDEX(EV_Name,$J1408))</f>
        <v/>
      </c>
      <c r="C1408" s="106">
        <f>IF($J1408="","",INDEX(EV_ID,$J1408))</f>
        <v/>
      </c>
      <c r="D1408" s="106">
        <f>IF($J1408="","",INDEX(EV_Class,$J1408))</f>
        <v/>
      </c>
      <c r="E1408" s="106">
        <f>IF($J1408="","",INDEX(EV_Type,$J1408))</f>
        <v/>
      </c>
      <c r="F1408" s="106">
        <f>IF($J1408="","",INDEX(EV_Cum,$J1408))</f>
        <v/>
      </c>
      <c r="G1408" s="106">
        <f>IF($J1408="","",INDEX(LevelLabels,MATCH(F1408,LevelValues,1)))</f>
        <v/>
      </c>
      <c r="H1408" s="106">
        <f>IF($J1408="","",IFERROR(INDEX(Stu_ContactReq,MATCH(C1408,Stu_ID,0)),""))</f>
        <v/>
      </c>
      <c r="I1408" s="107">
        <f>IF($J1408="","",IFERROR(INDEX(Stu_Notes,MATCH(C1408,Stu_ID,0)),""))</f>
        <v/>
      </c>
      <c r="J1408" s="40">
        <f>IF(1403&gt;$B$3,"",IFERROR(MATCH(1403-1,EV_Seq,1)+1,1))</f>
        <v/>
      </c>
    </row>
    <row r="1409">
      <c r="A1409" s="105">
        <f>IF($J1409="","",INDEX(EV_Date,$J1409))</f>
        <v/>
      </c>
      <c r="B1409" s="78">
        <f>IF($J1409="","",INDEX(EV_Name,$J1409))</f>
        <v/>
      </c>
      <c r="C1409" s="106">
        <f>IF($J1409="","",INDEX(EV_ID,$J1409))</f>
        <v/>
      </c>
      <c r="D1409" s="106">
        <f>IF($J1409="","",INDEX(EV_Class,$J1409))</f>
        <v/>
      </c>
      <c r="E1409" s="106">
        <f>IF($J1409="","",INDEX(EV_Type,$J1409))</f>
        <v/>
      </c>
      <c r="F1409" s="106">
        <f>IF($J1409="","",INDEX(EV_Cum,$J1409))</f>
        <v/>
      </c>
      <c r="G1409" s="106">
        <f>IF($J1409="","",INDEX(LevelLabels,MATCH(F1409,LevelValues,1)))</f>
        <v/>
      </c>
      <c r="H1409" s="106">
        <f>IF($J1409="","",IFERROR(INDEX(Stu_ContactReq,MATCH(C1409,Stu_ID,0)),""))</f>
        <v/>
      </c>
      <c r="I1409" s="107">
        <f>IF($J1409="","",IFERROR(INDEX(Stu_Notes,MATCH(C1409,Stu_ID,0)),""))</f>
        <v/>
      </c>
      <c r="J1409" s="40">
        <f>IF(1404&gt;$B$3,"",IFERROR(MATCH(1404-1,EV_Seq,1)+1,1))</f>
        <v/>
      </c>
    </row>
    <row r="1410">
      <c r="A1410" s="105">
        <f>IF($J1410="","",INDEX(EV_Date,$J1410))</f>
        <v/>
      </c>
      <c r="B1410" s="78">
        <f>IF($J1410="","",INDEX(EV_Name,$J1410))</f>
        <v/>
      </c>
      <c r="C1410" s="106">
        <f>IF($J1410="","",INDEX(EV_ID,$J1410))</f>
        <v/>
      </c>
      <c r="D1410" s="106">
        <f>IF($J1410="","",INDEX(EV_Class,$J1410))</f>
        <v/>
      </c>
      <c r="E1410" s="106">
        <f>IF($J1410="","",INDEX(EV_Type,$J1410))</f>
        <v/>
      </c>
      <c r="F1410" s="106">
        <f>IF($J1410="","",INDEX(EV_Cum,$J1410))</f>
        <v/>
      </c>
      <c r="G1410" s="106">
        <f>IF($J1410="","",INDEX(LevelLabels,MATCH(F1410,LevelValues,1)))</f>
        <v/>
      </c>
      <c r="H1410" s="106">
        <f>IF($J1410="","",IFERROR(INDEX(Stu_ContactReq,MATCH(C1410,Stu_ID,0)),""))</f>
        <v/>
      </c>
      <c r="I1410" s="107">
        <f>IF($J1410="","",IFERROR(INDEX(Stu_Notes,MATCH(C1410,Stu_ID,0)),""))</f>
        <v/>
      </c>
      <c r="J1410" s="40">
        <f>IF(1405&gt;$B$3,"",IFERROR(MATCH(1405-1,EV_Seq,1)+1,1))</f>
        <v/>
      </c>
    </row>
    <row r="1411">
      <c r="A1411" s="105">
        <f>IF($J1411="","",INDEX(EV_Date,$J1411))</f>
        <v/>
      </c>
      <c r="B1411" s="78">
        <f>IF($J1411="","",INDEX(EV_Name,$J1411))</f>
        <v/>
      </c>
      <c r="C1411" s="106">
        <f>IF($J1411="","",INDEX(EV_ID,$J1411))</f>
        <v/>
      </c>
      <c r="D1411" s="106">
        <f>IF($J1411="","",INDEX(EV_Class,$J1411))</f>
        <v/>
      </c>
      <c r="E1411" s="106">
        <f>IF($J1411="","",INDEX(EV_Type,$J1411))</f>
        <v/>
      </c>
      <c r="F1411" s="106">
        <f>IF($J1411="","",INDEX(EV_Cum,$J1411))</f>
        <v/>
      </c>
      <c r="G1411" s="106">
        <f>IF($J1411="","",INDEX(LevelLabels,MATCH(F1411,LevelValues,1)))</f>
        <v/>
      </c>
      <c r="H1411" s="106">
        <f>IF($J1411="","",IFERROR(INDEX(Stu_ContactReq,MATCH(C1411,Stu_ID,0)),""))</f>
        <v/>
      </c>
      <c r="I1411" s="107">
        <f>IF($J1411="","",IFERROR(INDEX(Stu_Notes,MATCH(C1411,Stu_ID,0)),""))</f>
        <v/>
      </c>
      <c r="J1411" s="40">
        <f>IF(1406&gt;$B$3,"",IFERROR(MATCH(1406-1,EV_Seq,1)+1,1))</f>
        <v/>
      </c>
    </row>
    <row r="1412">
      <c r="A1412" s="105">
        <f>IF($J1412="","",INDEX(EV_Date,$J1412))</f>
        <v/>
      </c>
      <c r="B1412" s="78">
        <f>IF($J1412="","",INDEX(EV_Name,$J1412))</f>
        <v/>
      </c>
      <c r="C1412" s="106">
        <f>IF($J1412="","",INDEX(EV_ID,$J1412))</f>
        <v/>
      </c>
      <c r="D1412" s="106">
        <f>IF($J1412="","",INDEX(EV_Class,$J1412))</f>
        <v/>
      </c>
      <c r="E1412" s="106">
        <f>IF($J1412="","",INDEX(EV_Type,$J1412))</f>
        <v/>
      </c>
      <c r="F1412" s="106">
        <f>IF($J1412="","",INDEX(EV_Cum,$J1412))</f>
        <v/>
      </c>
      <c r="G1412" s="106">
        <f>IF($J1412="","",INDEX(LevelLabels,MATCH(F1412,LevelValues,1)))</f>
        <v/>
      </c>
      <c r="H1412" s="106">
        <f>IF($J1412="","",IFERROR(INDEX(Stu_ContactReq,MATCH(C1412,Stu_ID,0)),""))</f>
        <v/>
      </c>
      <c r="I1412" s="107">
        <f>IF($J1412="","",IFERROR(INDEX(Stu_Notes,MATCH(C1412,Stu_ID,0)),""))</f>
        <v/>
      </c>
      <c r="J1412" s="40">
        <f>IF(1407&gt;$B$3,"",IFERROR(MATCH(1407-1,EV_Seq,1)+1,1))</f>
        <v/>
      </c>
    </row>
    <row r="1413">
      <c r="A1413" s="105">
        <f>IF($J1413="","",INDEX(EV_Date,$J1413))</f>
        <v/>
      </c>
      <c r="B1413" s="78">
        <f>IF($J1413="","",INDEX(EV_Name,$J1413))</f>
        <v/>
      </c>
      <c r="C1413" s="106">
        <f>IF($J1413="","",INDEX(EV_ID,$J1413))</f>
        <v/>
      </c>
      <c r="D1413" s="106">
        <f>IF($J1413="","",INDEX(EV_Class,$J1413))</f>
        <v/>
      </c>
      <c r="E1413" s="106">
        <f>IF($J1413="","",INDEX(EV_Type,$J1413))</f>
        <v/>
      </c>
      <c r="F1413" s="106">
        <f>IF($J1413="","",INDEX(EV_Cum,$J1413))</f>
        <v/>
      </c>
      <c r="G1413" s="106">
        <f>IF($J1413="","",INDEX(LevelLabels,MATCH(F1413,LevelValues,1)))</f>
        <v/>
      </c>
      <c r="H1413" s="106">
        <f>IF($J1413="","",IFERROR(INDEX(Stu_ContactReq,MATCH(C1413,Stu_ID,0)),""))</f>
        <v/>
      </c>
      <c r="I1413" s="107">
        <f>IF($J1413="","",IFERROR(INDEX(Stu_Notes,MATCH(C1413,Stu_ID,0)),""))</f>
        <v/>
      </c>
      <c r="J1413" s="40">
        <f>IF(1408&gt;$B$3,"",IFERROR(MATCH(1408-1,EV_Seq,1)+1,1))</f>
        <v/>
      </c>
    </row>
    <row r="1414">
      <c r="A1414" s="105">
        <f>IF($J1414="","",INDEX(EV_Date,$J1414))</f>
        <v/>
      </c>
      <c r="B1414" s="78">
        <f>IF($J1414="","",INDEX(EV_Name,$J1414))</f>
        <v/>
      </c>
      <c r="C1414" s="106">
        <f>IF($J1414="","",INDEX(EV_ID,$J1414))</f>
        <v/>
      </c>
      <c r="D1414" s="106">
        <f>IF($J1414="","",INDEX(EV_Class,$J1414))</f>
        <v/>
      </c>
      <c r="E1414" s="106">
        <f>IF($J1414="","",INDEX(EV_Type,$J1414))</f>
        <v/>
      </c>
      <c r="F1414" s="106">
        <f>IF($J1414="","",INDEX(EV_Cum,$J1414))</f>
        <v/>
      </c>
      <c r="G1414" s="106">
        <f>IF($J1414="","",INDEX(LevelLabels,MATCH(F1414,LevelValues,1)))</f>
        <v/>
      </c>
      <c r="H1414" s="106">
        <f>IF($J1414="","",IFERROR(INDEX(Stu_ContactReq,MATCH(C1414,Stu_ID,0)),""))</f>
        <v/>
      </c>
      <c r="I1414" s="107">
        <f>IF($J1414="","",IFERROR(INDEX(Stu_Notes,MATCH(C1414,Stu_ID,0)),""))</f>
        <v/>
      </c>
      <c r="J1414" s="40">
        <f>IF(1409&gt;$B$3,"",IFERROR(MATCH(1409-1,EV_Seq,1)+1,1))</f>
        <v/>
      </c>
    </row>
    <row r="1415">
      <c r="A1415" s="105">
        <f>IF($J1415="","",INDEX(EV_Date,$J1415))</f>
        <v/>
      </c>
      <c r="B1415" s="78">
        <f>IF($J1415="","",INDEX(EV_Name,$J1415))</f>
        <v/>
      </c>
      <c r="C1415" s="106">
        <f>IF($J1415="","",INDEX(EV_ID,$J1415))</f>
        <v/>
      </c>
      <c r="D1415" s="106">
        <f>IF($J1415="","",INDEX(EV_Class,$J1415))</f>
        <v/>
      </c>
      <c r="E1415" s="106">
        <f>IF($J1415="","",INDEX(EV_Type,$J1415))</f>
        <v/>
      </c>
      <c r="F1415" s="106">
        <f>IF($J1415="","",INDEX(EV_Cum,$J1415))</f>
        <v/>
      </c>
      <c r="G1415" s="106">
        <f>IF($J1415="","",INDEX(LevelLabels,MATCH(F1415,LevelValues,1)))</f>
        <v/>
      </c>
      <c r="H1415" s="106">
        <f>IF($J1415="","",IFERROR(INDEX(Stu_ContactReq,MATCH(C1415,Stu_ID,0)),""))</f>
        <v/>
      </c>
      <c r="I1415" s="107">
        <f>IF($J1415="","",IFERROR(INDEX(Stu_Notes,MATCH(C1415,Stu_ID,0)),""))</f>
        <v/>
      </c>
      <c r="J1415" s="40">
        <f>IF(1410&gt;$B$3,"",IFERROR(MATCH(1410-1,EV_Seq,1)+1,1))</f>
        <v/>
      </c>
    </row>
    <row r="1416">
      <c r="A1416" s="105">
        <f>IF($J1416="","",INDEX(EV_Date,$J1416))</f>
        <v/>
      </c>
      <c r="B1416" s="78">
        <f>IF($J1416="","",INDEX(EV_Name,$J1416))</f>
        <v/>
      </c>
      <c r="C1416" s="106">
        <f>IF($J1416="","",INDEX(EV_ID,$J1416))</f>
        <v/>
      </c>
      <c r="D1416" s="106">
        <f>IF($J1416="","",INDEX(EV_Class,$J1416))</f>
        <v/>
      </c>
      <c r="E1416" s="106">
        <f>IF($J1416="","",INDEX(EV_Type,$J1416))</f>
        <v/>
      </c>
      <c r="F1416" s="106">
        <f>IF($J1416="","",INDEX(EV_Cum,$J1416))</f>
        <v/>
      </c>
      <c r="G1416" s="106">
        <f>IF($J1416="","",INDEX(LevelLabels,MATCH(F1416,LevelValues,1)))</f>
        <v/>
      </c>
      <c r="H1416" s="106">
        <f>IF($J1416="","",IFERROR(INDEX(Stu_ContactReq,MATCH(C1416,Stu_ID,0)),""))</f>
        <v/>
      </c>
      <c r="I1416" s="107">
        <f>IF($J1416="","",IFERROR(INDEX(Stu_Notes,MATCH(C1416,Stu_ID,0)),""))</f>
        <v/>
      </c>
      <c r="J1416" s="40">
        <f>IF(1411&gt;$B$3,"",IFERROR(MATCH(1411-1,EV_Seq,1)+1,1))</f>
        <v/>
      </c>
    </row>
    <row r="1417">
      <c r="A1417" s="105">
        <f>IF($J1417="","",INDEX(EV_Date,$J1417))</f>
        <v/>
      </c>
      <c r="B1417" s="78">
        <f>IF($J1417="","",INDEX(EV_Name,$J1417))</f>
        <v/>
      </c>
      <c r="C1417" s="106">
        <f>IF($J1417="","",INDEX(EV_ID,$J1417))</f>
        <v/>
      </c>
      <c r="D1417" s="106">
        <f>IF($J1417="","",INDEX(EV_Class,$J1417))</f>
        <v/>
      </c>
      <c r="E1417" s="106">
        <f>IF($J1417="","",INDEX(EV_Type,$J1417))</f>
        <v/>
      </c>
      <c r="F1417" s="106">
        <f>IF($J1417="","",INDEX(EV_Cum,$J1417))</f>
        <v/>
      </c>
      <c r="G1417" s="106">
        <f>IF($J1417="","",INDEX(LevelLabels,MATCH(F1417,LevelValues,1)))</f>
        <v/>
      </c>
      <c r="H1417" s="106">
        <f>IF($J1417="","",IFERROR(INDEX(Stu_ContactReq,MATCH(C1417,Stu_ID,0)),""))</f>
        <v/>
      </c>
      <c r="I1417" s="107">
        <f>IF($J1417="","",IFERROR(INDEX(Stu_Notes,MATCH(C1417,Stu_ID,0)),""))</f>
        <v/>
      </c>
      <c r="J1417" s="40">
        <f>IF(1412&gt;$B$3,"",IFERROR(MATCH(1412-1,EV_Seq,1)+1,1))</f>
        <v/>
      </c>
    </row>
    <row r="1418">
      <c r="A1418" s="105">
        <f>IF($J1418="","",INDEX(EV_Date,$J1418))</f>
        <v/>
      </c>
      <c r="B1418" s="78">
        <f>IF($J1418="","",INDEX(EV_Name,$J1418))</f>
        <v/>
      </c>
      <c r="C1418" s="106">
        <f>IF($J1418="","",INDEX(EV_ID,$J1418))</f>
        <v/>
      </c>
      <c r="D1418" s="106">
        <f>IF($J1418="","",INDEX(EV_Class,$J1418))</f>
        <v/>
      </c>
      <c r="E1418" s="106">
        <f>IF($J1418="","",INDEX(EV_Type,$J1418))</f>
        <v/>
      </c>
      <c r="F1418" s="106">
        <f>IF($J1418="","",INDEX(EV_Cum,$J1418))</f>
        <v/>
      </c>
      <c r="G1418" s="106">
        <f>IF($J1418="","",INDEX(LevelLabels,MATCH(F1418,LevelValues,1)))</f>
        <v/>
      </c>
      <c r="H1418" s="106">
        <f>IF($J1418="","",IFERROR(INDEX(Stu_ContactReq,MATCH(C1418,Stu_ID,0)),""))</f>
        <v/>
      </c>
      <c r="I1418" s="107">
        <f>IF($J1418="","",IFERROR(INDEX(Stu_Notes,MATCH(C1418,Stu_ID,0)),""))</f>
        <v/>
      </c>
      <c r="J1418" s="40">
        <f>IF(1413&gt;$B$3,"",IFERROR(MATCH(1413-1,EV_Seq,1)+1,1))</f>
        <v/>
      </c>
    </row>
    <row r="1419">
      <c r="A1419" s="105">
        <f>IF($J1419="","",INDEX(EV_Date,$J1419))</f>
        <v/>
      </c>
      <c r="B1419" s="78">
        <f>IF($J1419="","",INDEX(EV_Name,$J1419))</f>
        <v/>
      </c>
      <c r="C1419" s="106">
        <f>IF($J1419="","",INDEX(EV_ID,$J1419))</f>
        <v/>
      </c>
      <c r="D1419" s="106">
        <f>IF($J1419="","",INDEX(EV_Class,$J1419))</f>
        <v/>
      </c>
      <c r="E1419" s="106">
        <f>IF($J1419="","",INDEX(EV_Type,$J1419))</f>
        <v/>
      </c>
      <c r="F1419" s="106">
        <f>IF($J1419="","",INDEX(EV_Cum,$J1419))</f>
        <v/>
      </c>
      <c r="G1419" s="106">
        <f>IF($J1419="","",INDEX(LevelLabels,MATCH(F1419,LevelValues,1)))</f>
        <v/>
      </c>
      <c r="H1419" s="106">
        <f>IF($J1419="","",IFERROR(INDEX(Stu_ContactReq,MATCH(C1419,Stu_ID,0)),""))</f>
        <v/>
      </c>
      <c r="I1419" s="107">
        <f>IF($J1419="","",IFERROR(INDEX(Stu_Notes,MATCH(C1419,Stu_ID,0)),""))</f>
        <v/>
      </c>
      <c r="J1419" s="40">
        <f>IF(1414&gt;$B$3,"",IFERROR(MATCH(1414-1,EV_Seq,1)+1,1))</f>
        <v/>
      </c>
    </row>
    <row r="1420">
      <c r="A1420" s="105">
        <f>IF($J1420="","",INDEX(EV_Date,$J1420))</f>
        <v/>
      </c>
      <c r="B1420" s="78">
        <f>IF($J1420="","",INDEX(EV_Name,$J1420))</f>
        <v/>
      </c>
      <c r="C1420" s="106">
        <f>IF($J1420="","",INDEX(EV_ID,$J1420))</f>
        <v/>
      </c>
      <c r="D1420" s="106">
        <f>IF($J1420="","",INDEX(EV_Class,$J1420))</f>
        <v/>
      </c>
      <c r="E1420" s="106">
        <f>IF($J1420="","",INDEX(EV_Type,$J1420))</f>
        <v/>
      </c>
      <c r="F1420" s="106">
        <f>IF($J1420="","",INDEX(EV_Cum,$J1420))</f>
        <v/>
      </c>
      <c r="G1420" s="106">
        <f>IF($J1420="","",INDEX(LevelLabels,MATCH(F1420,LevelValues,1)))</f>
        <v/>
      </c>
      <c r="H1420" s="106">
        <f>IF($J1420="","",IFERROR(INDEX(Stu_ContactReq,MATCH(C1420,Stu_ID,0)),""))</f>
        <v/>
      </c>
      <c r="I1420" s="107">
        <f>IF($J1420="","",IFERROR(INDEX(Stu_Notes,MATCH(C1420,Stu_ID,0)),""))</f>
        <v/>
      </c>
      <c r="J1420" s="40">
        <f>IF(1415&gt;$B$3,"",IFERROR(MATCH(1415-1,EV_Seq,1)+1,1))</f>
        <v/>
      </c>
    </row>
    <row r="1421">
      <c r="A1421" s="105">
        <f>IF($J1421="","",INDEX(EV_Date,$J1421))</f>
        <v/>
      </c>
      <c r="B1421" s="78">
        <f>IF($J1421="","",INDEX(EV_Name,$J1421))</f>
        <v/>
      </c>
      <c r="C1421" s="106">
        <f>IF($J1421="","",INDEX(EV_ID,$J1421))</f>
        <v/>
      </c>
      <c r="D1421" s="106">
        <f>IF($J1421="","",INDEX(EV_Class,$J1421))</f>
        <v/>
      </c>
      <c r="E1421" s="106">
        <f>IF($J1421="","",INDEX(EV_Type,$J1421))</f>
        <v/>
      </c>
      <c r="F1421" s="106">
        <f>IF($J1421="","",INDEX(EV_Cum,$J1421))</f>
        <v/>
      </c>
      <c r="G1421" s="106">
        <f>IF($J1421="","",INDEX(LevelLabels,MATCH(F1421,LevelValues,1)))</f>
        <v/>
      </c>
      <c r="H1421" s="106">
        <f>IF($J1421="","",IFERROR(INDEX(Stu_ContactReq,MATCH(C1421,Stu_ID,0)),""))</f>
        <v/>
      </c>
      <c r="I1421" s="107">
        <f>IF($J1421="","",IFERROR(INDEX(Stu_Notes,MATCH(C1421,Stu_ID,0)),""))</f>
        <v/>
      </c>
      <c r="J1421" s="40">
        <f>IF(1416&gt;$B$3,"",IFERROR(MATCH(1416-1,EV_Seq,1)+1,1))</f>
        <v/>
      </c>
    </row>
    <row r="1422">
      <c r="A1422" s="105">
        <f>IF($J1422="","",INDEX(EV_Date,$J1422))</f>
        <v/>
      </c>
      <c r="B1422" s="78">
        <f>IF($J1422="","",INDEX(EV_Name,$J1422))</f>
        <v/>
      </c>
      <c r="C1422" s="106">
        <f>IF($J1422="","",INDEX(EV_ID,$J1422))</f>
        <v/>
      </c>
      <c r="D1422" s="106">
        <f>IF($J1422="","",INDEX(EV_Class,$J1422))</f>
        <v/>
      </c>
      <c r="E1422" s="106">
        <f>IF($J1422="","",INDEX(EV_Type,$J1422))</f>
        <v/>
      </c>
      <c r="F1422" s="106">
        <f>IF($J1422="","",INDEX(EV_Cum,$J1422))</f>
        <v/>
      </c>
      <c r="G1422" s="106">
        <f>IF($J1422="","",INDEX(LevelLabels,MATCH(F1422,LevelValues,1)))</f>
        <v/>
      </c>
      <c r="H1422" s="106">
        <f>IF($J1422="","",IFERROR(INDEX(Stu_ContactReq,MATCH(C1422,Stu_ID,0)),""))</f>
        <v/>
      </c>
      <c r="I1422" s="107">
        <f>IF($J1422="","",IFERROR(INDEX(Stu_Notes,MATCH(C1422,Stu_ID,0)),""))</f>
        <v/>
      </c>
      <c r="J1422" s="40">
        <f>IF(1417&gt;$B$3,"",IFERROR(MATCH(1417-1,EV_Seq,1)+1,1))</f>
        <v/>
      </c>
    </row>
    <row r="1423">
      <c r="A1423" s="105">
        <f>IF($J1423="","",INDEX(EV_Date,$J1423))</f>
        <v/>
      </c>
      <c r="B1423" s="78">
        <f>IF($J1423="","",INDEX(EV_Name,$J1423))</f>
        <v/>
      </c>
      <c r="C1423" s="106">
        <f>IF($J1423="","",INDEX(EV_ID,$J1423))</f>
        <v/>
      </c>
      <c r="D1423" s="106">
        <f>IF($J1423="","",INDEX(EV_Class,$J1423))</f>
        <v/>
      </c>
      <c r="E1423" s="106">
        <f>IF($J1423="","",INDEX(EV_Type,$J1423))</f>
        <v/>
      </c>
      <c r="F1423" s="106">
        <f>IF($J1423="","",INDEX(EV_Cum,$J1423))</f>
        <v/>
      </c>
      <c r="G1423" s="106">
        <f>IF($J1423="","",INDEX(LevelLabels,MATCH(F1423,LevelValues,1)))</f>
        <v/>
      </c>
      <c r="H1423" s="106">
        <f>IF($J1423="","",IFERROR(INDEX(Stu_ContactReq,MATCH(C1423,Stu_ID,0)),""))</f>
        <v/>
      </c>
      <c r="I1423" s="107">
        <f>IF($J1423="","",IFERROR(INDEX(Stu_Notes,MATCH(C1423,Stu_ID,0)),""))</f>
        <v/>
      </c>
      <c r="J1423" s="40">
        <f>IF(1418&gt;$B$3,"",IFERROR(MATCH(1418-1,EV_Seq,1)+1,1))</f>
        <v/>
      </c>
    </row>
    <row r="1424">
      <c r="A1424" s="105">
        <f>IF($J1424="","",INDEX(EV_Date,$J1424))</f>
        <v/>
      </c>
      <c r="B1424" s="78">
        <f>IF($J1424="","",INDEX(EV_Name,$J1424))</f>
        <v/>
      </c>
      <c r="C1424" s="106">
        <f>IF($J1424="","",INDEX(EV_ID,$J1424))</f>
        <v/>
      </c>
      <c r="D1424" s="106">
        <f>IF($J1424="","",INDEX(EV_Class,$J1424))</f>
        <v/>
      </c>
      <c r="E1424" s="106">
        <f>IF($J1424="","",INDEX(EV_Type,$J1424))</f>
        <v/>
      </c>
      <c r="F1424" s="106">
        <f>IF($J1424="","",INDEX(EV_Cum,$J1424))</f>
        <v/>
      </c>
      <c r="G1424" s="106">
        <f>IF($J1424="","",INDEX(LevelLabels,MATCH(F1424,LevelValues,1)))</f>
        <v/>
      </c>
      <c r="H1424" s="106">
        <f>IF($J1424="","",IFERROR(INDEX(Stu_ContactReq,MATCH(C1424,Stu_ID,0)),""))</f>
        <v/>
      </c>
      <c r="I1424" s="107">
        <f>IF($J1424="","",IFERROR(INDEX(Stu_Notes,MATCH(C1424,Stu_ID,0)),""))</f>
        <v/>
      </c>
      <c r="J1424" s="40">
        <f>IF(1419&gt;$B$3,"",IFERROR(MATCH(1419-1,EV_Seq,1)+1,1))</f>
        <v/>
      </c>
    </row>
    <row r="1425">
      <c r="A1425" s="105">
        <f>IF($J1425="","",INDEX(EV_Date,$J1425))</f>
        <v/>
      </c>
      <c r="B1425" s="78">
        <f>IF($J1425="","",INDEX(EV_Name,$J1425))</f>
        <v/>
      </c>
      <c r="C1425" s="106">
        <f>IF($J1425="","",INDEX(EV_ID,$J1425))</f>
        <v/>
      </c>
      <c r="D1425" s="106">
        <f>IF($J1425="","",INDEX(EV_Class,$J1425))</f>
        <v/>
      </c>
      <c r="E1425" s="106">
        <f>IF($J1425="","",INDEX(EV_Type,$J1425))</f>
        <v/>
      </c>
      <c r="F1425" s="106">
        <f>IF($J1425="","",INDEX(EV_Cum,$J1425))</f>
        <v/>
      </c>
      <c r="G1425" s="106">
        <f>IF($J1425="","",INDEX(LevelLabels,MATCH(F1425,LevelValues,1)))</f>
        <v/>
      </c>
      <c r="H1425" s="106">
        <f>IF($J1425="","",IFERROR(INDEX(Stu_ContactReq,MATCH(C1425,Stu_ID,0)),""))</f>
        <v/>
      </c>
      <c r="I1425" s="107">
        <f>IF($J1425="","",IFERROR(INDEX(Stu_Notes,MATCH(C1425,Stu_ID,0)),""))</f>
        <v/>
      </c>
      <c r="J1425" s="40">
        <f>IF(1420&gt;$B$3,"",IFERROR(MATCH(1420-1,EV_Seq,1)+1,1))</f>
        <v/>
      </c>
    </row>
    <row r="1426">
      <c r="A1426" s="105">
        <f>IF($J1426="","",INDEX(EV_Date,$J1426))</f>
        <v/>
      </c>
      <c r="B1426" s="78">
        <f>IF($J1426="","",INDEX(EV_Name,$J1426))</f>
        <v/>
      </c>
      <c r="C1426" s="106">
        <f>IF($J1426="","",INDEX(EV_ID,$J1426))</f>
        <v/>
      </c>
      <c r="D1426" s="106">
        <f>IF($J1426="","",INDEX(EV_Class,$J1426))</f>
        <v/>
      </c>
      <c r="E1426" s="106">
        <f>IF($J1426="","",INDEX(EV_Type,$J1426))</f>
        <v/>
      </c>
      <c r="F1426" s="106">
        <f>IF($J1426="","",INDEX(EV_Cum,$J1426))</f>
        <v/>
      </c>
      <c r="G1426" s="106">
        <f>IF($J1426="","",INDEX(LevelLabels,MATCH(F1426,LevelValues,1)))</f>
        <v/>
      </c>
      <c r="H1426" s="106">
        <f>IF($J1426="","",IFERROR(INDEX(Stu_ContactReq,MATCH(C1426,Stu_ID,0)),""))</f>
        <v/>
      </c>
      <c r="I1426" s="107">
        <f>IF($J1426="","",IFERROR(INDEX(Stu_Notes,MATCH(C1426,Stu_ID,0)),""))</f>
        <v/>
      </c>
      <c r="J1426" s="40">
        <f>IF(1421&gt;$B$3,"",IFERROR(MATCH(1421-1,EV_Seq,1)+1,1))</f>
        <v/>
      </c>
    </row>
    <row r="1427">
      <c r="A1427" s="105">
        <f>IF($J1427="","",INDEX(EV_Date,$J1427))</f>
        <v/>
      </c>
      <c r="B1427" s="78">
        <f>IF($J1427="","",INDEX(EV_Name,$J1427))</f>
        <v/>
      </c>
      <c r="C1427" s="106">
        <f>IF($J1427="","",INDEX(EV_ID,$J1427))</f>
        <v/>
      </c>
      <c r="D1427" s="106">
        <f>IF($J1427="","",INDEX(EV_Class,$J1427))</f>
        <v/>
      </c>
      <c r="E1427" s="106">
        <f>IF($J1427="","",INDEX(EV_Type,$J1427))</f>
        <v/>
      </c>
      <c r="F1427" s="106">
        <f>IF($J1427="","",INDEX(EV_Cum,$J1427))</f>
        <v/>
      </c>
      <c r="G1427" s="106">
        <f>IF($J1427="","",INDEX(LevelLabels,MATCH(F1427,LevelValues,1)))</f>
        <v/>
      </c>
      <c r="H1427" s="106">
        <f>IF($J1427="","",IFERROR(INDEX(Stu_ContactReq,MATCH(C1427,Stu_ID,0)),""))</f>
        <v/>
      </c>
      <c r="I1427" s="107">
        <f>IF($J1427="","",IFERROR(INDEX(Stu_Notes,MATCH(C1427,Stu_ID,0)),""))</f>
        <v/>
      </c>
      <c r="J1427" s="40">
        <f>IF(1422&gt;$B$3,"",IFERROR(MATCH(1422-1,EV_Seq,1)+1,1))</f>
        <v/>
      </c>
    </row>
    <row r="1428">
      <c r="A1428" s="105">
        <f>IF($J1428="","",INDEX(EV_Date,$J1428))</f>
        <v/>
      </c>
      <c r="B1428" s="78">
        <f>IF($J1428="","",INDEX(EV_Name,$J1428))</f>
        <v/>
      </c>
      <c r="C1428" s="106">
        <f>IF($J1428="","",INDEX(EV_ID,$J1428))</f>
        <v/>
      </c>
      <c r="D1428" s="106">
        <f>IF($J1428="","",INDEX(EV_Class,$J1428))</f>
        <v/>
      </c>
      <c r="E1428" s="106">
        <f>IF($J1428="","",INDEX(EV_Type,$J1428))</f>
        <v/>
      </c>
      <c r="F1428" s="106">
        <f>IF($J1428="","",INDEX(EV_Cum,$J1428))</f>
        <v/>
      </c>
      <c r="G1428" s="106">
        <f>IF($J1428="","",INDEX(LevelLabels,MATCH(F1428,LevelValues,1)))</f>
        <v/>
      </c>
      <c r="H1428" s="106">
        <f>IF($J1428="","",IFERROR(INDEX(Stu_ContactReq,MATCH(C1428,Stu_ID,0)),""))</f>
        <v/>
      </c>
      <c r="I1428" s="107">
        <f>IF($J1428="","",IFERROR(INDEX(Stu_Notes,MATCH(C1428,Stu_ID,0)),""))</f>
        <v/>
      </c>
      <c r="J1428" s="40">
        <f>IF(1423&gt;$B$3,"",IFERROR(MATCH(1423-1,EV_Seq,1)+1,1))</f>
        <v/>
      </c>
    </row>
    <row r="1429">
      <c r="A1429" s="105">
        <f>IF($J1429="","",INDEX(EV_Date,$J1429))</f>
        <v/>
      </c>
      <c r="B1429" s="78">
        <f>IF($J1429="","",INDEX(EV_Name,$J1429))</f>
        <v/>
      </c>
      <c r="C1429" s="106">
        <f>IF($J1429="","",INDEX(EV_ID,$J1429))</f>
        <v/>
      </c>
      <c r="D1429" s="106">
        <f>IF($J1429="","",INDEX(EV_Class,$J1429))</f>
        <v/>
      </c>
      <c r="E1429" s="106">
        <f>IF($J1429="","",INDEX(EV_Type,$J1429))</f>
        <v/>
      </c>
      <c r="F1429" s="106">
        <f>IF($J1429="","",INDEX(EV_Cum,$J1429))</f>
        <v/>
      </c>
      <c r="G1429" s="106">
        <f>IF($J1429="","",INDEX(LevelLabels,MATCH(F1429,LevelValues,1)))</f>
        <v/>
      </c>
      <c r="H1429" s="106">
        <f>IF($J1429="","",IFERROR(INDEX(Stu_ContactReq,MATCH(C1429,Stu_ID,0)),""))</f>
        <v/>
      </c>
      <c r="I1429" s="107">
        <f>IF($J1429="","",IFERROR(INDEX(Stu_Notes,MATCH(C1429,Stu_ID,0)),""))</f>
        <v/>
      </c>
      <c r="J1429" s="40">
        <f>IF(1424&gt;$B$3,"",IFERROR(MATCH(1424-1,EV_Seq,1)+1,1))</f>
        <v/>
      </c>
    </row>
    <row r="1430">
      <c r="A1430" s="105">
        <f>IF($J1430="","",INDEX(EV_Date,$J1430))</f>
        <v/>
      </c>
      <c r="B1430" s="78">
        <f>IF($J1430="","",INDEX(EV_Name,$J1430))</f>
        <v/>
      </c>
      <c r="C1430" s="106">
        <f>IF($J1430="","",INDEX(EV_ID,$J1430))</f>
        <v/>
      </c>
      <c r="D1430" s="106">
        <f>IF($J1430="","",INDEX(EV_Class,$J1430))</f>
        <v/>
      </c>
      <c r="E1430" s="106">
        <f>IF($J1430="","",INDEX(EV_Type,$J1430))</f>
        <v/>
      </c>
      <c r="F1430" s="106">
        <f>IF($J1430="","",INDEX(EV_Cum,$J1430))</f>
        <v/>
      </c>
      <c r="G1430" s="106">
        <f>IF($J1430="","",INDEX(LevelLabels,MATCH(F1430,LevelValues,1)))</f>
        <v/>
      </c>
      <c r="H1430" s="106">
        <f>IF($J1430="","",IFERROR(INDEX(Stu_ContactReq,MATCH(C1430,Stu_ID,0)),""))</f>
        <v/>
      </c>
      <c r="I1430" s="107">
        <f>IF($J1430="","",IFERROR(INDEX(Stu_Notes,MATCH(C1430,Stu_ID,0)),""))</f>
        <v/>
      </c>
      <c r="J1430" s="40">
        <f>IF(1425&gt;$B$3,"",IFERROR(MATCH(1425-1,EV_Seq,1)+1,1))</f>
        <v/>
      </c>
    </row>
    <row r="1431">
      <c r="A1431" s="105">
        <f>IF($J1431="","",INDEX(EV_Date,$J1431))</f>
        <v/>
      </c>
      <c r="B1431" s="78">
        <f>IF($J1431="","",INDEX(EV_Name,$J1431))</f>
        <v/>
      </c>
      <c r="C1431" s="106">
        <f>IF($J1431="","",INDEX(EV_ID,$J1431))</f>
        <v/>
      </c>
      <c r="D1431" s="106">
        <f>IF($J1431="","",INDEX(EV_Class,$J1431))</f>
        <v/>
      </c>
      <c r="E1431" s="106">
        <f>IF($J1431="","",INDEX(EV_Type,$J1431))</f>
        <v/>
      </c>
      <c r="F1431" s="106">
        <f>IF($J1431="","",INDEX(EV_Cum,$J1431))</f>
        <v/>
      </c>
      <c r="G1431" s="106">
        <f>IF($J1431="","",INDEX(LevelLabels,MATCH(F1431,LevelValues,1)))</f>
        <v/>
      </c>
      <c r="H1431" s="106">
        <f>IF($J1431="","",IFERROR(INDEX(Stu_ContactReq,MATCH(C1431,Stu_ID,0)),""))</f>
        <v/>
      </c>
      <c r="I1431" s="107">
        <f>IF($J1431="","",IFERROR(INDEX(Stu_Notes,MATCH(C1431,Stu_ID,0)),""))</f>
        <v/>
      </c>
      <c r="J1431" s="40">
        <f>IF(1426&gt;$B$3,"",IFERROR(MATCH(1426-1,EV_Seq,1)+1,1))</f>
        <v/>
      </c>
    </row>
    <row r="1432">
      <c r="A1432" s="105">
        <f>IF($J1432="","",INDEX(EV_Date,$J1432))</f>
        <v/>
      </c>
      <c r="B1432" s="78">
        <f>IF($J1432="","",INDEX(EV_Name,$J1432))</f>
        <v/>
      </c>
      <c r="C1432" s="106">
        <f>IF($J1432="","",INDEX(EV_ID,$J1432))</f>
        <v/>
      </c>
      <c r="D1432" s="106">
        <f>IF($J1432="","",INDEX(EV_Class,$J1432))</f>
        <v/>
      </c>
      <c r="E1432" s="106">
        <f>IF($J1432="","",INDEX(EV_Type,$J1432))</f>
        <v/>
      </c>
      <c r="F1432" s="106">
        <f>IF($J1432="","",INDEX(EV_Cum,$J1432))</f>
        <v/>
      </c>
      <c r="G1432" s="106">
        <f>IF($J1432="","",INDEX(LevelLabels,MATCH(F1432,LevelValues,1)))</f>
        <v/>
      </c>
      <c r="H1432" s="106">
        <f>IF($J1432="","",IFERROR(INDEX(Stu_ContactReq,MATCH(C1432,Stu_ID,0)),""))</f>
        <v/>
      </c>
      <c r="I1432" s="107">
        <f>IF($J1432="","",IFERROR(INDEX(Stu_Notes,MATCH(C1432,Stu_ID,0)),""))</f>
        <v/>
      </c>
      <c r="J1432" s="40">
        <f>IF(1427&gt;$B$3,"",IFERROR(MATCH(1427-1,EV_Seq,1)+1,1))</f>
        <v/>
      </c>
    </row>
    <row r="1433">
      <c r="A1433" s="105">
        <f>IF($J1433="","",INDEX(EV_Date,$J1433))</f>
        <v/>
      </c>
      <c r="B1433" s="78">
        <f>IF($J1433="","",INDEX(EV_Name,$J1433))</f>
        <v/>
      </c>
      <c r="C1433" s="106">
        <f>IF($J1433="","",INDEX(EV_ID,$J1433))</f>
        <v/>
      </c>
      <c r="D1433" s="106">
        <f>IF($J1433="","",INDEX(EV_Class,$J1433))</f>
        <v/>
      </c>
      <c r="E1433" s="106">
        <f>IF($J1433="","",INDEX(EV_Type,$J1433))</f>
        <v/>
      </c>
      <c r="F1433" s="106">
        <f>IF($J1433="","",INDEX(EV_Cum,$J1433))</f>
        <v/>
      </c>
      <c r="G1433" s="106">
        <f>IF($J1433="","",INDEX(LevelLabels,MATCH(F1433,LevelValues,1)))</f>
        <v/>
      </c>
      <c r="H1433" s="106">
        <f>IF($J1433="","",IFERROR(INDEX(Stu_ContactReq,MATCH(C1433,Stu_ID,0)),""))</f>
        <v/>
      </c>
      <c r="I1433" s="107">
        <f>IF($J1433="","",IFERROR(INDEX(Stu_Notes,MATCH(C1433,Stu_ID,0)),""))</f>
        <v/>
      </c>
      <c r="J1433" s="40">
        <f>IF(1428&gt;$B$3,"",IFERROR(MATCH(1428-1,EV_Seq,1)+1,1))</f>
        <v/>
      </c>
    </row>
    <row r="1434">
      <c r="A1434" s="105">
        <f>IF($J1434="","",INDEX(EV_Date,$J1434))</f>
        <v/>
      </c>
      <c r="B1434" s="78">
        <f>IF($J1434="","",INDEX(EV_Name,$J1434))</f>
        <v/>
      </c>
      <c r="C1434" s="106">
        <f>IF($J1434="","",INDEX(EV_ID,$J1434))</f>
        <v/>
      </c>
      <c r="D1434" s="106">
        <f>IF($J1434="","",INDEX(EV_Class,$J1434))</f>
        <v/>
      </c>
      <c r="E1434" s="106">
        <f>IF($J1434="","",INDEX(EV_Type,$J1434))</f>
        <v/>
      </c>
      <c r="F1434" s="106">
        <f>IF($J1434="","",INDEX(EV_Cum,$J1434))</f>
        <v/>
      </c>
      <c r="G1434" s="106">
        <f>IF($J1434="","",INDEX(LevelLabels,MATCH(F1434,LevelValues,1)))</f>
        <v/>
      </c>
      <c r="H1434" s="106">
        <f>IF($J1434="","",IFERROR(INDEX(Stu_ContactReq,MATCH(C1434,Stu_ID,0)),""))</f>
        <v/>
      </c>
      <c r="I1434" s="107">
        <f>IF($J1434="","",IFERROR(INDEX(Stu_Notes,MATCH(C1434,Stu_ID,0)),""))</f>
        <v/>
      </c>
      <c r="J1434" s="40">
        <f>IF(1429&gt;$B$3,"",IFERROR(MATCH(1429-1,EV_Seq,1)+1,1))</f>
        <v/>
      </c>
    </row>
    <row r="1435">
      <c r="A1435" s="105">
        <f>IF($J1435="","",INDEX(EV_Date,$J1435))</f>
        <v/>
      </c>
      <c r="B1435" s="78">
        <f>IF($J1435="","",INDEX(EV_Name,$J1435))</f>
        <v/>
      </c>
      <c r="C1435" s="106">
        <f>IF($J1435="","",INDEX(EV_ID,$J1435))</f>
        <v/>
      </c>
      <c r="D1435" s="106">
        <f>IF($J1435="","",INDEX(EV_Class,$J1435))</f>
        <v/>
      </c>
      <c r="E1435" s="106">
        <f>IF($J1435="","",INDEX(EV_Type,$J1435))</f>
        <v/>
      </c>
      <c r="F1435" s="106">
        <f>IF($J1435="","",INDEX(EV_Cum,$J1435))</f>
        <v/>
      </c>
      <c r="G1435" s="106">
        <f>IF($J1435="","",INDEX(LevelLabels,MATCH(F1435,LevelValues,1)))</f>
        <v/>
      </c>
      <c r="H1435" s="106">
        <f>IF($J1435="","",IFERROR(INDEX(Stu_ContactReq,MATCH(C1435,Stu_ID,0)),""))</f>
        <v/>
      </c>
      <c r="I1435" s="107">
        <f>IF($J1435="","",IFERROR(INDEX(Stu_Notes,MATCH(C1435,Stu_ID,0)),""))</f>
        <v/>
      </c>
      <c r="J1435" s="40">
        <f>IF(1430&gt;$B$3,"",IFERROR(MATCH(1430-1,EV_Seq,1)+1,1))</f>
        <v/>
      </c>
    </row>
    <row r="1436">
      <c r="A1436" s="105">
        <f>IF($J1436="","",INDEX(EV_Date,$J1436))</f>
        <v/>
      </c>
      <c r="B1436" s="78">
        <f>IF($J1436="","",INDEX(EV_Name,$J1436))</f>
        <v/>
      </c>
      <c r="C1436" s="106">
        <f>IF($J1436="","",INDEX(EV_ID,$J1436))</f>
        <v/>
      </c>
      <c r="D1436" s="106">
        <f>IF($J1436="","",INDEX(EV_Class,$J1436))</f>
        <v/>
      </c>
      <c r="E1436" s="106">
        <f>IF($J1436="","",INDEX(EV_Type,$J1436))</f>
        <v/>
      </c>
      <c r="F1436" s="106">
        <f>IF($J1436="","",INDEX(EV_Cum,$J1436))</f>
        <v/>
      </c>
      <c r="G1436" s="106">
        <f>IF($J1436="","",INDEX(LevelLabels,MATCH(F1436,LevelValues,1)))</f>
        <v/>
      </c>
      <c r="H1436" s="106">
        <f>IF($J1436="","",IFERROR(INDEX(Stu_ContactReq,MATCH(C1436,Stu_ID,0)),""))</f>
        <v/>
      </c>
      <c r="I1436" s="107">
        <f>IF($J1436="","",IFERROR(INDEX(Stu_Notes,MATCH(C1436,Stu_ID,0)),""))</f>
        <v/>
      </c>
      <c r="J1436" s="40">
        <f>IF(1431&gt;$B$3,"",IFERROR(MATCH(1431-1,EV_Seq,1)+1,1))</f>
        <v/>
      </c>
    </row>
    <row r="1437">
      <c r="A1437" s="105">
        <f>IF($J1437="","",INDEX(EV_Date,$J1437))</f>
        <v/>
      </c>
      <c r="B1437" s="78">
        <f>IF($J1437="","",INDEX(EV_Name,$J1437))</f>
        <v/>
      </c>
      <c r="C1437" s="106">
        <f>IF($J1437="","",INDEX(EV_ID,$J1437))</f>
        <v/>
      </c>
      <c r="D1437" s="106">
        <f>IF($J1437="","",INDEX(EV_Class,$J1437))</f>
        <v/>
      </c>
      <c r="E1437" s="106">
        <f>IF($J1437="","",INDEX(EV_Type,$J1437))</f>
        <v/>
      </c>
      <c r="F1437" s="106">
        <f>IF($J1437="","",INDEX(EV_Cum,$J1437))</f>
        <v/>
      </c>
      <c r="G1437" s="106">
        <f>IF($J1437="","",INDEX(LevelLabels,MATCH(F1437,LevelValues,1)))</f>
        <v/>
      </c>
      <c r="H1437" s="106">
        <f>IF($J1437="","",IFERROR(INDEX(Stu_ContactReq,MATCH(C1437,Stu_ID,0)),""))</f>
        <v/>
      </c>
      <c r="I1437" s="107">
        <f>IF($J1437="","",IFERROR(INDEX(Stu_Notes,MATCH(C1437,Stu_ID,0)),""))</f>
        <v/>
      </c>
      <c r="J1437" s="40">
        <f>IF(1432&gt;$B$3,"",IFERROR(MATCH(1432-1,EV_Seq,1)+1,1))</f>
        <v/>
      </c>
    </row>
    <row r="1438">
      <c r="A1438" s="105">
        <f>IF($J1438="","",INDEX(EV_Date,$J1438))</f>
        <v/>
      </c>
      <c r="B1438" s="78">
        <f>IF($J1438="","",INDEX(EV_Name,$J1438))</f>
        <v/>
      </c>
      <c r="C1438" s="106">
        <f>IF($J1438="","",INDEX(EV_ID,$J1438))</f>
        <v/>
      </c>
      <c r="D1438" s="106">
        <f>IF($J1438="","",INDEX(EV_Class,$J1438))</f>
        <v/>
      </c>
      <c r="E1438" s="106">
        <f>IF($J1438="","",INDEX(EV_Type,$J1438))</f>
        <v/>
      </c>
      <c r="F1438" s="106">
        <f>IF($J1438="","",INDEX(EV_Cum,$J1438))</f>
        <v/>
      </c>
      <c r="G1438" s="106">
        <f>IF($J1438="","",INDEX(LevelLabels,MATCH(F1438,LevelValues,1)))</f>
        <v/>
      </c>
      <c r="H1438" s="106">
        <f>IF($J1438="","",IFERROR(INDEX(Stu_ContactReq,MATCH(C1438,Stu_ID,0)),""))</f>
        <v/>
      </c>
      <c r="I1438" s="107">
        <f>IF($J1438="","",IFERROR(INDEX(Stu_Notes,MATCH(C1438,Stu_ID,0)),""))</f>
        <v/>
      </c>
      <c r="J1438" s="40">
        <f>IF(1433&gt;$B$3,"",IFERROR(MATCH(1433-1,EV_Seq,1)+1,1))</f>
        <v/>
      </c>
    </row>
    <row r="1439">
      <c r="A1439" s="105">
        <f>IF($J1439="","",INDEX(EV_Date,$J1439))</f>
        <v/>
      </c>
      <c r="B1439" s="78">
        <f>IF($J1439="","",INDEX(EV_Name,$J1439))</f>
        <v/>
      </c>
      <c r="C1439" s="106">
        <f>IF($J1439="","",INDEX(EV_ID,$J1439))</f>
        <v/>
      </c>
      <c r="D1439" s="106">
        <f>IF($J1439="","",INDEX(EV_Class,$J1439))</f>
        <v/>
      </c>
      <c r="E1439" s="106">
        <f>IF($J1439="","",INDEX(EV_Type,$J1439))</f>
        <v/>
      </c>
      <c r="F1439" s="106">
        <f>IF($J1439="","",INDEX(EV_Cum,$J1439))</f>
        <v/>
      </c>
      <c r="G1439" s="106">
        <f>IF($J1439="","",INDEX(LevelLabels,MATCH(F1439,LevelValues,1)))</f>
        <v/>
      </c>
      <c r="H1439" s="106">
        <f>IF($J1439="","",IFERROR(INDEX(Stu_ContactReq,MATCH(C1439,Stu_ID,0)),""))</f>
        <v/>
      </c>
      <c r="I1439" s="107">
        <f>IF($J1439="","",IFERROR(INDEX(Stu_Notes,MATCH(C1439,Stu_ID,0)),""))</f>
        <v/>
      </c>
      <c r="J1439" s="40">
        <f>IF(1434&gt;$B$3,"",IFERROR(MATCH(1434-1,EV_Seq,1)+1,1))</f>
        <v/>
      </c>
    </row>
    <row r="1440">
      <c r="A1440" s="105">
        <f>IF($J1440="","",INDEX(EV_Date,$J1440))</f>
        <v/>
      </c>
      <c r="B1440" s="78">
        <f>IF($J1440="","",INDEX(EV_Name,$J1440))</f>
        <v/>
      </c>
      <c r="C1440" s="106">
        <f>IF($J1440="","",INDEX(EV_ID,$J1440))</f>
        <v/>
      </c>
      <c r="D1440" s="106">
        <f>IF($J1440="","",INDEX(EV_Class,$J1440))</f>
        <v/>
      </c>
      <c r="E1440" s="106">
        <f>IF($J1440="","",INDEX(EV_Type,$J1440))</f>
        <v/>
      </c>
      <c r="F1440" s="106">
        <f>IF($J1440="","",INDEX(EV_Cum,$J1440))</f>
        <v/>
      </c>
      <c r="G1440" s="106">
        <f>IF($J1440="","",INDEX(LevelLabels,MATCH(F1440,LevelValues,1)))</f>
        <v/>
      </c>
      <c r="H1440" s="106">
        <f>IF($J1440="","",IFERROR(INDEX(Stu_ContactReq,MATCH(C1440,Stu_ID,0)),""))</f>
        <v/>
      </c>
      <c r="I1440" s="107">
        <f>IF($J1440="","",IFERROR(INDEX(Stu_Notes,MATCH(C1440,Stu_ID,0)),""))</f>
        <v/>
      </c>
      <c r="J1440" s="40">
        <f>IF(1435&gt;$B$3,"",IFERROR(MATCH(1435-1,EV_Seq,1)+1,1))</f>
        <v/>
      </c>
    </row>
    <row r="1441">
      <c r="A1441" s="105">
        <f>IF($J1441="","",INDEX(EV_Date,$J1441))</f>
        <v/>
      </c>
      <c r="B1441" s="78">
        <f>IF($J1441="","",INDEX(EV_Name,$J1441))</f>
        <v/>
      </c>
      <c r="C1441" s="106">
        <f>IF($J1441="","",INDEX(EV_ID,$J1441))</f>
        <v/>
      </c>
      <c r="D1441" s="106">
        <f>IF($J1441="","",INDEX(EV_Class,$J1441))</f>
        <v/>
      </c>
      <c r="E1441" s="106">
        <f>IF($J1441="","",INDEX(EV_Type,$J1441))</f>
        <v/>
      </c>
      <c r="F1441" s="106">
        <f>IF($J1441="","",INDEX(EV_Cum,$J1441))</f>
        <v/>
      </c>
      <c r="G1441" s="106">
        <f>IF($J1441="","",INDEX(LevelLabels,MATCH(F1441,LevelValues,1)))</f>
        <v/>
      </c>
      <c r="H1441" s="106">
        <f>IF($J1441="","",IFERROR(INDEX(Stu_ContactReq,MATCH(C1441,Stu_ID,0)),""))</f>
        <v/>
      </c>
      <c r="I1441" s="107">
        <f>IF($J1441="","",IFERROR(INDEX(Stu_Notes,MATCH(C1441,Stu_ID,0)),""))</f>
        <v/>
      </c>
      <c r="J1441" s="40">
        <f>IF(1436&gt;$B$3,"",IFERROR(MATCH(1436-1,EV_Seq,1)+1,1))</f>
        <v/>
      </c>
    </row>
    <row r="1442">
      <c r="A1442" s="105">
        <f>IF($J1442="","",INDEX(EV_Date,$J1442))</f>
        <v/>
      </c>
      <c r="B1442" s="78">
        <f>IF($J1442="","",INDEX(EV_Name,$J1442))</f>
        <v/>
      </c>
      <c r="C1442" s="106">
        <f>IF($J1442="","",INDEX(EV_ID,$J1442))</f>
        <v/>
      </c>
      <c r="D1442" s="106">
        <f>IF($J1442="","",INDEX(EV_Class,$J1442))</f>
        <v/>
      </c>
      <c r="E1442" s="106">
        <f>IF($J1442="","",INDEX(EV_Type,$J1442))</f>
        <v/>
      </c>
      <c r="F1442" s="106">
        <f>IF($J1442="","",INDEX(EV_Cum,$J1442))</f>
        <v/>
      </c>
      <c r="G1442" s="106">
        <f>IF($J1442="","",INDEX(LevelLabels,MATCH(F1442,LevelValues,1)))</f>
        <v/>
      </c>
      <c r="H1442" s="106">
        <f>IF($J1442="","",IFERROR(INDEX(Stu_ContactReq,MATCH(C1442,Stu_ID,0)),""))</f>
        <v/>
      </c>
      <c r="I1442" s="107">
        <f>IF($J1442="","",IFERROR(INDEX(Stu_Notes,MATCH(C1442,Stu_ID,0)),""))</f>
        <v/>
      </c>
      <c r="J1442" s="40">
        <f>IF(1437&gt;$B$3,"",IFERROR(MATCH(1437-1,EV_Seq,1)+1,1))</f>
        <v/>
      </c>
    </row>
    <row r="1443">
      <c r="A1443" s="105">
        <f>IF($J1443="","",INDEX(EV_Date,$J1443))</f>
        <v/>
      </c>
      <c r="B1443" s="78">
        <f>IF($J1443="","",INDEX(EV_Name,$J1443))</f>
        <v/>
      </c>
      <c r="C1443" s="106">
        <f>IF($J1443="","",INDEX(EV_ID,$J1443))</f>
        <v/>
      </c>
      <c r="D1443" s="106">
        <f>IF($J1443="","",INDEX(EV_Class,$J1443))</f>
        <v/>
      </c>
      <c r="E1443" s="106">
        <f>IF($J1443="","",INDEX(EV_Type,$J1443))</f>
        <v/>
      </c>
      <c r="F1443" s="106">
        <f>IF($J1443="","",INDEX(EV_Cum,$J1443))</f>
        <v/>
      </c>
      <c r="G1443" s="106">
        <f>IF($J1443="","",INDEX(LevelLabels,MATCH(F1443,LevelValues,1)))</f>
        <v/>
      </c>
      <c r="H1443" s="106">
        <f>IF($J1443="","",IFERROR(INDEX(Stu_ContactReq,MATCH(C1443,Stu_ID,0)),""))</f>
        <v/>
      </c>
      <c r="I1443" s="107">
        <f>IF($J1443="","",IFERROR(INDEX(Stu_Notes,MATCH(C1443,Stu_ID,0)),""))</f>
        <v/>
      </c>
      <c r="J1443" s="40">
        <f>IF(1438&gt;$B$3,"",IFERROR(MATCH(1438-1,EV_Seq,1)+1,1))</f>
        <v/>
      </c>
    </row>
    <row r="1444">
      <c r="A1444" s="105">
        <f>IF($J1444="","",INDEX(EV_Date,$J1444))</f>
        <v/>
      </c>
      <c r="B1444" s="78">
        <f>IF($J1444="","",INDEX(EV_Name,$J1444))</f>
        <v/>
      </c>
      <c r="C1444" s="106">
        <f>IF($J1444="","",INDEX(EV_ID,$J1444))</f>
        <v/>
      </c>
      <c r="D1444" s="106">
        <f>IF($J1444="","",INDEX(EV_Class,$J1444))</f>
        <v/>
      </c>
      <c r="E1444" s="106">
        <f>IF($J1444="","",INDEX(EV_Type,$J1444))</f>
        <v/>
      </c>
      <c r="F1444" s="106">
        <f>IF($J1444="","",INDEX(EV_Cum,$J1444))</f>
        <v/>
      </c>
      <c r="G1444" s="106">
        <f>IF($J1444="","",INDEX(LevelLabels,MATCH(F1444,LevelValues,1)))</f>
        <v/>
      </c>
      <c r="H1444" s="106">
        <f>IF($J1444="","",IFERROR(INDEX(Stu_ContactReq,MATCH(C1444,Stu_ID,0)),""))</f>
        <v/>
      </c>
      <c r="I1444" s="107">
        <f>IF($J1444="","",IFERROR(INDEX(Stu_Notes,MATCH(C1444,Stu_ID,0)),""))</f>
        <v/>
      </c>
      <c r="J1444" s="40">
        <f>IF(1439&gt;$B$3,"",IFERROR(MATCH(1439-1,EV_Seq,1)+1,1))</f>
        <v/>
      </c>
    </row>
    <row r="1445">
      <c r="A1445" s="105">
        <f>IF($J1445="","",INDEX(EV_Date,$J1445))</f>
        <v/>
      </c>
      <c r="B1445" s="78">
        <f>IF($J1445="","",INDEX(EV_Name,$J1445))</f>
        <v/>
      </c>
      <c r="C1445" s="106">
        <f>IF($J1445="","",INDEX(EV_ID,$J1445))</f>
        <v/>
      </c>
      <c r="D1445" s="106">
        <f>IF($J1445="","",INDEX(EV_Class,$J1445))</f>
        <v/>
      </c>
      <c r="E1445" s="106">
        <f>IF($J1445="","",INDEX(EV_Type,$J1445))</f>
        <v/>
      </c>
      <c r="F1445" s="106">
        <f>IF($J1445="","",INDEX(EV_Cum,$J1445))</f>
        <v/>
      </c>
      <c r="G1445" s="106">
        <f>IF($J1445="","",INDEX(LevelLabels,MATCH(F1445,LevelValues,1)))</f>
        <v/>
      </c>
      <c r="H1445" s="106">
        <f>IF($J1445="","",IFERROR(INDEX(Stu_ContactReq,MATCH(C1445,Stu_ID,0)),""))</f>
        <v/>
      </c>
      <c r="I1445" s="107">
        <f>IF($J1445="","",IFERROR(INDEX(Stu_Notes,MATCH(C1445,Stu_ID,0)),""))</f>
        <v/>
      </c>
      <c r="J1445" s="40">
        <f>IF(1440&gt;$B$3,"",IFERROR(MATCH(1440-1,EV_Seq,1)+1,1))</f>
        <v/>
      </c>
    </row>
    <row r="1446">
      <c r="A1446" s="105">
        <f>IF($J1446="","",INDEX(EV_Date,$J1446))</f>
        <v/>
      </c>
      <c r="B1446" s="78">
        <f>IF($J1446="","",INDEX(EV_Name,$J1446))</f>
        <v/>
      </c>
      <c r="C1446" s="106">
        <f>IF($J1446="","",INDEX(EV_ID,$J1446))</f>
        <v/>
      </c>
      <c r="D1446" s="106">
        <f>IF($J1446="","",INDEX(EV_Class,$J1446))</f>
        <v/>
      </c>
      <c r="E1446" s="106">
        <f>IF($J1446="","",INDEX(EV_Type,$J1446))</f>
        <v/>
      </c>
      <c r="F1446" s="106">
        <f>IF($J1446="","",INDEX(EV_Cum,$J1446))</f>
        <v/>
      </c>
      <c r="G1446" s="106">
        <f>IF($J1446="","",INDEX(LevelLabels,MATCH(F1446,LevelValues,1)))</f>
        <v/>
      </c>
      <c r="H1446" s="106">
        <f>IF($J1446="","",IFERROR(INDEX(Stu_ContactReq,MATCH(C1446,Stu_ID,0)),""))</f>
        <v/>
      </c>
      <c r="I1446" s="107">
        <f>IF($J1446="","",IFERROR(INDEX(Stu_Notes,MATCH(C1446,Stu_ID,0)),""))</f>
        <v/>
      </c>
      <c r="J1446" s="40">
        <f>IF(1441&gt;$B$3,"",IFERROR(MATCH(1441-1,EV_Seq,1)+1,1))</f>
        <v/>
      </c>
    </row>
    <row r="1447">
      <c r="A1447" s="105">
        <f>IF($J1447="","",INDEX(EV_Date,$J1447))</f>
        <v/>
      </c>
      <c r="B1447" s="78">
        <f>IF($J1447="","",INDEX(EV_Name,$J1447))</f>
        <v/>
      </c>
      <c r="C1447" s="106">
        <f>IF($J1447="","",INDEX(EV_ID,$J1447))</f>
        <v/>
      </c>
      <c r="D1447" s="106">
        <f>IF($J1447="","",INDEX(EV_Class,$J1447))</f>
        <v/>
      </c>
      <c r="E1447" s="106">
        <f>IF($J1447="","",INDEX(EV_Type,$J1447))</f>
        <v/>
      </c>
      <c r="F1447" s="106">
        <f>IF($J1447="","",INDEX(EV_Cum,$J1447))</f>
        <v/>
      </c>
      <c r="G1447" s="106">
        <f>IF($J1447="","",INDEX(LevelLabels,MATCH(F1447,LevelValues,1)))</f>
        <v/>
      </c>
      <c r="H1447" s="106">
        <f>IF($J1447="","",IFERROR(INDEX(Stu_ContactReq,MATCH(C1447,Stu_ID,0)),""))</f>
        <v/>
      </c>
      <c r="I1447" s="107">
        <f>IF($J1447="","",IFERROR(INDEX(Stu_Notes,MATCH(C1447,Stu_ID,0)),""))</f>
        <v/>
      </c>
      <c r="J1447" s="40">
        <f>IF(1442&gt;$B$3,"",IFERROR(MATCH(1442-1,EV_Seq,1)+1,1))</f>
        <v/>
      </c>
    </row>
    <row r="1448">
      <c r="A1448" s="105">
        <f>IF($J1448="","",INDEX(EV_Date,$J1448))</f>
        <v/>
      </c>
      <c r="B1448" s="78">
        <f>IF($J1448="","",INDEX(EV_Name,$J1448))</f>
        <v/>
      </c>
      <c r="C1448" s="106">
        <f>IF($J1448="","",INDEX(EV_ID,$J1448))</f>
        <v/>
      </c>
      <c r="D1448" s="106">
        <f>IF($J1448="","",INDEX(EV_Class,$J1448))</f>
        <v/>
      </c>
      <c r="E1448" s="106">
        <f>IF($J1448="","",INDEX(EV_Type,$J1448))</f>
        <v/>
      </c>
      <c r="F1448" s="106">
        <f>IF($J1448="","",INDEX(EV_Cum,$J1448))</f>
        <v/>
      </c>
      <c r="G1448" s="106">
        <f>IF($J1448="","",INDEX(LevelLabels,MATCH(F1448,LevelValues,1)))</f>
        <v/>
      </c>
      <c r="H1448" s="106">
        <f>IF($J1448="","",IFERROR(INDEX(Stu_ContactReq,MATCH(C1448,Stu_ID,0)),""))</f>
        <v/>
      </c>
      <c r="I1448" s="107">
        <f>IF($J1448="","",IFERROR(INDEX(Stu_Notes,MATCH(C1448,Stu_ID,0)),""))</f>
        <v/>
      </c>
      <c r="J1448" s="40">
        <f>IF(1443&gt;$B$3,"",IFERROR(MATCH(1443-1,EV_Seq,1)+1,1))</f>
        <v/>
      </c>
    </row>
    <row r="1449">
      <c r="A1449" s="105">
        <f>IF($J1449="","",INDEX(EV_Date,$J1449))</f>
        <v/>
      </c>
      <c r="B1449" s="78">
        <f>IF($J1449="","",INDEX(EV_Name,$J1449))</f>
        <v/>
      </c>
      <c r="C1449" s="106">
        <f>IF($J1449="","",INDEX(EV_ID,$J1449))</f>
        <v/>
      </c>
      <c r="D1449" s="106">
        <f>IF($J1449="","",INDEX(EV_Class,$J1449))</f>
        <v/>
      </c>
      <c r="E1449" s="106">
        <f>IF($J1449="","",INDEX(EV_Type,$J1449))</f>
        <v/>
      </c>
      <c r="F1449" s="106">
        <f>IF($J1449="","",INDEX(EV_Cum,$J1449))</f>
        <v/>
      </c>
      <c r="G1449" s="106">
        <f>IF($J1449="","",INDEX(LevelLabels,MATCH(F1449,LevelValues,1)))</f>
        <v/>
      </c>
      <c r="H1449" s="106">
        <f>IF($J1449="","",IFERROR(INDEX(Stu_ContactReq,MATCH(C1449,Stu_ID,0)),""))</f>
        <v/>
      </c>
      <c r="I1449" s="107">
        <f>IF($J1449="","",IFERROR(INDEX(Stu_Notes,MATCH(C1449,Stu_ID,0)),""))</f>
        <v/>
      </c>
      <c r="J1449" s="40">
        <f>IF(1444&gt;$B$3,"",IFERROR(MATCH(1444-1,EV_Seq,1)+1,1))</f>
        <v/>
      </c>
    </row>
    <row r="1450">
      <c r="A1450" s="105">
        <f>IF($J1450="","",INDEX(EV_Date,$J1450))</f>
        <v/>
      </c>
      <c r="B1450" s="78">
        <f>IF($J1450="","",INDEX(EV_Name,$J1450))</f>
        <v/>
      </c>
      <c r="C1450" s="106">
        <f>IF($J1450="","",INDEX(EV_ID,$J1450))</f>
        <v/>
      </c>
      <c r="D1450" s="106">
        <f>IF($J1450="","",INDEX(EV_Class,$J1450))</f>
        <v/>
      </c>
      <c r="E1450" s="106">
        <f>IF($J1450="","",INDEX(EV_Type,$J1450))</f>
        <v/>
      </c>
      <c r="F1450" s="106">
        <f>IF($J1450="","",INDEX(EV_Cum,$J1450))</f>
        <v/>
      </c>
      <c r="G1450" s="106">
        <f>IF($J1450="","",INDEX(LevelLabels,MATCH(F1450,LevelValues,1)))</f>
        <v/>
      </c>
      <c r="H1450" s="106">
        <f>IF($J1450="","",IFERROR(INDEX(Stu_ContactReq,MATCH(C1450,Stu_ID,0)),""))</f>
        <v/>
      </c>
      <c r="I1450" s="107">
        <f>IF($J1450="","",IFERROR(INDEX(Stu_Notes,MATCH(C1450,Stu_ID,0)),""))</f>
        <v/>
      </c>
      <c r="J1450" s="40">
        <f>IF(1445&gt;$B$3,"",IFERROR(MATCH(1445-1,EV_Seq,1)+1,1))</f>
        <v/>
      </c>
    </row>
    <row r="1451">
      <c r="A1451" s="105">
        <f>IF($J1451="","",INDEX(EV_Date,$J1451))</f>
        <v/>
      </c>
      <c r="B1451" s="78">
        <f>IF($J1451="","",INDEX(EV_Name,$J1451))</f>
        <v/>
      </c>
      <c r="C1451" s="106">
        <f>IF($J1451="","",INDEX(EV_ID,$J1451))</f>
        <v/>
      </c>
      <c r="D1451" s="106">
        <f>IF($J1451="","",INDEX(EV_Class,$J1451))</f>
        <v/>
      </c>
      <c r="E1451" s="106">
        <f>IF($J1451="","",INDEX(EV_Type,$J1451))</f>
        <v/>
      </c>
      <c r="F1451" s="106">
        <f>IF($J1451="","",INDEX(EV_Cum,$J1451))</f>
        <v/>
      </c>
      <c r="G1451" s="106">
        <f>IF($J1451="","",INDEX(LevelLabels,MATCH(F1451,LevelValues,1)))</f>
        <v/>
      </c>
      <c r="H1451" s="106">
        <f>IF($J1451="","",IFERROR(INDEX(Stu_ContactReq,MATCH(C1451,Stu_ID,0)),""))</f>
        <v/>
      </c>
      <c r="I1451" s="107">
        <f>IF($J1451="","",IFERROR(INDEX(Stu_Notes,MATCH(C1451,Stu_ID,0)),""))</f>
        <v/>
      </c>
      <c r="J1451" s="40">
        <f>IF(1446&gt;$B$3,"",IFERROR(MATCH(1446-1,EV_Seq,1)+1,1))</f>
        <v/>
      </c>
    </row>
    <row r="1452">
      <c r="A1452" s="105">
        <f>IF($J1452="","",INDEX(EV_Date,$J1452))</f>
        <v/>
      </c>
      <c r="B1452" s="78">
        <f>IF($J1452="","",INDEX(EV_Name,$J1452))</f>
        <v/>
      </c>
      <c r="C1452" s="106">
        <f>IF($J1452="","",INDEX(EV_ID,$J1452))</f>
        <v/>
      </c>
      <c r="D1452" s="106">
        <f>IF($J1452="","",INDEX(EV_Class,$J1452))</f>
        <v/>
      </c>
      <c r="E1452" s="106">
        <f>IF($J1452="","",INDEX(EV_Type,$J1452))</f>
        <v/>
      </c>
      <c r="F1452" s="106">
        <f>IF($J1452="","",INDEX(EV_Cum,$J1452))</f>
        <v/>
      </c>
      <c r="G1452" s="106">
        <f>IF($J1452="","",INDEX(LevelLabels,MATCH(F1452,LevelValues,1)))</f>
        <v/>
      </c>
      <c r="H1452" s="106">
        <f>IF($J1452="","",IFERROR(INDEX(Stu_ContactReq,MATCH(C1452,Stu_ID,0)),""))</f>
        <v/>
      </c>
      <c r="I1452" s="107">
        <f>IF($J1452="","",IFERROR(INDEX(Stu_Notes,MATCH(C1452,Stu_ID,0)),""))</f>
        <v/>
      </c>
      <c r="J1452" s="40">
        <f>IF(1447&gt;$B$3,"",IFERROR(MATCH(1447-1,EV_Seq,1)+1,1))</f>
        <v/>
      </c>
    </row>
    <row r="1453">
      <c r="A1453" s="105">
        <f>IF($J1453="","",INDEX(EV_Date,$J1453))</f>
        <v/>
      </c>
      <c r="B1453" s="78">
        <f>IF($J1453="","",INDEX(EV_Name,$J1453))</f>
        <v/>
      </c>
      <c r="C1453" s="106">
        <f>IF($J1453="","",INDEX(EV_ID,$J1453))</f>
        <v/>
      </c>
      <c r="D1453" s="106">
        <f>IF($J1453="","",INDEX(EV_Class,$J1453))</f>
        <v/>
      </c>
      <c r="E1453" s="106">
        <f>IF($J1453="","",INDEX(EV_Type,$J1453))</f>
        <v/>
      </c>
      <c r="F1453" s="106">
        <f>IF($J1453="","",INDEX(EV_Cum,$J1453))</f>
        <v/>
      </c>
      <c r="G1453" s="106">
        <f>IF($J1453="","",INDEX(LevelLabels,MATCH(F1453,LevelValues,1)))</f>
        <v/>
      </c>
      <c r="H1453" s="106">
        <f>IF($J1453="","",IFERROR(INDEX(Stu_ContactReq,MATCH(C1453,Stu_ID,0)),""))</f>
        <v/>
      </c>
      <c r="I1453" s="107">
        <f>IF($J1453="","",IFERROR(INDEX(Stu_Notes,MATCH(C1453,Stu_ID,0)),""))</f>
        <v/>
      </c>
      <c r="J1453" s="40">
        <f>IF(1448&gt;$B$3,"",IFERROR(MATCH(1448-1,EV_Seq,1)+1,1))</f>
        <v/>
      </c>
    </row>
    <row r="1454">
      <c r="A1454" s="105">
        <f>IF($J1454="","",INDEX(EV_Date,$J1454))</f>
        <v/>
      </c>
      <c r="B1454" s="78">
        <f>IF($J1454="","",INDEX(EV_Name,$J1454))</f>
        <v/>
      </c>
      <c r="C1454" s="106">
        <f>IF($J1454="","",INDEX(EV_ID,$J1454))</f>
        <v/>
      </c>
      <c r="D1454" s="106">
        <f>IF($J1454="","",INDEX(EV_Class,$J1454))</f>
        <v/>
      </c>
      <c r="E1454" s="106">
        <f>IF($J1454="","",INDEX(EV_Type,$J1454))</f>
        <v/>
      </c>
      <c r="F1454" s="106">
        <f>IF($J1454="","",INDEX(EV_Cum,$J1454))</f>
        <v/>
      </c>
      <c r="G1454" s="106">
        <f>IF($J1454="","",INDEX(LevelLabels,MATCH(F1454,LevelValues,1)))</f>
        <v/>
      </c>
      <c r="H1454" s="106">
        <f>IF($J1454="","",IFERROR(INDEX(Stu_ContactReq,MATCH(C1454,Stu_ID,0)),""))</f>
        <v/>
      </c>
      <c r="I1454" s="107">
        <f>IF($J1454="","",IFERROR(INDEX(Stu_Notes,MATCH(C1454,Stu_ID,0)),""))</f>
        <v/>
      </c>
      <c r="J1454" s="40">
        <f>IF(1449&gt;$B$3,"",IFERROR(MATCH(1449-1,EV_Seq,1)+1,1))</f>
        <v/>
      </c>
    </row>
    <row r="1455">
      <c r="A1455" s="105">
        <f>IF($J1455="","",INDEX(EV_Date,$J1455))</f>
        <v/>
      </c>
      <c r="B1455" s="78">
        <f>IF($J1455="","",INDEX(EV_Name,$J1455))</f>
        <v/>
      </c>
      <c r="C1455" s="106">
        <f>IF($J1455="","",INDEX(EV_ID,$J1455))</f>
        <v/>
      </c>
      <c r="D1455" s="106">
        <f>IF($J1455="","",INDEX(EV_Class,$J1455))</f>
        <v/>
      </c>
      <c r="E1455" s="106">
        <f>IF($J1455="","",INDEX(EV_Type,$J1455))</f>
        <v/>
      </c>
      <c r="F1455" s="106">
        <f>IF($J1455="","",INDEX(EV_Cum,$J1455))</f>
        <v/>
      </c>
      <c r="G1455" s="106">
        <f>IF($J1455="","",INDEX(LevelLabels,MATCH(F1455,LevelValues,1)))</f>
        <v/>
      </c>
      <c r="H1455" s="106">
        <f>IF($J1455="","",IFERROR(INDEX(Stu_ContactReq,MATCH(C1455,Stu_ID,0)),""))</f>
        <v/>
      </c>
      <c r="I1455" s="107">
        <f>IF($J1455="","",IFERROR(INDEX(Stu_Notes,MATCH(C1455,Stu_ID,0)),""))</f>
        <v/>
      </c>
      <c r="J1455" s="40">
        <f>IF(1450&gt;$B$3,"",IFERROR(MATCH(1450-1,EV_Seq,1)+1,1))</f>
        <v/>
      </c>
    </row>
    <row r="1456">
      <c r="A1456" s="105">
        <f>IF($J1456="","",INDEX(EV_Date,$J1456))</f>
        <v/>
      </c>
      <c r="B1456" s="78">
        <f>IF($J1456="","",INDEX(EV_Name,$J1456))</f>
        <v/>
      </c>
      <c r="C1456" s="106">
        <f>IF($J1456="","",INDEX(EV_ID,$J1456))</f>
        <v/>
      </c>
      <c r="D1456" s="106">
        <f>IF($J1456="","",INDEX(EV_Class,$J1456))</f>
        <v/>
      </c>
      <c r="E1456" s="106">
        <f>IF($J1456="","",INDEX(EV_Type,$J1456))</f>
        <v/>
      </c>
      <c r="F1456" s="106">
        <f>IF($J1456="","",INDEX(EV_Cum,$J1456))</f>
        <v/>
      </c>
      <c r="G1456" s="106">
        <f>IF($J1456="","",INDEX(LevelLabels,MATCH(F1456,LevelValues,1)))</f>
        <v/>
      </c>
      <c r="H1456" s="106">
        <f>IF($J1456="","",IFERROR(INDEX(Stu_ContactReq,MATCH(C1456,Stu_ID,0)),""))</f>
        <v/>
      </c>
      <c r="I1456" s="107">
        <f>IF($J1456="","",IFERROR(INDEX(Stu_Notes,MATCH(C1456,Stu_ID,0)),""))</f>
        <v/>
      </c>
      <c r="J1456" s="40">
        <f>IF(1451&gt;$B$3,"",IFERROR(MATCH(1451-1,EV_Seq,1)+1,1))</f>
        <v/>
      </c>
    </row>
    <row r="1457">
      <c r="A1457" s="105">
        <f>IF($J1457="","",INDEX(EV_Date,$J1457))</f>
        <v/>
      </c>
      <c r="B1457" s="78">
        <f>IF($J1457="","",INDEX(EV_Name,$J1457))</f>
        <v/>
      </c>
      <c r="C1457" s="106">
        <f>IF($J1457="","",INDEX(EV_ID,$J1457))</f>
        <v/>
      </c>
      <c r="D1457" s="106">
        <f>IF($J1457="","",INDEX(EV_Class,$J1457))</f>
        <v/>
      </c>
      <c r="E1457" s="106">
        <f>IF($J1457="","",INDEX(EV_Type,$J1457))</f>
        <v/>
      </c>
      <c r="F1457" s="106">
        <f>IF($J1457="","",INDEX(EV_Cum,$J1457))</f>
        <v/>
      </c>
      <c r="G1457" s="106">
        <f>IF($J1457="","",INDEX(LevelLabels,MATCH(F1457,LevelValues,1)))</f>
        <v/>
      </c>
      <c r="H1457" s="106">
        <f>IF($J1457="","",IFERROR(INDEX(Stu_ContactReq,MATCH(C1457,Stu_ID,0)),""))</f>
        <v/>
      </c>
      <c r="I1457" s="107">
        <f>IF($J1457="","",IFERROR(INDEX(Stu_Notes,MATCH(C1457,Stu_ID,0)),""))</f>
        <v/>
      </c>
      <c r="J1457" s="40">
        <f>IF(1452&gt;$B$3,"",IFERROR(MATCH(1452-1,EV_Seq,1)+1,1))</f>
        <v/>
      </c>
    </row>
    <row r="1458">
      <c r="A1458" s="105">
        <f>IF($J1458="","",INDEX(EV_Date,$J1458))</f>
        <v/>
      </c>
      <c r="B1458" s="78">
        <f>IF($J1458="","",INDEX(EV_Name,$J1458))</f>
        <v/>
      </c>
      <c r="C1458" s="106">
        <f>IF($J1458="","",INDEX(EV_ID,$J1458))</f>
        <v/>
      </c>
      <c r="D1458" s="106">
        <f>IF($J1458="","",INDEX(EV_Class,$J1458))</f>
        <v/>
      </c>
      <c r="E1458" s="106">
        <f>IF($J1458="","",INDEX(EV_Type,$J1458))</f>
        <v/>
      </c>
      <c r="F1458" s="106">
        <f>IF($J1458="","",INDEX(EV_Cum,$J1458))</f>
        <v/>
      </c>
      <c r="G1458" s="106">
        <f>IF($J1458="","",INDEX(LevelLabels,MATCH(F1458,LevelValues,1)))</f>
        <v/>
      </c>
      <c r="H1458" s="106">
        <f>IF($J1458="","",IFERROR(INDEX(Stu_ContactReq,MATCH(C1458,Stu_ID,0)),""))</f>
        <v/>
      </c>
      <c r="I1458" s="107">
        <f>IF($J1458="","",IFERROR(INDEX(Stu_Notes,MATCH(C1458,Stu_ID,0)),""))</f>
        <v/>
      </c>
      <c r="J1458" s="40">
        <f>IF(1453&gt;$B$3,"",IFERROR(MATCH(1453-1,EV_Seq,1)+1,1))</f>
        <v/>
      </c>
    </row>
    <row r="1459">
      <c r="A1459" s="105">
        <f>IF($J1459="","",INDEX(EV_Date,$J1459))</f>
        <v/>
      </c>
      <c r="B1459" s="78">
        <f>IF($J1459="","",INDEX(EV_Name,$J1459))</f>
        <v/>
      </c>
      <c r="C1459" s="106">
        <f>IF($J1459="","",INDEX(EV_ID,$J1459))</f>
        <v/>
      </c>
      <c r="D1459" s="106">
        <f>IF($J1459="","",INDEX(EV_Class,$J1459))</f>
        <v/>
      </c>
      <c r="E1459" s="106">
        <f>IF($J1459="","",INDEX(EV_Type,$J1459))</f>
        <v/>
      </c>
      <c r="F1459" s="106">
        <f>IF($J1459="","",INDEX(EV_Cum,$J1459))</f>
        <v/>
      </c>
      <c r="G1459" s="106">
        <f>IF($J1459="","",INDEX(LevelLabels,MATCH(F1459,LevelValues,1)))</f>
        <v/>
      </c>
      <c r="H1459" s="106">
        <f>IF($J1459="","",IFERROR(INDEX(Stu_ContactReq,MATCH(C1459,Stu_ID,0)),""))</f>
        <v/>
      </c>
      <c r="I1459" s="107">
        <f>IF($J1459="","",IFERROR(INDEX(Stu_Notes,MATCH(C1459,Stu_ID,0)),""))</f>
        <v/>
      </c>
      <c r="J1459" s="40">
        <f>IF(1454&gt;$B$3,"",IFERROR(MATCH(1454-1,EV_Seq,1)+1,1))</f>
        <v/>
      </c>
    </row>
    <row r="1460">
      <c r="A1460" s="105">
        <f>IF($J1460="","",INDEX(EV_Date,$J1460))</f>
        <v/>
      </c>
      <c r="B1460" s="78">
        <f>IF($J1460="","",INDEX(EV_Name,$J1460))</f>
        <v/>
      </c>
      <c r="C1460" s="106">
        <f>IF($J1460="","",INDEX(EV_ID,$J1460))</f>
        <v/>
      </c>
      <c r="D1460" s="106">
        <f>IF($J1460="","",INDEX(EV_Class,$J1460))</f>
        <v/>
      </c>
      <c r="E1460" s="106">
        <f>IF($J1460="","",INDEX(EV_Type,$J1460))</f>
        <v/>
      </c>
      <c r="F1460" s="106">
        <f>IF($J1460="","",INDEX(EV_Cum,$J1460))</f>
        <v/>
      </c>
      <c r="G1460" s="106">
        <f>IF($J1460="","",INDEX(LevelLabels,MATCH(F1460,LevelValues,1)))</f>
        <v/>
      </c>
      <c r="H1460" s="106">
        <f>IF($J1460="","",IFERROR(INDEX(Stu_ContactReq,MATCH(C1460,Stu_ID,0)),""))</f>
        <v/>
      </c>
      <c r="I1460" s="107">
        <f>IF($J1460="","",IFERROR(INDEX(Stu_Notes,MATCH(C1460,Stu_ID,0)),""))</f>
        <v/>
      </c>
      <c r="J1460" s="40">
        <f>IF(1455&gt;$B$3,"",IFERROR(MATCH(1455-1,EV_Seq,1)+1,1))</f>
        <v/>
      </c>
    </row>
    <row r="1461">
      <c r="A1461" s="105">
        <f>IF($J1461="","",INDEX(EV_Date,$J1461))</f>
        <v/>
      </c>
      <c r="B1461" s="78">
        <f>IF($J1461="","",INDEX(EV_Name,$J1461))</f>
        <v/>
      </c>
      <c r="C1461" s="106">
        <f>IF($J1461="","",INDEX(EV_ID,$J1461))</f>
        <v/>
      </c>
      <c r="D1461" s="106">
        <f>IF($J1461="","",INDEX(EV_Class,$J1461))</f>
        <v/>
      </c>
      <c r="E1461" s="106">
        <f>IF($J1461="","",INDEX(EV_Type,$J1461))</f>
        <v/>
      </c>
      <c r="F1461" s="106">
        <f>IF($J1461="","",INDEX(EV_Cum,$J1461))</f>
        <v/>
      </c>
      <c r="G1461" s="106">
        <f>IF($J1461="","",INDEX(LevelLabels,MATCH(F1461,LevelValues,1)))</f>
        <v/>
      </c>
      <c r="H1461" s="106">
        <f>IF($J1461="","",IFERROR(INDEX(Stu_ContactReq,MATCH(C1461,Stu_ID,0)),""))</f>
        <v/>
      </c>
      <c r="I1461" s="107">
        <f>IF($J1461="","",IFERROR(INDEX(Stu_Notes,MATCH(C1461,Stu_ID,0)),""))</f>
        <v/>
      </c>
      <c r="J1461" s="40">
        <f>IF(1456&gt;$B$3,"",IFERROR(MATCH(1456-1,EV_Seq,1)+1,1))</f>
        <v/>
      </c>
    </row>
    <row r="1462">
      <c r="A1462" s="105">
        <f>IF($J1462="","",INDEX(EV_Date,$J1462))</f>
        <v/>
      </c>
      <c r="B1462" s="78">
        <f>IF($J1462="","",INDEX(EV_Name,$J1462))</f>
        <v/>
      </c>
      <c r="C1462" s="106">
        <f>IF($J1462="","",INDEX(EV_ID,$J1462))</f>
        <v/>
      </c>
      <c r="D1462" s="106">
        <f>IF($J1462="","",INDEX(EV_Class,$J1462))</f>
        <v/>
      </c>
      <c r="E1462" s="106">
        <f>IF($J1462="","",INDEX(EV_Type,$J1462))</f>
        <v/>
      </c>
      <c r="F1462" s="106">
        <f>IF($J1462="","",INDEX(EV_Cum,$J1462))</f>
        <v/>
      </c>
      <c r="G1462" s="106">
        <f>IF($J1462="","",INDEX(LevelLabels,MATCH(F1462,LevelValues,1)))</f>
        <v/>
      </c>
      <c r="H1462" s="106">
        <f>IF($J1462="","",IFERROR(INDEX(Stu_ContactReq,MATCH(C1462,Stu_ID,0)),""))</f>
        <v/>
      </c>
      <c r="I1462" s="107">
        <f>IF($J1462="","",IFERROR(INDEX(Stu_Notes,MATCH(C1462,Stu_ID,0)),""))</f>
        <v/>
      </c>
      <c r="J1462" s="40">
        <f>IF(1457&gt;$B$3,"",IFERROR(MATCH(1457-1,EV_Seq,1)+1,1))</f>
        <v/>
      </c>
    </row>
    <row r="1463">
      <c r="A1463" s="105">
        <f>IF($J1463="","",INDEX(EV_Date,$J1463))</f>
        <v/>
      </c>
      <c r="B1463" s="78">
        <f>IF($J1463="","",INDEX(EV_Name,$J1463))</f>
        <v/>
      </c>
      <c r="C1463" s="106">
        <f>IF($J1463="","",INDEX(EV_ID,$J1463))</f>
        <v/>
      </c>
      <c r="D1463" s="106">
        <f>IF($J1463="","",INDEX(EV_Class,$J1463))</f>
        <v/>
      </c>
      <c r="E1463" s="106">
        <f>IF($J1463="","",INDEX(EV_Type,$J1463))</f>
        <v/>
      </c>
      <c r="F1463" s="106">
        <f>IF($J1463="","",INDEX(EV_Cum,$J1463))</f>
        <v/>
      </c>
      <c r="G1463" s="106">
        <f>IF($J1463="","",INDEX(LevelLabels,MATCH(F1463,LevelValues,1)))</f>
        <v/>
      </c>
      <c r="H1463" s="106">
        <f>IF($J1463="","",IFERROR(INDEX(Stu_ContactReq,MATCH(C1463,Stu_ID,0)),""))</f>
        <v/>
      </c>
      <c r="I1463" s="107">
        <f>IF($J1463="","",IFERROR(INDEX(Stu_Notes,MATCH(C1463,Stu_ID,0)),""))</f>
        <v/>
      </c>
      <c r="J1463" s="40">
        <f>IF(1458&gt;$B$3,"",IFERROR(MATCH(1458-1,EV_Seq,1)+1,1))</f>
        <v/>
      </c>
    </row>
    <row r="1464">
      <c r="A1464" s="105">
        <f>IF($J1464="","",INDEX(EV_Date,$J1464))</f>
        <v/>
      </c>
      <c r="B1464" s="78">
        <f>IF($J1464="","",INDEX(EV_Name,$J1464))</f>
        <v/>
      </c>
      <c r="C1464" s="106">
        <f>IF($J1464="","",INDEX(EV_ID,$J1464))</f>
        <v/>
      </c>
      <c r="D1464" s="106">
        <f>IF($J1464="","",INDEX(EV_Class,$J1464))</f>
        <v/>
      </c>
      <c r="E1464" s="106">
        <f>IF($J1464="","",INDEX(EV_Type,$J1464))</f>
        <v/>
      </c>
      <c r="F1464" s="106">
        <f>IF($J1464="","",INDEX(EV_Cum,$J1464))</f>
        <v/>
      </c>
      <c r="G1464" s="106">
        <f>IF($J1464="","",INDEX(LevelLabels,MATCH(F1464,LevelValues,1)))</f>
        <v/>
      </c>
      <c r="H1464" s="106">
        <f>IF($J1464="","",IFERROR(INDEX(Stu_ContactReq,MATCH(C1464,Stu_ID,0)),""))</f>
        <v/>
      </c>
      <c r="I1464" s="107">
        <f>IF($J1464="","",IFERROR(INDEX(Stu_Notes,MATCH(C1464,Stu_ID,0)),""))</f>
        <v/>
      </c>
      <c r="J1464" s="40">
        <f>IF(1459&gt;$B$3,"",IFERROR(MATCH(1459-1,EV_Seq,1)+1,1))</f>
        <v/>
      </c>
    </row>
    <row r="1465">
      <c r="A1465" s="105">
        <f>IF($J1465="","",INDEX(EV_Date,$J1465))</f>
        <v/>
      </c>
      <c r="B1465" s="78">
        <f>IF($J1465="","",INDEX(EV_Name,$J1465))</f>
        <v/>
      </c>
      <c r="C1465" s="106">
        <f>IF($J1465="","",INDEX(EV_ID,$J1465))</f>
        <v/>
      </c>
      <c r="D1465" s="106">
        <f>IF($J1465="","",INDEX(EV_Class,$J1465))</f>
        <v/>
      </c>
      <c r="E1465" s="106">
        <f>IF($J1465="","",INDEX(EV_Type,$J1465))</f>
        <v/>
      </c>
      <c r="F1465" s="106">
        <f>IF($J1465="","",INDEX(EV_Cum,$J1465))</f>
        <v/>
      </c>
      <c r="G1465" s="106">
        <f>IF($J1465="","",INDEX(LevelLabels,MATCH(F1465,LevelValues,1)))</f>
        <v/>
      </c>
      <c r="H1465" s="106">
        <f>IF($J1465="","",IFERROR(INDEX(Stu_ContactReq,MATCH(C1465,Stu_ID,0)),""))</f>
        <v/>
      </c>
      <c r="I1465" s="107">
        <f>IF($J1465="","",IFERROR(INDEX(Stu_Notes,MATCH(C1465,Stu_ID,0)),""))</f>
        <v/>
      </c>
      <c r="J1465" s="40">
        <f>IF(1460&gt;$B$3,"",IFERROR(MATCH(1460-1,EV_Seq,1)+1,1))</f>
        <v/>
      </c>
    </row>
    <row r="1466">
      <c r="A1466" s="105">
        <f>IF($J1466="","",INDEX(EV_Date,$J1466))</f>
        <v/>
      </c>
      <c r="B1466" s="78">
        <f>IF($J1466="","",INDEX(EV_Name,$J1466))</f>
        <v/>
      </c>
      <c r="C1466" s="106">
        <f>IF($J1466="","",INDEX(EV_ID,$J1466))</f>
        <v/>
      </c>
      <c r="D1466" s="106">
        <f>IF($J1466="","",INDEX(EV_Class,$J1466))</f>
        <v/>
      </c>
      <c r="E1466" s="106">
        <f>IF($J1466="","",INDEX(EV_Type,$J1466))</f>
        <v/>
      </c>
      <c r="F1466" s="106">
        <f>IF($J1466="","",INDEX(EV_Cum,$J1466))</f>
        <v/>
      </c>
      <c r="G1466" s="106">
        <f>IF($J1466="","",INDEX(LevelLabels,MATCH(F1466,LevelValues,1)))</f>
        <v/>
      </c>
      <c r="H1466" s="106">
        <f>IF($J1466="","",IFERROR(INDEX(Stu_ContactReq,MATCH(C1466,Stu_ID,0)),""))</f>
        <v/>
      </c>
      <c r="I1466" s="107">
        <f>IF($J1466="","",IFERROR(INDEX(Stu_Notes,MATCH(C1466,Stu_ID,0)),""))</f>
        <v/>
      </c>
      <c r="J1466" s="40">
        <f>IF(1461&gt;$B$3,"",IFERROR(MATCH(1461-1,EV_Seq,1)+1,1))</f>
        <v/>
      </c>
    </row>
    <row r="1467">
      <c r="A1467" s="105">
        <f>IF($J1467="","",INDEX(EV_Date,$J1467))</f>
        <v/>
      </c>
      <c r="B1467" s="78">
        <f>IF($J1467="","",INDEX(EV_Name,$J1467))</f>
        <v/>
      </c>
      <c r="C1467" s="106">
        <f>IF($J1467="","",INDEX(EV_ID,$J1467))</f>
        <v/>
      </c>
      <c r="D1467" s="106">
        <f>IF($J1467="","",INDEX(EV_Class,$J1467))</f>
        <v/>
      </c>
      <c r="E1467" s="106">
        <f>IF($J1467="","",INDEX(EV_Type,$J1467))</f>
        <v/>
      </c>
      <c r="F1467" s="106">
        <f>IF($J1467="","",INDEX(EV_Cum,$J1467))</f>
        <v/>
      </c>
      <c r="G1467" s="106">
        <f>IF($J1467="","",INDEX(LevelLabels,MATCH(F1467,LevelValues,1)))</f>
        <v/>
      </c>
      <c r="H1467" s="106">
        <f>IF($J1467="","",IFERROR(INDEX(Stu_ContactReq,MATCH(C1467,Stu_ID,0)),""))</f>
        <v/>
      </c>
      <c r="I1467" s="107">
        <f>IF($J1467="","",IFERROR(INDEX(Stu_Notes,MATCH(C1467,Stu_ID,0)),""))</f>
        <v/>
      </c>
      <c r="J1467" s="40">
        <f>IF(1462&gt;$B$3,"",IFERROR(MATCH(1462-1,EV_Seq,1)+1,1))</f>
        <v/>
      </c>
    </row>
    <row r="1468">
      <c r="A1468" s="105">
        <f>IF($J1468="","",INDEX(EV_Date,$J1468))</f>
        <v/>
      </c>
      <c r="B1468" s="78">
        <f>IF($J1468="","",INDEX(EV_Name,$J1468))</f>
        <v/>
      </c>
      <c r="C1468" s="106">
        <f>IF($J1468="","",INDEX(EV_ID,$J1468))</f>
        <v/>
      </c>
      <c r="D1468" s="106">
        <f>IF($J1468="","",INDEX(EV_Class,$J1468))</f>
        <v/>
      </c>
      <c r="E1468" s="106">
        <f>IF($J1468="","",INDEX(EV_Type,$J1468))</f>
        <v/>
      </c>
      <c r="F1468" s="106">
        <f>IF($J1468="","",INDEX(EV_Cum,$J1468))</f>
        <v/>
      </c>
      <c r="G1468" s="106">
        <f>IF($J1468="","",INDEX(LevelLabels,MATCH(F1468,LevelValues,1)))</f>
        <v/>
      </c>
      <c r="H1468" s="106">
        <f>IF($J1468="","",IFERROR(INDEX(Stu_ContactReq,MATCH(C1468,Stu_ID,0)),""))</f>
        <v/>
      </c>
      <c r="I1468" s="107">
        <f>IF($J1468="","",IFERROR(INDEX(Stu_Notes,MATCH(C1468,Stu_ID,0)),""))</f>
        <v/>
      </c>
      <c r="J1468" s="40">
        <f>IF(1463&gt;$B$3,"",IFERROR(MATCH(1463-1,EV_Seq,1)+1,1))</f>
        <v/>
      </c>
    </row>
    <row r="1469">
      <c r="A1469" s="105">
        <f>IF($J1469="","",INDEX(EV_Date,$J1469))</f>
        <v/>
      </c>
      <c r="B1469" s="78">
        <f>IF($J1469="","",INDEX(EV_Name,$J1469))</f>
        <v/>
      </c>
      <c r="C1469" s="106">
        <f>IF($J1469="","",INDEX(EV_ID,$J1469))</f>
        <v/>
      </c>
      <c r="D1469" s="106">
        <f>IF($J1469="","",INDEX(EV_Class,$J1469))</f>
        <v/>
      </c>
      <c r="E1469" s="106">
        <f>IF($J1469="","",INDEX(EV_Type,$J1469))</f>
        <v/>
      </c>
      <c r="F1469" s="106">
        <f>IF($J1469="","",INDEX(EV_Cum,$J1469))</f>
        <v/>
      </c>
      <c r="G1469" s="106">
        <f>IF($J1469="","",INDEX(LevelLabels,MATCH(F1469,LevelValues,1)))</f>
        <v/>
      </c>
      <c r="H1469" s="106">
        <f>IF($J1469="","",IFERROR(INDEX(Stu_ContactReq,MATCH(C1469,Stu_ID,0)),""))</f>
        <v/>
      </c>
      <c r="I1469" s="107">
        <f>IF($J1469="","",IFERROR(INDEX(Stu_Notes,MATCH(C1469,Stu_ID,0)),""))</f>
        <v/>
      </c>
      <c r="J1469" s="40">
        <f>IF(1464&gt;$B$3,"",IFERROR(MATCH(1464-1,EV_Seq,1)+1,1))</f>
        <v/>
      </c>
    </row>
    <row r="1470">
      <c r="A1470" s="105">
        <f>IF($J1470="","",INDEX(EV_Date,$J1470))</f>
        <v/>
      </c>
      <c r="B1470" s="78">
        <f>IF($J1470="","",INDEX(EV_Name,$J1470))</f>
        <v/>
      </c>
      <c r="C1470" s="106">
        <f>IF($J1470="","",INDEX(EV_ID,$J1470))</f>
        <v/>
      </c>
      <c r="D1470" s="106">
        <f>IF($J1470="","",INDEX(EV_Class,$J1470))</f>
        <v/>
      </c>
      <c r="E1470" s="106">
        <f>IF($J1470="","",INDEX(EV_Type,$J1470))</f>
        <v/>
      </c>
      <c r="F1470" s="106">
        <f>IF($J1470="","",INDEX(EV_Cum,$J1470))</f>
        <v/>
      </c>
      <c r="G1470" s="106">
        <f>IF($J1470="","",INDEX(LevelLabels,MATCH(F1470,LevelValues,1)))</f>
        <v/>
      </c>
      <c r="H1470" s="106">
        <f>IF($J1470="","",IFERROR(INDEX(Stu_ContactReq,MATCH(C1470,Stu_ID,0)),""))</f>
        <v/>
      </c>
      <c r="I1470" s="107">
        <f>IF($J1470="","",IFERROR(INDEX(Stu_Notes,MATCH(C1470,Stu_ID,0)),""))</f>
        <v/>
      </c>
      <c r="J1470" s="40">
        <f>IF(1465&gt;$B$3,"",IFERROR(MATCH(1465-1,EV_Seq,1)+1,1))</f>
        <v/>
      </c>
    </row>
    <row r="1471">
      <c r="A1471" s="105">
        <f>IF($J1471="","",INDEX(EV_Date,$J1471))</f>
        <v/>
      </c>
      <c r="B1471" s="78">
        <f>IF($J1471="","",INDEX(EV_Name,$J1471))</f>
        <v/>
      </c>
      <c r="C1471" s="106">
        <f>IF($J1471="","",INDEX(EV_ID,$J1471))</f>
        <v/>
      </c>
      <c r="D1471" s="106">
        <f>IF($J1471="","",INDEX(EV_Class,$J1471))</f>
        <v/>
      </c>
      <c r="E1471" s="106">
        <f>IF($J1471="","",INDEX(EV_Type,$J1471))</f>
        <v/>
      </c>
      <c r="F1471" s="106">
        <f>IF($J1471="","",INDEX(EV_Cum,$J1471))</f>
        <v/>
      </c>
      <c r="G1471" s="106">
        <f>IF($J1471="","",INDEX(LevelLabels,MATCH(F1471,LevelValues,1)))</f>
        <v/>
      </c>
      <c r="H1471" s="106">
        <f>IF($J1471="","",IFERROR(INDEX(Stu_ContactReq,MATCH(C1471,Stu_ID,0)),""))</f>
        <v/>
      </c>
      <c r="I1471" s="107">
        <f>IF($J1471="","",IFERROR(INDEX(Stu_Notes,MATCH(C1471,Stu_ID,0)),""))</f>
        <v/>
      </c>
      <c r="J1471" s="40">
        <f>IF(1466&gt;$B$3,"",IFERROR(MATCH(1466-1,EV_Seq,1)+1,1))</f>
        <v/>
      </c>
    </row>
    <row r="1472">
      <c r="A1472" s="105">
        <f>IF($J1472="","",INDEX(EV_Date,$J1472))</f>
        <v/>
      </c>
      <c r="B1472" s="78">
        <f>IF($J1472="","",INDEX(EV_Name,$J1472))</f>
        <v/>
      </c>
      <c r="C1472" s="106">
        <f>IF($J1472="","",INDEX(EV_ID,$J1472))</f>
        <v/>
      </c>
      <c r="D1472" s="106">
        <f>IF($J1472="","",INDEX(EV_Class,$J1472))</f>
        <v/>
      </c>
      <c r="E1472" s="106">
        <f>IF($J1472="","",INDEX(EV_Type,$J1472))</f>
        <v/>
      </c>
      <c r="F1472" s="106">
        <f>IF($J1472="","",INDEX(EV_Cum,$J1472))</f>
        <v/>
      </c>
      <c r="G1472" s="106">
        <f>IF($J1472="","",INDEX(LevelLabels,MATCH(F1472,LevelValues,1)))</f>
        <v/>
      </c>
      <c r="H1472" s="106">
        <f>IF($J1472="","",IFERROR(INDEX(Stu_ContactReq,MATCH(C1472,Stu_ID,0)),""))</f>
        <v/>
      </c>
      <c r="I1472" s="107">
        <f>IF($J1472="","",IFERROR(INDEX(Stu_Notes,MATCH(C1472,Stu_ID,0)),""))</f>
        <v/>
      </c>
      <c r="J1472" s="40">
        <f>IF(1467&gt;$B$3,"",IFERROR(MATCH(1467-1,EV_Seq,1)+1,1))</f>
        <v/>
      </c>
    </row>
    <row r="1473">
      <c r="A1473" s="105">
        <f>IF($J1473="","",INDEX(EV_Date,$J1473))</f>
        <v/>
      </c>
      <c r="B1473" s="78">
        <f>IF($J1473="","",INDEX(EV_Name,$J1473))</f>
        <v/>
      </c>
      <c r="C1473" s="106">
        <f>IF($J1473="","",INDEX(EV_ID,$J1473))</f>
        <v/>
      </c>
      <c r="D1473" s="106">
        <f>IF($J1473="","",INDEX(EV_Class,$J1473))</f>
        <v/>
      </c>
      <c r="E1473" s="106">
        <f>IF($J1473="","",INDEX(EV_Type,$J1473))</f>
        <v/>
      </c>
      <c r="F1473" s="106">
        <f>IF($J1473="","",INDEX(EV_Cum,$J1473))</f>
        <v/>
      </c>
      <c r="G1473" s="106">
        <f>IF($J1473="","",INDEX(LevelLabels,MATCH(F1473,LevelValues,1)))</f>
        <v/>
      </c>
      <c r="H1473" s="106">
        <f>IF($J1473="","",IFERROR(INDEX(Stu_ContactReq,MATCH(C1473,Stu_ID,0)),""))</f>
        <v/>
      </c>
      <c r="I1473" s="107">
        <f>IF($J1473="","",IFERROR(INDEX(Stu_Notes,MATCH(C1473,Stu_ID,0)),""))</f>
        <v/>
      </c>
      <c r="J1473" s="40">
        <f>IF(1468&gt;$B$3,"",IFERROR(MATCH(1468-1,EV_Seq,1)+1,1))</f>
        <v/>
      </c>
    </row>
    <row r="1474">
      <c r="A1474" s="105">
        <f>IF($J1474="","",INDEX(EV_Date,$J1474))</f>
        <v/>
      </c>
      <c r="B1474" s="78">
        <f>IF($J1474="","",INDEX(EV_Name,$J1474))</f>
        <v/>
      </c>
      <c r="C1474" s="106">
        <f>IF($J1474="","",INDEX(EV_ID,$J1474))</f>
        <v/>
      </c>
      <c r="D1474" s="106">
        <f>IF($J1474="","",INDEX(EV_Class,$J1474))</f>
        <v/>
      </c>
      <c r="E1474" s="106">
        <f>IF($J1474="","",INDEX(EV_Type,$J1474))</f>
        <v/>
      </c>
      <c r="F1474" s="106">
        <f>IF($J1474="","",INDEX(EV_Cum,$J1474))</f>
        <v/>
      </c>
      <c r="G1474" s="106">
        <f>IF($J1474="","",INDEX(LevelLabels,MATCH(F1474,LevelValues,1)))</f>
        <v/>
      </c>
      <c r="H1474" s="106">
        <f>IF($J1474="","",IFERROR(INDEX(Stu_ContactReq,MATCH(C1474,Stu_ID,0)),""))</f>
        <v/>
      </c>
      <c r="I1474" s="107">
        <f>IF($J1474="","",IFERROR(INDEX(Stu_Notes,MATCH(C1474,Stu_ID,0)),""))</f>
        <v/>
      </c>
      <c r="J1474" s="40">
        <f>IF(1469&gt;$B$3,"",IFERROR(MATCH(1469-1,EV_Seq,1)+1,1))</f>
        <v/>
      </c>
    </row>
    <row r="1475">
      <c r="A1475" s="105">
        <f>IF($J1475="","",INDEX(EV_Date,$J1475))</f>
        <v/>
      </c>
      <c r="B1475" s="78">
        <f>IF($J1475="","",INDEX(EV_Name,$J1475))</f>
        <v/>
      </c>
      <c r="C1475" s="106">
        <f>IF($J1475="","",INDEX(EV_ID,$J1475))</f>
        <v/>
      </c>
      <c r="D1475" s="106">
        <f>IF($J1475="","",INDEX(EV_Class,$J1475))</f>
        <v/>
      </c>
      <c r="E1475" s="106">
        <f>IF($J1475="","",INDEX(EV_Type,$J1475))</f>
        <v/>
      </c>
      <c r="F1475" s="106">
        <f>IF($J1475="","",INDEX(EV_Cum,$J1475))</f>
        <v/>
      </c>
      <c r="G1475" s="106">
        <f>IF($J1475="","",INDEX(LevelLabels,MATCH(F1475,LevelValues,1)))</f>
        <v/>
      </c>
      <c r="H1475" s="106">
        <f>IF($J1475="","",IFERROR(INDEX(Stu_ContactReq,MATCH(C1475,Stu_ID,0)),""))</f>
        <v/>
      </c>
      <c r="I1475" s="107">
        <f>IF($J1475="","",IFERROR(INDEX(Stu_Notes,MATCH(C1475,Stu_ID,0)),""))</f>
        <v/>
      </c>
      <c r="J1475" s="40">
        <f>IF(1470&gt;$B$3,"",IFERROR(MATCH(1470-1,EV_Seq,1)+1,1))</f>
        <v/>
      </c>
    </row>
    <row r="1476">
      <c r="A1476" s="105">
        <f>IF($J1476="","",INDEX(EV_Date,$J1476))</f>
        <v/>
      </c>
      <c r="B1476" s="78">
        <f>IF($J1476="","",INDEX(EV_Name,$J1476))</f>
        <v/>
      </c>
      <c r="C1476" s="106">
        <f>IF($J1476="","",INDEX(EV_ID,$J1476))</f>
        <v/>
      </c>
      <c r="D1476" s="106">
        <f>IF($J1476="","",INDEX(EV_Class,$J1476))</f>
        <v/>
      </c>
      <c r="E1476" s="106">
        <f>IF($J1476="","",INDEX(EV_Type,$J1476))</f>
        <v/>
      </c>
      <c r="F1476" s="106">
        <f>IF($J1476="","",INDEX(EV_Cum,$J1476))</f>
        <v/>
      </c>
      <c r="G1476" s="106">
        <f>IF($J1476="","",INDEX(LevelLabels,MATCH(F1476,LevelValues,1)))</f>
        <v/>
      </c>
      <c r="H1476" s="106">
        <f>IF($J1476="","",IFERROR(INDEX(Stu_ContactReq,MATCH(C1476,Stu_ID,0)),""))</f>
        <v/>
      </c>
      <c r="I1476" s="107">
        <f>IF($J1476="","",IFERROR(INDEX(Stu_Notes,MATCH(C1476,Stu_ID,0)),""))</f>
        <v/>
      </c>
      <c r="J1476" s="40">
        <f>IF(1471&gt;$B$3,"",IFERROR(MATCH(1471-1,EV_Seq,1)+1,1))</f>
        <v/>
      </c>
    </row>
    <row r="1477">
      <c r="A1477" s="105">
        <f>IF($J1477="","",INDEX(EV_Date,$J1477))</f>
        <v/>
      </c>
      <c r="B1477" s="78">
        <f>IF($J1477="","",INDEX(EV_Name,$J1477))</f>
        <v/>
      </c>
      <c r="C1477" s="106">
        <f>IF($J1477="","",INDEX(EV_ID,$J1477))</f>
        <v/>
      </c>
      <c r="D1477" s="106">
        <f>IF($J1477="","",INDEX(EV_Class,$J1477))</f>
        <v/>
      </c>
      <c r="E1477" s="106">
        <f>IF($J1477="","",INDEX(EV_Type,$J1477))</f>
        <v/>
      </c>
      <c r="F1477" s="106">
        <f>IF($J1477="","",INDEX(EV_Cum,$J1477))</f>
        <v/>
      </c>
      <c r="G1477" s="106">
        <f>IF($J1477="","",INDEX(LevelLabels,MATCH(F1477,LevelValues,1)))</f>
        <v/>
      </c>
      <c r="H1477" s="106">
        <f>IF($J1477="","",IFERROR(INDEX(Stu_ContactReq,MATCH(C1477,Stu_ID,0)),""))</f>
        <v/>
      </c>
      <c r="I1477" s="107">
        <f>IF($J1477="","",IFERROR(INDEX(Stu_Notes,MATCH(C1477,Stu_ID,0)),""))</f>
        <v/>
      </c>
      <c r="J1477" s="40">
        <f>IF(1472&gt;$B$3,"",IFERROR(MATCH(1472-1,EV_Seq,1)+1,1))</f>
        <v/>
      </c>
    </row>
    <row r="1478">
      <c r="A1478" s="105">
        <f>IF($J1478="","",INDEX(EV_Date,$J1478))</f>
        <v/>
      </c>
      <c r="B1478" s="78">
        <f>IF($J1478="","",INDEX(EV_Name,$J1478))</f>
        <v/>
      </c>
      <c r="C1478" s="106">
        <f>IF($J1478="","",INDEX(EV_ID,$J1478))</f>
        <v/>
      </c>
      <c r="D1478" s="106">
        <f>IF($J1478="","",INDEX(EV_Class,$J1478))</f>
        <v/>
      </c>
      <c r="E1478" s="106">
        <f>IF($J1478="","",INDEX(EV_Type,$J1478))</f>
        <v/>
      </c>
      <c r="F1478" s="106">
        <f>IF($J1478="","",INDEX(EV_Cum,$J1478))</f>
        <v/>
      </c>
      <c r="G1478" s="106">
        <f>IF($J1478="","",INDEX(LevelLabels,MATCH(F1478,LevelValues,1)))</f>
        <v/>
      </c>
      <c r="H1478" s="106">
        <f>IF($J1478="","",IFERROR(INDEX(Stu_ContactReq,MATCH(C1478,Stu_ID,0)),""))</f>
        <v/>
      </c>
      <c r="I1478" s="107">
        <f>IF($J1478="","",IFERROR(INDEX(Stu_Notes,MATCH(C1478,Stu_ID,0)),""))</f>
        <v/>
      </c>
      <c r="J1478" s="40">
        <f>IF(1473&gt;$B$3,"",IFERROR(MATCH(1473-1,EV_Seq,1)+1,1))</f>
        <v/>
      </c>
    </row>
    <row r="1479">
      <c r="A1479" s="105">
        <f>IF($J1479="","",INDEX(EV_Date,$J1479))</f>
        <v/>
      </c>
      <c r="B1479" s="78">
        <f>IF($J1479="","",INDEX(EV_Name,$J1479))</f>
        <v/>
      </c>
      <c r="C1479" s="106">
        <f>IF($J1479="","",INDEX(EV_ID,$J1479))</f>
        <v/>
      </c>
      <c r="D1479" s="106">
        <f>IF($J1479="","",INDEX(EV_Class,$J1479))</f>
        <v/>
      </c>
      <c r="E1479" s="106">
        <f>IF($J1479="","",INDEX(EV_Type,$J1479))</f>
        <v/>
      </c>
      <c r="F1479" s="106">
        <f>IF($J1479="","",INDEX(EV_Cum,$J1479))</f>
        <v/>
      </c>
      <c r="G1479" s="106">
        <f>IF($J1479="","",INDEX(LevelLabels,MATCH(F1479,LevelValues,1)))</f>
        <v/>
      </c>
      <c r="H1479" s="106">
        <f>IF($J1479="","",IFERROR(INDEX(Stu_ContactReq,MATCH(C1479,Stu_ID,0)),""))</f>
        <v/>
      </c>
      <c r="I1479" s="107">
        <f>IF($J1479="","",IFERROR(INDEX(Stu_Notes,MATCH(C1479,Stu_ID,0)),""))</f>
        <v/>
      </c>
      <c r="J1479" s="40">
        <f>IF(1474&gt;$B$3,"",IFERROR(MATCH(1474-1,EV_Seq,1)+1,1))</f>
        <v/>
      </c>
    </row>
    <row r="1480">
      <c r="A1480" s="105">
        <f>IF($J1480="","",INDEX(EV_Date,$J1480))</f>
        <v/>
      </c>
      <c r="B1480" s="78">
        <f>IF($J1480="","",INDEX(EV_Name,$J1480))</f>
        <v/>
      </c>
      <c r="C1480" s="106">
        <f>IF($J1480="","",INDEX(EV_ID,$J1480))</f>
        <v/>
      </c>
      <c r="D1480" s="106">
        <f>IF($J1480="","",INDEX(EV_Class,$J1480))</f>
        <v/>
      </c>
      <c r="E1480" s="106">
        <f>IF($J1480="","",INDEX(EV_Type,$J1480))</f>
        <v/>
      </c>
      <c r="F1480" s="106">
        <f>IF($J1480="","",INDEX(EV_Cum,$J1480))</f>
        <v/>
      </c>
      <c r="G1480" s="106">
        <f>IF($J1480="","",INDEX(LevelLabels,MATCH(F1480,LevelValues,1)))</f>
        <v/>
      </c>
      <c r="H1480" s="106">
        <f>IF($J1480="","",IFERROR(INDEX(Stu_ContactReq,MATCH(C1480,Stu_ID,0)),""))</f>
        <v/>
      </c>
      <c r="I1480" s="107">
        <f>IF($J1480="","",IFERROR(INDEX(Stu_Notes,MATCH(C1480,Stu_ID,0)),""))</f>
        <v/>
      </c>
      <c r="J1480" s="40">
        <f>IF(1475&gt;$B$3,"",IFERROR(MATCH(1475-1,EV_Seq,1)+1,1))</f>
        <v/>
      </c>
    </row>
    <row r="1481">
      <c r="A1481" s="105">
        <f>IF($J1481="","",INDEX(EV_Date,$J1481))</f>
        <v/>
      </c>
      <c r="B1481" s="78">
        <f>IF($J1481="","",INDEX(EV_Name,$J1481))</f>
        <v/>
      </c>
      <c r="C1481" s="106">
        <f>IF($J1481="","",INDEX(EV_ID,$J1481))</f>
        <v/>
      </c>
      <c r="D1481" s="106">
        <f>IF($J1481="","",INDEX(EV_Class,$J1481))</f>
        <v/>
      </c>
      <c r="E1481" s="106">
        <f>IF($J1481="","",INDEX(EV_Type,$J1481))</f>
        <v/>
      </c>
      <c r="F1481" s="106">
        <f>IF($J1481="","",INDEX(EV_Cum,$J1481))</f>
        <v/>
      </c>
      <c r="G1481" s="106">
        <f>IF($J1481="","",INDEX(LevelLabels,MATCH(F1481,LevelValues,1)))</f>
        <v/>
      </c>
      <c r="H1481" s="106">
        <f>IF($J1481="","",IFERROR(INDEX(Stu_ContactReq,MATCH(C1481,Stu_ID,0)),""))</f>
        <v/>
      </c>
      <c r="I1481" s="107">
        <f>IF($J1481="","",IFERROR(INDEX(Stu_Notes,MATCH(C1481,Stu_ID,0)),""))</f>
        <v/>
      </c>
      <c r="J1481" s="40">
        <f>IF(1476&gt;$B$3,"",IFERROR(MATCH(1476-1,EV_Seq,1)+1,1))</f>
        <v/>
      </c>
    </row>
    <row r="1482">
      <c r="A1482" s="105">
        <f>IF($J1482="","",INDEX(EV_Date,$J1482))</f>
        <v/>
      </c>
      <c r="B1482" s="78">
        <f>IF($J1482="","",INDEX(EV_Name,$J1482))</f>
        <v/>
      </c>
      <c r="C1482" s="106">
        <f>IF($J1482="","",INDEX(EV_ID,$J1482))</f>
        <v/>
      </c>
      <c r="D1482" s="106">
        <f>IF($J1482="","",INDEX(EV_Class,$J1482))</f>
        <v/>
      </c>
      <c r="E1482" s="106">
        <f>IF($J1482="","",INDEX(EV_Type,$J1482))</f>
        <v/>
      </c>
      <c r="F1482" s="106">
        <f>IF($J1482="","",INDEX(EV_Cum,$J1482))</f>
        <v/>
      </c>
      <c r="G1482" s="106">
        <f>IF($J1482="","",INDEX(LevelLabels,MATCH(F1482,LevelValues,1)))</f>
        <v/>
      </c>
      <c r="H1482" s="106">
        <f>IF($J1482="","",IFERROR(INDEX(Stu_ContactReq,MATCH(C1482,Stu_ID,0)),""))</f>
        <v/>
      </c>
      <c r="I1482" s="107">
        <f>IF($J1482="","",IFERROR(INDEX(Stu_Notes,MATCH(C1482,Stu_ID,0)),""))</f>
        <v/>
      </c>
      <c r="J1482" s="40">
        <f>IF(1477&gt;$B$3,"",IFERROR(MATCH(1477-1,EV_Seq,1)+1,1))</f>
        <v/>
      </c>
    </row>
    <row r="1483">
      <c r="A1483" s="105">
        <f>IF($J1483="","",INDEX(EV_Date,$J1483))</f>
        <v/>
      </c>
      <c r="B1483" s="78">
        <f>IF($J1483="","",INDEX(EV_Name,$J1483))</f>
        <v/>
      </c>
      <c r="C1483" s="106">
        <f>IF($J1483="","",INDEX(EV_ID,$J1483))</f>
        <v/>
      </c>
      <c r="D1483" s="106">
        <f>IF($J1483="","",INDEX(EV_Class,$J1483))</f>
        <v/>
      </c>
      <c r="E1483" s="106">
        <f>IF($J1483="","",INDEX(EV_Type,$J1483))</f>
        <v/>
      </c>
      <c r="F1483" s="106">
        <f>IF($J1483="","",INDEX(EV_Cum,$J1483))</f>
        <v/>
      </c>
      <c r="G1483" s="106">
        <f>IF($J1483="","",INDEX(LevelLabels,MATCH(F1483,LevelValues,1)))</f>
        <v/>
      </c>
      <c r="H1483" s="106">
        <f>IF($J1483="","",IFERROR(INDEX(Stu_ContactReq,MATCH(C1483,Stu_ID,0)),""))</f>
        <v/>
      </c>
      <c r="I1483" s="107">
        <f>IF($J1483="","",IFERROR(INDEX(Stu_Notes,MATCH(C1483,Stu_ID,0)),""))</f>
        <v/>
      </c>
      <c r="J1483" s="40">
        <f>IF(1478&gt;$B$3,"",IFERROR(MATCH(1478-1,EV_Seq,1)+1,1))</f>
        <v/>
      </c>
    </row>
    <row r="1484">
      <c r="A1484" s="105">
        <f>IF($J1484="","",INDEX(EV_Date,$J1484))</f>
        <v/>
      </c>
      <c r="B1484" s="78">
        <f>IF($J1484="","",INDEX(EV_Name,$J1484))</f>
        <v/>
      </c>
      <c r="C1484" s="106">
        <f>IF($J1484="","",INDEX(EV_ID,$J1484))</f>
        <v/>
      </c>
      <c r="D1484" s="106">
        <f>IF($J1484="","",INDEX(EV_Class,$J1484))</f>
        <v/>
      </c>
      <c r="E1484" s="106">
        <f>IF($J1484="","",INDEX(EV_Type,$J1484))</f>
        <v/>
      </c>
      <c r="F1484" s="106">
        <f>IF($J1484="","",INDEX(EV_Cum,$J1484))</f>
        <v/>
      </c>
      <c r="G1484" s="106">
        <f>IF($J1484="","",INDEX(LevelLabels,MATCH(F1484,LevelValues,1)))</f>
        <v/>
      </c>
      <c r="H1484" s="106">
        <f>IF($J1484="","",IFERROR(INDEX(Stu_ContactReq,MATCH(C1484,Stu_ID,0)),""))</f>
        <v/>
      </c>
      <c r="I1484" s="107">
        <f>IF($J1484="","",IFERROR(INDEX(Stu_Notes,MATCH(C1484,Stu_ID,0)),""))</f>
        <v/>
      </c>
      <c r="J1484" s="40">
        <f>IF(1479&gt;$B$3,"",IFERROR(MATCH(1479-1,EV_Seq,1)+1,1))</f>
        <v/>
      </c>
    </row>
    <row r="1485">
      <c r="A1485" s="105">
        <f>IF($J1485="","",INDEX(EV_Date,$J1485))</f>
        <v/>
      </c>
      <c r="B1485" s="78">
        <f>IF($J1485="","",INDEX(EV_Name,$J1485))</f>
        <v/>
      </c>
      <c r="C1485" s="106">
        <f>IF($J1485="","",INDEX(EV_ID,$J1485))</f>
        <v/>
      </c>
      <c r="D1485" s="106">
        <f>IF($J1485="","",INDEX(EV_Class,$J1485))</f>
        <v/>
      </c>
      <c r="E1485" s="106">
        <f>IF($J1485="","",INDEX(EV_Type,$J1485))</f>
        <v/>
      </c>
      <c r="F1485" s="106">
        <f>IF($J1485="","",INDEX(EV_Cum,$J1485))</f>
        <v/>
      </c>
      <c r="G1485" s="106">
        <f>IF($J1485="","",INDEX(LevelLabels,MATCH(F1485,LevelValues,1)))</f>
        <v/>
      </c>
      <c r="H1485" s="106">
        <f>IF($J1485="","",IFERROR(INDEX(Stu_ContactReq,MATCH(C1485,Stu_ID,0)),""))</f>
        <v/>
      </c>
      <c r="I1485" s="107">
        <f>IF($J1485="","",IFERROR(INDEX(Stu_Notes,MATCH(C1485,Stu_ID,0)),""))</f>
        <v/>
      </c>
      <c r="J1485" s="40">
        <f>IF(1480&gt;$B$3,"",IFERROR(MATCH(1480-1,EV_Seq,1)+1,1))</f>
        <v/>
      </c>
    </row>
    <row r="1486">
      <c r="A1486" s="105">
        <f>IF($J1486="","",INDEX(EV_Date,$J1486))</f>
        <v/>
      </c>
      <c r="B1486" s="78">
        <f>IF($J1486="","",INDEX(EV_Name,$J1486))</f>
        <v/>
      </c>
      <c r="C1486" s="106">
        <f>IF($J1486="","",INDEX(EV_ID,$J1486))</f>
        <v/>
      </c>
      <c r="D1486" s="106">
        <f>IF($J1486="","",INDEX(EV_Class,$J1486))</f>
        <v/>
      </c>
      <c r="E1486" s="106">
        <f>IF($J1486="","",INDEX(EV_Type,$J1486))</f>
        <v/>
      </c>
      <c r="F1486" s="106">
        <f>IF($J1486="","",INDEX(EV_Cum,$J1486))</f>
        <v/>
      </c>
      <c r="G1486" s="106">
        <f>IF($J1486="","",INDEX(LevelLabels,MATCH(F1486,LevelValues,1)))</f>
        <v/>
      </c>
      <c r="H1486" s="106">
        <f>IF($J1486="","",IFERROR(INDEX(Stu_ContactReq,MATCH(C1486,Stu_ID,0)),""))</f>
        <v/>
      </c>
      <c r="I1486" s="107">
        <f>IF($J1486="","",IFERROR(INDEX(Stu_Notes,MATCH(C1486,Stu_ID,0)),""))</f>
        <v/>
      </c>
      <c r="J1486" s="40">
        <f>IF(1481&gt;$B$3,"",IFERROR(MATCH(1481-1,EV_Seq,1)+1,1))</f>
        <v/>
      </c>
    </row>
    <row r="1487">
      <c r="A1487" s="105">
        <f>IF($J1487="","",INDEX(EV_Date,$J1487))</f>
        <v/>
      </c>
      <c r="B1487" s="78">
        <f>IF($J1487="","",INDEX(EV_Name,$J1487))</f>
        <v/>
      </c>
      <c r="C1487" s="106">
        <f>IF($J1487="","",INDEX(EV_ID,$J1487))</f>
        <v/>
      </c>
      <c r="D1487" s="106">
        <f>IF($J1487="","",INDEX(EV_Class,$J1487))</f>
        <v/>
      </c>
      <c r="E1487" s="106">
        <f>IF($J1487="","",INDEX(EV_Type,$J1487))</f>
        <v/>
      </c>
      <c r="F1487" s="106">
        <f>IF($J1487="","",INDEX(EV_Cum,$J1487))</f>
        <v/>
      </c>
      <c r="G1487" s="106">
        <f>IF($J1487="","",INDEX(LevelLabels,MATCH(F1487,LevelValues,1)))</f>
        <v/>
      </c>
      <c r="H1487" s="106">
        <f>IF($J1487="","",IFERROR(INDEX(Stu_ContactReq,MATCH(C1487,Stu_ID,0)),""))</f>
        <v/>
      </c>
      <c r="I1487" s="107">
        <f>IF($J1487="","",IFERROR(INDEX(Stu_Notes,MATCH(C1487,Stu_ID,0)),""))</f>
        <v/>
      </c>
      <c r="J1487" s="40">
        <f>IF(1482&gt;$B$3,"",IFERROR(MATCH(1482-1,EV_Seq,1)+1,1))</f>
        <v/>
      </c>
    </row>
    <row r="1488">
      <c r="A1488" s="105">
        <f>IF($J1488="","",INDEX(EV_Date,$J1488))</f>
        <v/>
      </c>
      <c r="B1488" s="78">
        <f>IF($J1488="","",INDEX(EV_Name,$J1488))</f>
        <v/>
      </c>
      <c r="C1488" s="106">
        <f>IF($J1488="","",INDEX(EV_ID,$J1488))</f>
        <v/>
      </c>
      <c r="D1488" s="106">
        <f>IF($J1488="","",INDEX(EV_Class,$J1488))</f>
        <v/>
      </c>
      <c r="E1488" s="106">
        <f>IF($J1488="","",INDEX(EV_Type,$J1488))</f>
        <v/>
      </c>
      <c r="F1488" s="106">
        <f>IF($J1488="","",INDEX(EV_Cum,$J1488))</f>
        <v/>
      </c>
      <c r="G1488" s="106">
        <f>IF($J1488="","",INDEX(LevelLabels,MATCH(F1488,LevelValues,1)))</f>
        <v/>
      </c>
      <c r="H1488" s="106">
        <f>IF($J1488="","",IFERROR(INDEX(Stu_ContactReq,MATCH(C1488,Stu_ID,0)),""))</f>
        <v/>
      </c>
      <c r="I1488" s="107">
        <f>IF($J1488="","",IFERROR(INDEX(Stu_Notes,MATCH(C1488,Stu_ID,0)),""))</f>
        <v/>
      </c>
      <c r="J1488" s="40">
        <f>IF(1483&gt;$B$3,"",IFERROR(MATCH(1483-1,EV_Seq,1)+1,1))</f>
        <v/>
      </c>
    </row>
    <row r="1489">
      <c r="A1489" s="105">
        <f>IF($J1489="","",INDEX(EV_Date,$J1489))</f>
        <v/>
      </c>
      <c r="B1489" s="78">
        <f>IF($J1489="","",INDEX(EV_Name,$J1489))</f>
        <v/>
      </c>
      <c r="C1489" s="106">
        <f>IF($J1489="","",INDEX(EV_ID,$J1489))</f>
        <v/>
      </c>
      <c r="D1489" s="106">
        <f>IF($J1489="","",INDEX(EV_Class,$J1489))</f>
        <v/>
      </c>
      <c r="E1489" s="106">
        <f>IF($J1489="","",INDEX(EV_Type,$J1489))</f>
        <v/>
      </c>
      <c r="F1489" s="106">
        <f>IF($J1489="","",INDEX(EV_Cum,$J1489))</f>
        <v/>
      </c>
      <c r="G1489" s="106">
        <f>IF($J1489="","",INDEX(LevelLabels,MATCH(F1489,LevelValues,1)))</f>
        <v/>
      </c>
      <c r="H1489" s="106">
        <f>IF($J1489="","",IFERROR(INDEX(Stu_ContactReq,MATCH(C1489,Stu_ID,0)),""))</f>
        <v/>
      </c>
      <c r="I1489" s="107">
        <f>IF($J1489="","",IFERROR(INDEX(Stu_Notes,MATCH(C1489,Stu_ID,0)),""))</f>
        <v/>
      </c>
      <c r="J1489" s="40">
        <f>IF(1484&gt;$B$3,"",IFERROR(MATCH(1484-1,EV_Seq,1)+1,1))</f>
        <v/>
      </c>
    </row>
    <row r="1490">
      <c r="A1490" s="105">
        <f>IF($J1490="","",INDEX(EV_Date,$J1490))</f>
        <v/>
      </c>
      <c r="B1490" s="78">
        <f>IF($J1490="","",INDEX(EV_Name,$J1490))</f>
        <v/>
      </c>
      <c r="C1490" s="106">
        <f>IF($J1490="","",INDEX(EV_ID,$J1490))</f>
        <v/>
      </c>
      <c r="D1490" s="106">
        <f>IF($J1490="","",INDEX(EV_Class,$J1490))</f>
        <v/>
      </c>
      <c r="E1490" s="106">
        <f>IF($J1490="","",INDEX(EV_Type,$J1490))</f>
        <v/>
      </c>
      <c r="F1490" s="106">
        <f>IF($J1490="","",INDEX(EV_Cum,$J1490))</f>
        <v/>
      </c>
      <c r="G1490" s="106">
        <f>IF($J1490="","",INDEX(LevelLabels,MATCH(F1490,LevelValues,1)))</f>
        <v/>
      </c>
      <c r="H1490" s="106">
        <f>IF($J1490="","",IFERROR(INDEX(Stu_ContactReq,MATCH(C1490,Stu_ID,0)),""))</f>
        <v/>
      </c>
      <c r="I1490" s="107">
        <f>IF($J1490="","",IFERROR(INDEX(Stu_Notes,MATCH(C1490,Stu_ID,0)),""))</f>
        <v/>
      </c>
      <c r="J1490" s="40">
        <f>IF(1485&gt;$B$3,"",IFERROR(MATCH(1485-1,EV_Seq,1)+1,1))</f>
        <v/>
      </c>
    </row>
    <row r="1491">
      <c r="A1491" s="105">
        <f>IF($J1491="","",INDEX(EV_Date,$J1491))</f>
        <v/>
      </c>
      <c r="B1491" s="78">
        <f>IF($J1491="","",INDEX(EV_Name,$J1491))</f>
        <v/>
      </c>
      <c r="C1491" s="106">
        <f>IF($J1491="","",INDEX(EV_ID,$J1491))</f>
        <v/>
      </c>
      <c r="D1491" s="106">
        <f>IF($J1491="","",INDEX(EV_Class,$J1491))</f>
        <v/>
      </c>
      <c r="E1491" s="106">
        <f>IF($J1491="","",INDEX(EV_Type,$J1491))</f>
        <v/>
      </c>
      <c r="F1491" s="106">
        <f>IF($J1491="","",INDEX(EV_Cum,$J1491))</f>
        <v/>
      </c>
      <c r="G1491" s="106">
        <f>IF($J1491="","",INDEX(LevelLabels,MATCH(F1491,LevelValues,1)))</f>
        <v/>
      </c>
      <c r="H1491" s="106">
        <f>IF($J1491="","",IFERROR(INDEX(Stu_ContactReq,MATCH(C1491,Stu_ID,0)),""))</f>
        <v/>
      </c>
      <c r="I1491" s="107">
        <f>IF($J1491="","",IFERROR(INDEX(Stu_Notes,MATCH(C1491,Stu_ID,0)),""))</f>
        <v/>
      </c>
      <c r="J1491" s="40">
        <f>IF(1486&gt;$B$3,"",IFERROR(MATCH(1486-1,EV_Seq,1)+1,1))</f>
        <v/>
      </c>
    </row>
    <row r="1492">
      <c r="A1492" s="105">
        <f>IF($J1492="","",INDEX(EV_Date,$J1492))</f>
        <v/>
      </c>
      <c r="B1492" s="78">
        <f>IF($J1492="","",INDEX(EV_Name,$J1492))</f>
        <v/>
      </c>
      <c r="C1492" s="106">
        <f>IF($J1492="","",INDEX(EV_ID,$J1492))</f>
        <v/>
      </c>
      <c r="D1492" s="106">
        <f>IF($J1492="","",INDEX(EV_Class,$J1492))</f>
        <v/>
      </c>
      <c r="E1492" s="106">
        <f>IF($J1492="","",INDEX(EV_Type,$J1492))</f>
        <v/>
      </c>
      <c r="F1492" s="106">
        <f>IF($J1492="","",INDEX(EV_Cum,$J1492))</f>
        <v/>
      </c>
      <c r="G1492" s="106">
        <f>IF($J1492="","",INDEX(LevelLabels,MATCH(F1492,LevelValues,1)))</f>
        <v/>
      </c>
      <c r="H1492" s="106">
        <f>IF($J1492="","",IFERROR(INDEX(Stu_ContactReq,MATCH(C1492,Stu_ID,0)),""))</f>
        <v/>
      </c>
      <c r="I1492" s="107">
        <f>IF($J1492="","",IFERROR(INDEX(Stu_Notes,MATCH(C1492,Stu_ID,0)),""))</f>
        <v/>
      </c>
      <c r="J1492" s="40">
        <f>IF(1487&gt;$B$3,"",IFERROR(MATCH(1487-1,EV_Seq,1)+1,1))</f>
        <v/>
      </c>
    </row>
    <row r="1493">
      <c r="A1493" s="105">
        <f>IF($J1493="","",INDEX(EV_Date,$J1493))</f>
        <v/>
      </c>
      <c r="B1493" s="78">
        <f>IF($J1493="","",INDEX(EV_Name,$J1493))</f>
        <v/>
      </c>
      <c r="C1493" s="106">
        <f>IF($J1493="","",INDEX(EV_ID,$J1493))</f>
        <v/>
      </c>
      <c r="D1493" s="106">
        <f>IF($J1493="","",INDEX(EV_Class,$J1493))</f>
        <v/>
      </c>
      <c r="E1493" s="106">
        <f>IF($J1493="","",INDEX(EV_Type,$J1493))</f>
        <v/>
      </c>
      <c r="F1493" s="106">
        <f>IF($J1493="","",INDEX(EV_Cum,$J1493))</f>
        <v/>
      </c>
      <c r="G1493" s="106">
        <f>IF($J1493="","",INDEX(LevelLabels,MATCH(F1493,LevelValues,1)))</f>
        <v/>
      </c>
      <c r="H1493" s="106">
        <f>IF($J1493="","",IFERROR(INDEX(Stu_ContactReq,MATCH(C1493,Stu_ID,0)),""))</f>
        <v/>
      </c>
      <c r="I1493" s="107">
        <f>IF($J1493="","",IFERROR(INDEX(Stu_Notes,MATCH(C1493,Stu_ID,0)),""))</f>
        <v/>
      </c>
      <c r="J1493" s="40">
        <f>IF(1488&gt;$B$3,"",IFERROR(MATCH(1488-1,EV_Seq,1)+1,1))</f>
        <v/>
      </c>
    </row>
    <row r="1494">
      <c r="A1494" s="105">
        <f>IF($J1494="","",INDEX(EV_Date,$J1494))</f>
        <v/>
      </c>
      <c r="B1494" s="78">
        <f>IF($J1494="","",INDEX(EV_Name,$J1494))</f>
        <v/>
      </c>
      <c r="C1494" s="106">
        <f>IF($J1494="","",INDEX(EV_ID,$J1494))</f>
        <v/>
      </c>
      <c r="D1494" s="106">
        <f>IF($J1494="","",INDEX(EV_Class,$J1494))</f>
        <v/>
      </c>
      <c r="E1494" s="106">
        <f>IF($J1494="","",INDEX(EV_Type,$J1494))</f>
        <v/>
      </c>
      <c r="F1494" s="106">
        <f>IF($J1494="","",INDEX(EV_Cum,$J1494))</f>
        <v/>
      </c>
      <c r="G1494" s="106">
        <f>IF($J1494="","",INDEX(LevelLabels,MATCH(F1494,LevelValues,1)))</f>
        <v/>
      </c>
      <c r="H1494" s="106">
        <f>IF($J1494="","",IFERROR(INDEX(Stu_ContactReq,MATCH(C1494,Stu_ID,0)),""))</f>
        <v/>
      </c>
      <c r="I1494" s="107">
        <f>IF($J1494="","",IFERROR(INDEX(Stu_Notes,MATCH(C1494,Stu_ID,0)),""))</f>
        <v/>
      </c>
      <c r="J1494" s="40">
        <f>IF(1489&gt;$B$3,"",IFERROR(MATCH(1489-1,EV_Seq,1)+1,1))</f>
        <v/>
      </c>
    </row>
    <row r="1495">
      <c r="A1495" s="105">
        <f>IF($J1495="","",INDEX(EV_Date,$J1495))</f>
        <v/>
      </c>
      <c r="B1495" s="78">
        <f>IF($J1495="","",INDEX(EV_Name,$J1495))</f>
        <v/>
      </c>
      <c r="C1495" s="106">
        <f>IF($J1495="","",INDEX(EV_ID,$J1495))</f>
        <v/>
      </c>
      <c r="D1495" s="106">
        <f>IF($J1495="","",INDEX(EV_Class,$J1495))</f>
        <v/>
      </c>
      <c r="E1495" s="106">
        <f>IF($J1495="","",INDEX(EV_Type,$J1495))</f>
        <v/>
      </c>
      <c r="F1495" s="106">
        <f>IF($J1495="","",INDEX(EV_Cum,$J1495))</f>
        <v/>
      </c>
      <c r="G1495" s="106">
        <f>IF($J1495="","",INDEX(LevelLabels,MATCH(F1495,LevelValues,1)))</f>
        <v/>
      </c>
      <c r="H1495" s="106">
        <f>IF($J1495="","",IFERROR(INDEX(Stu_ContactReq,MATCH(C1495,Stu_ID,0)),""))</f>
        <v/>
      </c>
      <c r="I1495" s="107">
        <f>IF($J1495="","",IFERROR(INDEX(Stu_Notes,MATCH(C1495,Stu_ID,0)),""))</f>
        <v/>
      </c>
      <c r="J1495" s="40">
        <f>IF(1490&gt;$B$3,"",IFERROR(MATCH(1490-1,EV_Seq,1)+1,1))</f>
        <v/>
      </c>
    </row>
    <row r="1496">
      <c r="A1496" s="105">
        <f>IF($J1496="","",INDEX(EV_Date,$J1496))</f>
        <v/>
      </c>
      <c r="B1496" s="78">
        <f>IF($J1496="","",INDEX(EV_Name,$J1496))</f>
        <v/>
      </c>
      <c r="C1496" s="106">
        <f>IF($J1496="","",INDEX(EV_ID,$J1496))</f>
        <v/>
      </c>
      <c r="D1496" s="106">
        <f>IF($J1496="","",INDEX(EV_Class,$J1496))</f>
        <v/>
      </c>
      <c r="E1496" s="106">
        <f>IF($J1496="","",INDEX(EV_Type,$J1496))</f>
        <v/>
      </c>
      <c r="F1496" s="106">
        <f>IF($J1496="","",INDEX(EV_Cum,$J1496))</f>
        <v/>
      </c>
      <c r="G1496" s="106">
        <f>IF($J1496="","",INDEX(LevelLabels,MATCH(F1496,LevelValues,1)))</f>
        <v/>
      </c>
      <c r="H1496" s="106">
        <f>IF($J1496="","",IFERROR(INDEX(Stu_ContactReq,MATCH(C1496,Stu_ID,0)),""))</f>
        <v/>
      </c>
      <c r="I1496" s="107">
        <f>IF($J1496="","",IFERROR(INDEX(Stu_Notes,MATCH(C1496,Stu_ID,0)),""))</f>
        <v/>
      </c>
      <c r="J1496" s="40">
        <f>IF(1491&gt;$B$3,"",IFERROR(MATCH(1491-1,EV_Seq,1)+1,1))</f>
        <v/>
      </c>
    </row>
    <row r="1497">
      <c r="A1497" s="105">
        <f>IF($J1497="","",INDEX(EV_Date,$J1497))</f>
        <v/>
      </c>
      <c r="B1497" s="78">
        <f>IF($J1497="","",INDEX(EV_Name,$J1497))</f>
        <v/>
      </c>
      <c r="C1497" s="106">
        <f>IF($J1497="","",INDEX(EV_ID,$J1497))</f>
        <v/>
      </c>
      <c r="D1497" s="106">
        <f>IF($J1497="","",INDEX(EV_Class,$J1497))</f>
        <v/>
      </c>
      <c r="E1497" s="106">
        <f>IF($J1497="","",INDEX(EV_Type,$J1497))</f>
        <v/>
      </c>
      <c r="F1497" s="106">
        <f>IF($J1497="","",INDEX(EV_Cum,$J1497))</f>
        <v/>
      </c>
      <c r="G1497" s="106">
        <f>IF($J1497="","",INDEX(LevelLabels,MATCH(F1497,LevelValues,1)))</f>
        <v/>
      </c>
      <c r="H1497" s="106">
        <f>IF($J1497="","",IFERROR(INDEX(Stu_ContactReq,MATCH(C1497,Stu_ID,0)),""))</f>
        <v/>
      </c>
      <c r="I1497" s="107">
        <f>IF($J1497="","",IFERROR(INDEX(Stu_Notes,MATCH(C1497,Stu_ID,0)),""))</f>
        <v/>
      </c>
      <c r="J1497" s="40">
        <f>IF(1492&gt;$B$3,"",IFERROR(MATCH(1492-1,EV_Seq,1)+1,1))</f>
        <v/>
      </c>
    </row>
    <row r="1498">
      <c r="A1498" s="105">
        <f>IF($J1498="","",INDEX(EV_Date,$J1498))</f>
        <v/>
      </c>
      <c r="B1498" s="78">
        <f>IF($J1498="","",INDEX(EV_Name,$J1498))</f>
        <v/>
      </c>
      <c r="C1498" s="106">
        <f>IF($J1498="","",INDEX(EV_ID,$J1498))</f>
        <v/>
      </c>
      <c r="D1498" s="106">
        <f>IF($J1498="","",INDEX(EV_Class,$J1498))</f>
        <v/>
      </c>
      <c r="E1498" s="106">
        <f>IF($J1498="","",INDEX(EV_Type,$J1498))</f>
        <v/>
      </c>
      <c r="F1498" s="106">
        <f>IF($J1498="","",INDEX(EV_Cum,$J1498))</f>
        <v/>
      </c>
      <c r="G1498" s="106">
        <f>IF($J1498="","",INDEX(LevelLabels,MATCH(F1498,LevelValues,1)))</f>
        <v/>
      </c>
      <c r="H1498" s="106">
        <f>IF($J1498="","",IFERROR(INDEX(Stu_ContactReq,MATCH(C1498,Stu_ID,0)),""))</f>
        <v/>
      </c>
      <c r="I1498" s="107">
        <f>IF($J1498="","",IFERROR(INDEX(Stu_Notes,MATCH(C1498,Stu_ID,0)),""))</f>
        <v/>
      </c>
      <c r="J1498" s="40">
        <f>IF(1493&gt;$B$3,"",IFERROR(MATCH(1493-1,EV_Seq,1)+1,1))</f>
        <v/>
      </c>
    </row>
    <row r="1499">
      <c r="A1499" s="105">
        <f>IF($J1499="","",INDEX(EV_Date,$J1499))</f>
        <v/>
      </c>
      <c r="B1499" s="78">
        <f>IF($J1499="","",INDEX(EV_Name,$J1499))</f>
        <v/>
      </c>
      <c r="C1499" s="106">
        <f>IF($J1499="","",INDEX(EV_ID,$J1499))</f>
        <v/>
      </c>
      <c r="D1499" s="106">
        <f>IF($J1499="","",INDEX(EV_Class,$J1499))</f>
        <v/>
      </c>
      <c r="E1499" s="106">
        <f>IF($J1499="","",INDEX(EV_Type,$J1499))</f>
        <v/>
      </c>
      <c r="F1499" s="106">
        <f>IF($J1499="","",INDEX(EV_Cum,$J1499))</f>
        <v/>
      </c>
      <c r="G1499" s="106">
        <f>IF($J1499="","",INDEX(LevelLabels,MATCH(F1499,LevelValues,1)))</f>
        <v/>
      </c>
      <c r="H1499" s="106">
        <f>IF($J1499="","",IFERROR(INDEX(Stu_ContactReq,MATCH(C1499,Stu_ID,0)),""))</f>
        <v/>
      </c>
      <c r="I1499" s="107">
        <f>IF($J1499="","",IFERROR(INDEX(Stu_Notes,MATCH(C1499,Stu_ID,0)),""))</f>
        <v/>
      </c>
      <c r="J1499" s="40">
        <f>IF(1494&gt;$B$3,"",IFERROR(MATCH(1494-1,EV_Seq,1)+1,1))</f>
        <v/>
      </c>
    </row>
    <row r="1500">
      <c r="A1500" s="105">
        <f>IF($J1500="","",INDEX(EV_Date,$J1500))</f>
        <v/>
      </c>
      <c r="B1500" s="78">
        <f>IF($J1500="","",INDEX(EV_Name,$J1500))</f>
        <v/>
      </c>
      <c r="C1500" s="106">
        <f>IF($J1500="","",INDEX(EV_ID,$J1500))</f>
        <v/>
      </c>
      <c r="D1500" s="106">
        <f>IF($J1500="","",INDEX(EV_Class,$J1500))</f>
        <v/>
      </c>
      <c r="E1500" s="106">
        <f>IF($J1500="","",INDEX(EV_Type,$J1500))</f>
        <v/>
      </c>
      <c r="F1500" s="106">
        <f>IF($J1500="","",INDEX(EV_Cum,$J1500))</f>
        <v/>
      </c>
      <c r="G1500" s="106">
        <f>IF($J1500="","",INDEX(LevelLabels,MATCH(F1500,LevelValues,1)))</f>
        <v/>
      </c>
      <c r="H1500" s="106">
        <f>IF($J1500="","",IFERROR(INDEX(Stu_ContactReq,MATCH(C1500,Stu_ID,0)),""))</f>
        <v/>
      </c>
      <c r="I1500" s="107">
        <f>IF($J1500="","",IFERROR(INDEX(Stu_Notes,MATCH(C1500,Stu_ID,0)),""))</f>
        <v/>
      </c>
      <c r="J1500" s="40">
        <f>IF(1495&gt;$B$3,"",IFERROR(MATCH(1495-1,EV_Seq,1)+1,1))</f>
        <v/>
      </c>
    </row>
    <row r="1501">
      <c r="A1501" s="105">
        <f>IF($J1501="","",INDEX(EV_Date,$J1501))</f>
        <v/>
      </c>
      <c r="B1501" s="78">
        <f>IF($J1501="","",INDEX(EV_Name,$J1501))</f>
        <v/>
      </c>
      <c r="C1501" s="106">
        <f>IF($J1501="","",INDEX(EV_ID,$J1501))</f>
        <v/>
      </c>
      <c r="D1501" s="106">
        <f>IF($J1501="","",INDEX(EV_Class,$J1501))</f>
        <v/>
      </c>
      <c r="E1501" s="106">
        <f>IF($J1501="","",INDEX(EV_Type,$J1501))</f>
        <v/>
      </c>
      <c r="F1501" s="106">
        <f>IF($J1501="","",INDEX(EV_Cum,$J1501))</f>
        <v/>
      </c>
      <c r="G1501" s="106">
        <f>IF($J1501="","",INDEX(LevelLabels,MATCH(F1501,LevelValues,1)))</f>
        <v/>
      </c>
      <c r="H1501" s="106">
        <f>IF($J1501="","",IFERROR(INDEX(Stu_ContactReq,MATCH(C1501,Stu_ID,0)),""))</f>
        <v/>
      </c>
      <c r="I1501" s="107">
        <f>IF($J1501="","",IFERROR(INDEX(Stu_Notes,MATCH(C1501,Stu_ID,0)),""))</f>
        <v/>
      </c>
      <c r="J1501" s="40">
        <f>IF(1496&gt;$B$3,"",IFERROR(MATCH(1496-1,EV_Seq,1)+1,1))</f>
        <v/>
      </c>
    </row>
    <row r="1502">
      <c r="A1502" s="105">
        <f>IF($J1502="","",INDEX(EV_Date,$J1502))</f>
        <v/>
      </c>
      <c r="B1502" s="78">
        <f>IF($J1502="","",INDEX(EV_Name,$J1502))</f>
        <v/>
      </c>
      <c r="C1502" s="106">
        <f>IF($J1502="","",INDEX(EV_ID,$J1502))</f>
        <v/>
      </c>
      <c r="D1502" s="106">
        <f>IF($J1502="","",INDEX(EV_Class,$J1502))</f>
        <v/>
      </c>
      <c r="E1502" s="106">
        <f>IF($J1502="","",INDEX(EV_Type,$J1502))</f>
        <v/>
      </c>
      <c r="F1502" s="106">
        <f>IF($J1502="","",INDEX(EV_Cum,$J1502))</f>
        <v/>
      </c>
      <c r="G1502" s="106">
        <f>IF($J1502="","",INDEX(LevelLabels,MATCH(F1502,LevelValues,1)))</f>
        <v/>
      </c>
      <c r="H1502" s="106">
        <f>IF($J1502="","",IFERROR(INDEX(Stu_ContactReq,MATCH(C1502,Stu_ID,0)),""))</f>
        <v/>
      </c>
      <c r="I1502" s="107">
        <f>IF($J1502="","",IFERROR(INDEX(Stu_Notes,MATCH(C1502,Stu_ID,0)),""))</f>
        <v/>
      </c>
      <c r="J1502" s="40">
        <f>IF(1497&gt;$B$3,"",IFERROR(MATCH(1497-1,EV_Seq,1)+1,1))</f>
        <v/>
      </c>
    </row>
    <row r="1503">
      <c r="A1503" s="105">
        <f>IF($J1503="","",INDEX(EV_Date,$J1503))</f>
        <v/>
      </c>
      <c r="B1503" s="78">
        <f>IF($J1503="","",INDEX(EV_Name,$J1503))</f>
        <v/>
      </c>
      <c r="C1503" s="106">
        <f>IF($J1503="","",INDEX(EV_ID,$J1503))</f>
        <v/>
      </c>
      <c r="D1503" s="106">
        <f>IF($J1503="","",INDEX(EV_Class,$J1503))</f>
        <v/>
      </c>
      <c r="E1503" s="106">
        <f>IF($J1503="","",INDEX(EV_Type,$J1503))</f>
        <v/>
      </c>
      <c r="F1503" s="106">
        <f>IF($J1503="","",INDEX(EV_Cum,$J1503))</f>
        <v/>
      </c>
      <c r="G1503" s="106">
        <f>IF($J1503="","",INDEX(LevelLabels,MATCH(F1503,LevelValues,1)))</f>
        <v/>
      </c>
      <c r="H1503" s="106">
        <f>IF($J1503="","",IFERROR(INDEX(Stu_ContactReq,MATCH(C1503,Stu_ID,0)),""))</f>
        <v/>
      </c>
      <c r="I1503" s="107">
        <f>IF($J1503="","",IFERROR(INDEX(Stu_Notes,MATCH(C1503,Stu_ID,0)),""))</f>
        <v/>
      </c>
      <c r="J1503" s="40">
        <f>IF(1498&gt;$B$3,"",IFERROR(MATCH(1498-1,EV_Seq,1)+1,1))</f>
        <v/>
      </c>
    </row>
    <row r="1504">
      <c r="A1504" s="105">
        <f>IF($J1504="","",INDEX(EV_Date,$J1504))</f>
        <v/>
      </c>
      <c r="B1504" s="78">
        <f>IF($J1504="","",INDEX(EV_Name,$J1504))</f>
        <v/>
      </c>
      <c r="C1504" s="106">
        <f>IF($J1504="","",INDEX(EV_ID,$J1504))</f>
        <v/>
      </c>
      <c r="D1504" s="106">
        <f>IF($J1504="","",INDEX(EV_Class,$J1504))</f>
        <v/>
      </c>
      <c r="E1504" s="106">
        <f>IF($J1504="","",INDEX(EV_Type,$J1504))</f>
        <v/>
      </c>
      <c r="F1504" s="106">
        <f>IF($J1504="","",INDEX(EV_Cum,$J1504))</f>
        <v/>
      </c>
      <c r="G1504" s="106">
        <f>IF($J1504="","",INDEX(LevelLabels,MATCH(F1504,LevelValues,1)))</f>
        <v/>
      </c>
      <c r="H1504" s="106">
        <f>IF($J1504="","",IFERROR(INDEX(Stu_ContactReq,MATCH(C1504,Stu_ID,0)),""))</f>
        <v/>
      </c>
      <c r="I1504" s="107">
        <f>IF($J1504="","",IFERROR(INDEX(Stu_Notes,MATCH(C1504,Stu_ID,0)),""))</f>
        <v/>
      </c>
      <c r="J1504" s="40">
        <f>IF(1499&gt;$B$3,"",IFERROR(MATCH(1499-1,EV_Seq,1)+1,1))</f>
        <v/>
      </c>
    </row>
    <row r="1505">
      <c r="A1505" s="105">
        <f>IF($J1505="","",INDEX(EV_Date,$J1505))</f>
        <v/>
      </c>
      <c r="B1505" s="78">
        <f>IF($J1505="","",INDEX(EV_Name,$J1505))</f>
        <v/>
      </c>
      <c r="C1505" s="106">
        <f>IF($J1505="","",INDEX(EV_ID,$J1505))</f>
        <v/>
      </c>
      <c r="D1505" s="106">
        <f>IF($J1505="","",INDEX(EV_Class,$J1505))</f>
        <v/>
      </c>
      <c r="E1505" s="106">
        <f>IF($J1505="","",INDEX(EV_Type,$J1505))</f>
        <v/>
      </c>
      <c r="F1505" s="106">
        <f>IF($J1505="","",INDEX(EV_Cum,$J1505))</f>
        <v/>
      </c>
      <c r="G1505" s="106">
        <f>IF($J1505="","",INDEX(LevelLabels,MATCH(F1505,LevelValues,1)))</f>
        <v/>
      </c>
      <c r="H1505" s="106">
        <f>IF($J1505="","",IFERROR(INDEX(Stu_ContactReq,MATCH(C1505,Stu_ID,0)),""))</f>
        <v/>
      </c>
      <c r="I1505" s="107">
        <f>IF($J1505="","",IFERROR(INDEX(Stu_Notes,MATCH(C1505,Stu_ID,0)),""))</f>
        <v/>
      </c>
      <c r="J1505" s="40">
        <f>IF(1500&gt;$B$3,"",IFERROR(MATCH(1500-1,EV_Seq,1)+1,1))</f>
        <v/>
      </c>
    </row>
  </sheetData>
  <sheetProtection selectLockedCells="0" selectUnlockedCells="0" sheet="1" objects="0" insertRows="1" insertHyperlinks="1" autoFilter="0" scenarios="0" formatColumns="0" deleteColumns="1" insertColumns="1" pivotTables="1" deleteRows="1" formatCells="1" formatRows="0" sort="0"/>
  <conditionalFormatting sqref="G6:G1505">
    <cfRule type="expression" priority="1" dxfId="8">
      <formula>AND($F6&lt;&gt;"",$F6&gt;=Thr_Critical)</formula>
    </cfRule>
    <cfRule type="expression" priority="2" dxfId="5">
      <formula>AND($F6&lt;&gt;"",$F6&gt;=Thr_High)</formula>
    </cfRule>
    <cfRule type="expression" priority="3" dxfId="2">
      <formula>AND($F6&lt;&gt;"",$F6&gt;=Thr_Repeated)</formula>
    </cfRule>
    <cfRule type="expression" priority="4" dxfId="6">
      <formula>AND($F6&lt;&gt;"",$F6&gt;=Thr_FollowUp)</formula>
    </cfRule>
  </conditionalFormatting>
  <conditionalFormatting sqref="E6:E1505">
    <cfRule type="expression" priority="5" dxfId="24">
      <formula>$E6="غياب بدون عذر"</formula>
    </cfRule>
    <cfRule type="expression" priority="6" dxfId="25">
      <formula>$E6="غياب بعذر"</formula>
    </cfRule>
  </conditionalFormatting>
  <conditionalFormatting sqref="H6:H1505">
    <cfRule type="expression" priority="7" dxfId="2">
      <formula>ISNUMBER(SEARCH("مطلوب",$H6))</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D97706"/>
    <outlinePr summaryBelow="1" summaryRight="1"/>
    <pageSetUpPr/>
  </sheetPr>
  <dimension ref="A1:J3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12" customWidth="1" min="2" max="2"/>
    <col width="22" customWidth="1" min="3" max="3"/>
    <col width="9" customWidth="1" min="4" max="4"/>
    <col width="11" customWidth="1" min="5" max="5"/>
    <col width="14" customWidth="1" min="6" max="6"/>
    <col width="40" customWidth="1" min="7" max="7"/>
    <col width="14" customWidth="1" min="8" max="8"/>
    <col width="3" customWidth="1" min="9" max="9"/>
    <col width="3" customWidth="1" min="10" max="10"/>
  </cols>
  <sheetData>
    <row r="1" ht="30" customHeight="1">
      <c r="A1" s="68" t="inlineStr">
        <is>
          <t>سجل التواصل مع أولياء الأمور</t>
        </is>
      </c>
    </row>
    <row r="2">
      <c r="A2" s="69" t="inlineStr">
        <is>
          <t>سجّلي هنا كل تواصل مع ولي الأمر: التاريخ + الرقم الطلابي + الطريقة + النتيجة. يُحدَّث عمود «تم التواصل؟» في جميع الأوراق تلقائيًا</t>
        </is>
      </c>
    </row>
    <row r="3">
      <c r="A3" s="32" t="inlineStr">
        <is>
          <t>Parent contact log (input)</t>
        </is>
      </c>
    </row>
    <row r="5" ht="36" customHeight="1">
      <c r="A5" s="85" t="inlineStr">
        <is>
          <t>التاريخ</t>
        </is>
      </c>
      <c r="B5" s="85" t="inlineStr">
        <is>
          <t>الرقم الطلابي</t>
        </is>
      </c>
      <c r="C5" s="85" t="inlineStr">
        <is>
          <t>اسم الطفل</t>
        </is>
      </c>
      <c r="D5" s="85" t="inlineStr">
        <is>
          <t>الصف</t>
        </is>
      </c>
      <c r="E5" s="85" t="inlineStr">
        <is>
          <t>عدد الغيابات عند التواصل</t>
        </is>
      </c>
      <c r="F5" s="85" t="inlineStr">
        <is>
          <t>طريقة التواصل</t>
        </is>
      </c>
      <c r="G5" s="85" t="inlineStr">
        <is>
          <t>نتيجة التواصل / ملاحظات</t>
        </is>
      </c>
      <c r="H5" s="85" t="inlineStr">
        <is>
          <t>المستوى عند التواصل</t>
        </is>
      </c>
      <c r="I5" s="85" t="inlineStr">
        <is>
          <t>مفتاح</t>
        </is>
      </c>
      <c r="J5" s="85" t="inlineStr">
        <is>
          <t>تسلسل الطفل المحدد</t>
        </is>
      </c>
    </row>
    <row r="6">
      <c r="A6" s="5" t="n">
        <v>46274</v>
      </c>
      <c r="B6" s="6" t="n">
        <v>26105</v>
      </c>
      <c r="C6" s="103">
        <f>IF(B6="","",IFERROR(INDEX(Stu_Name,MATCH(B6,Stu_ID,0)),"رقم غير موجود"))</f>
        <v/>
      </c>
      <c r="D6" s="88">
        <f>IF(B6="","",IFERROR(INDEX(Stu_Class,MATCH(B6,Stu_ID,0)),""))</f>
        <v/>
      </c>
      <c r="E6" s="88">
        <f>IF(OR(B6="",A6=""),"",IFERROR(COUNTIFS(INDEX(CHOOSE(INDEX(Stu_C,MATCH(B6,Stu_ID,0)),'KG1-1'!$AD$9:$IM$38,'KG1-2'!$AD$9:$IM$38,'KG1-3'!$AD$9:$IM$38,'KG1-4'!$AD$9:$IM$38,'KG1-5'!$AD$9:$IM$38,'KG1-6'!$AD$9:$IM$38,'KG1-7'!$AD$9:$IM$38),INDEX(Stu_I,MATCH(B6,Stu_ID,0)),0),"غياب بدون عذر",CHOOSE(INDEX(Stu_C,MATCH(B6,Stu_ID,0)),'KG1-1'!$AD$7:$IM$7,'KG1-2'!$AD$7:$IM$7,'KG1-3'!$AD$7:$IM$7,'KG1-4'!$AD$7:$IM$7,'KG1-5'!$AD$7:$IM$7,'KG1-6'!$AD$7:$IM$7,'KG1-7'!$AD$7:$IM$7),"✓",'KG1-1'!$AD$5:$IM$5,"&lt;="&amp;A6),""))</f>
        <v/>
      </c>
      <c r="F6" s="6" t="inlineStr">
        <is>
          <t>رسالة نصية</t>
        </is>
      </c>
      <c r="G6" s="108" t="inlineStr">
        <is>
          <t>تذكير بالانتظام</t>
        </is>
      </c>
      <c r="H6" s="88">
        <f>IF(E6="","",INDEX(LevelLabels,MATCH(E6,LevelValues,1)))</f>
        <v/>
      </c>
      <c r="I6" s="40">
        <f>IF(OR(B6="",A6=""),"",B6&amp;"|"&amp;A6)</f>
        <v/>
      </c>
      <c r="J6" s="40">
        <f>IF(AND(B6&lt;&gt;"",B6=Prof_ID),COUNTIF($B$6:B6,Prof_ID),"")</f>
        <v/>
      </c>
    </row>
    <row r="7">
      <c r="A7" s="5" t="n">
        <v>46288</v>
      </c>
      <c r="B7" s="6" t="n">
        <v>26106</v>
      </c>
      <c r="C7" s="103">
        <f>IF(B7="","",IFERROR(INDEX(Stu_Name,MATCH(B7,Stu_ID,0)),"رقم غير موجود"))</f>
        <v/>
      </c>
      <c r="D7" s="88">
        <f>IF(B7="","",IFERROR(INDEX(Stu_Class,MATCH(B7,Stu_ID,0)),""))</f>
        <v/>
      </c>
      <c r="E7" s="88">
        <f>IF(OR(B7="",A7=""),"",IFERROR(COUNTIFS(INDEX(CHOOSE(INDEX(Stu_C,MATCH(B7,Stu_ID,0)),'KG1-1'!$AD$9:$IM$38,'KG1-2'!$AD$9:$IM$38,'KG1-3'!$AD$9:$IM$38,'KG1-4'!$AD$9:$IM$38,'KG1-5'!$AD$9:$IM$38,'KG1-6'!$AD$9:$IM$38,'KG1-7'!$AD$9:$IM$38),INDEX(Stu_I,MATCH(B7,Stu_ID,0)),0),"غياب بدون عذر",CHOOSE(INDEX(Stu_C,MATCH(B7,Stu_ID,0)),'KG1-1'!$AD$7:$IM$7,'KG1-2'!$AD$7:$IM$7,'KG1-3'!$AD$7:$IM$7,'KG1-4'!$AD$7:$IM$7,'KG1-5'!$AD$7:$IM$7,'KG1-6'!$AD$7:$IM$7,'KG1-7'!$AD$7:$IM$7),"✓",'KG1-1'!$AD$5:$IM$5,"&lt;="&amp;A7),""))</f>
        <v/>
      </c>
      <c r="F7" s="6" t="inlineStr">
        <is>
          <t>WhatsApp</t>
        </is>
      </c>
      <c r="G7" s="108" t="inlineStr">
        <is>
          <t>لم يرد – إعادة المحاولة</t>
        </is>
      </c>
      <c r="H7" s="88">
        <f>IF(E7="","",INDEX(LevelLabels,MATCH(E7,LevelValues,1)))</f>
        <v/>
      </c>
      <c r="I7" s="40">
        <f>IF(OR(B7="",A7=""),"",B7&amp;"|"&amp;A7)</f>
        <v/>
      </c>
      <c r="J7" s="40">
        <f>IF(AND(B7&lt;&gt;"",B7=Prof_ID),COUNTIF($B$6:B7,Prof_ID),"")</f>
        <v/>
      </c>
    </row>
    <row r="8">
      <c r="A8" s="5" t="n">
        <v>46290</v>
      </c>
      <c r="B8" s="6" t="n">
        <v>26406</v>
      </c>
      <c r="C8" s="103">
        <f>IF(B8="","",IFERROR(INDEX(Stu_Name,MATCH(B8,Stu_ID,0)),"رقم غير موجود"))</f>
        <v/>
      </c>
      <c r="D8" s="88">
        <f>IF(B8="","",IFERROR(INDEX(Stu_Class,MATCH(B8,Stu_ID,0)),""))</f>
        <v/>
      </c>
      <c r="E8" s="88">
        <f>IF(OR(B8="",A8=""),"",IFERROR(COUNTIFS(INDEX(CHOOSE(INDEX(Stu_C,MATCH(B8,Stu_ID,0)),'KG1-1'!$AD$9:$IM$38,'KG1-2'!$AD$9:$IM$38,'KG1-3'!$AD$9:$IM$38,'KG1-4'!$AD$9:$IM$38,'KG1-5'!$AD$9:$IM$38,'KG1-6'!$AD$9:$IM$38,'KG1-7'!$AD$9:$IM$38),INDEX(Stu_I,MATCH(B8,Stu_ID,0)),0),"غياب بدون عذر",CHOOSE(INDEX(Stu_C,MATCH(B8,Stu_ID,0)),'KG1-1'!$AD$7:$IM$7,'KG1-2'!$AD$7:$IM$7,'KG1-3'!$AD$7:$IM$7,'KG1-4'!$AD$7:$IM$7,'KG1-5'!$AD$7:$IM$7,'KG1-6'!$AD$7:$IM$7,'KG1-7'!$AD$7:$IM$7),"✓",'KG1-1'!$AD$5:$IM$5,"&lt;="&amp;A8),""))</f>
        <v/>
      </c>
      <c r="F8" s="6" t="inlineStr">
        <is>
          <t>اتصال هاتفي</t>
        </is>
      </c>
      <c r="G8" s="108" t="inlineStr">
        <is>
          <t>سبب الغياب: مرض – تم طلب تقرير طبي</t>
        </is>
      </c>
      <c r="H8" s="88">
        <f>IF(E8="","",INDEX(LevelLabels,MATCH(E8,LevelValues,1)))</f>
        <v/>
      </c>
      <c r="I8" s="40">
        <f>IF(OR(B8="",A8=""),"",B8&amp;"|"&amp;A8)</f>
        <v/>
      </c>
      <c r="J8" s="40">
        <f>IF(AND(B8&lt;&gt;"",B8=Prof_ID),COUNTIF($B$6:B8,Prof_ID),"")</f>
        <v/>
      </c>
    </row>
    <row r="9">
      <c r="A9" s="5" t="n">
        <v>46319</v>
      </c>
      <c r="B9" s="6" t="n">
        <v>26306</v>
      </c>
      <c r="C9" s="103">
        <f>IF(B9="","",IFERROR(INDEX(Stu_Name,MATCH(B9,Stu_ID,0)),"رقم غير موجود"))</f>
        <v/>
      </c>
      <c r="D9" s="88">
        <f>IF(B9="","",IFERROR(INDEX(Stu_Class,MATCH(B9,Stu_ID,0)),""))</f>
        <v/>
      </c>
      <c r="E9" s="88">
        <f>IF(OR(B9="",A9=""),"",IFERROR(COUNTIFS(INDEX(CHOOSE(INDEX(Stu_C,MATCH(B9,Stu_ID,0)),'KG1-1'!$AD$9:$IM$38,'KG1-2'!$AD$9:$IM$38,'KG1-3'!$AD$9:$IM$38,'KG1-4'!$AD$9:$IM$38,'KG1-5'!$AD$9:$IM$38,'KG1-6'!$AD$9:$IM$38,'KG1-7'!$AD$9:$IM$38),INDEX(Stu_I,MATCH(B9,Stu_ID,0)),0),"غياب بدون عذر",CHOOSE(INDEX(Stu_C,MATCH(B9,Stu_ID,0)),'KG1-1'!$AD$7:$IM$7,'KG1-2'!$AD$7:$IM$7,'KG1-3'!$AD$7:$IM$7,'KG1-4'!$AD$7:$IM$7,'KG1-5'!$AD$7:$IM$7,'KG1-6'!$AD$7:$IM$7,'KG1-7'!$AD$7:$IM$7),"✓",'KG1-1'!$AD$5:$IM$5,"&lt;="&amp;A9),""))</f>
        <v/>
      </c>
      <c r="F9" s="6" t="inlineStr">
        <is>
          <t>اتصال هاتفي</t>
        </is>
      </c>
      <c r="G9" s="108" t="inlineStr">
        <is>
          <t>تم إبلاغ ولي الأمر بضرورة الانتظام</t>
        </is>
      </c>
      <c r="H9" s="88">
        <f>IF(E9="","",INDEX(LevelLabels,MATCH(E9,LevelValues,1)))</f>
        <v/>
      </c>
      <c r="I9" s="40">
        <f>IF(OR(B9="",A9=""),"",B9&amp;"|"&amp;A9)</f>
        <v/>
      </c>
      <c r="J9" s="40">
        <f>IF(AND(B9&lt;&gt;"",B9=Prof_ID),COUNTIF($B$6:B9,Prof_ID),"")</f>
        <v/>
      </c>
    </row>
    <row r="10">
      <c r="A10" s="5" t="n">
        <v>46322</v>
      </c>
      <c r="B10" s="6" t="n">
        <v>26104</v>
      </c>
      <c r="C10" s="103">
        <f>IF(B10="","",IFERROR(INDEX(Stu_Name,MATCH(B10,Stu_ID,0)),"رقم غير موجود"))</f>
        <v/>
      </c>
      <c r="D10" s="88">
        <f>IF(B10="","",IFERROR(INDEX(Stu_Class,MATCH(B10,Stu_ID,0)),""))</f>
        <v/>
      </c>
      <c r="E10" s="88">
        <f>IF(OR(B10="",A10=""),"",IFERROR(COUNTIFS(INDEX(CHOOSE(INDEX(Stu_C,MATCH(B10,Stu_ID,0)),'KG1-1'!$AD$9:$IM$38,'KG1-2'!$AD$9:$IM$38,'KG1-3'!$AD$9:$IM$38,'KG1-4'!$AD$9:$IM$38,'KG1-5'!$AD$9:$IM$38,'KG1-6'!$AD$9:$IM$38,'KG1-7'!$AD$9:$IM$38),INDEX(Stu_I,MATCH(B10,Stu_ID,0)),0),"غياب بدون عذر",CHOOSE(INDEX(Stu_C,MATCH(B10,Stu_ID,0)),'KG1-1'!$AD$7:$IM$7,'KG1-2'!$AD$7:$IM$7,'KG1-3'!$AD$7:$IM$7,'KG1-4'!$AD$7:$IM$7,'KG1-5'!$AD$7:$IM$7,'KG1-6'!$AD$7:$IM$7,'KG1-7'!$AD$7:$IM$7),"✓",'KG1-1'!$AD$5:$IM$5,"&lt;="&amp;A10),""))</f>
        <v/>
      </c>
      <c r="F10" s="6" t="inlineStr">
        <is>
          <t>اتصال هاتفي</t>
        </is>
      </c>
      <c r="G10" s="108" t="inlineStr">
        <is>
          <t>تم التواصل مع الأم – وعدت بالانتظام</t>
        </is>
      </c>
      <c r="H10" s="88">
        <f>IF(E10="","",INDEX(LevelLabels,MATCH(E10,LevelValues,1)))</f>
        <v/>
      </c>
      <c r="I10" s="40">
        <f>IF(OR(B10="",A10=""),"",B10&amp;"|"&amp;A10)</f>
        <v/>
      </c>
      <c r="J10" s="40">
        <f>IF(AND(B10&lt;&gt;"",B10=Prof_ID),COUNTIF($B$6:B10,Prof_ID),"")</f>
        <v/>
      </c>
    </row>
    <row r="11">
      <c r="A11" s="5" t="n">
        <v>46323</v>
      </c>
      <c r="B11" s="6" t="n">
        <v>26106</v>
      </c>
      <c r="C11" s="103">
        <f>IF(B11="","",IFERROR(INDEX(Stu_Name,MATCH(B11,Stu_ID,0)),"رقم غير موجود"))</f>
        <v/>
      </c>
      <c r="D11" s="88">
        <f>IF(B11="","",IFERROR(INDEX(Stu_Class,MATCH(B11,Stu_ID,0)),""))</f>
        <v/>
      </c>
      <c r="E11" s="88">
        <f>IF(OR(B11="",A11=""),"",IFERROR(COUNTIFS(INDEX(CHOOSE(INDEX(Stu_C,MATCH(B11,Stu_ID,0)),'KG1-1'!$AD$9:$IM$38,'KG1-2'!$AD$9:$IM$38,'KG1-3'!$AD$9:$IM$38,'KG1-4'!$AD$9:$IM$38,'KG1-5'!$AD$9:$IM$38,'KG1-6'!$AD$9:$IM$38,'KG1-7'!$AD$9:$IM$38),INDEX(Stu_I,MATCH(B11,Stu_ID,0)),0),"غياب بدون عذر",CHOOSE(INDEX(Stu_C,MATCH(B11,Stu_ID,0)),'KG1-1'!$AD$7:$IM$7,'KG1-2'!$AD$7:$IM$7,'KG1-3'!$AD$7:$IM$7,'KG1-4'!$AD$7:$IM$7,'KG1-5'!$AD$7:$IM$7,'KG1-6'!$AD$7:$IM$7,'KG1-7'!$AD$7:$IM$7),"✓",'KG1-1'!$AD$5:$IM$5,"&lt;="&amp;A11),""))</f>
        <v/>
      </c>
      <c r="F11" s="6" t="inlineStr">
        <is>
          <t>اجتماع ولي أمر</t>
        </is>
      </c>
      <c r="G11" s="108" t="inlineStr">
        <is>
          <t>اجتماع مع الوالد – ظروف عائلية، تم الاتفاق على خطة انتظام</t>
        </is>
      </c>
      <c r="H11" s="88">
        <f>IF(E11="","",INDEX(LevelLabels,MATCH(E11,LevelValues,1)))</f>
        <v/>
      </c>
      <c r="I11" s="40">
        <f>IF(OR(B11="",A11=""),"",B11&amp;"|"&amp;A11)</f>
        <v/>
      </c>
      <c r="J11" s="40">
        <f>IF(AND(B11&lt;&gt;"",B11=Prof_ID),COUNTIF($B$6:B11,Prof_ID),"")</f>
        <v/>
      </c>
    </row>
    <row r="12">
      <c r="A12" s="5" t="n"/>
      <c r="B12" s="6" t="n"/>
      <c r="C12" s="103">
        <f>IF(B12="","",IFERROR(INDEX(Stu_Name,MATCH(B12,Stu_ID,0)),"رقم غير موجود"))</f>
        <v/>
      </c>
      <c r="D12" s="88">
        <f>IF(B12="","",IFERROR(INDEX(Stu_Class,MATCH(B12,Stu_ID,0)),""))</f>
        <v/>
      </c>
      <c r="E12" s="88">
        <f>IF(OR(B12="",A12=""),"",IFERROR(COUNTIFS(INDEX(CHOOSE(INDEX(Stu_C,MATCH(B12,Stu_ID,0)),'KG1-1'!$AD$9:$IM$38,'KG1-2'!$AD$9:$IM$38,'KG1-3'!$AD$9:$IM$38,'KG1-4'!$AD$9:$IM$38,'KG1-5'!$AD$9:$IM$38,'KG1-6'!$AD$9:$IM$38,'KG1-7'!$AD$9:$IM$38),INDEX(Stu_I,MATCH(B12,Stu_ID,0)),0),"غياب بدون عذر",CHOOSE(INDEX(Stu_C,MATCH(B12,Stu_ID,0)),'KG1-1'!$AD$7:$IM$7,'KG1-2'!$AD$7:$IM$7,'KG1-3'!$AD$7:$IM$7,'KG1-4'!$AD$7:$IM$7,'KG1-5'!$AD$7:$IM$7,'KG1-6'!$AD$7:$IM$7,'KG1-7'!$AD$7:$IM$7),"✓",'KG1-1'!$AD$5:$IM$5,"&lt;="&amp;A12),""))</f>
        <v/>
      </c>
      <c r="F12" s="6" t="n"/>
      <c r="G12" s="108" t="n"/>
      <c r="H12" s="88">
        <f>IF(E12="","",INDEX(LevelLabels,MATCH(E12,LevelValues,1)))</f>
        <v/>
      </c>
      <c r="I12" s="40">
        <f>IF(OR(B12="",A12=""),"",B12&amp;"|"&amp;A12)</f>
        <v/>
      </c>
      <c r="J12" s="40">
        <f>IF(AND(B12&lt;&gt;"",B12=Prof_ID),COUNTIF($B$6:B12,Prof_ID),"")</f>
        <v/>
      </c>
    </row>
    <row r="13">
      <c r="A13" s="5" t="n"/>
      <c r="B13" s="6" t="n"/>
      <c r="C13" s="103">
        <f>IF(B13="","",IFERROR(INDEX(Stu_Name,MATCH(B13,Stu_ID,0)),"رقم غير موجود"))</f>
        <v/>
      </c>
      <c r="D13" s="88">
        <f>IF(B13="","",IFERROR(INDEX(Stu_Class,MATCH(B13,Stu_ID,0)),""))</f>
        <v/>
      </c>
      <c r="E13" s="88">
        <f>IF(OR(B13="",A13=""),"",IFERROR(COUNTIFS(INDEX(CHOOSE(INDEX(Stu_C,MATCH(B13,Stu_ID,0)),'KG1-1'!$AD$9:$IM$38,'KG1-2'!$AD$9:$IM$38,'KG1-3'!$AD$9:$IM$38,'KG1-4'!$AD$9:$IM$38,'KG1-5'!$AD$9:$IM$38,'KG1-6'!$AD$9:$IM$38,'KG1-7'!$AD$9:$IM$38),INDEX(Stu_I,MATCH(B13,Stu_ID,0)),0),"غياب بدون عذر",CHOOSE(INDEX(Stu_C,MATCH(B13,Stu_ID,0)),'KG1-1'!$AD$7:$IM$7,'KG1-2'!$AD$7:$IM$7,'KG1-3'!$AD$7:$IM$7,'KG1-4'!$AD$7:$IM$7,'KG1-5'!$AD$7:$IM$7,'KG1-6'!$AD$7:$IM$7,'KG1-7'!$AD$7:$IM$7),"✓",'KG1-1'!$AD$5:$IM$5,"&lt;="&amp;A13),""))</f>
        <v/>
      </c>
      <c r="F13" s="6" t="n"/>
      <c r="G13" s="108" t="n"/>
      <c r="H13" s="88">
        <f>IF(E13="","",INDEX(LevelLabels,MATCH(E13,LevelValues,1)))</f>
        <v/>
      </c>
      <c r="I13" s="40">
        <f>IF(OR(B13="",A13=""),"",B13&amp;"|"&amp;A13)</f>
        <v/>
      </c>
      <c r="J13" s="40">
        <f>IF(AND(B13&lt;&gt;"",B13=Prof_ID),COUNTIF($B$6:B13,Prof_ID),"")</f>
        <v/>
      </c>
    </row>
    <row r="14">
      <c r="A14" s="5" t="n"/>
      <c r="B14" s="6" t="n"/>
      <c r="C14" s="103">
        <f>IF(B14="","",IFERROR(INDEX(Stu_Name,MATCH(B14,Stu_ID,0)),"رقم غير موجود"))</f>
        <v/>
      </c>
      <c r="D14" s="88">
        <f>IF(B14="","",IFERROR(INDEX(Stu_Class,MATCH(B14,Stu_ID,0)),""))</f>
        <v/>
      </c>
      <c r="E14" s="88">
        <f>IF(OR(B14="",A14=""),"",IFERROR(COUNTIFS(INDEX(CHOOSE(INDEX(Stu_C,MATCH(B14,Stu_ID,0)),'KG1-1'!$AD$9:$IM$38,'KG1-2'!$AD$9:$IM$38,'KG1-3'!$AD$9:$IM$38,'KG1-4'!$AD$9:$IM$38,'KG1-5'!$AD$9:$IM$38,'KG1-6'!$AD$9:$IM$38,'KG1-7'!$AD$9:$IM$38),INDEX(Stu_I,MATCH(B14,Stu_ID,0)),0),"غياب بدون عذر",CHOOSE(INDEX(Stu_C,MATCH(B14,Stu_ID,0)),'KG1-1'!$AD$7:$IM$7,'KG1-2'!$AD$7:$IM$7,'KG1-3'!$AD$7:$IM$7,'KG1-4'!$AD$7:$IM$7,'KG1-5'!$AD$7:$IM$7,'KG1-6'!$AD$7:$IM$7,'KG1-7'!$AD$7:$IM$7),"✓",'KG1-1'!$AD$5:$IM$5,"&lt;="&amp;A14),""))</f>
        <v/>
      </c>
      <c r="F14" s="6" t="n"/>
      <c r="G14" s="108" t="n"/>
      <c r="H14" s="88">
        <f>IF(E14="","",INDEX(LevelLabels,MATCH(E14,LevelValues,1)))</f>
        <v/>
      </c>
      <c r="I14" s="40">
        <f>IF(OR(B14="",A14=""),"",B14&amp;"|"&amp;A14)</f>
        <v/>
      </c>
      <c r="J14" s="40">
        <f>IF(AND(B14&lt;&gt;"",B14=Prof_ID),COUNTIF($B$6:B14,Prof_ID),"")</f>
        <v/>
      </c>
    </row>
    <row r="15">
      <c r="A15" s="5" t="n"/>
      <c r="B15" s="6" t="n"/>
      <c r="C15" s="103">
        <f>IF(B15="","",IFERROR(INDEX(Stu_Name,MATCH(B15,Stu_ID,0)),"رقم غير موجود"))</f>
        <v/>
      </c>
      <c r="D15" s="88">
        <f>IF(B15="","",IFERROR(INDEX(Stu_Class,MATCH(B15,Stu_ID,0)),""))</f>
        <v/>
      </c>
      <c r="E15" s="88">
        <f>IF(OR(B15="",A15=""),"",IFERROR(COUNTIFS(INDEX(CHOOSE(INDEX(Stu_C,MATCH(B15,Stu_ID,0)),'KG1-1'!$AD$9:$IM$38,'KG1-2'!$AD$9:$IM$38,'KG1-3'!$AD$9:$IM$38,'KG1-4'!$AD$9:$IM$38,'KG1-5'!$AD$9:$IM$38,'KG1-6'!$AD$9:$IM$38,'KG1-7'!$AD$9:$IM$38),INDEX(Stu_I,MATCH(B15,Stu_ID,0)),0),"غياب بدون عذر",CHOOSE(INDEX(Stu_C,MATCH(B15,Stu_ID,0)),'KG1-1'!$AD$7:$IM$7,'KG1-2'!$AD$7:$IM$7,'KG1-3'!$AD$7:$IM$7,'KG1-4'!$AD$7:$IM$7,'KG1-5'!$AD$7:$IM$7,'KG1-6'!$AD$7:$IM$7,'KG1-7'!$AD$7:$IM$7),"✓",'KG1-1'!$AD$5:$IM$5,"&lt;="&amp;A15),""))</f>
        <v/>
      </c>
      <c r="F15" s="6" t="n"/>
      <c r="G15" s="108" t="n"/>
      <c r="H15" s="88">
        <f>IF(E15="","",INDEX(LevelLabels,MATCH(E15,LevelValues,1)))</f>
        <v/>
      </c>
      <c r="I15" s="40">
        <f>IF(OR(B15="",A15=""),"",B15&amp;"|"&amp;A15)</f>
        <v/>
      </c>
      <c r="J15" s="40">
        <f>IF(AND(B15&lt;&gt;"",B15=Prof_ID),COUNTIF($B$6:B15,Prof_ID),"")</f>
        <v/>
      </c>
    </row>
    <row r="16">
      <c r="A16" s="5" t="n"/>
      <c r="B16" s="6" t="n"/>
      <c r="C16" s="103">
        <f>IF(B16="","",IFERROR(INDEX(Stu_Name,MATCH(B16,Stu_ID,0)),"رقم غير موجود"))</f>
        <v/>
      </c>
      <c r="D16" s="88">
        <f>IF(B16="","",IFERROR(INDEX(Stu_Class,MATCH(B16,Stu_ID,0)),""))</f>
        <v/>
      </c>
      <c r="E16" s="88">
        <f>IF(OR(B16="",A16=""),"",IFERROR(COUNTIFS(INDEX(CHOOSE(INDEX(Stu_C,MATCH(B16,Stu_ID,0)),'KG1-1'!$AD$9:$IM$38,'KG1-2'!$AD$9:$IM$38,'KG1-3'!$AD$9:$IM$38,'KG1-4'!$AD$9:$IM$38,'KG1-5'!$AD$9:$IM$38,'KG1-6'!$AD$9:$IM$38,'KG1-7'!$AD$9:$IM$38),INDEX(Stu_I,MATCH(B16,Stu_ID,0)),0),"غياب بدون عذر",CHOOSE(INDEX(Stu_C,MATCH(B16,Stu_ID,0)),'KG1-1'!$AD$7:$IM$7,'KG1-2'!$AD$7:$IM$7,'KG1-3'!$AD$7:$IM$7,'KG1-4'!$AD$7:$IM$7,'KG1-5'!$AD$7:$IM$7,'KG1-6'!$AD$7:$IM$7,'KG1-7'!$AD$7:$IM$7),"✓",'KG1-1'!$AD$5:$IM$5,"&lt;="&amp;A16),""))</f>
        <v/>
      </c>
      <c r="F16" s="6" t="n"/>
      <c r="G16" s="108" t="n"/>
      <c r="H16" s="88">
        <f>IF(E16="","",INDEX(LevelLabels,MATCH(E16,LevelValues,1)))</f>
        <v/>
      </c>
      <c r="I16" s="40">
        <f>IF(OR(B16="",A16=""),"",B16&amp;"|"&amp;A16)</f>
        <v/>
      </c>
      <c r="J16" s="40">
        <f>IF(AND(B16&lt;&gt;"",B16=Prof_ID),COUNTIF($B$6:B16,Prof_ID),"")</f>
        <v/>
      </c>
    </row>
    <row r="17">
      <c r="A17" s="5" t="n"/>
      <c r="B17" s="6" t="n"/>
      <c r="C17" s="103">
        <f>IF(B17="","",IFERROR(INDEX(Stu_Name,MATCH(B17,Stu_ID,0)),"رقم غير موجود"))</f>
        <v/>
      </c>
      <c r="D17" s="88">
        <f>IF(B17="","",IFERROR(INDEX(Stu_Class,MATCH(B17,Stu_ID,0)),""))</f>
        <v/>
      </c>
      <c r="E17" s="88">
        <f>IF(OR(B17="",A17=""),"",IFERROR(COUNTIFS(INDEX(CHOOSE(INDEX(Stu_C,MATCH(B17,Stu_ID,0)),'KG1-1'!$AD$9:$IM$38,'KG1-2'!$AD$9:$IM$38,'KG1-3'!$AD$9:$IM$38,'KG1-4'!$AD$9:$IM$38,'KG1-5'!$AD$9:$IM$38,'KG1-6'!$AD$9:$IM$38,'KG1-7'!$AD$9:$IM$38),INDEX(Stu_I,MATCH(B17,Stu_ID,0)),0),"غياب بدون عذر",CHOOSE(INDEX(Stu_C,MATCH(B17,Stu_ID,0)),'KG1-1'!$AD$7:$IM$7,'KG1-2'!$AD$7:$IM$7,'KG1-3'!$AD$7:$IM$7,'KG1-4'!$AD$7:$IM$7,'KG1-5'!$AD$7:$IM$7,'KG1-6'!$AD$7:$IM$7,'KG1-7'!$AD$7:$IM$7),"✓",'KG1-1'!$AD$5:$IM$5,"&lt;="&amp;A17),""))</f>
        <v/>
      </c>
      <c r="F17" s="6" t="n"/>
      <c r="G17" s="108" t="n"/>
      <c r="H17" s="88">
        <f>IF(E17="","",INDEX(LevelLabels,MATCH(E17,LevelValues,1)))</f>
        <v/>
      </c>
      <c r="I17" s="40">
        <f>IF(OR(B17="",A17=""),"",B17&amp;"|"&amp;A17)</f>
        <v/>
      </c>
      <c r="J17" s="40">
        <f>IF(AND(B17&lt;&gt;"",B17=Prof_ID),COUNTIF($B$6:B17,Prof_ID),"")</f>
        <v/>
      </c>
    </row>
    <row r="18">
      <c r="A18" s="5" t="n"/>
      <c r="B18" s="6" t="n"/>
      <c r="C18" s="103">
        <f>IF(B18="","",IFERROR(INDEX(Stu_Name,MATCH(B18,Stu_ID,0)),"رقم غير موجود"))</f>
        <v/>
      </c>
      <c r="D18" s="88">
        <f>IF(B18="","",IFERROR(INDEX(Stu_Class,MATCH(B18,Stu_ID,0)),""))</f>
        <v/>
      </c>
      <c r="E18" s="88">
        <f>IF(OR(B18="",A18=""),"",IFERROR(COUNTIFS(INDEX(CHOOSE(INDEX(Stu_C,MATCH(B18,Stu_ID,0)),'KG1-1'!$AD$9:$IM$38,'KG1-2'!$AD$9:$IM$38,'KG1-3'!$AD$9:$IM$38,'KG1-4'!$AD$9:$IM$38,'KG1-5'!$AD$9:$IM$38,'KG1-6'!$AD$9:$IM$38,'KG1-7'!$AD$9:$IM$38),INDEX(Stu_I,MATCH(B18,Stu_ID,0)),0),"غياب بدون عذر",CHOOSE(INDEX(Stu_C,MATCH(B18,Stu_ID,0)),'KG1-1'!$AD$7:$IM$7,'KG1-2'!$AD$7:$IM$7,'KG1-3'!$AD$7:$IM$7,'KG1-4'!$AD$7:$IM$7,'KG1-5'!$AD$7:$IM$7,'KG1-6'!$AD$7:$IM$7,'KG1-7'!$AD$7:$IM$7),"✓",'KG1-1'!$AD$5:$IM$5,"&lt;="&amp;A18),""))</f>
        <v/>
      </c>
      <c r="F18" s="6" t="n"/>
      <c r="G18" s="108" t="n"/>
      <c r="H18" s="88">
        <f>IF(E18="","",INDEX(LevelLabels,MATCH(E18,LevelValues,1)))</f>
        <v/>
      </c>
      <c r="I18" s="40">
        <f>IF(OR(B18="",A18=""),"",B18&amp;"|"&amp;A18)</f>
        <v/>
      </c>
      <c r="J18" s="40">
        <f>IF(AND(B18&lt;&gt;"",B18=Prof_ID),COUNTIF($B$6:B18,Prof_ID),"")</f>
        <v/>
      </c>
    </row>
    <row r="19">
      <c r="A19" s="5" t="n"/>
      <c r="B19" s="6" t="n"/>
      <c r="C19" s="103">
        <f>IF(B19="","",IFERROR(INDEX(Stu_Name,MATCH(B19,Stu_ID,0)),"رقم غير موجود"))</f>
        <v/>
      </c>
      <c r="D19" s="88">
        <f>IF(B19="","",IFERROR(INDEX(Stu_Class,MATCH(B19,Stu_ID,0)),""))</f>
        <v/>
      </c>
      <c r="E19" s="88">
        <f>IF(OR(B19="",A19=""),"",IFERROR(COUNTIFS(INDEX(CHOOSE(INDEX(Stu_C,MATCH(B19,Stu_ID,0)),'KG1-1'!$AD$9:$IM$38,'KG1-2'!$AD$9:$IM$38,'KG1-3'!$AD$9:$IM$38,'KG1-4'!$AD$9:$IM$38,'KG1-5'!$AD$9:$IM$38,'KG1-6'!$AD$9:$IM$38,'KG1-7'!$AD$9:$IM$38),INDEX(Stu_I,MATCH(B19,Stu_ID,0)),0),"غياب بدون عذر",CHOOSE(INDEX(Stu_C,MATCH(B19,Stu_ID,0)),'KG1-1'!$AD$7:$IM$7,'KG1-2'!$AD$7:$IM$7,'KG1-3'!$AD$7:$IM$7,'KG1-4'!$AD$7:$IM$7,'KG1-5'!$AD$7:$IM$7,'KG1-6'!$AD$7:$IM$7,'KG1-7'!$AD$7:$IM$7),"✓",'KG1-1'!$AD$5:$IM$5,"&lt;="&amp;A19),""))</f>
        <v/>
      </c>
      <c r="F19" s="6" t="n"/>
      <c r="G19" s="108" t="n"/>
      <c r="H19" s="88">
        <f>IF(E19="","",INDEX(LevelLabels,MATCH(E19,LevelValues,1)))</f>
        <v/>
      </c>
      <c r="I19" s="40">
        <f>IF(OR(B19="",A19=""),"",B19&amp;"|"&amp;A19)</f>
        <v/>
      </c>
      <c r="J19" s="40">
        <f>IF(AND(B19&lt;&gt;"",B19=Prof_ID),COUNTIF($B$6:B19,Prof_ID),"")</f>
        <v/>
      </c>
    </row>
    <row r="20">
      <c r="A20" s="5" t="n"/>
      <c r="B20" s="6" t="n"/>
      <c r="C20" s="103">
        <f>IF(B20="","",IFERROR(INDEX(Stu_Name,MATCH(B20,Stu_ID,0)),"رقم غير موجود"))</f>
        <v/>
      </c>
      <c r="D20" s="88">
        <f>IF(B20="","",IFERROR(INDEX(Stu_Class,MATCH(B20,Stu_ID,0)),""))</f>
        <v/>
      </c>
      <c r="E20" s="88">
        <f>IF(OR(B20="",A20=""),"",IFERROR(COUNTIFS(INDEX(CHOOSE(INDEX(Stu_C,MATCH(B20,Stu_ID,0)),'KG1-1'!$AD$9:$IM$38,'KG1-2'!$AD$9:$IM$38,'KG1-3'!$AD$9:$IM$38,'KG1-4'!$AD$9:$IM$38,'KG1-5'!$AD$9:$IM$38,'KG1-6'!$AD$9:$IM$38,'KG1-7'!$AD$9:$IM$38),INDEX(Stu_I,MATCH(B20,Stu_ID,0)),0),"غياب بدون عذر",CHOOSE(INDEX(Stu_C,MATCH(B20,Stu_ID,0)),'KG1-1'!$AD$7:$IM$7,'KG1-2'!$AD$7:$IM$7,'KG1-3'!$AD$7:$IM$7,'KG1-4'!$AD$7:$IM$7,'KG1-5'!$AD$7:$IM$7,'KG1-6'!$AD$7:$IM$7,'KG1-7'!$AD$7:$IM$7),"✓",'KG1-1'!$AD$5:$IM$5,"&lt;="&amp;A20),""))</f>
        <v/>
      </c>
      <c r="F20" s="6" t="n"/>
      <c r="G20" s="108" t="n"/>
      <c r="H20" s="88">
        <f>IF(E20="","",INDEX(LevelLabels,MATCH(E20,LevelValues,1)))</f>
        <v/>
      </c>
      <c r="I20" s="40">
        <f>IF(OR(B20="",A20=""),"",B20&amp;"|"&amp;A20)</f>
        <v/>
      </c>
      <c r="J20" s="40">
        <f>IF(AND(B20&lt;&gt;"",B20=Prof_ID),COUNTIF($B$6:B20,Prof_ID),"")</f>
        <v/>
      </c>
    </row>
    <row r="21">
      <c r="A21" s="5" t="n"/>
      <c r="B21" s="6" t="n"/>
      <c r="C21" s="103">
        <f>IF(B21="","",IFERROR(INDEX(Stu_Name,MATCH(B21,Stu_ID,0)),"رقم غير موجود"))</f>
        <v/>
      </c>
      <c r="D21" s="88">
        <f>IF(B21="","",IFERROR(INDEX(Stu_Class,MATCH(B21,Stu_ID,0)),""))</f>
        <v/>
      </c>
      <c r="E21" s="88">
        <f>IF(OR(B21="",A21=""),"",IFERROR(COUNTIFS(INDEX(CHOOSE(INDEX(Stu_C,MATCH(B21,Stu_ID,0)),'KG1-1'!$AD$9:$IM$38,'KG1-2'!$AD$9:$IM$38,'KG1-3'!$AD$9:$IM$38,'KG1-4'!$AD$9:$IM$38,'KG1-5'!$AD$9:$IM$38,'KG1-6'!$AD$9:$IM$38,'KG1-7'!$AD$9:$IM$38),INDEX(Stu_I,MATCH(B21,Stu_ID,0)),0),"غياب بدون عذر",CHOOSE(INDEX(Stu_C,MATCH(B21,Stu_ID,0)),'KG1-1'!$AD$7:$IM$7,'KG1-2'!$AD$7:$IM$7,'KG1-3'!$AD$7:$IM$7,'KG1-4'!$AD$7:$IM$7,'KG1-5'!$AD$7:$IM$7,'KG1-6'!$AD$7:$IM$7,'KG1-7'!$AD$7:$IM$7),"✓",'KG1-1'!$AD$5:$IM$5,"&lt;="&amp;A21),""))</f>
        <v/>
      </c>
      <c r="F21" s="6" t="n"/>
      <c r="G21" s="108" t="n"/>
      <c r="H21" s="88">
        <f>IF(E21="","",INDEX(LevelLabels,MATCH(E21,LevelValues,1)))</f>
        <v/>
      </c>
      <c r="I21" s="40">
        <f>IF(OR(B21="",A21=""),"",B21&amp;"|"&amp;A21)</f>
        <v/>
      </c>
      <c r="J21" s="40">
        <f>IF(AND(B21&lt;&gt;"",B21=Prof_ID),COUNTIF($B$6:B21,Prof_ID),"")</f>
        <v/>
      </c>
    </row>
    <row r="22">
      <c r="A22" s="5" t="n"/>
      <c r="B22" s="6" t="n"/>
      <c r="C22" s="103">
        <f>IF(B22="","",IFERROR(INDEX(Stu_Name,MATCH(B22,Stu_ID,0)),"رقم غير موجود"))</f>
        <v/>
      </c>
      <c r="D22" s="88">
        <f>IF(B22="","",IFERROR(INDEX(Stu_Class,MATCH(B22,Stu_ID,0)),""))</f>
        <v/>
      </c>
      <c r="E22" s="88">
        <f>IF(OR(B22="",A22=""),"",IFERROR(COUNTIFS(INDEX(CHOOSE(INDEX(Stu_C,MATCH(B22,Stu_ID,0)),'KG1-1'!$AD$9:$IM$38,'KG1-2'!$AD$9:$IM$38,'KG1-3'!$AD$9:$IM$38,'KG1-4'!$AD$9:$IM$38,'KG1-5'!$AD$9:$IM$38,'KG1-6'!$AD$9:$IM$38,'KG1-7'!$AD$9:$IM$38),INDEX(Stu_I,MATCH(B22,Stu_ID,0)),0),"غياب بدون عذر",CHOOSE(INDEX(Stu_C,MATCH(B22,Stu_ID,0)),'KG1-1'!$AD$7:$IM$7,'KG1-2'!$AD$7:$IM$7,'KG1-3'!$AD$7:$IM$7,'KG1-4'!$AD$7:$IM$7,'KG1-5'!$AD$7:$IM$7,'KG1-6'!$AD$7:$IM$7,'KG1-7'!$AD$7:$IM$7),"✓",'KG1-1'!$AD$5:$IM$5,"&lt;="&amp;A22),""))</f>
        <v/>
      </c>
      <c r="F22" s="6" t="n"/>
      <c r="G22" s="108" t="n"/>
      <c r="H22" s="88">
        <f>IF(E22="","",INDEX(LevelLabels,MATCH(E22,LevelValues,1)))</f>
        <v/>
      </c>
      <c r="I22" s="40">
        <f>IF(OR(B22="",A22=""),"",B22&amp;"|"&amp;A22)</f>
        <v/>
      </c>
      <c r="J22" s="40">
        <f>IF(AND(B22&lt;&gt;"",B22=Prof_ID),COUNTIF($B$6:B22,Prof_ID),"")</f>
        <v/>
      </c>
    </row>
    <row r="23">
      <c r="A23" s="5" t="n"/>
      <c r="B23" s="6" t="n"/>
      <c r="C23" s="103">
        <f>IF(B23="","",IFERROR(INDEX(Stu_Name,MATCH(B23,Stu_ID,0)),"رقم غير موجود"))</f>
        <v/>
      </c>
      <c r="D23" s="88">
        <f>IF(B23="","",IFERROR(INDEX(Stu_Class,MATCH(B23,Stu_ID,0)),""))</f>
        <v/>
      </c>
      <c r="E23" s="88">
        <f>IF(OR(B23="",A23=""),"",IFERROR(COUNTIFS(INDEX(CHOOSE(INDEX(Stu_C,MATCH(B23,Stu_ID,0)),'KG1-1'!$AD$9:$IM$38,'KG1-2'!$AD$9:$IM$38,'KG1-3'!$AD$9:$IM$38,'KG1-4'!$AD$9:$IM$38,'KG1-5'!$AD$9:$IM$38,'KG1-6'!$AD$9:$IM$38,'KG1-7'!$AD$9:$IM$38),INDEX(Stu_I,MATCH(B23,Stu_ID,0)),0),"غياب بدون عذر",CHOOSE(INDEX(Stu_C,MATCH(B23,Stu_ID,0)),'KG1-1'!$AD$7:$IM$7,'KG1-2'!$AD$7:$IM$7,'KG1-3'!$AD$7:$IM$7,'KG1-4'!$AD$7:$IM$7,'KG1-5'!$AD$7:$IM$7,'KG1-6'!$AD$7:$IM$7,'KG1-7'!$AD$7:$IM$7),"✓",'KG1-1'!$AD$5:$IM$5,"&lt;="&amp;A23),""))</f>
        <v/>
      </c>
      <c r="F23" s="6" t="n"/>
      <c r="G23" s="108" t="n"/>
      <c r="H23" s="88">
        <f>IF(E23="","",INDEX(LevelLabels,MATCH(E23,LevelValues,1)))</f>
        <v/>
      </c>
      <c r="I23" s="40">
        <f>IF(OR(B23="",A23=""),"",B23&amp;"|"&amp;A23)</f>
        <v/>
      </c>
      <c r="J23" s="40">
        <f>IF(AND(B23&lt;&gt;"",B23=Prof_ID),COUNTIF($B$6:B23,Prof_ID),"")</f>
        <v/>
      </c>
    </row>
    <row r="24">
      <c r="A24" s="5" t="n"/>
      <c r="B24" s="6" t="n"/>
      <c r="C24" s="103">
        <f>IF(B24="","",IFERROR(INDEX(Stu_Name,MATCH(B24,Stu_ID,0)),"رقم غير موجود"))</f>
        <v/>
      </c>
      <c r="D24" s="88">
        <f>IF(B24="","",IFERROR(INDEX(Stu_Class,MATCH(B24,Stu_ID,0)),""))</f>
        <v/>
      </c>
      <c r="E24" s="88">
        <f>IF(OR(B24="",A24=""),"",IFERROR(COUNTIFS(INDEX(CHOOSE(INDEX(Stu_C,MATCH(B24,Stu_ID,0)),'KG1-1'!$AD$9:$IM$38,'KG1-2'!$AD$9:$IM$38,'KG1-3'!$AD$9:$IM$38,'KG1-4'!$AD$9:$IM$38,'KG1-5'!$AD$9:$IM$38,'KG1-6'!$AD$9:$IM$38,'KG1-7'!$AD$9:$IM$38),INDEX(Stu_I,MATCH(B24,Stu_ID,0)),0),"غياب بدون عذر",CHOOSE(INDEX(Stu_C,MATCH(B24,Stu_ID,0)),'KG1-1'!$AD$7:$IM$7,'KG1-2'!$AD$7:$IM$7,'KG1-3'!$AD$7:$IM$7,'KG1-4'!$AD$7:$IM$7,'KG1-5'!$AD$7:$IM$7,'KG1-6'!$AD$7:$IM$7,'KG1-7'!$AD$7:$IM$7),"✓",'KG1-1'!$AD$5:$IM$5,"&lt;="&amp;A24),""))</f>
        <v/>
      </c>
      <c r="F24" s="6" t="n"/>
      <c r="G24" s="108" t="n"/>
      <c r="H24" s="88">
        <f>IF(E24="","",INDEX(LevelLabels,MATCH(E24,LevelValues,1)))</f>
        <v/>
      </c>
      <c r="I24" s="40">
        <f>IF(OR(B24="",A24=""),"",B24&amp;"|"&amp;A24)</f>
        <v/>
      </c>
      <c r="J24" s="40">
        <f>IF(AND(B24&lt;&gt;"",B24=Prof_ID),COUNTIF($B$6:B24,Prof_ID),"")</f>
        <v/>
      </c>
    </row>
    <row r="25">
      <c r="A25" s="5" t="n"/>
      <c r="B25" s="6" t="n"/>
      <c r="C25" s="103">
        <f>IF(B25="","",IFERROR(INDEX(Stu_Name,MATCH(B25,Stu_ID,0)),"رقم غير موجود"))</f>
        <v/>
      </c>
      <c r="D25" s="88">
        <f>IF(B25="","",IFERROR(INDEX(Stu_Class,MATCH(B25,Stu_ID,0)),""))</f>
        <v/>
      </c>
      <c r="E25" s="88">
        <f>IF(OR(B25="",A25=""),"",IFERROR(COUNTIFS(INDEX(CHOOSE(INDEX(Stu_C,MATCH(B25,Stu_ID,0)),'KG1-1'!$AD$9:$IM$38,'KG1-2'!$AD$9:$IM$38,'KG1-3'!$AD$9:$IM$38,'KG1-4'!$AD$9:$IM$38,'KG1-5'!$AD$9:$IM$38,'KG1-6'!$AD$9:$IM$38,'KG1-7'!$AD$9:$IM$38),INDEX(Stu_I,MATCH(B25,Stu_ID,0)),0),"غياب بدون عذر",CHOOSE(INDEX(Stu_C,MATCH(B25,Stu_ID,0)),'KG1-1'!$AD$7:$IM$7,'KG1-2'!$AD$7:$IM$7,'KG1-3'!$AD$7:$IM$7,'KG1-4'!$AD$7:$IM$7,'KG1-5'!$AD$7:$IM$7,'KG1-6'!$AD$7:$IM$7,'KG1-7'!$AD$7:$IM$7),"✓",'KG1-1'!$AD$5:$IM$5,"&lt;="&amp;A25),""))</f>
        <v/>
      </c>
      <c r="F25" s="6" t="n"/>
      <c r="G25" s="108" t="n"/>
      <c r="H25" s="88">
        <f>IF(E25="","",INDEX(LevelLabels,MATCH(E25,LevelValues,1)))</f>
        <v/>
      </c>
      <c r="I25" s="40">
        <f>IF(OR(B25="",A25=""),"",B25&amp;"|"&amp;A25)</f>
        <v/>
      </c>
      <c r="J25" s="40">
        <f>IF(AND(B25&lt;&gt;"",B25=Prof_ID),COUNTIF($B$6:B25,Prof_ID),"")</f>
        <v/>
      </c>
    </row>
    <row r="26">
      <c r="A26" s="5" t="n"/>
      <c r="B26" s="6" t="n"/>
      <c r="C26" s="103">
        <f>IF(B26="","",IFERROR(INDEX(Stu_Name,MATCH(B26,Stu_ID,0)),"رقم غير موجود"))</f>
        <v/>
      </c>
      <c r="D26" s="88">
        <f>IF(B26="","",IFERROR(INDEX(Stu_Class,MATCH(B26,Stu_ID,0)),""))</f>
        <v/>
      </c>
      <c r="E26" s="88">
        <f>IF(OR(B26="",A26=""),"",IFERROR(COUNTIFS(INDEX(CHOOSE(INDEX(Stu_C,MATCH(B26,Stu_ID,0)),'KG1-1'!$AD$9:$IM$38,'KG1-2'!$AD$9:$IM$38,'KG1-3'!$AD$9:$IM$38,'KG1-4'!$AD$9:$IM$38,'KG1-5'!$AD$9:$IM$38,'KG1-6'!$AD$9:$IM$38,'KG1-7'!$AD$9:$IM$38),INDEX(Stu_I,MATCH(B26,Stu_ID,0)),0),"غياب بدون عذر",CHOOSE(INDEX(Stu_C,MATCH(B26,Stu_ID,0)),'KG1-1'!$AD$7:$IM$7,'KG1-2'!$AD$7:$IM$7,'KG1-3'!$AD$7:$IM$7,'KG1-4'!$AD$7:$IM$7,'KG1-5'!$AD$7:$IM$7,'KG1-6'!$AD$7:$IM$7,'KG1-7'!$AD$7:$IM$7),"✓",'KG1-1'!$AD$5:$IM$5,"&lt;="&amp;A26),""))</f>
        <v/>
      </c>
      <c r="F26" s="6" t="n"/>
      <c r="G26" s="108" t="n"/>
      <c r="H26" s="88">
        <f>IF(E26="","",INDEX(LevelLabels,MATCH(E26,LevelValues,1)))</f>
        <v/>
      </c>
      <c r="I26" s="40">
        <f>IF(OR(B26="",A26=""),"",B26&amp;"|"&amp;A26)</f>
        <v/>
      </c>
      <c r="J26" s="40">
        <f>IF(AND(B26&lt;&gt;"",B26=Prof_ID),COUNTIF($B$6:B26,Prof_ID),"")</f>
        <v/>
      </c>
    </row>
    <row r="27">
      <c r="A27" s="5" t="n"/>
      <c r="B27" s="6" t="n"/>
      <c r="C27" s="103">
        <f>IF(B27="","",IFERROR(INDEX(Stu_Name,MATCH(B27,Stu_ID,0)),"رقم غير موجود"))</f>
        <v/>
      </c>
      <c r="D27" s="88">
        <f>IF(B27="","",IFERROR(INDEX(Stu_Class,MATCH(B27,Stu_ID,0)),""))</f>
        <v/>
      </c>
      <c r="E27" s="88">
        <f>IF(OR(B27="",A27=""),"",IFERROR(COUNTIFS(INDEX(CHOOSE(INDEX(Stu_C,MATCH(B27,Stu_ID,0)),'KG1-1'!$AD$9:$IM$38,'KG1-2'!$AD$9:$IM$38,'KG1-3'!$AD$9:$IM$38,'KG1-4'!$AD$9:$IM$38,'KG1-5'!$AD$9:$IM$38,'KG1-6'!$AD$9:$IM$38,'KG1-7'!$AD$9:$IM$38),INDEX(Stu_I,MATCH(B27,Stu_ID,0)),0),"غياب بدون عذر",CHOOSE(INDEX(Stu_C,MATCH(B27,Stu_ID,0)),'KG1-1'!$AD$7:$IM$7,'KG1-2'!$AD$7:$IM$7,'KG1-3'!$AD$7:$IM$7,'KG1-4'!$AD$7:$IM$7,'KG1-5'!$AD$7:$IM$7,'KG1-6'!$AD$7:$IM$7,'KG1-7'!$AD$7:$IM$7),"✓",'KG1-1'!$AD$5:$IM$5,"&lt;="&amp;A27),""))</f>
        <v/>
      </c>
      <c r="F27" s="6" t="n"/>
      <c r="G27" s="108" t="n"/>
      <c r="H27" s="88">
        <f>IF(E27="","",INDEX(LevelLabels,MATCH(E27,LevelValues,1)))</f>
        <v/>
      </c>
      <c r="I27" s="40">
        <f>IF(OR(B27="",A27=""),"",B27&amp;"|"&amp;A27)</f>
        <v/>
      </c>
      <c r="J27" s="40">
        <f>IF(AND(B27&lt;&gt;"",B27=Prof_ID),COUNTIF($B$6:B27,Prof_ID),"")</f>
        <v/>
      </c>
    </row>
    <row r="28">
      <c r="A28" s="5" t="n"/>
      <c r="B28" s="6" t="n"/>
      <c r="C28" s="103">
        <f>IF(B28="","",IFERROR(INDEX(Stu_Name,MATCH(B28,Stu_ID,0)),"رقم غير موجود"))</f>
        <v/>
      </c>
      <c r="D28" s="88">
        <f>IF(B28="","",IFERROR(INDEX(Stu_Class,MATCH(B28,Stu_ID,0)),""))</f>
        <v/>
      </c>
      <c r="E28" s="88">
        <f>IF(OR(B28="",A28=""),"",IFERROR(COUNTIFS(INDEX(CHOOSE(INDEX(Stu_C,MATCH(B28,Stu_ID,0)),'KG1-1'!$AD$9:$IM$38,'KG1-2'!$AD$9:$IM$38,'KG1-3'!$AD$9:$IM$38,'KG1-4'!$AD$9:$IM$38,'KG1-5'!$AD$9:$IM$38,'KG1-6'!$AD$9:$IM$38,'KG1-7'!$AD$9:$IM$38),INDEX(Stu_I,MATCH(B28,Stu_ID,0)),0),"غياب بدون عذر",CHOOSE(INDEX(Stu_C,MATCH(B28,Stu_ID,0)),'KG1-1'!$AD$7:$IM$7,'KG1-2'!$AD$7:$IM$7,'KG1-3'!$AD$7:$IM$7,'KG1-4'!$AD$7:$IM$7,'KG1-5'!$AD$7:$IM$7,'KG1-6'!$AD$7:$IM$7,'KG1-7'!$AD$7:$IM$7),"✓",'KG1-1'!$AD$5:$IM$5,"&lt;="&amp;A28),""))</f>
        <v/>
      </c>
      <c r="F28" s="6" t="n"/>
      <c r="G28" s="108" t="n"/>
      <c r="H28" s="88">
        <f>IF(E28="","",INDEX(LevelLabels,MATCH(E28,LevelValues,1)))</f>
        <v/>
      </c>
      <c r="I28" s="40">
        <f>IF(OR(B28="",A28=""),"",B28&amp;"|"&amp;A28)</f>
        <v/>
      </c>
      <c r="J28" s="40">
        <f>IF(AND(B28&lt;&gt;"",B28=Prof_ID),COUNTIF($B$6:B28,Prof_ID),"")</f>
        <v/>
      </c>
    </row>
    <row r="29">
      <c r="A29" s="5" t="n"/>
      <c r="B29" s="6" t="n"/>
      <c r="C29" s="103">
        <f>IF(B29="","",IFERROR(INDEX(Stu_Name,MATCH(B29,Stu_ID,0)),"رقم غير موجود"))</f>
        <v/>
      </c>
      <c r="D29" s="88">
        <f>IF(B29="","",IFERROR(INDEX(Stu_Class,MATCH(B29,Stu_ID,0)),""))</f>
        <v/>
      </c>
      <c r="E29" s="88">
        <f>IF(OR(B29="",A29=""),"",IFERROR(COUNTIFS(INDEX(CHOOSE(INDEX(Stu_C,MATCH(B29,Stu_ID,0)),'KG1-1'!$AD$9:$IM$38,'KG1-2'!$AD$9:$IM$38,'KG1-3'!$AD$9:$IM$38,'KG1-4'!$AD$9:$IM$38,'KG1-5'!$AD$9:$IM$38,'KG1-6'!$AD$9:$IM$38,'KG1-7'!$AD$9:$IM$38),INDEX(Stu_I,MATCH(B29,Stu_ID,0)),0),"غياب بدون عذر",CHOOSE(INDEX(Stu_C,MATCH(B29,Stu_ID,0)),'KG1-1'!$AD$7:$IM$7,'KG1-2'!$AD$7:$IM$7,'KG1-3'!$AD$7:$IM$7,'KG1-4'!$AD$7:$IM$7,'KG1-5'!$AD$7:$IM$7,'KG1-6'!$AD$7:$IM$7,'KG1-7'!$AD$7:$IM$7),"✓",'KG1-1'!$AD$5:$IM$5,"&lt;="&amp;A29),""))</f>
        <v/>
      </c>
      <c r="F29" s="6" t="n"/>
      <c r="G29" s="108" t="n"/>
      <c r="H29" s="88">
        <f>IF(E29="","",INDEX(LevelLabels,MATCH(E29,LevelValues,1)))</f>
        <v/>
      </c>
      <c r="I29" s="40">
        <f>IF(OR(B29="",A29=""),"",B29&amp;"|"&amp;A29)</f>
        <v/>
      </c>
      <c r="J29" s="40">
        <f>IF(AND(B29&lt;&gt;"",B29=Prof_ID),COUNTIF($B$6:B29,Prof_ID),"")</f>
        <v/>
      </c>
    </row>
    <row r="30">
      <c r="A30" s="5" t="n"/>
      <c r="B30" s="6" t="n"/>
      <c r="C30" s="103">
        <f>IF(B30="","",IFERROR(INDEX(Stu_Name,MATCH(B30,Stu_ID,0)),"رقم غير موجود"))</f>
        <v/>
      </c>
      <c r="D30" s="88">
        <f>IF(B30="","",IFERROR(INDEX(Stu_Class,MATCH(B30,Stu_ID,0)),""))</f>
        <v/>
      </c>
      <c r="E30" s="88">
        <f>IF(OR(B30="",A30=""),"",IFERROR(COUNTIFS(INDEX(CHOOSE(INDEX(Stu_C,MATCH(B30,Stu_ID,0)),'KG1-1'!$AD$9:$IM$38,'KG1-2'!$AD$9:$IM$38,'KG1-3'!$AD$9:$IM$38,'KG1-4'!$AD$9:$IM$38,'KG1-5'!$AD$9:$IM$38,'KG1-6'!$AD$9:$IM$38,'KG1-7'!$AD$9:$IM$38),INDEX(Stu_I,MATCH(B30,Stu_ID,0)),0),"غياب بدون عذر",CHOOSE(INDEX(Stu_C,MATCH(B30,Stu_ID,0)),'KG1-1'!$AD$7:$IM$7,'KG1-2'!$AD$7:$IM$7,'KG1-3'!$AD$7:$IM$7,'KG1-4'!$AD$7:$IM$7,'KG1-5'!$AD$7:$IM$7,'KG1-6'!$AD$7:$IM$7,'KG1-7'!$AD$7:$IM$7),"✓",'KG1-1'!$AD$5:$IM$5,"&lt;="&amp;A30),""))</f>
        <v/>
      </c>
      <c r="F30" s="6" t="n"/>
      <c r="G30" s="108" t="n"/>
      <c r="H30" s="88">
        <f>IF(E30="","",INDEX(LevelLabels,MATCH(E30,LevelValues,1)))</f>
        <v/>
      </c>
      <c r="I30" s="40">
        <f>IF(OR(B30="",A30=""),"",B30&amp;"|"&amp;A30)</f>
        <v/>
      </c>
      <c r="J30" s="40">
        <f>IF(AND(B30&lt;&gt;"",B30=Prof_ID),COUNTIF($B$6:B30,Prof_ID),"")</f>
        <v/>
      </c>
    </row>
    <row r="31">
      <c r="A31" s="5" t="n"/>
      <c r="B31" s="6" t="n"/>
      <c r="C31" s="103">
        <f>IF(B31="","",IFERROR(INDEX(Stu_Name,MATCH(B31,Stu_ID,0)),"رقم غير موجود"))</f>
        <v/>
      </c>
      <c r="D31" s="88">
        <f>IF(B31="","",IFERROR(INDEX(Stu_Class,MATCH(B31,Stu_ID,0)),""))</f>
        <v/>
      </c>
      <c r="E31" s="88">
        <f>IF(OR(B31="",A31=""),"",IFERROR(COUNTIFS(INDEX(CHOOSE(INDEX(Stu_C,MATCH(B31,Stu_ID,0)),'KG1-1'!$AD$9:$IM$38,'KG1-2'!$AD$9:$IM$38,'KG1-3'!$AD$9:$IM$38,'KG1-4'!$AD$9:$IM$38,'KG1-5'!$AD$9:$IM$38,'KG1-6'!$AD$9:$IM$38,'KG1-7'!$AD$9:$IM$38),INDEX(Stu_I,MATCH(B31,Stu_ID,0)),0),"غياب بدون عذر",CHOOSE(INDEX(Stu_C,MATCH(B31,Stu_ID,0)),'KG1-1'!$AD$7:$IM$7,'KG1-2'!$AD$7:$IM$7,'KG1-3'!$AD$7:$IM$7,'KG1-4'!$AD$7:$IM$7,'KG1-5'!$AD$7:$IM$7,'KG1-6'!$AD$7:$IM$7,'KG1-7'!$AD$7:$IM$7),"✓",'KG1-1'!$AD$5:$IM$5,"&lt;="&amp;A31),""))</f>
        <v/>
      </c>
      <c r="F31" s="6" t="n"/>
      <c r="G31" s="108" t="n"/>
      <c r="H31" s="88">
        <f>IF(E31="","",INDEX(LevelLabels,MATCH(E31,LevelValues,1)))</f>
        <v/>
      </c>
      <c r="I31" s="40">
        <f>IF(OR(B31="",A31=""),"",B31&amp;"|"&amp;A31)</f>
        <v/>
      </c>
      <c r="J31" s="40">
        <f>IF(AND(B31&lt;&gt;"",B31=Prof_ID),COUNTIF($B$6:B31,Prof_ID),"")</f>
        <v/>
      </c>
    </row>
    <row r="32">
      <c r="A32" s="5" t="n"/>
      <c r="B32" s="6" t="n"/>
      <c r="C32" s="103">
        <f>IF(B32="","",IFERROR(INDEX(Stu_Name,MATCH(B32,Stu_ID,0)),"رقم غير موجود"))</f>
        <v/>
      </c>
      <c r="D32" s="88">
        <f>IF(B32="","",IFERROR(INDEX(Stu_Class,MATCH(B32,Stu_ID,0)),""))</f>
        <v/>
      </c>
      <c r="E32" s="88">
        <f>IF(OR(B32="",A32=""),"",IFERROR(COUNTIFS(INDEX(CHOOSE(INDEX(Stu_C,MATCH(B32,Stu_ID,0)),'KG1-1'!$AD$9:$IM$38,'KG1-2'!$AD$9:$IM$38,'KG1-3'!$AD$9:$IM$38,'KG1-4'!$AD$9:$IM$38,'KG1-5'!$AD$9:$IM$38,'KG1-6'!$AD$9:$IM$38,'KG1-7'!$AD$9:$IM$38),INDEX(Stu_I,MATCH(B32,Stu_ID,0)),0),"غياب بدون عذر",CHOOSE(INDEX(Stu_C,MATCH(B32,Stu_ID,0)),'KG1-1'!$AD$7:$IM$7,'KG1-2'!$AD$7:$IM$7,'KG1-3'!$AD$7:$IM$7,'KG1-4'!$AD$7:$IM$7,'KG1-5'!$AD$7:$IM$7,'KG1-6'!$AD$7:$IM$7,'KG1-7'!$AD$7:$IM$7),"✓",'KG1-1'!$AD$5:$IM$5,"&lt;="&amp;A32),""))</f>
        <v/>
      </c>
      <c r="F32" s="6" t="n"/>
      <c r="G32" s="108" t="n"/>
      <c r="H32" s="88">
        <f>IF(E32="","",INDEX(LevelLabels,MATCH(E32,LevelValues,1)))</f>
        <v/>
      </c>
      <c r="I32" s="40">
        <f>IF(OR(B32="",A32=""),"",B32&amp;"|"&amp;A32)</f>
        <v/>
      </c>
      <c r="J32" s="40">
        <f>IF(AND(B32&lt;&gt;"",B32=Prof_ID),COUNTIF($B$6:B32,Prof_ID),"")</f>
        <v/>
      </c>
    </row>
    <row r="33">
      <c r="A33" s="5" t="n"/>
      <c r="B33" s="6" t="n"/>
      <c r="C33" s="103">
        <f>IF(B33="","",IFERROR(INDEX(Stu_Name,MATCH(B33,Stu_ID,0)),"رقم غير موجود"))</f>
        <v/>
      </c>
      <c r="D33" s="88">
        <f>IF(B33="","",IFERROR(INDEX(Stu_Class,MATCH(B33,Stu_ID,0)),""))</f>
        <v/>
      </c>
      <c r="E33" s="88">
        <f>IF(OR(B33="",A33=""),"",IFERROR(COUNTIFS(INDEX(CHOOSE(INDEX(Stu_C,MATCH(B33,Stu_ID,0)),'KG1-1'!$AD$9:$IM$38,'KG1-2'!$AD$9:$IM$38,'KG1-3'!$AD$9:$IM$38,'KG1-4'!$AD$9:$IM$38,'KG1-5'!$AD$9:$IM$38,'KG1-6'!$AD$9:$IM$38,'KG1-7'!$AD$9:$IM$38),INDEX(Stu_I,MATCH(B33,Stu_ID,0)),0),"غياب بدون عذر",CHOOSE(INDEX(Stu_C,MATCH(B33,Stu_ID,0)),'KG1-1'!$AD$7:$IM$7,'KG1-2'!$AD$7:$IM$7,'KG1-3'!$AD$7:$IM$7,'KG1-4'!$AD$7:$IM$7,'KG1-5'!$AD$7:$IM$7,'KG1-6'!$AD$7:$IM$7,'KG1-7'!$AD$7:$IM$7),"✓",'KG1-1'!$AD$5:$IM$5,"&lt;="&amp;A33),""))</f>
        <v/>
      </c>
      <c r="F33" s="6" t="n"/>
      <c r="G33" s="108" t="n"/>
      <c r="H33" s="88">
        <f>IF(E33="","",INDEX(LevelLabels,MATCH(E33,LevelValues,1)))</f>
        <v/>
      </c>
      <c r="I33" s="40">
        <f>IF(OR(B33="",A33=""),"",B33&amp;"|"&amp;A33)</f>
        <v/>
      </c>
      <c r="J33" s="40">
        <f>IF(AND(B33&lt;&gt;"",B33=Prof_ID),COUNTIF($B$6:B33,Prof_ID),"")</f>
        <v/>
      </c>
    </row>
    <row r="34">
      <c r="A34" s="5" t="n"/>
      <c r="B34" s="6" t="n"/>
      <c r="C34" s="103">
        <f>IF(B34="","",IFERROR(INDEX(Stu_Name,MATCH(B34,Stu_ID,0)),"رقم غير موجود"))</f>
        <v/>
      </c>
      <c r="D34" s="88">
        <f>IF(B34="","",IFERROR(INDEX(Stu_Class,MATCH(B34,Stu_ID,0)),""))</f>
        <v/>
      </c>
      <c r="E34" s="88">
        <f>IF(OR(B34="",A34=""),"",IFERROR(COUNTIFS(INDEX(CHOOSE(INDEX(Stu_C,MATCH(B34,Stu_ID,0)),'KG1-1'!$AD$9:$IM$38,'KG1-2'!$AD$9:$IM$38,'KG1-3'!$AD$9:$IM$38,'KG1-4'!$AD$9:$IM$38,'KG1-5'!$AD$9:$IM$38,'KG1-6'!$AD$9:$IM$38,'KG1-7'!$AD$9:$IM$38),INDEX(Stu_I,MATCH(B34,Stu_ID,0)),0),"غياب بدون عذر",CHOOSE(INDEX(Stu_C,MATCH(B34,Stu_ID,0)),'KG1-1'!$AD$7:$IM$7,'KG1-2'!$AD$7:$IM$7,'KG1-3'!$AD$7:$IM$7,'KG1-4'!$AD$7:$IM$7,'KG1-5'!$AD$7:$IM$7,'KG1-6'!$AD$7:$IM$7,'KG1-7'!$AD$7:$IM$7),"✓",'KG1-1'!$AD$5:$IM$5,"&lt;="&amp;A34),""))</f>
        <v/>
      </c>
      <c r="F34" s="6" t="n"/>
      <c r="G34" s="108" t="n"/>
      <c r="H34" s="88">
        <f>IF(E34="","",INDEX(LevelLabels,MATCH(E34,LevelValues,1)))</f>
        <v/>
      </c>
      <c r="I34" s="40">
        <f>IF(OR(B34="",A34=""),"",B34&amp;"|"&amp;A34)</f>
        <v/>
      </c>
      <c r="J34" s="40">
        <f>IF(AND(B34&lt;&gt;"",B34=Prof_ID),COUNTIF($B$6:B34,Prof_ID),"")</f>
        <v/>
      </c>
    </row>
    <row r="35">
      <c r="A35" s="5" t="n"/>
      <c r="B35" s="6" t="n"/>
      <c r="C35" s="103">
        <f>IF(B35="","",IFERROR(INDEX(Stu_Name,MATCH(B35,Stu_ID,0)),"رقم غير موجود"))</f>
        <v/>
      </c>
      <c r="D35" s="88">
        <f>IF(B35="","",IFERROR(INDEX(Stu_Class,MATCH(B35,Stu_ID,0)),""))</f>
        <v/>
      </c>
      <c r="E35" s="88">
        <f>IF(OR(B35="",A35=""),"",IFERROR(COUNTIFS(INDEX(CHOOSE(INDEX(Stu_C,MATCH(B35,Stu_ID,0)),'KG1-1'!$AD$9:$IM$38,'KG1-2'!$AD$9:$IM$38,'KG1-3'!$AD$9:$IM$38,'KG1-4'!$AD$9:$IM$38,'KG1-5'!$AD$9:$IM$38,'KG1-6'!$AD$9:$IM$38,'KG1-7'!$AD$9:$IM$38),INDEX(Stu_I,MATCH(B35,Stu_ID,0)),0),"غياب بدون عذر",CHOOSE(INDEX(Stu_C,MATCH(B35,Stu_ID,0)),'KG1-1'!$AD$7:$IM$7,'KG1-2'!$AD$7:$IM$7,'KG1-3'!$AD$7:$IM$7,'KG1-4'!$AD$7:$IM$7,'KG1-5'!$AD$7:$IM$7,'KG1-6'!$AD$7:$IM$7,'KG1-7'!$AD$7:$IM$7),"✓",'KG1-1'!$AD$5:$IM$5,"&lt;="&amp;A35),""))</f>
        <v/>
      </c>
      <c r="F35" s="6" t="n"/>
      <c r="G35" s="108" t="n"/>
      <c r="H35" s="88">
        <f>IF(E35="","",INDEX(LevelLabels,MATCH(E35,LevelValues,1)))</f>
        <v/>
      </c>
      <c r="I35" s="40">
        <f>IF(OR(B35="",A35=""),"",B35&amp;"|"&amp;A35)</f>
        <v/>
      </c>
      <c r="J35" s="40">
        <f>IF(AND(B35&lt;&gt;"",B35=Prof_ID),COUNTIF($B$6:B35,Prof_ID),"")</f>
        <v/>
      </c>
    </row>
    <row r="36">
      <c r="A36" s="5" t="n"/>
      <c r="B36" s="6" t="n"/>
      <c r="C36" s="103">
        <f>IF(B36="","",IFERROR(INDEX(Stu_Name,MATCH(B36,Stu_ID,0)),"رقم غير موجود"))</f>
        <v/>
      </c>
      <c r="D36" s="88">
        <f>IF(B36="","",IFERROR(INDEX(Stu_Class,MATCH(B36,Stu_ID,0)),""))</f>
        <v/>
      </c>
      <c r="E36" s="88">
        <f>IF(OR(B36="",A36=""),"",IFERROR(COUNTIFS(INDEX(CHOOSE(INDEX(Stu_C,MATCH(B36,Stu_ID,0)),'KG1-1'!$AD$9:$IM$38,'KG1-2'!$AD$9:$IM$38,'KG1-3'!$AD$9:$IM$38,'KG1-4'!$AD$9:$IM$38,'KG1-5'!$AD$9:$IM$38,'KG1-6'!$AD$9:$IM$38,'KG1-7'!$AD$9:$IM$38),INDEX(Stu_I,MATCH(B36,Stu_ID,0)),0),"غياب بدون عذر",CHOOSE(INDEX(Stu_C,MATCH(B36,Stu_ID,0)),'KG1-1'!$AD$7:$IM$7,'KG1-2'!$AD$7:$IM$7,'KG1-3'!$AD$7:$IM$7,'KG1-4'!$AD$7:$IM$7,'KG1-5'!$AD$7:$IM$7,'KG1-6'!$AD$7:$IM$7,'KG1-7'!$AD$7:$IM$7),"✓",'KG1-1'!$AD$5:$IM$5,"&lt;="&amp;A36),""))</f>
        <v/>
      </c>
      <c r="F36" s="6" t="n"/>
      <c r="G36" s="108" t="n"/>
      <c r="H36" s="88">
        <f>IF(E36="","",INDEX(LevelLabels,MATCH(E36,LevelValues,1)))</f>
        <v/>
      </c>
      <c r="I36" s="40">
        <f>IF(OR(B36="",A36=""),"",B36&amp;"|"&amp;A36)</f>
        <v/>
      </c>
      <c r="J36" s="40">
        <f>IF(AND(B36&lt;&gt;"",B36=Prof_ID),COUNTIF($B$6:B36,Prof_ID),"")</f>
        <v/>
      </c>
    </row>
    <row r="37">
      <c r="A37" s="5" t="n"/>
      <c r="B37" s="6" t="n"/>
      <c r="C37" s="103">
        <f>IF(B37="","",IFERROR(INDEX(Stu_Name,MATCH(B37,Stu_ID,0)),"رقم غير موجود"))</f>
        <v/>
      </c>
      <c r="D37" s="88">
        <f>IF(B37="","",IFERROR(INDEX(Stu_Class,MATCH(B37,Stu_ID,0)),""))</f>
        <v/>
      </c>
      <c r="E37" s="88">
        <f>IF(OR(B37="",A37=""),"",IFERROR(COUNTIFS(INDEX(CHOOSE(INDEX(Stu_C,MATCH(B37,Stu_ID,0)),'KG1-1'!$AD$9:$IM$38,'KG1-2'!$AD$9:$IM$38,'KG1-3'!$AD$9:$IM$38,'KG1-4'!$AD$9:$IM$38,'KG1-5'!$AD$9:$IM$38,'KG1-6'!$AD$9:$IM$38,'KG1-7'!$AD$9:$IM$38),INDEX(Stu_I,MATCH(B37,Stu_ID,0)),0),"غياب بدون عذر",CHOOSE(INDEX(Stu_C,MATCH(B37,Stu_ID,0)),'KG1-1'!$AD$7:$IM$7,'KG1-2'!$AD$7:$IM$7,'KG1-3'!$AD$7:$IM$7,'KG1-4'!$AD$7:$IM$7,'KG1-5'!$AD$7:$IM$7,'KG1-6'!$AD$7:$IM$7,'KG1-7'!$AD$7:$IM$7),"✓",'KG1-1'!$AD$5:$IM$5,"&lt;="&amp;A37),""))</f>
        <v/>
      </c>
      <c r="F37" s="6" t="n"/>
      <c r="G37" s="108" t="n"/>
      <c r="H37" s="88">
        <f>IF(E37="","",INDEX(LevelLabels,MATCH(E37,LevelValues,1)))</f>
        <v/>
      </c>
      <c r="I37" s="40">
        <f>IF(OR(B37="",A37=""),"",B37&amp;"|"&amp;A37)</f>
        <v/>
      </c>
      <c r="J37" s="40">
        <f>IF(AND(B37&lt;&gt;"",B37=Prof_ID),COUNTIF($B$6:B37,Prof_ID),"")</f>
        <v/>
      </c>
    </row>
    <row r="38">
      <c r="A38" s="5" t="n"/>
      <c r="B38" s="6" t="n"/>
      <c r="C38" s="103">
        <f>IF(B38="","",IFERROR(INDEX(Stu_Name,MATCH(B38,Stu_ID,0)),"رقم غير موجود"))</f>
        <v/>
      </c>
      <c r="D38" s="88">
        <f>IF(B38="","",IFERROR(INDEX(Stu_Class,MATCH(B38,Stu_ID,0)),""))</f>
        <v/>
      </c>
      <c r="E38" s="88">
        <f>IF(OR(B38="",A38=""),"",IFERROR(COUNTIFS(INDEX(CHOOSE(INDEX(Stu_C,MATCH(B38,Stu_ID,0)),'KG1-1'!$AD$9:$IM$38,'KG1-2'!$AD$9:$IM$38,'KG1-3'!$AD$9:$IM$38,'KG1-4'!$AD$9:$IM$38,'KG1-5'!$AD$9:$IM$38,'KG1-6'!$AD$9:$IM$38,'KG1-7'!$AD$9:$IM$38),INDEX(Stu_I,MATCH(B38,Stu_ID,0)),0),"غياب بدون عذر",CHOOSE(INDEX(Stu_C,MATCH(B38,Stu_ID,0)),'KG1-1'!$AD$7:$IM$7,'KG1-2'!$AD$7:$IM$7,'KG1-3'!$AD$7:$IM$7,'KG1-4'!$AD$7:$IM$7,'KG1-5'!$AD$7:$IM$7,'KG1-6'!$AD$7:$IM$7,'KG1-7'!$AD$7:$IM$7),"✓",'KG1-1'!$AD$5:$IM$5,"&lt;="&amp;A38),""))</f>
        <v/>
      </c>
      <c r="F38" s="6" t="n"/>
      <c r="G38" s="108" t="n"/>
      <c r="H38" s="88">
        <f>IF(E38="","",INDEX(LevelLabels,MATCH(E38,LevelValues,1)))</f>
        <v/>
      </c>
      <c r="I38" s="40">
        <f>IF(OR(B38="",A38=""),"",B38&amp;"|"&amp;A38)</f>
        <v/>
      </c>
      <c r="J38" s="40">
        <f>IF(AND(B38&lt;&gt;"",B38=Prof_ID),COUNTIF($B$6:B38,Prof_ID),"")</f>
        <v/>
      </c>
    </row>
    <row r="39">
      <c r="A39" s="5" t="n"/>
      <c r="B39" s="6" t="n"/>
      <c r="C39" s="103">
        <f>IF(B39="","",IFERROR(INDEX(Stu_Name,MATCH(B39,Stu_ID,0)),"رقم غير موجود"))</f>
        <v/>
      </c>
      <c r="D39" s="88">
        <f>IF(B39="","",IFERROR(INDEX(Stu_Class,MATCH(B39,Stu_ID,0)),""))</f>
        <v/>
      </c>
      <c r="E39" s="88">
        <f>IF(OR(B39="",A39=""),"",IFERROR(COUNTIFS(INDEX(CHOOSE(INDEX(Stu_C,MATCH(B39,Stu_ID,0)),'KG1-1'!$AD$9:$IM$38,'KG1-2'!$AD$9:$IM$38,'KG1-3'!$AD$9:$IM$38,'KG1-4'!$AD$9:$IM$38,'KG1-5'!$AD$9:$IM$38,'KG1-6'!$AD$9:$IM$38,'KG1-7'!$AD$9:$IM$38),INDEX(Stu_I,MATCH(B39,Stu_ID,0)),0),"غياب بدون عذر",CHOOSE(INDEX(Stu_C,MATCH(B39,Stu_ID,0)),'KG1-1'!$AD$7:$IM$7,'KG1-2'!$AD$7:$IM$7,'KG1-3'!$AD$7:$IM$7,'KG1-4'!$AD$7:$IM$7,'KG1-5'!$AD$7:$IM$7,'KG1-6'!$AD$7:$IM$7,'KG1-7'!$AD$7:$IM$7),"✓",'KG1-1'!$AD$5:$IM$5,"&lt;="&amp;A39),""))</f>
        <v/>
      </c>
      <c r="F39" s="6" t="n"/>
      <c r="G39" s="108" t="n"/>
      <c r="H39" s="88">
        <f>IF(E39="","",INDEX(LevelLabels,MATCH(E39,LevelValues,1)))</f>
        <v/>
      </c>
      <c r="I39" s="40">
        <f>IF(OR(B39="",A39=""),"",B39&amp;"|"&amp;A39)</f>
        <v/>
      </c>
      <c r="J39" s="40">
        <f>IF(AND(B39&lt;&gt;"",B39=Prof_ID),COUNTIF($B$6:B39,Prof_ID),"")</f>
        <v/>
      </c>
    </row>
    <row r="40">
      <c r="A40" s="5" t="n"/>
      <c r="B40" s="6" t="n"/>
      <c r="C40" s="103">
        <f>IF(B40="","",IFERROR(INDEX(Stu_Name,MATCH(B40,Stu_ID,0)),"رقم غير موجود"))</f>
        <v/>
      </c>
      <c r="D40" s="88">
        <f>IF(B40="","",IFERROR(INDEX(Stu_Class,MATCH(B40,Stu_ID,0)),""))</f>
        <v/>
      </c>
      <c r="E40" s="88">
        <f>IF(OR(B40="",A40=""),"",IFERROR(COUNTIFS(INDEX(CHOOSE(INDEX(Stu_C,MATCH(B40,Stu_ID,0)),'KG1-1'!$AD$9:$IM$38,'KG1-2'!$AD$9:$IM$38,'KG1-3'!$AD$9:$IM$38,'KG1-4'!$AD$9:$IM$38,'KG1-5'!$AD$9:$IM$38,'KG1-6'!$AD$9:$IM$38,'KG1-7'!$AD$9:$IM$38),INDEX(Stu_I,MATCH(B40,Stu_ID,0)),0),"غياب بدون عذر",CHOOSE(INDEX(Stu_C,MATCH(B40,Stu_ID,0)),'KG1-1'!$AD$7:$IM$7,'KG1-2'!$AD$7:$IM$7,'KG1-3'!$AD$7:$IM$7,'KG1-4'!$AD$7:$IM$7,'KG1-5'!$AD$7:$IM$7,'KG1-6'!$AD$7:$IM$7,'KG1-7'!$AD$7:$IM$7),"✓",'KG1-1'!$AD$5:$IM$5,"&lt;="&amp;A40),""))</f>
        <v/>
      </c>
      <c r="F40" s="6" t="n"/>
      <c r="G40" s="108" t="n"/>
      <c r="H40" s="88">
        <f>IF(E40="","",INDEX(LevelLabels,MATCH(E40,LevelValues,1)))</f>
        <v/>
      </c>
      <c r="I40" s="40">
        <f>IF(OR(B40="",A40=""),"",B40&amp;"|"&amp;A40)</f>
        <v/>
      </c>
      <c r="J40" s="40">
        <f>IF(AND(B40&lt;&gt;"",B40=Prof_ID),COUNTIF($B$6:B40,Prof_ID),"")</f>
        <v/>
      </c>
    </row>
    <row r="41">
      <c r="A41" s="5" t="n"/>
      <c r="B41" s="6" t="n"/>
      <c r="C41" s="103">
        <f>IF(B41="","",IFERROR(INDEX(Stu_Name,MATCH(B41,Stu_ID,0)),"رقم غير موجود"))</f>
        <v/>
      </c>
      <c r="D41" s="88">
        <f>IF(B41="","",IFERROR(INDEX(Stu_Class,MATCH(B41,Stu_ID,0)),""))</f>
        <v/>
      </c>
      <c r="E41" s="88">
        <f>IF(OR(B41="",A41=""),"",IFERROR(COUNTIFS(INDEX(CHOOSE(INDEX(Stu_C,MATCH(B41,Stu_ID,0)),'KG1-1'!$AD$9:$IM$38,'KG1-2'!$AD$9:$IM$38,'KG1-3'!$AD$9:$IM$38,'KG1-4'!$AD$9:$IM$38,'KG1-5'!$AD$9:$IM$38,'KG1-6'!$AD$9:$IM$38,'KG1-7'!$AD$9:$IM$38),INDEX(Stu_I,MATCH(B41,Stu_ID,0)),0),"غياب بدون عذر",CHOOSE(INDEX(Stu_C,MATCH(B41,Stu_ID,0)),'KG1-1'!$AD$7:$IM$7,'KG1-2'!$AD$7:$IM$7,'KG1-3'!$AD$7:$IM$7,'KG1-4'!$AD$7:$IM$7,'KG1-5'!$AD$7:$IM$7,'KG1-6'!$AD$7:$IM$7,'KG1-7'!$AD$7:$IM$7),"✓",'KG1-1'!$AD$5:$IM$5,"&lt;="&amp;A41),""))</f>
        <v/>
      </c>
      <c r="F41" s="6" t="n"/>
      <c r="G41" s="108" t="n"/>
      <c r="H41" s="88">
        <f>IF(E41="","",INDEX(LevelLabels,MATCH(E41,LevelValues,1)))</f>
        <v/>
      </c>
      <c r="I41" s="40">
        <f>IF(OR(B41="",A41=""),"",B41&amp;"|"&amp;A41)</f>
        <v/>
      </c>
      <c r="J41" s="40">
        <f>IF(AND(B41&lt;&gt;"",B41=Prof_ID),COUNTIF($B$6:B41,Prof_ID),"")</f>
        <v/>
      </c>
    </row>
    <row r="42">
      <c r="A42" s="5" t="n"/>
      <c r="B42" s="6" t="n"/>
      <c r="C42" s="103">
        <f>IF(B42="","",IFERROR(INDEX(Stu_Name,MATCH(B42,Stu_ID,0)),"رقم غير موجود"))</f>
        <v/>
      </c>
      <c r="D42" s="88">
        <f>IF(B42="","",IFERROR(INDEX(Stu_Class,MATCH(B42,Stu_ID,0)),""))</f>
        <v/>
      </c>
      <c r="E42" s="88">
        <f>IF(OR(B42="",A42=""),"",IFERROR(COUNTIFS(INDEX(CHOOSE(INDEX(Stu_C,MATCH(B42,Stu_ID,0)),'KG1-1'!$AD$9:$IM$38,'KG1-2'!$AD$9:$IM$38,'KG1-3'!$AD$9:$IM$38,'KG1-4'!$AD$9:$IM$38,'KG1-5'!$AD$9:$IM$38,'KG1-6'!$AD$9:$IM$38,'KG1-7'!$AD$9:$IM$38),INDEX(Stu_I,MATCH(B42,Stu_ID,0)),0),"غياب بدون عذر",CHOOSE(INDEX(Stu_C,MATCH(B42,Stu_ID,0)),'KG1-1'!$AD$7:$IM$7,'KG1-2'!$AD$7:$IM$7,'KG1-3'!$AD$7:$IM$7,'KG1-4'!$AD$7:$IM$7,'KG1-5'!$AD$7:$IM$7,'KG1-6'!$AD$7:$IM$7,'KG1-7'!$AD$7:$IM$7),"✓",'KG1-1'!$AD$5:$IM$5,"&lt;="&amp;A42),""))</f>
        <v/>
      </c>
      <c r="F42" s="6" t="n"/>
      <c r="G42" s="108" t="n"/>
      <c r="H42" s="88">
        <f>IF(E42="","",INDEX(LevelLabels,MATCH(E42,LevelValues,1)))</f>
        <v/>
      </c>
      <c r="I42" s="40">
        <f>IF(OR(B42="",A42=""),"",B42&amp;"|"&amp;A42)</f>
        <v/>
      </c>
      <c r="J42" s="40">
        <f>IF(AND(B42&lt;&gt;"",B42=Prof_ID),COUNTIF($B$6:B42,Prof_ID),"")</f>
        <v/>
      </c>
    </row>
    <row r="43">
      <c r="A43" s="5" t="n"/>
      <c r="B43" s="6" t="n"/>
      <c r="C43" s="103">
        <f>IF(B43="","",IFERROR(INDEX(Stu_Name,MATCH(B43,Stu_ID,0)),"رقم غير موجود"))</f>
        <v/>
      </c>
      <c r="D43" s="88">
        <f>IF(B43="","",IFERROR(INDEX(Stu_Class,MATCH(B43,Stu_ID,0)),""))</f>
        <v/>
      </c>
      <c r="E43" s="88">
        <f>IF(OR(B43="",A43=""),"",IFERROR(COUNTIFS(INDEX(CHOOSE(INDEX(Stu_C,MATCH(B43,Stu_ID,0)),'KG1-1'!$AD$9:$IM$38,'KG1-2'!$AD$9:$IM$38,'KG1-3'!$AD$9:$IM$38,'KG1-4'!$AD$9:$IM$38,'KG1-5'!$AD$9:$IM$38,'KG1-6'!$AD$9:$IM$38,'KG1-7'!$AD$9:$IM$38),INDEX(Stu_I,MATCH(B43,Stu_ID,0)),0),"غياب بدون عذر",CHOOSE(INDEX(Stu_C,MATCH(B43,Stu_ID,0)),'KG1-1'!$AD$7:$IM$7,'KG1-2'!$AD$7:$IM$7,'KG1-3'!$AD$7:$IM$7,'KG1-4'!$AD$7:$IM$7,'KG1-5'!$AD$7:$IM$7,'KG1-6'!$AD$7:$IM$7,'KG1-7'!$AD$7:$IM$7),"✓",'KG1-1'!$AD$5:$IM$5,"&lt;="&amp;A43),""))</f>
        <v/>
      </c>
      <c r="F43" s="6" t="n"/>
      <c r="G43" s="108" t="n"/>
      <c r="H43" s="88">
        <f>IF(E43="","",INDEX(LevelLabels,MATCH(E43,LevelValues,1)))</f>
        <v/>
      </c>
      <c r="I43" s="40">
        <f>IF(OR(B43="",A43=""),"",B43&amp;"|"&amp;A43)</f>
        <v/>
      </c>
      <c r="J43" s="40">
        <f>IF(AND(B43&lt;&gt;"",B43=Prof_ID),COUNTIF($B$6:B43,Prof_ID),"")</f>
        <v/>
      </c>
    </row>
    <row r="44">
      <c r="A44" s="5" t="n"/>
      <c r="B44" s="6" t="n"/>
      <c r="C44" s="103">
        <f>IF(B44="","",IFERROR(INDEX(Stu_Name,MATCH(B44,Stu_ID,0)),"رقم غير موجود"))</f>
        <v/>
      </c>
      <c r="D44" s="88">
        <f>IF(B44="","",IFERROR(INDEX(Stu_Class,MATCH(B44,Stu_ID,0)),""))</f>
        <v/>
      </c>
      <c r="E44" s="88">
        <f>IF(OR(B44="",A44=""),"",IFERROR(COUNTIFS(INDEX(CHOOSE(INDEX(Stu_C,MATCH(B44,Stu_ID,0)),'KG1-1'!$AD$9:$IM$38,'KG1-2'!$AD$9:$IM$38,'KG1-3'!$AD$9:$IM$38,'KG1-4'!$AD$9:$IM$38,'KG1-5'!$AD$9:$IM$38,'KG1-6'!$AD$9:$IM$38,'KG1-7'!$AD$9:$IM$38),INDEX(Stu_I,MATCH(B44,Stu_ID,0)),0),"غياب بدون عذر",CHOOSE(INDEX(Stu_C,MATCH(B44,Stu_ID,0)),'KG1-1'!$AD$7:$IM$7,'KG1-2'!$AD$7:$IM$7,'KG1-3'!$AD$7:$IM$7,'KG1-4'!$AD$7:$IM$7,'KG1-5'!$AD$7:$IM$7,'KG1-6'!$AD$7:$IM$7,'KG1-7'!$AD$7:$IM$7),"✓",'KG1-1'!$AD$5:$IM$5,"&lt;="&amp;A44),""))</f>
        <v/>
      </c>
      <c r="F44" s="6" t="n"/>
      <c r="G44" s="108" t="n"/>
      <c r="H44" s="88">
        <f>IF(E44="","",INDEX(LevelLabels,MATCH(E44,LevelValues,1)))</f>
        <v/>
      </c>
      <c r="I44" s="40">
        <f>IF(OR(B44="",A44=""),"",B44&amp;"|"&amp;A44)</f>
        <v/>
      </c>
      <c r="J44" s="40">
        <f>IF(AND(B44&lt;&gt;"",B44=Prof_ID),COUNTIF($B$6:B44,Prof_ID),"")</f>
        <v/>
      </c>
    </row>
    <row r="45">
      <c r="A45" s="5" t="n"/>
      <c r="B45" s="6" t="n"/>
      <c r="C45" s="103">
        <f>IF(B45="","",IFERROR(INDEX(Stu_Name,MATCH(B45,Stu_ID,0)),"رقم غير موجود"))</f>
        <v/>
      </c>
      <c r="D45" s="88">
        <f>IF(B45="","",IFERROR(INDEX(Stu_Class,MATCH(B45,Stu_ID,0)),""))</f>
        <v/>
      </c>
      <c r="E45" s="88">
        <f>IF(OR(B45="",A45=""),"",IFERROR(COUNTIFS(INDEX(CHOOSE(INDEX(Stu_C,MATCH(B45,Stu_ID,0)),'KG1-1'!$AD$9:$IM$38,'KG1-2'!$AD$9:$IM$38,'KG1-3'!$AD$9:$IM$38,'KG1-4'!$AD$9:$IM$38,'KG1-5'!$AD$9:$IM$38,'KG1-6'!$AD$9:$IM$38,'KG1-7'!$AD$9:$IM$38),INDEX(Stu_I,MATCH(B45,Stu_ID,0)),0),"غياب بدون عذر",CHOOSE(INDEX(Stu_C,MATCH(B45,Stu_ID,0)),'KG1-1'!$AD$7:$IM$7,'KG1-2'!$AD$7:$IM$7,'KG1-3'!$AD$7:$IM$7,'KG1-4'!$AD$7:$IM$7,'KG1-5'!$AD$7:$IM$7,'KG1-6'!$AD$7:$IM$7,'KG1-7'!$AD$7:$IM$7),"✓",'KG1-1'!$AD$5:$IM$5,"&lt;="&amp;A45),""))</f>
        <v/>
      </c>
      <c r="F45" s="6" t="n"/>
      <c r="G45" s="108" t="n"/>
      <c r="H45" s="88">
        <f>IF(E45="","",INDEX(LevelLabels,MATCH(E45,LevelValues,1)))</f>
        <v/>
      </c>
      <c r="I45" s="40">
        <f>IF(OR(B45="",A45=""),"",B45&amp;"|"&amp;A45)</f>
        <v/>
      </c>
      <c r="J45" s="40">
        <f>IF(AND(B45&lt;&gt;"",B45=Prof_ID),COUNTIF($B$6:B45,Prof_ID),"")</f>
        <v/>
      </c>
    </row>
    <row r="46">
      <c r="A46" s="5" t="n"/>
      <c r="B46" s="6" t="n"/>
      <c r="C46" s="103">
        <f>IF(B46="","",IFERROR(INDEX(Stu_Name,MATCH(B46,Stu_ID,0)),"رقم غير موجود"))</f>
        <v/>
      </c>
      <c r="D46" s="88">
        <f>IF(B46="","",IFERROR(INDEX(Stu_Class,MATCH(B46,Stu_ID,0)),""))</f>
        <v/>
      </c>
      <c r="E46" s="88">
        <f>IF(OR(B46="",A46=""),"",IFERROR(COUNTIFS(INDEX(CHOOSE(INDEX(Stu_C,MATCH(B46,Stu_ID,0)),'KG1-1'!$AD$9:$IM$38,'KG1-2'!$AD$9:$IM$38,'KG1-3'!$AD$9:$IM$38,'KG1-4'!$AD$9:$IM$38,'KG1-5'!$AD$9:$IM$38,'KG1-6'!$AD$9:$IM$38,'KG1-7'!$AD$9:$IM$38),INDEX(Stu_I,MATCH(B46,Stu_ID,0)),0),"غياب بدون عذر",CHOOSE(INDEX(Stu_C,MATCH(B46,Stu_ID,0)),'KG1-1'!$AD$7:$IM$7,'KG1-2'!$AD$7:$IM$7,'KG1-3'!$AD$7:$IM$7,'KG1-4'!$AD$7:$IM$7,'KG1-5'!$AD$7:$IM$7,'KG1-6'!$AD$7:$IM$7,'KG1-7'!$AD$7:$IM$7),"✓",'KG1-1'!$AD$5:$IM$5,"&lt;="&amp;A46),""))</f>
        <v/>
      </c>
      <c r="F46" s="6" t="n"/>
      <c r="G46" s="108" t="n"/>
      <c r="H46" s="88">
        <f>IF(E46="","",INDEX(LevelLabels,MATCH(E46,LevelValues,1)))</f>
        <v/>
      </c>
      <c r="I46" s="40">
        <f>IF(OR(B46="",A46=""),"",B46&amp;"|"&amp;A46)</f>
        <v/>
      </c>
      <c r="J46" s="40">
        <f>IF(AND(B46&lt;&gt;"",B46=Prof_ID),COUNTIF($B$6:B46,Prof_ID),"")</f>
        <v/>
      </c>
    </row>
    <row r="47">
      <c r="A47" s="5" t="n"/>
      <c r="B47" s="6" t="n"/>
      <c r="C47" s="103">
        <f>IF(B47="","",IFERROR(INDEX(Stu_Name,MATCH(B47,Stu_ID,0)),"رقم غير موجود"))</f>
        <v/>
      </c>
      <c r="D47" s="88">
        <f>IF(B47="","",IFERROR(INDEX(Stu_Class,MATCH(B47,Stu_ID,0)),""))</f>
        <v/>
      </c>
      <c r="E47" s="88">
        <f>IF(OR(B47="",A47=""),"",IFERROR(COUNTIFS(INDEX(CHOOSE(INDEX(Stu_C,MATCH(B47,Stu_ID,0)),'KG1-1'!$AD$9:$IM$38,'KG1-2'!$AD$9:$IM$38,'KG1-3'!$AD$9:$IM$38,'KG1-4'!$AD$9:$IM$38,'KG1-5'!$AD$9:$IM$38,'KG1-6'!$AD$9:$IM$38,'KG1-7'!$AD$9:$IM$38),INDEX(Stu_I,MATCH(B47,Stu_ID,0)),0),"غياب بدون عذر",CHOOSE(INDEX(Stu_C,MATCH(B47,Stu_ID,0)),'KG1-1'!$AD$7:$IM$7,'KG1-2'!$AD$7:$IM$7,'KG1-3'!$AD$7:$IM$7,'KG1-4'!$AD$7:$IM$7,'KG1-5'!$AD$7:$IM$7,'KG1-6'!$AD$7:$IM$7,'KG1-7'!$AD$7:$IM$7),"✓",'KG1-1'!$AD$5:$IM$5,"&lt;="&amp;A47),""))</f>
        <v/>
      </c>
      <c r="F47" s="6" t="n"/>
      <c r="G47" s="108" t="n"/>
      <c r="H47" s="88">
        <f>IF(E47="","",INDEX(LevelLabels,MATCH(E47,LevelValues,1)))</f>
        <v/>
      </c>
      <c r="I47" s="40">
        <f>IF(OR(B47="",A47=""),"",B47&amp;"|"&amp;A47)</f>
        <v/>
      </c>
      <c r="J47" s="40">
        <f>IF(AND(B47&lt;&gt;"",B47=Prof_ID),COUNTIF($B$6:B47,Prof_ID),"")</f>
        <v/>
      </c>
    </row>
    <row r="48">
      <c r="A48" s="5" t="n"/>
      <c r="B48" s="6" t="n"/>
      <c r="C48" s="103">
        <f>IF(B48="","",IFERROR(INDEX(Stu_Name,MATCH(B48,Stu_ID,0)),"رقم غير موجود"))</f>
        <v/>
      </c>
      <c r="D48" s="88">
        <f>IF(B48="","",IFERROR(INDEX(Stu_Class,MATCH(B48,Stu_ID,0)),""))</f>
        <v/>
      </c>
      <c r="E48" s="88">
        <f>IF(OR(B48="",A48=""),"",IFERROR(COUNTIFS(INDEX(CHOOSE(INDEX(Stu_C,MATCH(B48,Stu_ID,0)),'KG1-1'!$AD$9:$IM$38,'KG1-2'!$AD$9:$IM$38,'KG1-3'!$AD$9:$IM$38,'KG1-4'!$AD$9:$IM$38,'KG1-5'!$AD$9:$IM$38,'KG1-6'!$AD$9:$IM$38,'KG1-7'!$AD$9:$IM$38),INDEX(Stu_I,MATCH(B48,Stu_ID,0)),0),"غياب بدون عذر",CHOOSE(INDEX(Stu_C,MATCH(B48,Stu_ID,0)),'KG1-1'!$AD$7:$IM$7,'KG1-2'!$AD$7:$IM$7,'KG1-3'!$AD$7:$IM$7,'KG1-4'!$AD$7:$IM$7,'KG1-5'!$AD$7:$IM$7,'KG1-6'!$AD$7:$IM$7,'KG1-7'!$AD$7:$IM$7),"✓",'KG1-1'!$AD$5:$IM$5,"&lt;="&amp;A48),""))</f>
        <v/>
      </c>
      <c r="F48" s="6" t="n"/>
      <c r="G48" s="108" t="n"/>
      <c r="H48" s="88">
        <f>IF(E48="","",INDEX(LevelLabels,MATCH(E48,LevelValues,1)))</f>
        <v/>
      </c>
      <c r="I48" s="40">
        <f>IF(OR(B48="",A48=""),"",B48&amp;"|"&amp;A48)</f>
        <v/>
      </c>
      <c r="J48" s="40">
        <f>IF(AND(B48&lt;&gt;"",B48=Prof_ID),COUNTIF($B$6:B48,Prof_ID),"")</f>
        <v/>
      </c>
    </row>
    <row r="49">
      <c r="A49" s="5" t="n"/>
      <c r="B49" s="6" t="n"/>
      <c r="C49" s="103">
        <f>IF(B49="","",IFERROR(INDEX(Stu_Name,MATCH(B49,Stu_ID,0)),"رقم غير موجود"))</f>
        <v/>
      </c>
      <c r="D49" s="88">
        <f>IF(B49="","",IFERROR(INDEX(Stu_Class,MATCH(B49,Stu_ID,0)),""))</f>
        <v/>
      </c>
      <c r="E49" s="88">
        <f>IF(OR(B49="",A49=""),"",IFERROR(COUNTIFS(INDEX(CHOOSE(INDEX(Stu_C,MATCH(B49,Stu_ID,0)),'KG1-1'!$AD$9:$IM$38,'KG1-2'!$AD$9:$IM$38,'KG1-3'!$AD$9:$IM$38,'KG1-4'!$AD$9:$IM$38,'KG1-5'!$AD$9:$IM$38,'KG1-6'!$AD$9:$IM$38,'KG1-7'!$AD$9:$IM$38),INDEX(Stu_I,MATCH(B49,Stu_ID,0)),0),"غياب بدون عذر",CHOOSE(INDEX(Stu_C,MATCH(B49,Stu_ID,0)),'KG1-1'!$AD$7:$IM$7,'KG1-2'!$AD$7:$IM$7,'KG1-3'!$AD$7:$IM$7,'KG1-4'!$AD$7:$IM$7,'KG1-5'!$AD$7:$IM$7,'KG1-6'!$AD$7:$IM$7,'KG1-7'!$AD$7:$IM$7),"✓",'KG1-1'!$AD$5:$IM$5,"&lt;="&amp;A49),""))</f>
        <v/>
      </c>
      <c r="F49" s="6" t="n"/>
      <c r="G49" s="108" t="n"/>
      <c r="H49" s="88">
        <f>IF(E49="","",INDEX(LevelLabels,MATCH(E49,LevelValues,1)))</f>
        <v/>
      </c>
      <c r="I49" s="40">
        <f>IF(OR(B49="",A49=""),"",B49&amp;"|"&amp;A49)</f>
        <v/>
      </c>
      <c r="J49" s="40">
        <f>IF(AND(B49&lt;&gt;"",B49=Prof_ID),COUNTIF($B$6:B49,Prof_ID),"")</f>
        <v/>
      </c>
    </row>
    <row r="50">
      <c r="A50" s="5" t="n"/>
      <c r="B50" s="6" t="n"/>
      <c r="C50" s="103">
        <f>IF(B50="","",IFERROR(INDEX(Stu_Name,MATCH(B50,Stu_ID,0)),"رقم غير موجود"))</f>
        <v/>
      </c>
      <c r="D50" s="88">
        <f>IF(B50="","",IFERROR(INDEX(Stu_Class,MATCH(B50,Stu_ID,0)),""))</f>
        <v/>
      </c>
      <c r="E50" s="88">
        <f>IF(OR(B50="",A50=""),"",IFERROR(COUNTIFS(INDEX(CHOOSE(INDEX(Stu_C,MATCH(B50,Stu_ID,0)),'KG1-1'!$AD$9:$IM$38,'KG1-2'!$AD$9:$IM$38,'KG1-3'!$AD$9:$IM$38,'KG1-4'!$AD$9:$IM$38,'KG1-5'!$AD$9:$IM$38,'KG1-6'!$AD$9:$IM$38,'KG1-7'!$AD$9:$IM$38),INDEX(Stu_I,MATCH(B50,Stu_ID,0)),0),"غياب بدون عذر",CHOOSE(INDEX(Stu_C,MATCH(B50,Stu_ID,0)),'KG1-1'!$AD$7:$IM$7,'KG1-2'!$AD$7:$IM$7,'KG1-3'!$AD$7:$IM$7,'KG1-4'!$AD$7:$IM$7,'KG1-5'!$AD$7:$IM$7,'KG1-6'!$AD$7:$IM$7,'KG1-7'!$AD$7:$IM$7),"✓",'KG1-1'!$AD$5:$IM$5,"&lt;="&amp;A50),""))</f>
        <v/>
      </c>
      <c r="F50" s="6" t="n"/>
      <c r="G50" s="108" t="n"/>
      <c r="H50" s="88">
        <f>IF(E50="","",INDEX(LevelLabels,MATCH(E50,LevelValues,1)))</f>
        <v/>
      </c>
      <c r="I50" s="40">
        <f>IF(OR(B50="",A50=""),"",B50&amp;"|"&amp;A50)</f>
        <v/>
      </c>
      <c r="J50" s="40">
        <f>IF(AND(B50&lt;&gt;"",B50=Prof_ID),COUNTIF($B$6:B50,Prof_ID),"")</f>
        <v/>
      </c>
    </row>
    <row r="51">
      <c r="A51" s="5" t="n"/>
      <c r="B51" s="6" t="n"/>
      <c r="C51" s="103">
        <f>IF(B51="","",IFERROR(INDEX(Stu_Name,MATCH(B51,Stu_ID,0)),"رقم غير موجود"))</f>
        <v/>
      </c>
      <c r="D51" s="88">
        <f>IF(B51="","",IFERROR(INDEX(Stu_Class,MATCH(B51,Stu_ID,0)),""))</f>
        <v/>
      </c>
      <c r="E51" s="88">
        <f>IF(OR(B51="",A51=""),"",IFERROR(COUNTIFS(INDEX(CHOOSE(INDEX(Stu_C,MATCH(B51,Stu_ID,0)),'KG1-1'!$AD$9:$IM$38,'KG1-2'!$AD$9:$IM$38,'KG1-3'!$AD$9:$IM$38,'KG1-4'!$AD$9:$IM$38,'KG1-5'!$AD$9:$IM$38,'KG1-6'!$AD$9:$IM$38,'KG1-7'!$AD$9:$IM$38),INDEX(Stu_I,MATCH(B51,Stu_ID,0)),0),"غياب بدون عذر",CHOOSE(INDEX(Stu_C,MATCH(B51,Stu_ID,0)),'KG1-1'!$AD$7:$IM$7,'KG1-2'!$AD$7:$IM$7,'KG1-3'!$AD$7:$IM$7,'KG1-4'!$AD$7:$IM$7,'KG1-5'!$AD$7:$IM$7,'KG1-6'!$AD$7:$IM$7,'KG1-7'!$AD$7:$IM$7),"✓",'KG1-1'!$AD$5:$IM$5,"&lt;="&amp;A51),""))</f>
        <v/>
      </c>
      <c r="F51" s="6" t="n"/>
      <c r="G51" s="108" t="n"/>
      <c r="H51" s="88">
        <f>IF(E51="","",INDEX(LevelLabels,MATCH(E51,LevelValues,1)))</f>
        <v/>
      </c>
      <c r="I51" s="40">
        <f>IF(OR(B51="",A51=""),"",B51&amp;"|"&amp;A51)</f>
        <v/>
      </c>
      <c r="J51" s="40">
        <f>IF(AND(B51&lt;&gt;"",B51=Prof_ID),COUNTIF($B$6:B51,Prof_ID),"")</f>
        <v/>
      </c>
    </row>
    <row r="52">
      <c r="A52" s="5" t="n"/>
      <c r="B52" s="6" t="n"/>
      <c r="C52" s="103">
        <f>IF(B52="","",IFERROR(INDEX(Stu_Name,MATCH(B52,Stu_ID,0)),"رقم غير موجود"))</f>
        <v/>
      </c>
      <c r="D52" s="88">
        <f>IF(B52="","",IFERROR(INDEX(Stu_Class,MATCH(B52,Stu_ID,0)),""))</f>
        <v/>
      </c>
      <c r="E52" s="88">
        <f>IF(OR(B52="",A52=""),"",IFERROR(COUNTIFS(INDEX(CHOOSE(INDEX(Stu_C,MATCH(B52,Stu_ID,0)),'KG1-1'!$AD$9:$IM$38,'KG1-2'!$AD$9:$IM$38,'KG1-3'!$AD$9:$IM$38,'KG1-4'!$AD$9:$IM$38,'KG1-5'!$AD$9:$IM$38,'KG1-6'!$AD$9:$IM$38,'KG1-7'!$AD$9:$IM$38),INDEX(Stu_I,MATCH(B52,Stu_ID,0)),0),"غياب بدون عذر",CHOOSE(INDEX(Stu_C,MATCH(B52,Stu_ID,0)),'KG1-1'!$AD$7:$IM$7,'KG1-2'!$AD$7:$IM$7,'KG1-3'!$AD$7:$IM$7,'KG1-4'!$AD$7:$IM$7,'KG1-5'!$AD$7:$IM$7,'KG1-6'!$AD$7:$IM$7,'KG1-7'!$AD$7:$IM$7),"✓",'KG1-1'!$AD$5:$IM$5,"&lt;="&amp;A52),""))</f>
        <v/>
      </c>
      <c r="F52" s="6" t="n"/>
      <c r="G52" s="108" t="n"/>
      <c r="H52" s="88">
        <f>IF(E52="","",INDEX(LevelLabels,MATCH(E52,LevelValues,1)))</f>
        <v/>
      </c>
      <c r="I52" s="40">
        <f>IF(OR(B52="",A52=""),"",B52&amp;"|"&amp;A52)</f>
        <v/>
      </c>
      <c r="J52" s="40">
        <f>IF(AND(B52&lt;&gt;"",B52=Prof_ID),COUNTIF($B$6:B52,Prof_ID),"")</f>
        <v/>
      </c>
    </row>
    <row r="53">
      <c r="A53" s="5" t="n"/>
      <c r="B53" s="6" t="n"/>
      <c r="C53" s="103">
        <f>IF(B53="","",IFERROR(INDEX(Stu_Name,MATCH(B53,Stu_ID,0)),"رقم غير موجود"))</f>
        <v/>
      </c>
      <c r="D53" s="88">
        <f>IF(B53="","",IFERROR(INDEX(Stu_Class,MATCH(B53,Stu_ID,0)),""))</f>
        <v/>
      </c>
      <c r="E53" s="88">
        <f>IF(OR(B53="",A53=""),"",IFERROR(COUNTIFS(INDEX(CHOOSE(INDEX(Stu_C,MATCH(B53,Stu_ID,0)),'KG1-1'!$AD$9:$IM$38,'KG1-2'!$AD$9:$IM$38,'KG1-3'!$AD$9:$IM$38,'KG1-4'!$AD$9:$IM$38,'KG1-5'!$AD$9:$IM$38,'KG1-6'!$AD$9:$IM$38,'KG1-7'!$AD$9:$IM$38),INDEX(Stu_I,MATCH(B53,Stu_ID,0)),0),"غياب بدون عذر",CHOOSE(INDEX(Stu_C,MATCH(B53,Stu_ID,0)),'KG1-1'!$AD$7:$IM$7,'KG1-2'!$AD$7:$IM$7,'KG1-3'!$AD$7:$IM$7,'KG1-4'!$AD$7:$IM$7,'KG1-5'!$AD$7:$IM$7,'KG1-6'!$AD$7:$IM$7,'KG1-7'!$AD$7:$IM$7),"✓",'KG1-1'!$AD$5:$IM$5,"&lt;="&amp;A53),""))</f>
        <v/>
      </c>
      <c r="F53" s="6" t="n"/>
      <c r="G53" s="108" t="n"/>
      <c r="H53" s="88">
        <f>IF(E53="","",INDEX(LevelLabels,MATCH(E53,LevelValues,1)))</f>
        <v/>
      </c>
      <c r="I53" s="40">
        <f>IF(OR(B53="",A53=""),"",B53&amp;"|"&amp;A53)</f>
        <v/>
      </c>
      <c r="J53" s="40">
        <f>IF(AND(B53&lt;&gt;"",B53=Prof_ID),COUNTIF($B$6:B53,Prof_ID),"")</f>
        <v/>
      </c>
    </row>
    <row r="54">
      <c r="A54" s="5" t="n"/>
      <c r="B54" s="6" t="n"/>
      <c r="C54" s="103">
        <f>IF(B54="","",IFERROR(INDEX(Stu_Name,MATCH(B54,Stu_ID,0)),"رقم غير موجود"))</f>
        <v/>
      </c>
      <c r="D54" s="88">
        <f>IF(B54="","",IFERROR(INDEX(Stu_Class,MATCH(B54,Stu_ID,0)),""))</f>
        <v/>
      </c>
      <c r="E54" s="88">
        <f>IF(OR(B54="",A54=""),"",IFERROR(COUNTIFS(INDEX(CHOOSE(INDEX(Stu_C,MATCH(B54,Stu_ID,0)),'KG1-1'!$AD$9:$IM$38,'KG1-2'!$AD$9:$IM$38,'KG1-3'!$AD$9:$IM$38,'KG1-4'!$AD$9:$IM$38,'KG1-5'!$AD$9:$IM$38,'KG1-6'!$AD$9:$IM$38,'KG1-7'!$AD$9:$IM$38),INDEX(Stu_I,MATCH(B54,Stu_ID,0)),0),"غياب بدون عذر",CHOOSE(INDEX(Stu_C,MATCH(B54,Stu_ID,0)),'KG1-1'!$AD$7:$IM$7,'KG1-2'!$AD$7:$IM$7,'KG1-3'!$AD$7:$IM$7,'KG1-4'!$AD$7:$IM$7,'KG1-5'!$AD$7:$IM$7,'KG1-6'!$AD$7:$IM$7,'KG1-7'!$AD$7:$IM$7),"✓",'KG1-1'!$AD$5:$IM$5,"&lt;="&amp;A54),""))</f>
        <v/>
      </c>
      <c r="F54" s="6" t="n"/>
      <c r="G54" s="108" t="n"/>
      <c r="H54" s="88">
        <f>IF(E54="","",INDEX(LevelLabels,MATCH(E54,LevelValues,1)))</f>
        <v/>
      </c>
      <c r="I54" s="40">
        <f>IF(OR(B54="",A54=""),"",B54&amp;"|"&amp;A54)</f>
        <v/>
      </c>
      <c r="J54" s="40">
        <f>IF(AND(B54&lt;&gt;"",B54=Prof_ID),COUNTIF($B$6:B54,Prof_ID),"")</f>
        <v/>
      </c>
    </row>
    <row r="55">
      <c r="A55" s="5" t="n"/>
      <c r="B55" s="6" t="n"/>
      <c r="C55" s="103">
        <f>IF(B55="","",IFERROR(INDEX(Stu_Name,MATCH(B55,Stu_ID,0)),"رقم غير موجود"))</f>
        <v/>
      </c>
      <c r="D55" s="88">
        <f>IF(B55="","",IFERROR(INDEX(Stu_Class,MATCH(B55,Stu_ID,0)),""))</f>
        <v/>
      </c>
      <c r="E55" s="88">
        <f>IF(OR(B55="",A55=""),"",IFERROR(COUNTIFS(INDEX(CHOOSE(INDEX(Stu_C,MATCH(B55,Stu_ID,0)),'KG1-1'!$AD$9:$IM$38,'KG1-2'!$AD$9:$IM$38,'KG1-3'!$AD$9:$IM$38,'KG1-4'!$AD$9:$IM$38,'KG1-5'!$AD$9:$IM$38,'KG1-6'!$AD$9:$IM$38,'KG1-7'!$AD$9:$IM$38),INDEX(Stu_I,MATCH(B55,Stu_ID,0)),0),"غياب بدون عذر",CHOOSE(INDEX(Stu_C,MATCH(B55,Stu_ID,0)),'KG1-1'!$AD$7:$IM$7,'KG1-2'!$AD$7:$IM$7,'KG1-3'!$AD$7:$IM$7,'KG1-4'!$AD$7:$IM$7,'KG1-5'!$AD$7:$IM$7,'KG1-6'!$AD$7:$IM$7,'KG1-7'!$AD$7:$IM$7),"✓",'KG1-1'!$AD$5:$IM$5,"&lt;="&amp;A55),""))</f>
        <v/>
      </c>
      <c r="F55" s="6" t="n"/>
      <c r="G55" s="108" t="n"/>
      <c r="H55" s="88">
        <f>IF(E55="","",INDEX(LevelLabels,MATCH(E55,LevelValues,1)))</f>
        <v/>
      </c>
      <c r="I55" s="40">
        <f>IF(OR(B55="",A55=""),"",B55&amp;"|"&amp;A55)</f>
        <v/>
      </c>
      <c r="J55" s="40">
        <f>IF(AND(B55&lt;&gt;"",B55=Prof_ID),COUNTIF($B$6:B55,Prof_ID),"")</f>
        <v/>
      </c>
    </row>
    <row r="56">
      <c r="A56" s="5" t="n"/>
      <c r="B56" s="6" t="n"/>
      <c r="C56" s="103">
        <f>IF(B56="","",IFERROR(INDEX(Stu_Name,MATCH(B56,Stu_ID,0)),"رقم غير موجود"))</f>
        <v/>
      </c>
      <c r="D56" s="88">
        <f>IF(B56="","",IFERROR(INDEX(Stu_Class,MATCH(B56,Stu_ID,0)),""))</f>
        <v/>
      </c>
      <c r="E56" s="88">
        <f>IF(OR(B56="",A56=""),"",IFERROR(COUNTIFS(INDEX(CHOOSE(INDEX(Stu_C,MATCH(B56,Stu_ID,0)),'KG1-1'!$AD$9:$IM$38,'KG1-2'!$AD$9:$IM$38,'KG1-3'!$AD$9:$IM$38,'KG1-4'!$AD$9:$IM$38,'KG1-5'!$AD$9:$IM$38,'KG1-6'!$AD$9:$IM$38,'KG1-7'!$AD$9:$IM$38),INDEX(Stu_I,MATCH(B56,Stu_ID,0)),0),"غياب بدون عذر",CHOOSE(INDEX(Stu_C,MATCH(B56,Stu_ID,0)),'KG1-1'!$AD$7:$IM$7,'KG1-2'!$AD$7:$IM$7,'KG1-3'!$AD$7:$IM$7,'KG1-4'!$AD$7:$IM$7,'KG1-5'!$AD$7:$IM$7,'KG1-6'!$AD$7:$IM$7,'KG1-7'!$AD$7:$IM$7),"✓",'KG1-1'!$AD$5:$IM$5,"&lt;="&amp;A56),""))</f>
        <v/>
      </c>
      <c r="F56" s="6" t="n"/>
      <c r="G56" s="108" t="n"/>
      <c r="H56" s="88">
        <f>IF(E56="","",INDEX(LevelLabels,MATCH(E56,LevelValues,1)))</f>
        <v/>
      </c>
      <c r="I56" s="40">
        <f>IF(OR(B56="",A56=""),"",B56&amp;"|"&amp;A56)</f>
        <v/>
      </c>
      <c r="J56" s="40">
        <f>IF(AND(B56&lt;&gt;"",B56=Prof_ID),COUNTIF($B$6:B56,Prof_ID),"")</f>
        <v/>
      </c>
    </row>
    <row r="57">
      <c r="A57" s="5" t="n"/>
      <c r="B57" s="6" t="n"/>
      <c r="C57" s="103">
        <f>IF(B57="","",IFERROR(INDEX(Stu_Name,MATCH(B57,Stu_ID,0)),"رقم غير موجود"))</f>
        <v/>
      </c>
      <c r="D57" s="88">
        <f>IF(B57="","",IFERROR(INDEX(Stu_Class,MATCH(B57,Stu_ID,0)),""))</f>
        <v/>
      </c>
      <c r="E57" s="88">
        <f>IF(OR(B57="",A57=""),"",IFERROR(COUNTIFS(INDEX(CHOOSE(INDEX(Stu_C,MATCH(B57,Stu_ID,0)),'KG1-1'!$AD$9:$IM$38,'KG1-2'!$AD$9:$IM$38,'KG1-3'!$AD$9:$IM$38,'KG1-4'!$AD$9:$IM$38,'KG1-5'!$AD$9:$IM$38,'KG1-6'!$AD$9:$IM$38,'KG1-7'!$AD$9:$IM$38),INDEX(Stu_I,MATCH(B57,Stu_ID,0)),0),"غياب بدون عذر",CHOOSE(INDEX(Stu_C,MATCH(B57,Stu_ID,0)),'KG1-1'!$AD$7:$IM$7,'KG1-2'!$AD$7:$IM$7,'KG1-3'!$AD$7:$IM$7,'KG1-4'!$AD$7:$IM$7,'KG1-5'!$AD$7:$IM$7,'KG1-6'!$AD$7:$IM$7,'KG1-7'!$AD$7:$IM$7),"✓",'KG1-1'!$AD$5:$IM$5,"&lt;="&amp;A57),""))</f>
        <v/>
      </c>
      <c r="F57" s="6" t="n"/>
      <c r="G57" s="108" t="n"/>
      <c r="H57" s="88">
        <f>IF(E57="","",INDEX(LevelLabels,MATCH(E57,LevelValues,1)))</f>
        <v/>
      </c>
      <c r="I57" s="40">
        <f>IF(OR(B57="",A57=""),"",B57&amp;"|"&amp;A57)</f>
        <v/>
      </c>
      <c r="J57" s="40">
        <f>IF(AND(B57&lt;&gt;"",B57=Prof_ID),COUNTIF($B$6:B57,Prof_ID),"")</f>
        <v/>
      </c>
    </row>
    <row r="58">
      <c r="A58" s="5" t="n"/>
      <c r="B58" s="6" t="n"/>
      <c r="C58" s="103">
        <f>IF(B58="","",IFERROR(INDEX(Stu_Name,MATCH(B58,Stu_ID,0)),"رقم غير موجود"))</f>
        <v/>
      </c>
      <c r="D58" s="88">
        <f>IF(B58="","",IFERROR(INDEX(Stu_Class,MATCH(B58,Stu_ID,0)),""))</f>
        <v/>
      </c>
      <c r="E58" s="88">
        <f>IF(OR(B58="",A58=""),"",IFERROR(COUNTIFS(INDEX(CHOOSE(INDEX(Stu_C,MATCH(B58,Stu_ID,0)),'KG1-1'!$AD$9:$IM$38,'KG1-2'!$AD$9:$IM$38,'KG1-3'!$AD$9:$IM$38,'KG1-4'!$AD$9:$IM$38,'KG1-5'!$AD$9:$IM$38,'KG1-6'!$AD$9:$IM$38,'KG1-7'!$AD$9:$IM$38),INDEX(Stu_I,MATCH(B58,Stu_ID,0)),0),"غياب بدون عذر",CHOOSE(INDEX(Stu_C,MATCH(B58,Stu_ID,0)),'KG1-1'!$AD$7:$IM$7,'KG1-2'!$AD$7:$IM$7,'KG1-3'!$AD$7:$IM$7,'KG1-4'!$AD$7:$IM$7,'KG1-5'!$AD$7:$IM$7,'KG1-6'!$AD$7:$IM$7,'KG1-7'!$AD$7:$IM$7),"✓",'KG1-1'!$AD$5:$IM$5,"&lt;="&amp;A58),""))</f>
        <v/>
      </c>
      <c r="F58" s="6" t="n"/>
      <c r="G58" s="108" t="n"/>
      <c r="H58" s="88">
        <f>IF(E58="","",INDEX(LevelLabels,MATCH(E58,LevelValues,1)))</f>
        <v/>
      </c>
      <c r="I58" s="40">
        <f>IF(OR(B58="",A58=""),"",B58&amp;"|"&amp;A58)</f>
        <v/>
      </c>
      <c r="J58" s="40">
        <f>IF(AND(B58&lt;&gt;"",B58=Prof_ID),COUNTIF($B$6:B58,Prof_ID),"")</f>
        <v/>
      </c>
    </row>
    <row r="59">
      <c r="A59" s="5" t="n"/>
      <c r="B59" s="6" t="n"/>
      <c r="C59" s="103">
        <f>IF(B59="","",IFERROR(INDEX(Stu_Name,MATCH(B59,Stu_ID,0)),"رقم غير موجود"))</f>
        <v/>
      </c>
      <c r="D59" s="88">
        <f>IF(B59="","",IFERROR(INDEX(Stu_Class,MATCH(B59,Stu_ID,0)),""))</f>
        <v/>
      </c>
      <c r="E59" s="88">
        <f>IF(OR(B59="",A59=""),"",IFERROR(COUNTIFS(INDEX(CHOOSE(INDEX(Stu_C,MATCH(B59,Stu_ID,0)),'KG1-1'!$AD$9:$IM$38,'KG1-2'!$AD$9:$IM$38,'KG1-3'!$AD$9:$IM$38,'KG1-4'!$AD$9:$IM$38,'KG1-5'!$AD$9:$IM$38,'KG1-6'!$AD$9:$IM$38,'KG1-7'!$AD$9:$IM$38),INDEX(Stu_I,MATCH(B59,Stu_ID,0)),0),"غياب بدون عذر",CHOOSE(INDEX(Stu_C,MATCH(B59,Stu_ID,0)),'KG1-1'!$AD$7:$IM$7,'KG1-2'!$AD$7:$IM$7,'KG1-3'!$AD$7:$IM$7,'KG1-4'!$AD$7:$IM$7,'KG1-5'!$AD$7:$IM$7,'KG1-6'!$AD$7:$IM$7,'KG1-7'!$AD$7:$IM$7),"✓",'KG1-1'!$AD$5:$IM$5,"&lt;="&amp;A59),""))</f>
        <v/>
      </c>
      <c r="F59" s="6" t="n"/>
      <c r="G59" s="108" t="n"/>
      <c r="H59" s="88">
        <f>IF(E59="","",INDEX(LevelLabels,MATCH(E59,LevelValues,1)))</f>
        <v/>
      </c>
      <c r="I59" s="40">
        <f>IF(OR(B59="",A59=""),"",B59&amp;"|"&amp;A59)</f>
        <v/>
      </c>
      <c r="J59" s="40">
        <f>IF(AND(B59&lt;&gt;"",B59=Prof_ID),COUNTIF($B$6:B59,Prof_ID),"")</f>
        <v/>
      </c>
    </row>
    <row r="60">
      <c r="A60" s="5" t="n"/>
      <c r="B60" s="6" t="n"/>
      <c r="C60" s="103">
        <f>IF(B60="","",IFERROR(INDEX(Stu_Name,MATCH(B60,Stu_ID,0)),"رقم غير موجود"))</f>
        <v/>
      </c>
      <c r="D60" s="88">
        <f>IF(B60="","",IFERROR(INDEX(Stu_Class,MATCH(B60,Stu_ID,0)),""))</f>
        <v/>
      </c>
      <c r="E60" s="88">
        <f>IF(OR(B60="",A60=""),"",IFERROR(COUNTIFS(INDEX(CHOOSE(INDEX(Stu_C,MATCH(B60,Stu_ID,0)),'KG1-1'!$AD$9:$IM$38,'KG1-2'!$AD$9:$IM$38,'KG1-3'!$AD$9:$IM$38,'KG1-4'!$AD$9:$IM$38,'KG1-5'!$AD$9:$IM$38,'KG1-6'!$AD$9:$IM$38,'KG1-7'!$AD$9:$IM$38),INDEX(Stu_I,MATCH(B60,Stu_ID,0)),0),"غياب بدون عذر",CHOOSE(INDEX(Stu_C,MATCH(B60,Stu_ID,0)),'KG1-1'!$AD$7:$IM$7,'KG1-2'!$AD$7:$IM$7,'KG1-3'!$AD$7:$IM$7,'KG1-4'!$AD$7:$IM$7,'KG1-5'!$AD$7:$IM$7,'KG1-6'!$AD$7:$IM$7,'KG1-7'!$AD$7:$IM$7),"✓",'KG1-1'!$AD$5:$IM$5,"&lt;="&amp;A60),""))</f>
        <v/>
      </c>
      <c r="F60" s="6" t="n"/>
      <c r="G60" s="108" t="n"/>
      <c r="H60" s="88">
        <f>IF(E60="","",INDEX(LevelLabels,MATCH(E60,LevelValues,1)))</f>
        <v/>
      </c>
      <c r="I60" s="40">
        <f>IF(OR(B60="",A60=""),"",B60&amp;"|"&amp;A60)</f>
        <v/>
      </c>
      <c r="J60" s="40">
        <f>IF(AND(B60&lt;&gt;"",B60=Prof_ID),COUNTIF($B$6:B60,Prof_ID),"")</f>
        <v/>
      </c>
    </row>
    <row r="61">
      <c r="A61" s="5" t="n"/>
      <c r="B61" s="6" t="n"/>
      <c r="C61" s="103">
        <f>IF(B61="","",IFERROR(INDEX(Stu_Name,MATCH(B61,Stu_ID,0)),"رقم غير موجود"))</f>
        <v/>
      </c>
      <c r="D61" s="88">
        <f>IF(B61="","",IFERROR(INDEX(Stu_Class,MATCH(B61,Stu_ID,0)),""))</f>
        <v/>
      </c>
      <c r="E61" s="88">
        <f>IF(OR(B61="",A61=""),"",IFERROR(COUNTIFS(INDEX(CHOOSE(INDEX(Stu_C,MATCH(B61,Stu_ID,0)),'KG1-1'!$AD$9:$IM$38,'KG1-2'!$AD$9:$IM$38,'KG1-3'!$AD$9:$IM$38,'KG1-4'!$AD$9:$IM$38,'KG1-5'!$AD$9:$IM$38,'KG1-6'!$AD$9:$IM$38,'KG1-7'!$AD$9:$IM$38),INDEX(Stu_I,MATCH(B61,Stu_ID,0)),0),"غياب بدون عذر",CHOOSE(INDEX(Stu_C,MATCH(B61,Stu_ID,0)),'KG1-1'!$AD$7:$IM$7,'KG1-2'!$AD$7:$IM$7,'KG1-3'!$AD$7:$IM$7,'KG1-4'!$AD$7:$IM$7,'KG1-5'!$AD$7:$IM$7,'KG1-6'!$AD$7:$IM$7,'KG1-7'!$AD$7:$IM$7),"✓",'KG1-1'!$AD$5:$IM$5,"&lt;="&amp;A61),""))</f>
        <v/>
      </c>
      <c r="F61" s="6" t="n"/>
      <c r="G61" s="108" t="n"/>
      <c r="H61" s="88">
        <f>IF(E61="","",INDEX(LevelLabels,MATCH(E61,LevelValues,1)))</f>
        <v/>
      </c>
      <c r="I61" s="40">
        <f>IF(OR(B61="",A61=""),"",B61&amp;"|"&amp;A61)</f>
        <v/>
      </c>
      <c r="J61" s="40">
        <f>IF(AND(B61&lt;&gt;"",B61=Prof_ID),COUNTIF($B$6:B61,Prof_ID),"")</f>
        <v/>
      </c>
    </row>
    <row r="62">
      <c r="A62" s="5" t="n"/>
      <c r="B62" s="6" t="n"/>
      <c r="C62" s="103">
        <f>IF(B62="","",IFERROR(INDEX(Stu_Name,MATCH(B62,Stu_ID,0)),"رقم غير موجود"))</f>
        <v/>
      </c>
      <c r="D62" s="88">
        <f>IF(B62="","",IFERROR(INDEX(Stu_Class,MATCH(B62,Stu_ID,0)),""))</f>
        <v/>
      </c>
      <c r="E62" s="88">
        <f>IF(OR(B62="",A62=""),"",IFERROR(COUNTIFS(INDEX(CHOOSE(INDEX(Stu_C,MATCH(B62,Stu_ID,0)),'KG1-1'!$AD$9:$IM$38,'KG1-2'!$AD$9:$IM$38,'KG1-3'!$AD$9:$IM$38,'KG1-4'!$AD$9:$IM$38,'KG1-5'!$AD$9:$IM$38,'KG1-6'!$AD$9:$IM$38,'KG1-7'!$AD$9:$IM$38),INDEX(Stu_I,MATCH(B62,Stu_ID,0)),0),"غياب بدون عذر",CHOOSE(INDEX(Stu_C,MATCH(B62,Stu_ID,0)),'KG1-1'!$AD$7:$IM$7,'KG1-2'!$AD$7:$IM$7,'KG1-3'!$AD$7:$IM$7,'KG1-4'!$AD$7:$IM$7,'KG1-5'!$AD$7:$IM$7,'KG1-6'!$AD$7:$IM$7,'KG1-7'!$AD$7:$IM$7),"✓",'KG1-1'!$AD$5:$IM$5,"&lt;="&amp;A62),""))</f>
        <v/>
      </c>
      <c r="F62" s="6" t="n"/>
      <c r="G62" s="108" t="n"/>
      <c r="H62" s="88">
        <f>IF(E62="","",INDEX(LevelLabels,MATCH(E62,LevelValues,1)))</f>
        <v/>
      </c>
      <c r="I62" s="40">
        <f>IF(OR(B62="",A62=""),"",B62&amp;"|"&amp;A62)</f>
        <v/>
      </c>
      <c r="J62" s="40">
        <f>IF(AND(B62&lt;&gt;"",B62=Prof_ID),COUNTIF($B$6:B62,Prof_ID),"")</f>
        <v/>
      </c>
    </row>
    <row r="63">
      <c r="A63" s="5" t="n"/>
      <c r="B63" s="6" t="n"/>
      <c r="C63" s="103">
        <f>IF(B63="","",IFERROR(INDEX(Stu_Name,MATCH(B63,Stu_ID,0)),"رقم غير موجود"))</f>
        <v/>
      </c>
      <c r="D63" s="88">
        <f>IF(B63="","",IFERROR(INDEX(Stu_Class,MATCH(B63,Stu_ID,0)),""))</f>
        <v/>
      </c>
      <c r="E63" s="88">
        <f>IF(OR(B63="",A63=""),"",IFERROR(COUNTIFS(INDEX(CHOOSE(INDEX(Stu_C,MATCH(B63,Stu_ID,0)),'KG1-1'!$AD$9:$IM$38,'KG1-2'!$AD$9:$IM$38,'KG1-3'!$AD$9:$IM$38,'KG1-4'!$AD$9:$IM$38,'KG1-5'!$AD$9:$IM$38,'KG1-6'!$AD$9:$IM$38,'KG1-7'!$AD$9:$IM$38),INDEX(Stu_I,MATCH(B63,Stu_ID,0)),0),"غياب بدون عذر",CHOOSE(INDEX(Stu_C,MATCH(B63,Stu_ID,0)),'KG1-1'!$AD$7:$IM$7,'KG1-2'!$AD$7:$IM$7,'KG1-3'!$AD$7:$IM$7,'KG1-4'!$AD$7:$IM$7,'KG1-5'!$AD$7:$IM$7,'KG1-6'!$AD$7:$IM$7,'KG1-7'!$AD$7:$IM$7),"✓",'KG1-1'!$AD$5:$IM$5,"&lt;="&amp;A63),""))</f>
        <v/>
      </c>
      <c r="F63" s="6" t="n"/>
      <c r="G63" s="108" t="n"/>
      <c r="H63" s="88">
        <f>IF(E63="","",INDEX(LevelLabels,MATCH(E63,LevelValues,1)))</f>
        <v/>
      </c>
      <c r="I63" s="40">
        <f>IF(OR(B63="",A63=""),"",B63&amp;"|"&amp;A63)</f>
        <v/>
      </c>
      <c r="J63" s="40">
        <f>IF(AND(B63&lt;&gt;"",B63=Prof_ID),COUNTIF($B$6:B63,Prof_ID),"")</f>
        <v/>
      </c>
    </row>
    <row r="64">
      <c r="A64" s="5" t="n"/>
      <c r="B64" s="6" t="n"/>
      <c r="C64" s="103">
        <f>IF(B64="","",IFERROR(INDEX(Stu_Name,MATCH(B64,Stu_ID,0)),"رقم غير موجود"))</f>
        <v/>
      </c>
      <c r="D64" s="88">
        <f>IF(B64="","",IFERROR(INDEX(Stu_Class,MATCH(B64,Stu_ID,0)),""))</f>
        <v/>
      </c>
      <c r="E64" s="88">
        <f>IF(OR(B64="",A64=""),"",IFERROR(COUNTIFS(INDEX(CHOOSE(INDEX(Stu_C,MATCH(B64,Stu_ID,0)),'KG1-1'!$AD$9:$IM$38,'KG1-2'!$AD$9:$IM$38,'KG1-3'!$AD$9:$IM$38,'KG1-4'!$AD$9:$IM$38,'KG1-5'!$AD$9:$IM$38,'KG1-6'!$AD$9:$IM$38,'KG1-7'!$AD$9:$IM$38),INDEX(Stu_I,MATCH(B64,Stu_ID,0)),0),"غياب بدون عذر",CHOOSE(INDEX(Stu_C,MATCH(B64,Stu_ID,0)),'KG1-1'!$AD$7:$IM$7,'KG1-2'!$AD$7:$IM$7,'KG1-3'!$AD$7:$IM$7,'KG1-4'!$AD$7:$IM$7,'KG1-5'!$AD$7:$IM$7,'KG1-6'!$AD$7:$IM$7,'KG1-7'!$AD$7:$IM$7),"✓",'KG1-1'!$AD$5:$IM$5,"&lt;="&amp;A64),""))</f>
        <v/>
      </c>
      <c r="F64" s="6" t="n"/>
      <c r="G64" s="108" t="n"/>
      <c r="H64" s="88">
        <f>IF(E64="","",INDEX(LevelLabels,MATCH(E64,LevelValues,1)))</f>
        <v/>
      </c>
      <c r="I64" s="40">
        <f>IF(OR(B64="",A64=""),"",B64&amp;"|"&amp;A64)</f>
        <v/>
      </c>
      <c r="J64" s="40">
        <f>IF(AND(B64&lt;&gt;"",B64=Prof_ID),COUNTIF($B$6:B64,Prof_ID),"")</f>
        <v/>
      </c>
    </row>
    <row r="65">
      <c r="A65" s="5" t="n"/>
      <c r="B65" s="6" t="n"/>
      <c r="C65" s="103">
        <f>IF(B65="","",IFERROR(INDEX(Stu_Name,MATCH(B65,Stu_ID,0)),"رقم غير موجود"))</f>
        <v/>
      </c>
      <c r="D65" s="88">
        <f>IF(B65="","",IFERROR(INDEX(Stu_Class,MATCH(B65,Stu_ID,0)),""))</f>
        <v/>
      </c>
      <c r="E65" s="88">
        <f>IF(OR(B65="",A65=""),"",IFERROR(COUNTIFS(INDEX(CHOOSE(INDEX(Stu_C,MATCH(B65,Stu_ID,0)),'KG1-1'!$AD$9:$IM$38,'KG1-2'!$AD$9:$IM$38,'KG1-3'!$AD$9:$IM$38,'KG1-4'!$AD$9:$IM$38,'KG1-5'!$AD$9:$IM$38,'KG1-6'!$AD$9:$IM$38,'KG1-7'!$AD$9:$IM$38),INDEX(Stu_I,MATCH(B65,Stu_ID,0)),0),"غياب بدون عذر",CHOOSE(INDEX(Stu_C,MATCH(B65,Stu_ID,0)),'KG1-1'!$AD$7:$IM$7,'KG1-2'!$AD$7:$IM$7,'KG1-3'!$AD$7:$IM$7,'KG1-4'!$AD$7:$IM$7,'KG1-5'!$AD$7:$IM$7,'KG1-6'!$AD$7:$IM$7,'KG1-7'!$AD$7:$IM$7),"✓",'KG1-1'!$AD$5:$IM$5,"&lt;="&amp;A65),""))</f>
        <v/>
      </c>
      <c r="F65" s="6" t="n"/>
      <c r="G65" s="108" t="n"/>
      <c r="H65" s="88">
        <f>IF(E65="","",INDEX(LevelLabels,MATCH(E65,LevelValues,1)))</f>
        <v/>
      </c>
      <c r="I65" s="40">
        <f>IF(OR(B65="",A65=""),"",B65&amp;"|"&amp;A65)</f>
        <v/>
      </c>
      <c r="J65" s="40">
        <f>IF(AND(B65&lt;&gt;"",B65=Prof_ID),COUNTIF($B$6:B65,Prof_ID),"")</f>
        <v/>
      </c>
    </row>
    <row r="66">
      <c r="A66" s="5" t="n"/>
      <c r="B66" s="6" t="n"/>
      <c r="C66" s="103">
        <f>IF(B66="","",IFERROR(INDEX(Stu_Name,MATCH(B66,Stu_ID,0)),"رقم غير موجود"))</f>
        <v/>
      </c>
      <c r="D66" s="88">
        <f>IF(B66="","",IFERROR(INDEX(Stu_Class,MATCH(B66,Stu_ID,0)),""))</f>
        <v/>
      </c>
      <c r="E66" s="88">
        <f>IF(OR(B66="",A66=""),"",IFERROR(COUNTIFS(INDEX(CHOOSE(INDEX(Stu_C,MATCH(B66,Stu_ID,0)),'KG1-1'!$AD$9:$IM$38,'KG1-2'!$AD$9:$IM$38,'KG1-3'!$AD$9:$IM$38,'KG1-4'!$AD$9:$IM$38,'KG1-5'!$AD$9:$IM$38,'KG1-6'!$AD$9:$IM$38,'KG1-7'!$AD$9:$IM$38),INDEX(Stu_I,MATCH(B66,Stu_ID,0)),0),"غياب بدون عذر",CHOOSE(INDEX(Stu_C,MATCH(B66,Stu_ID,0)),'KG1-1'!$AD$7:$IM$7,'KG1-2'!$AD$7:$IM$7,'KG1-3'!$AD$7:$IM$7,'KG1-4'!$AD$7:$IM$7,'KG1-5'!$AD$7:$IM$7,'KG1-6'!$AD$7:$IM$7,'KG1-7'!$AD$7:$IM$7),"✓",'KG1-1'!$AD$5:$IM$5,"&lt;="&amp;A66),""))</f>
        <v/>
      </c>
      <c r="F66" s="6" t="n"/>
      <c r="G66" s="108" t="n"/>
      <c r="H66" s="88">
        <f>IF(E66="","",INDEX(LevelLabels,MATCH(E66,LevelValues,1)))</f>
        <v/>
      </c>
      <c r="I66" s="40">
        <f>IF(OR(B66="",A66=""),"",B66&amp;"|"&amp;A66)</f>
        <v/>
      </c>
      <c r="J66" s="40">
        <f>IF(AND(B66&lt;&gt;"",B66=Prof_ID),COUNTIF($B$6:B66,Prof_ID),"")</f>
        <v/>
      </c>
    </row>
    <row r="67">
      <c r="A67" s="5" t="n"/>
      <c r="B67" s="6" t="n"/>
      <c r="C67" s="103">
        <f>IF(B67="","",IFERROR(INDEX(Stu_Name,MATCH(B67,Stu_ID,0)),"رقم غير موجود"))</f>
        <v/>
      </c>
      <c r="D67" s="88">
        <f>IF(B67="","",IFERROR(INDEX(Stu_Class,MATCH(B67,Stu_ID,0)),""))</f>
        <v/>
      </c>
      <c r="E67" s="88">
        <f>IF(OR(B67="",A67=""),"",IFERROR(COUNTIFS(INDEX(CHOOSE(INDEX(Stu_C,MATCH(B67,Stu_ID,0)),'KG1-1'!$AD$9:$IM$38,'KG1-2'!$AD$9:$IM$38,'KG1-3'!$AD$9:$IM$38,'KG1-4'!$AD$9:$IM$38,'KG1-5'!$AD$9:$IM$38,'KG1-6'!$AD$9:$IM$38,'KG1-7'!$AD$9:$IM$38),INDEX(Stu_I,MATCH(B67,Stu_ID,0)),0),"غياب بدون عذر",CHOOSE(INDEX(Stu_C,MATCH(B67,Stu_ID,0)),'KG1-1'!$AD$7:$IM$7,'KG1-2'!$AD$7:$IM$7,'KG1-3'!$AD$7:$IM$7,'KG1-4'!$AD$7:$IM$7,'KG1-5'!$AD$7:$IM$7,'KG1-6'!$AD$7:$IM$7,'KG1-7'!$AD$7:$IM$7),"✓",'KG1-1'!$AD$5:$IM$5,"&lt;="&amp;A67),""))</f>
        <v/>
      </c>
      <c r="F67" s="6" t="n"/>
      <c r="G67" s="108" t="n"/>
      <c r="H67" s="88">
        <f>IF(E67="","",INDEX(LevelLabels,MATCH(E67,LevelValues,1)))</f>
        <v/>
      </c>
      <c r="I67" s="40">
        <f>IF(OR(B67="",A67=""),"",B67&amp;"|"&amp;A67)</f>
        <v/>
      </c>
      <c r="J67" s="40">
        <f>IF(AND(B67&lt;&gt;"",B67=Prof_ID),COUNTIF($B$6:B67,Prof_ID),"")</f>
        <v/>
      </c>
    </row>
    <row r="68">
      <c r="A68" s="5" t="n"/>
      <c r="B68" s="6" t="n"/>
      <c r="C68" s="103">
        <f>IF(B68="","",IFERROR(INDEX(Stu_Name,MATCH(B68,Stu_ID,0)),"رقم غير موجود"))</f>
        <v/>
      </c>
      <c r="D68" s="88">
        <f>IF(B68="","",IFERROR(INDEX(Stu_Class,MATCH(B68,Stu_ID,0)),""))</f>
        <v/>
      </c>
      <c r="E68" s="88">
        <f>IF(OR(B68="",A68=""),"",IFERROR(COUNTIFS(INDEX(CHOOSE(INDEX(Stu_C,MATCH(B68,Stu_ID,0)),'KG1-1'!$AD$9:$IM$38,'KG1-2'!$AD$9:$IM$38,'KG1-3'!$AD$9:$IM$38,'KG1-4'!$AD$9:$IM$38,'KG1-5'!$AD$9:$IM$38,'KG1-6'!$AD$9:$IM$38,'KG1-7'!$AD$9:$IM$38),INDEX(Stu_I,MATCH(B68,Stu_ID,0)),0),"غياب بدون عذر",CHOOSE(INDEX(Stu_C,MATCH(B68,Stu_ID,0)),'KG1-1'!$AD$7:$IM$7,'KG1-2'!$AD$7:$IM$7,'KG1-3'!$AD$7:$IM$7,'KG1-4'!$AD$7:$IM$7,'KG1-5'!$AD$7:$IM$7,'KG1-6'!$AD$7:$IM$7,'KG1-7'!$AD$7:$IM$7),"✓",'KG1-1'!$AD$5:$IM$5,"&lt;="&amp;A68),""))</f>
        <v/>
      </c>
      <c r="F68" s="6" t="n"/>
      <c r="G68" s="108" t="n"/>
      <c r="H68" s="88">
        <f>IF(E68="","",INDEX(LevelLabels,MATCH(E68,LevelValues,1)))</f>
        <v/>
      </c>
      <c r="I68" s="40">
        <f>IF(OR(B68="",A68=""),"",B68&amp;"|"&amp;A68)</f>
        <v/>
      </c>
      <c r="J68" s="40">
        <f>IF(AND(B68&lt;&gt;"",B68=Prof_ID),COUNTIF($B$6:B68,Prof_ID),"")</f>
        <v/>
      </c>
    </row>
    <row r="69">
      <c r="A69" s="5" t="n"/>
      <c r="B69" s="6" t="n"/>
      <c r="C69" s="103">
        <f>IF(B69="","",IFERROR(INDEX(Stu_Name,MATCH(B69,Stu_ID,0)),"رقم غير موجود"))</f>
        <v/>
      </c>
      <c r="D69" s="88">
        <f>IF(B69="","",IFERROR(INDEX(Stu_Class,MATCH(B69,Stu_ID,0)),""))</f>
        <v/>
      </c>
      <c r="E69" s="88">
        <f>IF(OR(B69="",A69=""),"",IFERROR(COUNTIFS(INDEX(CHOOSE(INDEX(Stu_C,MATCH(B69,Stu_ID,0)),'KG1-1'!$AD$9:$IM$38,'KG1-2'!$AD$9:$IM$38,'KG1-3'!$AD$9:$IM$38,'KG1-4'!$AD$9:$IM$38,'KG1-5'!$AD$9:$IM$38,'KG1-6'!$AD$9:$IM$38,'KG1-7'!$AD$9:$IM$38),INDEX(Stu_I,MATCH(B69,Stu_ID,0)),0),"غياب بدون عذر",CHOOSE(INDEX(Stu_C,MATCH(B69,Stu_ID,0)),'KG1-1'!$AD$7:$IM$7,'KG1-2'!$AD$7:$IM$7,'KG1-3'!$AD$7:$IM$7,'KG1-4'!$AD$7:$IM$7,'KG1-5'!$AD$7:$IM$7,'KG1-6'!$AD$7:$IM$7,'KG1-7'!$AD$7:$IM$7),"✓",'KG1-1'!$AD$5:$IM$5,"&lt;="&amp;A69),""))</f>
        <v/>
      </c>
      <c r="F69" s="6" t="n"/>
      <c r="G69" s="108" t="n"/>
      <c r="H69" s="88">
        <f>IF(E69="","",INDEX(LevelLabels,MATCH(E69,LevelValues,1)))</f>
        <v/>
      </c>
      <c r="I69" s="40">
        <f>IF(OR(B69="",A69=""),"",B69&amp;"|"&amp;A69)</f>
        <v/>
      </c>
      <c r="J69" s="40">
        <f>IF(AND(B69&lt;&gt;"",B69=Prof_ID),COUNTIF($B$6:B69,Prof_ID),"")</f>
        <v/>
      </c>
    </row>
    <row r="70">
      <c r="A70" s="5" t="n"/>
      <c r="B70" s="6" t="n"/>
      <c r="C70" s="103">
        <f>IF(B70="","",IFERROR(INDEX(Stu_Name,MATCH(B70,Stu_ID,0)),"رقم غير موجود"))</f>
        <v/>
      </c>
      <c r="D70" s="88">
        <f>IF(B70="","",IFERROR(INDEX(Stu_Class,MATCH(B70,Stu_ID,0)),""))</f>
        <v/>
      </c>
      <c r="E70" s="88">
        <f>IF(OR(B70="",A70=""),"",IFERROR(COUNTIFS(INDEX(CHOOSE(INDEX(Stu_C,MATCH(B70,Stu_ID,0)),'KG1-1'!$AD$9:$IM$38,'KG1-2'!$AD$9:$IM$38,'KG1-3'!$AD$9:$IM$38,'KG1-4'!$AD$9:$IM$38,'KG1-5'!$AD$9:$IM$38,'KG1-6'!$AD$9:$IM$38,'KG1-7'!$AD$9:$IM$38),INDEX(Stu_I,MATCH(B70,Stu_ID,0)),0),"غياب بدون عذر",CHOOSE(INDEX(Stu_C,MATCH(B70,Stu_ID,0)),'KG1-1'!$AD$7:$IM$7,'KG1-2'!$AD$7:$IM$7,'KG1-3'!$AD$7:$IM$7,'KG1-4'!$AD$7:$IM$7,'KG1-5'!$AD$7:$IM$7,'KG1-6'!$AD$7:$IM$7,'KG1-7'!$AD$7:$IM$7),"✓",'KG1-1'!$AD$5:$IM$5,"&lt;="&amp;A70),""))</f>
        <v/>
      </c>
      <c r="F70" s="6" t="n"/>
      <c r="G70" s="108" t="n"/>
      <c r="H70" s="88">
        <f>IF(E70="","",INDEX(LevelLabels,MATCH(E70,LevelValues,1)))</f>
        <v/>
      </c>
      <c r="I70" s="40">
        <f>IF(OR(B70="",A70=""),"",B70&amp;"|"&amp;A70)</f>
        <v/>
      </c>
      <c r="J70" s="40">
        <f>IF(AND(B70&lt;&gt;"",B70=Prof_ID),COUNTIF($B$6:B70,Prof_ID),"")</f>
        <v/>
      </c>
    </row>
    <row r="71">
      <c r="A71" s="5" t="n"/>
      <c r="B71" s="6" t="n"/>
      <c r="C71" s="103">
        <f>IF(B71="","",IFERROR(INDEX(Stu_Name,MATCH(B71,Stu_ID,0)),"رقم غير موجود"))</f>
        <v/>
      </c>
      <c r="D71" s="88">
        <f>IF(B71="","",IFERROR(INDEX(Stu_Class,MATCH(B71,Stu_ID,0)),""))</f>
        <v/>
      </c>
      <c r="E71" s="88">
        <f>IF(OR(B71="",A71=""),"",IFERROR(COUNTIFS(INDEX(CHOOSE(INDEX(Stu_C,MATCH(B71,Stu_ID,0)),'KG1-1'!$AD$9:$IM$38,'KG1-2'!$AD$9:$IM$38,'KG1-3'!$AD$9:$IM$38,'KG1-4'!$AD$9:$IM$38,'KG1-5'!$AD$9:$IM$38,'KG1-6'!$AD$9:$IM$38,'KG1-7'!$AD$9:$IM$38),INDEX(Stu_I,MATCH(B71,Stu_ID,0)),0),"غياب بدون عذر",CHOOSE(INDEX(Stu_C,MATCH(B71,Stu_ID,0)),'KG1-1'!$AD$7:$IM$7,'KG1-2'!$AD$7:$IM$7,'KG1-3'!$AD$7:$IM$7,'KG1-4'!$AD$7:$IM$7,'KG1-5'!$AD$7:$IM$7,'KG1-6'!$AD$7:$IM$7,'KG1-7'!$AD$7:$IM$7),"✓",'KG1-1'!$AD$5:$IM$5,"&lt;="&amp;A71),""))</f>
        <v/>
      </c>
      <c r="F71" s="6" t="n"/>
      <c r="G71" s="108" t="n"/>
      <c r="H71" s="88">
        <f>IF(E71="","",INDEX(LevelLabels,MATCH(E71,LevelValues,1)))</f>
        <v/>
      </c>
      <c r="I71" s="40">
        <f>IF(OR(B71="",A71=""),"",B71&amp;"|"&amp;A71)</f>
        <v/>
      </c>
      <c r="J71" s="40">
        <f>IF(AND(B71&lt;&gt;"",B71=Prof_ID),COUNTIF($B$6:B71,Prof_ID),"")</f>
        <v/>
      </c>
    </row>
    <row r="72">
      <c r="A72" s="5" t="n"/>
      <c r="B72" s="6" t="n"/>
      <c r="C72" s="103">
        <f>IF(B72="","",IFERROR(INDEX(Stu_Name,MATCH(B72,Stu_ID,0)),"رقم غير موجود"))</f>
        <v/>
      </c>
      <c r="D72" s="88">
        <f>IF(B72="","",IFERROR(INDEX(Stu_Class,MATCH(B72,Stu_ID,0)),""))</f>
        <v/>
      </c>
      <c r="E72" s="88">
        <f>IF(OR(B72="",A72=""),"",IFERROR(COUNTIFS(INDEX(CHOOSE(INDEX(Stu_C,MATCH(B72,Stu_ID,0)),'KG1-1'!$AD$9:$IM$38,'KG1-2'!$AD$9:$IM$38,'KG1-3'!$AD$9:$IM$38,'KG1-4'!$AD$9:$IM$38,'KG1-5'!$AD$9:$IM$38,'KG1-6'!$AD$9:$IM$38,'KG1-7'!$AD$9:$IM$38),INDEX(Stu_I,MATCH(B72,Stu_ID,0)),0),"غياب بدون عذر",CHOOSE(INDEX(Stu_C,MATCH(B72,Stu_ID,0)),'KG1-1'!$AD$7:$IM$7,'KG1-2'!$AD$7:$IM$7,'KG1-3'!$AD$7:$IM$7,'KG1-4'!$AD$7:$IM$7,'KG1-5'!$AD$7:$IM$7,'KG1-6'!$AD$7:$IM$7,'KG1-7'!$AD$7:$IM$7),"✓",'KG1-1'!$AD$5:$IM$5,"&lt;="&amp;A72),""))</f>
        <v/>
      </c>
      <c r="F72" s="6" t="n"/>
      <c r="G72" s="108" t="n"/>
      <c r="H72" s="88">
        <f>IF(E72="","",INDEX(LevelLabels,MATCH(E72,LevelValues,1)))</f>
        <v/>
      </c>
      <c r="I72" s="40">
        <f>IF(OR(B72="",A72=""),"",B72&amp;"|"&amp;A72)</f>
        <v/>
      </c>
      <c r="J72" s="40">
        <f>IF(AND(B72&lt;&gt;"",B72=Prof_ID),COUNTIF($B$6:B72,Prof_ID),"")</f>
        <v/>
      </c>
    </row>
    <row r="73">
      <c r="A73" s="5" t="n"/>
      <c r="B73" s="6" t="n"/>
      <c r="C73" s="103">
        <f>IF(B73="","",IFERROR(INDEX(Stu_Name,MATCH(B73,Stu_ID,0)),"رقم غير موجود"))</f>
        <v/>
      </c>
      <c r="D73" s="88">
        <f>IF(B73="","",IFERROR(INDEX(Stu_Class,MATCH(B73,Stu_ID,0)),""))</f>
        <v/>
      </c>
      <c r="E73" s="88">
        <f>IF(OR(B73="",A73=""),"",IFERROR(COUNTIFS(INDEX(CHOOSE(INDEX(Stu_C,MATCH(B73,Stu_ID,0)),'KG1-1'!$AD$9:$IM$38,'KG1-2'!$AD$9:$IM$38,'KG1-3'!$AD$9:$IM$38,'KG1-4'!$AD$9:$IM$38,'KG1-5'!$AD$9:$IM$38,'KG1-6'!$AD$9:$IM$38,'KG1-7'!$AD$9:$IM$38),INDEX(Stu_I,MATCH(B73,Stu_ID,0)),0),"غياب بدون عذر",CHOOSE(INDEX(Stu_C,MATCH(B73,Stu_ID,0)),'KG1-1'!$AD$7:$IM$7,'KG1-2'!$AD$7:$IM$7,'KG1-3'!$AD$7:$IM$7,'KG1-4'!$AD$7:$IM$7,'KG1-5'!$AD$7:$IM$7,'KG1-6'!$AD$7:$IM$7,'KG1-7'!$AD$7:$IM$7),"✓",'KG1-1'!$AD$5:$IM$5,"&lt;="&amp;A73),""))</f>
        <v/>
      </c>
      <c r="F73" s="6" t="n"/>
      <c r="G73" s="108" t="n"/>
      <c r="H73" s="88">
        <f>IF(E73="","",INDEX(LevelLabels,MATCH(E73,LevelValues,1)))</f>
        <v/>
      </c>
      <c r="I73" s="40">
        <f>IF(OR(B73="",A73=""),"",B73&amp;"|"&amp;A73)</f>
        <v/>
      </c>
      <c r="J73" s="40">
        <f>IF(AND(B73&lt;&gt;"",B73=Prof_ID),COUNTIF($B$6:B73,Prof_ID),"")</f>
        <v/>
      </c>
    </row>
    <row r="74">
      <c r="A74" s="5" t="n"/>
      <c r="B74" s="6" t="n"/>
      <c r="C74" s="103">
        <f>IF(B74="","",IFERROR(INDEX(Stu_Name,MATCH(B74,Stu_ID,0)),"رقم غير موجود"))</f>
        <v/>
      </c>
      <c r="D74" s="88">
        <f>IF(B74="","",IFERROR(INDEX(Stu_Class,MATCH(B74,Stu_ID,0)),""))</f>
        <v/>
      </c>
      <c r="E74" s="88">
        <f>IF(OR(B74="",A74=""),"",IFERROR(COUNTIFS(INDEX(CHOOSE(INDEX(Stu_C,MATCH(B74,Stu_ID,0)),'KG1-1'!$AD$9:$IM$38,'KG1-2'!$AD$9:$IM$38,'KG1-3'!$AD$9:$IM$38,'KG1-4'!$AD$9:$IM$38,'KG1-5'!$AD$9:$IM$38,'KG1-6'!$AD$9:$IM$38,'KG1-7'!$AD$9:$IM$38),INDEX(Stu_I,MATCH(B74,Stu_ID,0)),0),"غياب بدون عذر",CHOOSE(INDEX(Stu_C,MATCH(B74,Stu_ID,0)),'KG1-1'!$AD$7:$IM$7,'KG1-2'!$AD$7:$IM$7,'KG1-3'!$AD$7:$IM$7,'KG1-4'!$AD$7:$IM$7,'KG1-5'!$AD$7:$IM$7,'KG1-6'!$AD$7:$IM$7,'KG1-7'!$AD$7:$IM$7),"✓",'KG1-1'!$AD$5:$IM$5,"&lt;="&amp;A74),""))</f>
        <v/>
      </c>
      <c r="F74" s="6" t="n"/>
      <c r="G74" s="108" t="n"/>
      <c r="H74" s="88">
        <f>IF(E74="","",INDEX(LevelLabels,MATCH(E74,LevelValues,1)))</f>
        <v/>
      </c>
      <c r="I74" s="40">
        <f>IF(OR(B74="",A74=""),"",B74&amp;"|"&amp;A74)</f>
        <v/>
      </c>
      <c r="J74" s="40">
        <f>IF(AND(B74&lt;&gt;"",B74=Prof_ID),COUNTIF($B$6:B74,Prof_ID),"")</f>
        <v/>
      </c>
    </row>
    <row r="75">
      <c r="A75" s="5" t="n"/>
      <c r="B75" s="6" t="n"/>
      <c r="C75" s="103">
        <f>IF(B75="","",IFERROR(INDEX(Stu_Name,MATCH(B75,Stu_ID,0)),"رقم غير موجود"))</f>
        <v/>
      </c>
      <c r="D75" s="88">
        <f>IF(B75="","",IFERROR(INDEX(Stu_Class,MATCH(B75,Stu_ID,0)),""))</f>
        <v/>
      </c>
      <c r="E75" s="88">
        <f>IF(OR(B75="",A75=""),"",IFERROR(COUNTIFS(INDEX(CHOOSE(INDEX(Stu_C,MATCH(B75,Stu_ID,0)),'KG1-1'!$AD$9:$IM$38,'KG1-2'!$AD$9:$IM$38,'KG1-3'!$AD$9:$IM$38,'KG1-4'!$AD$9:$IM$38,'KG1-5'!$AD$9:$IM$38,'KG1-6'!$AD$9:$IM$38,'KG1-7'!$AD$9:$IM$38),INDEX(Stu_I,MATCH(B75,Stu_ID,0)),0),"غياب بدون عذر",CHOOSE(INDEX(Stu_C,MATCH(B75,Stu_ID,0)),'KG1-1'!$AD$7:$IM$7,'KG1-2'!$AD$7:$IM$7,'KG1-3'!$AD$7:$IM$7,'KG1-4'!$AD$7:$IM$7,'KG1-5'!$AD$7:$IM$7,'KG1-6'!$AD$7:$IM$7,'KG1-7'!$AD$7:$IM$7),"✓",'KG1-1'!$AD$5:$IM$5,"&lt;="&amp;A75),""))</f>
        <v/>
      </c>
      <c r="F75" s="6" t="n"/>
      <c r="G75" s="108" t="n"/>
      <c r="H75" s="88">
        <f>IF(E75="","",INDEX(LevelLabels,MATCH(E75,LevelValues,1)))</f>
        <v/>
      </c>
      <c r="I75" s="40">
        <f>IF(OR(B75="",A75=""),"",B75&amp;"|"&amp;A75)</f>
        <v/>
      </c>
      <c r="J75" s="40">
        <f>IF(AND(B75&lt;&gt;"",B75=Prof_ID),COUNTIF($B$6:B75,Prof_ID),"")</f>
        <v/>
      </c>
    </row>
    <row r="76">
      <c r="A76" s="5" t="n"/>
      <c r="B76" s="6" t="n"/>
      <c r="C76" s="103">
        <f>IF(B76="","",IFERROR(INDEX(Stu_Name,MATCH(B76,Stu_ID,0)),"رقم غير موجود"))</f>
        <v/>
      </c>
      <c r="D76" s="88">
        <f>IF(B76="","",IFERROR(INDEX(Stu_Class,MATCH(B76,Stu_ID,0)),""))</f>
        <v/>
      </c>
      <c r="E76" s="88">
        <f>IF(OR(B76="",A76=""),"",IFERROR(COUNTIFS(INDEX(CHOOSE(INDEX(Stu_C,MATCH(B76,Stu_ID,0)),'KG1-1'!$AD$9:$IM$38,'KG1-2'!$AD$9:$IM$38,'KG1-3'!$AD$9:$IM$38,'KG1-4'!$AD$9:$IM$38,'KG1-5'!$AD$9:$IM$38,'KG1-6'!$AD$9:$IM$38,'KG1-7'!$AD$9:$IM$38),INDEX(Stu_I,MATCH(B76,Stu_ID,0)),0),"غياب بدون عذر",CHOOSE(INDEX(Stu_C,MATCH(B76,Stu_ID,0)),'KG1-1'!$AD$7:$IM$7,'KG1-2'!$AD$7:$IM$7,'KG1-3'!$AD$7:$IM$7,'KG1-4'!$AD$7:$IM$7,'KG1-5'!$AD$7:$IM$7,'KG1-6'!$AD$7:$IM$7,'KG1-7'!$AD$7:$IM$7),"✓",'KG1-1'!$AD$5:$IM$5,"&lt;="&amp;A76),""))</f>
        <v/>
      </c>
      <c r="F76" s="6" t="n"/>
      <c r="G76" s="108" t="n"/>
      <c r="H76" s="88">
        <f>IF(E76="","",INDEX(LevelLabels,MATCH(E76,LevelValues,1)))</f>
        <v/>
      </c>
      <c r="I76" s="40">
        <f>IF(OR(B76="",A76=""),"",B76&amp;"|"&amp;A76)</f>
        <v/>
      </c>
      <c r="J76" s="40">
        <f>IF(AND(B76&lt;&gt;"",B76=Prof_ID),COUNTIF($B$6:B76,Prof_ID),"")</f>
        <v/>
      </c>
    </row>
    <row r="77">
      <c r="A77" s="5" t="n"/>
      <c r="B77" s="6" t="n"/>
      <c r="C77" s="103">
        <f>IF(B77="","",IFERROR(INDEX(Stu_Name,MATCH(B77,Stu_ID,0)),"رقم غير موجود"))</f>
        <v/>
      </c>
      <c r="D77" s="88">
        <f>IF(B77="","",IFERROR(INDEX(Stu_Class,MATCH(B77,Stu_ID,0)),""))</f>
        <v/>
      </c>
      <c r="E77" s="88">
        <f>IF(OR(B77="",A77=""),"",IFERROR(COUNTIFS(INDEX(CHOOSE(INDEX(Stu_C,MATCH(B77,Stu_ID,0)),'KG1-1'!$AD$9:$IM$38,'KG1-2'!$AD$9:$IM$38,'KG1-3'!$AD$9:$IM$38,'KG1-4'!$AD$9:$IM$38,'KG1-5'!$AD$9:$IM$38,'KG1-6'!$AD$9:$IM$38,'KG1-7'!$AD$9:$IM$38),INDEX(Stu_I,MATCH(B77,Stu_ID,0)),0),"غياب بدون عذر",CHOOSE(INDEX(Stu_C,MATCH(B77,Stu_ID,0)),'KG1-1'!$AD$7:$IM$7,'KG1-2'!$AD$7:$IM$7,'KG1-3'!$AD$7:$IM$7,'KG1-4'!$AD$7:$IM$7,'KG1-5'!$AD$7:$IM$7,'KG1-6'!$AD$7:$IM$7,'KG1-7'!$AD$7:$IM$7),"✓",'KG1-1'!$AD$5:$IM$5,"&lt;="&amp;A77),""))</f>
        <v/>
      </c>
      <c r="F77" s="6" t="n"/>
      <c r="G77" s="108" t="n"/>
      <c r="H77" s="88">
        <f>IF(E77="","",INDEX(LevelLabels,MATCH(E77,LevelValues,1)))</f>
        <v/>
      </c>
      <c r="I77" s="40">
        <f>IF(OR(B77="",A77=""),"",B77&amp;"|"&amp;A77)</f>
        <v/>
      </c>
      <c r="J77" s="40">
        <f>IF(AND(B77&lt;&gt;"",B77=Prof_ID),COUNTIF($B$6:B77,Prof_ID),"")</f>
        <v/>
      </c>
    </row>
    <row r="78">
      <c r="A78" s="5" t="n"/>
      <c r="B78" s="6" t="n"/>
      <c r="C78" s="103">
        <f>IF(B78="","",IFERROR(INDEX(Stu_Name,MATCH(B78,Stu_ID,0)),"رقم غير موجود"))</f>
        <v/>
      </c>
      <c r="D78" s="88">
        <f>IF(B78="","",IFERROR(INDEX(Stu_Class,MATCH(B78,Stu_ID,0)),""))</f>
        <v/>
      </c>
      <c r="E78" s="88">
        <f>IF(OR(B78="",A78=""),"",IFERROR(COUNTIFS(INDEX(CHOOSE(INDEX(Stu_C,MATCH(B78,Stu_ID,0)),'KG1-1'!$AD$9:$IM$38,'KG1-2'!$AD$9:$IM$38,'KG1-3'!$AD$9:$IM$38,'KG1-4'!$AD$9:$IM$38,'KG1-5'!$AD$9:$IM$38,'KG1-6'!$AD$9:$IM$38,'KG1-7'!$AD$9:$IM$38),INDEX(Stu_I,MATCH(B78,Stu_ID,0)),0),"غياب بدون عذر",CHOOSE(INDEX(Stu_C,MATCH(B78,Stu_ID,0)),'KG1-1'!$AD$7:$IM$7,'KG1-2'!$AD$7:$IM$7,'KG1-3'!$AD$7:$IM$7,'KG1-4'!$AD$7:$IM$7,'KG1-5'!$AD$7:$IM$7,'KG1-6'!$AD$7:$IM$7,'KG1-7'!$AD$7:$IM$7),"✓",'KG1-1'!$AD$5:$IM$5,"&lt;="&amp;A78),""))</f>
        <v/>
      </c>
      <c r="F78" s="6" t="n"/>
      <c r="G78" s="108" t="n"/>
      <c r="H78" s="88">
        <f>IF(E78="","",INDEX(LevelLabels,MATCH(E78,LevelValues,1)))</f>
        <v/>
      </c>
      <c r="I78" s="40">
        <f>IF(OR(B78="",A78=""),"",B78&amp;"|"&amp;A78)</f>
        <v/>
      </c>
      <c r="J78" s="40">
        <f>IF(AND(B78&lt;&gt;"",B78=Prof_ID),COUNTIF($B$6:B78,Prof_ID),"")</f>
        <v/>
      </c>
    </row>
    <row r="79">
      <c r="A79" s="5" t="n"/>
      <c r="B79" s="6" t="n"/>
      <c r="C79" s="103">
        <f>IF(B79="","",IFERROR(INDEX(Stu_Name,MATCH(B79,Stu_ID,0)),"رقم غير موجود"))</f>
        <v/>
      </c>
      <c r="D79" s="88">
        <f>IF(B79="","",IFERROR(INDEX(Stu_Class,MATCH(B79,Stu_ID,0)),""))</f>
        <v/>
      </c>
      <c r="E79" s="88">
        <f>IF(OR(B79="",A79=""),"",IFERROR(COUNTIFS(INDEX(CHOOSE(INDEX(Stu_C,MATCH(B79,Stu_ID,0)),'KG1-1'!$AD$9:$IM$38,'KG1-2'!$AD$9:$IM$38,'KG1-3'!$AD$9:$IM$38,'KG1-4'!$AD$9:$IM$38,'KG1-5'!$AD$9:$IM$38,'KG1-6'!$AD$9:$IM$38,'KG1-7'!$AD$9:$IM$38),INDEX(Stu_I,MATCH(B79,Stu_ID,0)),0),"غياب بدون عذر",CHOOSE(INDEX(Stu_C,MATCH(B79,Stu_ID,0)),'KG1-1'!$AD$7:$IM$7,'KG1-2'!$AD$7:$IM$7,'KG1-3'!$AD$7:$IM$7,'KG1-4'!$AD$7:$IM$7,'KG1-5'!$AD$7:$IM$7,'KG1-6'!$AD$7:$IM$7,'KG1-7'!$AD$7:$IM$7),"✓",'KG1-1'!$AD$5:$IM$5,"&lt;="&amp;A79),""))</f>
        <v/>
      </c>
      <c r="F79" s="6" t="n"/>
      <c r="G79" s="108" t="n"/>
      <c r="H79" s="88">
        <f>IF(E79="","",INDEX(LevelLabels,MATCH(E79,LevelValues,1)))</f>
        <v/>
      </c>
      <c r="I79" s="40">
        <f>IF(OR(B79="",A79=""),"",B79&amp;"|"&amp;A79)</f>
        <v/>
      </c>
      <c r="J79" s="40">
        <f>IF(AND(B79&lt;&gt;"",B79=Prof_ID),COUNTIF($B$6:B79,Prof_ID),"")</f>
        <v/>
      </c>
    </row>
    <row r="80">
      <c r="A80" s="5" t="n"/>
      <c r="B80" s="6" t="n"/>
      <c r="C80" s="103">
        <f>IF(B80="","",IFERROR(INDEX(Stu_Name,MATCH(B80,Stu_ID,0)),"رقم غير موجود"))</f>
        <v/>
      </c>
      <c r="D80" s="88">
        <f>IF(B80="","",IFERROR(INDEX(Stu_Class,MATCH(B80,Stu_ID,0)),""))</f>
        <v/>
      </c>
      <c r="E80" s="88">
        <f>IF(OR(B80="",A80=""),"",IFERROR(COUNTIFS(INDEX(CHOOSE(INDEX(Stu_C,MATCH(B80,Stu_ID,0)),'KG1-1'!$AD$9:$IM$38,'KG1-2'!$AD$9:$IM$38,'KG1-3'!$AD$9:$IM$38,'KG1-4'!$AD$9:$IM$38,'KG1-5'!$AD$9:$IM$38,'KG1-6'!$AD$9:$IM$38,'KG1-7'!$AD$9:$IM$38),INDEX(Stu_I,MATCH(B80,Stu_ID,0)),0),"غياب بدون عذر",CHOOSE(INDEX(Stu_C,MATCH(B80,Stu_ID,0)),'KG1-1'!$AD$7:$IM$7,'KG1-2'!$AD$7:$IM$7,'KG1-3'!$AD$7:$IM$7,'KG1-4'!$AD$7:$IM$7,'KG1-5'!$AD$7:$IM$7,'KG1-6'!$AD$7:$IM$7,'KG1-7'!$AD$7:$IM$7),"✓",'KG1-1'!$AD$5:$IM$5,"&lt;="&amp;A80),""))</f>
        <v/>
      </c>
      <c r="F80" s="6" t="n"/>
      <c r="G80" s="108" t="n"/>
      <c r="H80" s="88">
        <f>IF(E80="","",INDEX(LevelLabels,MATCH(E80,LevelValues,1)))</f>
        <v/>
      </c>
      <c r="I80" s="40">
        <f>IF(OR(B80="",A80=""),"",B80&amp;"|"&amp;A80)</f>
        <v/>
      </c>
      <c r="J80" s="40">
        <f>IF(AND(B80&lt;&gt;"",B80=Prof_ID),COUNTIF($B$6:B80,Prof_ID),"")</f>
        <v/>
      </c>
    </row>
    <row r="81">
      <c r="A81" s="5" t="n"/>
      <c r="B81" s="6" t="n"/>
      <c r="C81" s="103">
        <f>IF(B81="","",IFERROR(INDEX(Stu_Name,MATCH(B81,Stu_ID,0)),"رقم غير موجود"))</f>
        <v/>
      </c>
      <c r="D81" s="88">
        <f>IF(B81="","",IFERROR(INDEX(Stu_Class,MATCH(B81,Stu_ID,0)),""))</f>
        <v/>
      </c>
      <c r="E81" s="88">
        <f>IF(OR(B81="",A81=""),"",IFERROR(COUNTIFS(INDEX(CHOOSE(INDEX(Stu_C,MATCH(B81,Stu_ID,0)),'KG1-1'!$AD$9:$IM$38,'KG1-2'!$AD$9:$IM$38,'KG1-3'!$AD$9:$IM$38,'KG1-4'!$AD$9:$IM$38,'KG1-5'!$AD$9:$IM$38,'KG1-6'!$AD$9:$IM$38,'KG1-7'!$AD$9:$IM$38),INDEX(Stu_I,MATCH(B81,Stu_ID,0)),0),"غياب بدون عذر",CHOOSE(INDEX(Stu_C,MATCH(B81,Stu_ID,0)),'KG1-1'!$AD$7:$IM$7,'KG1-2'!$AD$7:$IM$7,'KG1-3'!$AD$7:$IM$7,'KG1-4'!$AD$7:$IM$7,'KG1-5'!$AD$7:$IM$7,'KG1-6'!$AD$7:$IM$7,'KG1-7'!$AD$7:$IM$7),"✓",'KG1-1'!$AD$5:$IM$5,"&lt;="&amp;A81),""))</f>
        <v/>
      </c>
      <c r="F81" s="6" t="n"/>
      <c r="G81" s="108" t="n"/>
      <c r="H81" s="88">
        <f>IF(E81="","",INDEX(LevelLabels,MATCH(E81,LevelValues,1)))</f>
        <v/>
      </c>
      <c r="I81" s="40">
        <f>IF(OR(B81="",A81=""),"",B81&amp;"|"&amp;A81)</f>
        <v/>
      </c>
      <c r="J81" s="40">
        <f>IF(AND(B81&lt;&gt;"",B81=Prof_ID),COUNTIF($B$6:B81,Prof_ID),"")</f>
        <v/>
      </c>
    </row>
    <row r="82">
      <c r="A82" s="5" t="n"/>
      <c r="B82" s="6" t="n"/>
      <c r="C82" s="103">
        <f>IF(B82="","",IFERROR(INDEX(Stu_Name,MATCH(B82,Stu_ID,0)),"رقم غير موجود"))</f>
        <v/>
      </c>
      <c r="D82" s="88">
        <f>IF(B82="","",IFERROR(INDEX(Stu_Class,MATCH(B82,Stu_ID,0)),""))</f>
        <v/>
      </c>
      <c r="E82" s="88">
        <f>IF(OR(B82="",A82=""),"",IFERROR(COUNTIFS(INDEX(CHOOSE(INDEX(Stu_C,MATCH(B82,Stu_ID,0)),'KG1-1'!$AD$9:$IM$38,'KG1-2'!$AD$9:$IM$38,'KG1-3'!$AD$9:$IM$38,'KG1-4'!$AD$9:$IM$38,'KG1-5'!$AD$9:$IM$38,'KG1-6'!$AD$9:$IM$38,'KG1-7'!$AD$9:$IM$38),INDEX(Stu_I,MATCH(B82,Stu_ID,0)),0),"غياب بدون عذر",CHOOSE(INDEX(Stu_C,MATCH(B82,Stu_ID,0)),'KG1-1'!$AD$7:$IM$7,'KG1-2'!$AD$7:$IM$7,'KG1-3'!$AD$7:$IM$7,'KG1-4'!$AD$7:$IM$7,'KG1-5'!$AD$7:$IM$7,'KG1-6'!$AD$7:$IM$7,'KG1-7'!$AD$7:$IM$7),"✓",'KG1-1'!$AD$5:$IM$5,"&lt;="&amp;A82),""))</f>
        <v/>
      </c>
      <c r="F82" s="6" t="n"/>
      <c r="G82" s="108" t="n"/>
      <c r="H82" s="88">
        <f>IF(E82="","",INDEX(LevelLabels,MATCH(E82,LevelValues,1)))</f>
        <v/>
      </c>
      <c r="I82" s="40">
        <f>IF(OR(B82="",A82=""),"",B82&amp;"|"&amp;A82)</f>
        <v/>
      </c>
      <c r="J82" s="40">
        <f>IF(AND(B82&lt;&gt;"",B82=Prof_ID),COUNTIF($B$6:B82,Prof_ID),"")</f>
        <v/>
      </c>
    </row>
    <row r="83">
      <c r="A83" s="5" t="n"/>
      <c r="B83" s="6" t="n"/>
      <c r="C83" s="103">
        <f>IF(B83="","",IFERROR(INDEX(Stu_Name,MATCH(B83,Stu_ID,0)),"رقم غير موجود"))</f>
        <v/>
      </c>
      <c r="D83" s="88">
        <f>IF(B83="","",IFERROR(INDEX(Stu_Class,MATCH(B83,Stu_ID,0)),""))</f>
        <v/>
      </c>
      <c r="E83" s="88">
        <f>IF(OR(B83="",A83=""),"",IFERROR(COUNTIFS(INDEX(CHOOSE(INDEX(Stu_C,MATCH(B83,Stu_ID,0)),'KG1-1'!$AD$9:$IM$38,'KG1-2'!$AD$9:$IM$38,'KG1-3'!$AD$9:$IM$38,'KG1-4'!$AD$9:$IM$38,'KG1-5'!$AD$9:$IM$38,'KG1-6'!$AD$9:$IM$38,'KG1-7'!$AD$9:$IM$38),INDEX(Stu_I,MATCH(B83,Stu_ID,0)),0),"غياب بدون عذر",CHOOSE(INDEX(Stu_C,MATCH(B83,Stu_ID,0)),'KG1-1'!$AD$7:$IM$7,'KG1-2'!$AD$7:$IM$7,'KG1-3'!$AD$7:$IM$7,'KG1-4'!$AD$7:$IM$7,'KG1-5'!$AD$7:$IM$7,'KG1-6'!$AD$7:$IM$7,'KG1-7'!$AD$7:$IM$7),"✓",'KG1-1'!$AD$5:$IM$5,"&lt;="&amp;A83),""))</f>
        <v/>
      </c>
      <c r="F83" s="6" t="n"/>
      <c r="G83" s="108" t="n"/>
      <c r="H83" s="88">
        <f>IF(E83="","",INDEX(LevelLabels,MATCH(E83,LevelValues,1)))</f>
        <v/>
      </c>
      <c r="I83" s="40">
        <f>IF(OR(B83="",A83=""),"",B83&amp;"|"&amp;A83)</f>
        <v/>
      </c>
      <c r="J83" s="40">
        <f>IF(AND(B83&lt;&gt;"",B83=Prof_ID),COUNTIF($B$6:B83,Prof_ID),"")</f>
        <v/>
      </c>
    </row>
    <row r="84">
      <c r="A84" s="5" t="n"/>
      <c r="B84" s="6" t="n"/>
      <c r="C84" s="103">
        <f>IF(B84="","",IFERROR(INDEX(Stu_Name,MATCH(B84,Stu_ID,0)),"رقم غير موجود"))</f>
        <v/>
      </c>
      <c r="D84" s="88">
        <f>IF(B84="","",IFERROR(INDEX(Stu_Class,MATCH(B84,Stu_ID,0)),""))</f>
        <v/>
      </c>
      <c r="E84" s="88">
        <f>IF(OR(B84="",A84=""),"",IFERROR(COUNTIFS(INDEX(CHOOSE(INDEX(Stu_C,MATCH(B84,Stu_ID,0)),'KG1-1'!$AD$9:$IM$38,'KG1-2'!$AD$9:$IM$38,'KG1-3'!$AD$9:$IM$38,'KG1-4'!$AD$9:$IM$38,'KG1-5'!$AD$9:$IM$38,'KG1-6'!$AD$9:$IM$38,'KG1-7'!$AD$9:$IM$38),INDEX(Stu_I,MATCH(B84,Stu_ID,0)),0),"غياب بدون عذر",CHOOSE(INDEX(Stu_C,MATCH(B84,Stu_ID,0)),'KG1-1'!$AD$7:$IM$7,'KG1-2'!$AD$7:$IM$7,'KG1-3'!$AD$7:$IM$7,'KG1-4'!$AD$7:$IM$7,'KG1-5'!$AD$7:$IM$7,'KG1-6'!$AD$7:$IM$7,'KG1-7'!$AD$7:$IM$7),"✓",'KG1-1'!$AD$5:$IM$5,"&lt;="&amp;A84),""))</f>
        <v/>
      </c>
      <c r="F84" s="6" t="n"/>
      <c r="G84" s="108" t="n"/>
      <c r="H84" s="88">
        <f>IF(E84="","",INDEX(LevelLabels,MATCH(E84,LevelValues,1)))</f>
        <v/>
      </c>
      <c r="I84" s="40">
        <f>IF(OR(B84="",A84=""),"",B84&amp;"|"&amp;A84)</f>
        <v/>
      </c>
      <c r="J84" s="40">
        <f>IF(AND(B84&lt;&gt;"",B84=Prof_ID),COUNTIF($B$6:B84,Prof_ID),"")</f>
        <v/>
      </c>
    </row>
    <row r="85">
      <c r="A85" s="5" t="n"/>
      <c r="B85" s="6" t="n"/>
      <c r="C85" s="103">
        <f>IF(B85="","",IFERROR(INDEX(Stu_Name,MATCH(B85,Stu_ID,0)),"رقم غير موجود"))</f>
        <v/>
      </c>
      <c r="D85" s="88">
        <f>IF(B85="","",IFERROR(INDEX(Stu_Class,MATCH(B85,Stu_ID,0)),""))</f>
        <v/>
      </c>
      <c r="E85" s="88">
        <f>IF(OR(B85="",A85=""),"",IFERROR(COUNTIFS(INDEX(CHOOSE(INDEX(Stu_C,MATCH(B85,Stu_ID,0)),'KG1-1'!$AD$9:$IM$38,'KG1-2'!$AD$9:$IM$38,'KG1-3'!$AD$9:$IM$38,'KG1-4'!$AD$9:$IM$38,'KG1-5'!$AD$9:$IM$38,'KG1-6'!$AD$9:$IM$38,'KG1-7'!$AD$9:$IM$38),INDEX(Stu_I,MATCH(B85,Stu_ID,0)),0),"غياب بدون عذر",CHOOSE(INDEX(Stu_C,MATCH(B85,Stu_ID,0)),'KG1-1'!$AD$7:$IM$7,'KG1-2'!$AD$7:$IM$7,'KG1-3'!$AD$7:$IM$7,'KG1-4'!$AD$7:$IM$7,'KG1-5'!$AD$7:$IM$7,'KG1-6'!$AD$7:$IM$7,'KG1-7'!$AD$7:$IM$7),"✓",'KG1-1'!$AD$5:$IM$5,"&lt;="&amp;A85),""))</f>
        <v/>
      </c>
      <c r="F85" s="6" t="n"/>
      <c r="G85" s="108" t="n"/>
      <c r="H85" s="88">
        <f>IF(E85="","",INDEX(LevelLabels,MATCH(E85,LevelValues,1)))</f>
        <v/>
      </c>
      <c r="I85" s="40">
        <f>IF(OR(B85="",A85=""),"",B85&amp;"|"&amp;A85)</f>
        <v/>
      </c>
      <c r="J85" s="40">
        <f>IF(AND(B85&lt;&gt;"",B85=Prof_ID),COUNTIF($B$6:B85,Prof_ID),"")</f>
        <v/>
      </c>
    </row>
    <row r="86">
      <c r="A86" s="5" t="n"/>
      <c r="B86" s="6" t="n"/>
      <c r="C86" s="103">
        <f>IF(B86="","",IFERROR(INDEX(Stu_Name,MATCH(B86,Stu_ID,0)),"رقم غير موجود"))</f>
        <v/>
      </c>
      <c r="D86" s="88">
        <f>IF(B86="","",IFERROR(INDEX(Stu_Class,MATCH(B86,Stu_ID,0)),""))</f>
        <v/>
      </c>
      <c r="E86" s="88">
        <f>IF(OR(B86="",A86=""),"",IFERROR(COUNTIFS(INDEX(CHOOSE(INDEX(Stu_C,MATCH(B86,Stu_ID,0)),'KG1-1'!$AD$9:$IM$38,'KG1-2'!$AD$9:$IM$38,'KG1-3'!$AD$9:$IM$38,'KG1-4'!$AD$9:$IM$38,'KG1-5'!$AD$9:$IM$38,'KG1-6'!$AD$9:$IM$38,'KG1-7'!$AD$9:$IM$38),INDEX(Stu_I,MATCH(B86,Stu_ID,0)),0),"غياب بدون عذر",CHOOSE(INDEX(Stu_C,MATCH(B86,Stu_ID,0)),'KG1-1'!$AD$7:$IM$7,'KG1-2'!$AD$7:$IM$7,'KG1-3'!$AD$7:$IM$7,'KG1-4'!$AD$7:$IM$7,'KG1-5'!$AD$7:$IM$7,'KG1-6'!$AD$7:$IM$7,'KG1-7'!$AD$7:$IM$7),"✓",'KG1-1'!$AD$5:$IM$5,"&lt;="&amp;A86),""))</f>
        <v/>
      </c>
      <c r="F86" s="6" t="n"/>
      <c r="G86" s="108" t="n"/>
      <c r="H86" s="88">
        <f>IF(E86="","",INDEX(LevelLabels,MATCH(E86,LevelValues,1)))</f>
        <v/>
      </c>
      <c r="I86" s="40">
        <f>IF(OR(B86="",A86=""),"",B86&amp;"|"&amp;A86)</f>
        <v/>
      </c>
      <c r="J86" s="40">
        <f>IF(AND(B86&lt;&gt;"",B86=Prof_ID),COUNTIF($B$6:B86,Prof_ID),"")</f>
        <v/>
      </c>
    </row>
    <row r="87">
      <c r="A87" s="5" t="n"/>
      <c r="B87" s="6" t="n"/>
      <c r="C87" s="103">
        <f>IF(B87="","",IFERROR(INDEX(Stu_Name,MATCH(B87,Stu_ID,0)),"رقم غير موجود"))</f>
        <v/>
      </c>
      <c r="D87" s="88">
        <f>IF(B87="","",IFERROR(INDEX(Stu_Class,MATCH(B87,Stu_ID,0)),""))</f>
        <v/>
      </c>
      <c r="E87" s="88">
        <f>IF(OR(B87="",A87=""),"",IFERROR(COUNTIFS(INDEX(CHOOSE(INDEX(Stu_C,MATCH(B87,Stu_ID,0)),'KG1-1'!$AD$9:$IM$38,'KG1-2'!$AD$9:$IM$38,'KG1-3'!$AD$9:$IM$38,'KG1-4'!$AD$9:$IM$38,'KG1-5'!$AD$9:$IM$38,'KG1-6'!$AD$9:$IM$38,'KG1-7'!$AD$9:$IM$38),INDEX(Stu_I,MATCH(B87,Stu_ID,0)),0),"غياب بدون عذر",CHOOSE(INDEX(Stu_C,MATCH(B87,Stu_ID,0)),'KG1-1'!$AD$7:$IM$7,'KG1-2'!$AD$7:$IM$7,'KG1-3'!$AD$7:$IM$7,'KG1-4'!$AD$7:$IM$7,'KG1-5'!$AD$7:$IM$7,'KG1-6'!$AD$7:$IM$7,'KG1-7'!$AD$7:$IM$7),"✓",'KG1-1'!$AD$5:$IM$5,"&lt;="&amp;A87),""))</f>
        <v/>
      </c>
      <c r="F87" s="6" t="n"/>
      <c r="G87" s="108" t="n"/>
      <c r="H87" s="88">
        <f>IF(E87="","",INDEX(LevelLabels,MATCH(E87,LevelValues,1)))</f>
        <v/>
      </c>
      <c r="I87" s="40">
        <f>IF(OR(B87="",A87=""),"",B87&amp;"|"&amp;A87)</f>
        <v/>
      </c>
      <c r="J87" s="40">
        <f>IF(AND(B87&lt;&gt;"",B87=Prof_ID),COUNTIF($B$6:B87,Prof_ID),"")</f>
        <v/>
      </c>
    </row>
    <row r="88">
      <c r="A88" s="5" t="n"/>
      <c r="B88" s="6" t="n"/>
      <c r="C88" s="103">
        <f>IF(B88="","",IFERROR(INDEX(Stu_Name,MATCH(B88,Stu_ID,0)),"رقم غير موجود"))</f>
        <v/>
      </c>
      <c r="D88" s="88">
        <f>IF(B88="","",IFERROR(INDEX(Stu_Class,MATCH(B88,Stu_ID,0)),""))</f>
        <v/>
      </c>
      <c r="E88" s="88">
        <f>IF(OR(B88="",A88=""),"",IFERROR(COUNTIFS(INDEX(CHOOSE(INDEX(Stu_C,MATCH(B88,Stu_ID,0)),'KG1-1'!$AD$9:$IM$38,'KG1-2'!$AD$9:$IM$38,'KG1-3'!$AD$9:$IM$38,'KG1-4'!$AD$9:$IM$38,'KG1-5'!$AD$9:$IM$38,'KG1-6'!$AD$9:$IM$38,'KG1-7'!$AD$9:$IM$38),INDEX(Stu_I,MATCH(B88,Stu_ID,0)),0),"غياب بدون عذر",CHOOSE(INDEX(Stu_C,MATCH(B88,Stu_ID,0)),'KG1-1'!$AD$7:$IM$7,'KG1-2'!$AD$7:$IM$7,'KG1-3'!$AD$7:$IM$7,'KG1-4'!$AD$7:$IM$7,'KG1-5'!$AD$7:$IM$7,'KG1-6'!$AD$7:$IM$7,'KG1-7'!$AD$7:$IM$7),"✓",'KG1-1'!$AD$5:$IM$5,"&lt;="&amp;A88),""))</f>
        <v/>
      </c>
      <c r="F88" s="6" t="n"/>
      <c r="G88" s="108" t="n"/>
      <c r="H88" s="88">
        <f>IF(E88="","",INDEX(LevelLabels,MATCH(E88,LevelValues,1)))</f>
        <v/>
      </c>
      <c r="I88" s="40">
        <f>IF(OR(B88="",A88=""),"",B88&amp;"|"&amp;A88)</f>
        <v/>
      </c>
      <c r="J88" s="40">
        <f>IF(AND(B88&lt;&gt;"",B88=Prof_ID),COUNTIF($B$6:B88,Prof_ID),"")</f>
        <v/>
      </c>
    </row>
    <row r="89">
      <c r="A89" s="5" t="n"/>
      <c r="B89" s="6" t="n"/>
      <c r="C89" s="103">
        <f>IF(B89="","",IFERROR(INDEX(Stu_Name,MATCH(B89,Stu_ID,0)),"رقم غير موجود"))</f>
        <v/>
      </c>
      <c r="D89" s="88">
        <f>IF(B89="","",IFERROR(INDEX(Stu_Class,MATCH(B89,Stu_ID,0)),""))</f>
        <v/>
      </c>
      <c r="E89" s="88">
        <f>IF(OR(B89="",A89=""),"",IFERROR(COUNTIFS(INDEX(CHOOSE(INDEX(Stu_C,MATCH(B89,Stu_ID,0)),'KG1-1'!$AD$9:$IM$38,'KG1-2'!$AD$9:$IM$38,'KG1-3'!$AD$9:$IM$38,'KG1-4'!$AD$9:$IM$38,'KG1-5'!$AD$9:$IM$38,'KG1-6'!$AD$9:$IM$38,'KG1-7'!$AD$9:$IM$38),INDEX(Stu_I,MATCH(B89,Stu_ID,0)),0),"غياب بدون عذر",CHOOSE(INDEX(Stu_C,MATCH(B89,Stu_ID,0)),'KG1-1'!$AD$7:$IM$7,'KG1-2'!$AD$7:$IM$7,'KG1-3'!$AD$7:$IM$7,'KG1-4'!$AD$7:$IM$7,'KG1-5'!$AD$7:$IM$7,'KG1-6'!$AD$7:$IM$7,'KG1-7'!$AD$7:$IM$7),"✓",'KG1-1'!$AD$5:$IM$5,"&lt;="&amp;A89),""))</f>
        <v/>
      </c>
      <c r="F89" s="6" t="n"/>
      <c r="G89" s="108" t="n"/>
      <c r="H89" s="88">
        <f>IF(E89="","",INDEX(LevelLabels,MATCH(E89,LevelValues,1)))</f>
        <v/>
      </c>
      <c r="I89" s="40">
        <f>IF(OR(B89="",A89=""),"",B89&amp;"|"&amp;A89)</f>
        <v/>
      </c>
      <c r="J89" s="40">
        <f>IF(AND(B89&lt;&gt;"",B89=Prof_ID),COUNTIF($B$6:B89,Prof_ID),"")</f>
        <v/>
      </c>
    </row>
    <row r="90">
      <c r="A90" s="5" t="n"/>
      <c r="B90" s="6" t="n"/>
      <c r="C90" s="103">
        <f>IF(B90="","",IFERROR(INDEX(Stu_Name,MATCH(B90,Stu_ID,0)),"رقم غير موجود"))</f>
        <v/>
      </c>
      <c r="D90" s="88">
        <f>IF(B90="","",IFERROR(INDEX(Stu_Class,MATCH(B90,Stu_ID,0)),""))</f>
        <v/>
      </c>
      <c r="E90" s="88">
        <f>IF(OR(B90="",A90=""),"",IFERROR(COUNTIFS(INDEX(CHOOSE(INDEX(Stu_C,MATCH(B90,Stu_ID,0)),'KG1-1'!$AD$9:$IM$38,'KG1-2'!$AD$9:$IM$38,'KG1-3'!$AD$9:$IM$38,'KG1-4'!$AD$9:$IM$38,'KG1-5'!$AD$9:$IM$38,'KG1-6'!$AD$9:$IM$38,'KG1-7'!$AD$9:$IM$38),INDEX(Stu_I,MATCH(B90,Stu_ID,0)),0),"غياب بدون عذر",CHOOSE(INDEX(Stu_C,MATCH(B90,Stu_ID,0)),'KG1-1'!$AD$7:$IM$7,'KG1-2'!$AD$7:$IM$7,'KG1-3'!$AD$7:$IM$7,'KG1-4'!$AD$7:$IM$7,'KG1-5'!$AD$7:$IM$7,'KG1-6'!$AD$7:$IM$7,'KG1-7'!$AD$7:$IM$7),"✓",'KG1-1'!$AD$5:$IM$5,"&lt;="&amp;A90),""))</f>
        <v/>
      </c>
      <c r="F90" s="6" t="n"/>
      <c r="G90" s="108" t="n"/>
      <c r="H90" s="88">
        <f>IF(E90="","",INDEX(LevelLabels,MATCH(E90,LevelValues,1)))</f>
        <v/>
      </c>
      <c r="I90" s="40">
        <f>IF(OR(B90="",A90=""),"",B90&amp;"|"&amp;A90)</f>
        <v/>
      </c>
      <c r="J90" s="40">
        <f>IF(AND(B90&lt;&gt;"",B90=Prof_ID),COUNTIF($B$6:B90,Prof_ID),"")</f>
        <v/>
      </c>
    </row>
    <row r="91">
      <c r="A91" s="5" t="n"/>
      <c r="B91" s="6" t="n"/>
      <c r="C91" s="103">
        <f>IF(B91="","",IFERROR(INDEX(Stu_Name,MATCH(B91,Stu_ID,0)),"رقم غير موجود"))</f>
        <v/>
      </c>
      <c r="D91" s="88">
        <f>IF(B91="","",IFERROR(INDEX(Stu_Class,MATCH(B91,Stu_ID,0)),""))</f>
        <v/>
      </c>
      <c r="E91" s="88">
        <f>IF(OR(B91="",A91=""),"",IFERROR(COUNTIFS(INDEX(CHOOSE(INDEX(Stu_C,MATCH(B91,Stu_ID,0)),'KG1-1'!$AD$9:$IM$38,'KG1-2'!$AD$9:$IM$38,'KG1-3'!$AD$9:$IM$38,'KG1-4'!$AD$9:$IM$38,'KG1-5'!$AD$9:$IM$38,'KG1-6'!$AD$9:$IM$38,'KG1-7'!$AD$9:$IM$38),INDEX(Stu_I,MATCH(B91,Stu_ID,0)),0),"غياب بدون عذر",CHOOSE(INDEX(Stu_C,MATCH(B91,Stu_ID,0)),'KG1-1'!$AD$7:$IM$7,'KG1-2'!$AD$7:$IM$7,'KG1-3'!$AD$7:$IM$7,'KG1-4'!$AD$7:$IM$7,'KG1-5'!$AD$7:$IM$7,'KG1-6'!$AD$7:$IM$7,'KG1-7'!$AD$7:$IM$7),"✓",'KG1-1'!$AD$5:$IM$5,"&lt;="&amp;A91),""))</f>
        <v/>
      </c>
      <c r="F91" s="6" t="n"/>
      <c r="G91" s="108" t="n"/>
      <c r="H91" s="88">
        <f>IF(E91="","",INDEX(LevelLabels,MATCH(E91,LevelValues,1)))</f>
        <v/>
      </c>
      <c r="I91" s="40">
        <f>IF(OR(B91="",A91=""),"",B91&amp;"|"&amp;A91)</f>
        <v/>
      </c>
      <c r="J91" s="40">
        <f>IF(AND(B91&lt;&gt;"",B91=Prof_ID),COUNTIF($B$6:B91,Prof_ID),"")</f>
        <v/>
      </c>
    </row>
    <row r="92">
      <c r="A92" s="5" t="n"/>
      <c r="B92" s="6" t="n"/>
      <c r="C92" s="103">
        <f>IF(B92="","",IFERROR(INDEX(Stu_Name,MATCH(B92,Stu_ID,0)),"رقم غير موجود"))</f>
        <v/>
      </c>
      <c r="D92" s="88">
        <f>IF(B92="","",IFERROR(INDEX(Stu_Class,MATCH(B92,Stu_ID,0)),""))</f>
        <v/>
      </c>
      <c r="E92" s="88">
        <f>IF(OR(B92="",A92=""),"",IFERROR(COUNTIFS(INDEX(CHOOSE(INDEX(Stu_C,MATCH(B92,Stu_ID,0)),'KG1-1'!$AD$9:$IM$38,'KG1-2'!$AD$9:$IM$38,'KG1-3'!$AD$9:$IM$38,'KG1-4'!$AD$9:$IM$38,'KG1-5'!$AD$9:$IM$38,'KG1-6'!$AD$9:$IM$38,'KG1-7'!$AD$9:$IM$38),INDEX(Stu_I,MATCH(B92,Stu_ID,0)),0),"غياب بدون عذر",CHOOSE(INDEX(Stu_C,MATCH(B92,Stu_ID,0)),'KG1-1'!$AD$7:$IM$7,'KG1-2'!$AD$7:$IM$7,'KG1-3'!$AD$7:$IM$7,'KG1-4'!$AD$7:$IM$7,'KG1-5'!$AD$7:$IM$7,'KG1-6'!$AD$7:$IM$7,'KG1-7'!$AD$7:$IM$7),"✓",'KG1-1'!$AD$5:$IM$5,"&lt;="&amp;A92),""))</f>
        <v/>
      </c>
      <c r="F92" s="6" t="n"/>
      <c r="G92" s="108" t="n"/>
      <c r="H92" s="88">
        <f>IF(E92="","",INDEX(LevelLabels,MATCH(E92,LevelValues,1)))</f>
        <v/>
      </c>
      <c r="I92" s="40">
        <f>IF(OR(B92="",A92=""),"",B92&amp;"|"&amp;A92)</f>
        <v/>
      </c>
      <c r="J92" s="40">
        <f>IF(AND(B92&lt;&gt;"",B92=Prof_ID),COUNTIF($B$6:B92,Prof_ID),"")</f>
        <v/>
      </c>
    </row>
    <row r="93">
      <c r="A93" s="5" t="n"/>
      <c r="B93" s="6" t="n"/>
      <c r="C93" s="103">
        <f>IF(B93="","",IFERROR(INDEX(Stu_Name,MATCH(B93,Stu_ID,0)),"رقم غير موجود"))</f>
        <v/>
      </c>
      <c r="D93" s="88">
        <f>IF(B93="","",IFERROR(INDEX(Stu_Class,MATCH(B93,Stu_ID,0)),""))</f>
        <v/>
      </c>
      <c r="E93" s="88">
        <f>IF(OR(B93="",A93=""),"",IFERROR(COUNTIFS(INDEX(CHOOSE(INDEX(Stu_C,MATCH(B93,Stu_ID,0)),'KG1-1'!$AD$9:$IM$38,'KG1-2'!$AD$9:$IM$38,'KG1-3'!$AD$9:$IM$38,'KG1-4'!$AD$9:$IM$38,'KG1-5'!$AD$9:$IM$38,'KG1-6'!$AD$9:$IM$38,'KG1-7'!$AD$9:$IM$38),INDEX(Stu_I,MATCH(B93,Stu_ID,0)),0),"غياب بدون عذر",CHOOSE(INDEX(Stu_C,MATCH(B93,Stu_ID,0)),'KG1-1'!$AD$7:$IM$7,'KG1-2'!$AD$7:$IM$7,'KG1-3'!$AD$7:$IM$7,'KG1-4'!$AD$7:$IM$7,'KG1-5'!$AD$7:$IM$7,'KG1-6'!$AD$7:$IM$7,'KG1-7'!$AD$7:$IM$7),"✓",'KG1-1'!$AD$5:$IM$5,"&lt;="&amp;A93),""))</f>
        <v/>
      </c>
      <c r="F93" s="6" t="n"/>
      <c r="G93" s="108" t="n"/>
      <c r="H93" s="88">
        <f>IF(E93="","",INDEX(LevelLabels,MATCH(E93,LevelValues,1)))</f>
        <v/>
      </c>
      <c r="I93" s="40">
        <f>IF(OR(B93="",A93=""),"",B93&amp;"|"&amp;A93)</f>
        <v/>
      </c>
      <c r="J93" s="40">
        <f>IF(AND(B93&lt;&gt;"",B93=Prof_ID),COUNTIF($B$6:B93,Prof_ID),"")</f>
        <v/>
      </c>
    </row>
    <row r="94">
      <c r="A94" s="5" t="n"/>
      <c r="B94" s="6" t="n"/>
      <c r="C94" s="103">
        <f>IF(B94="","",IFERROR(INDEX(Stu_Name,MATCH(B94,Stu_ID,0)),"رقم غير موجود"))</f>
        <v/>
      </c>
      <c r="D94" s="88">
        <f>IF(B94="","",IFERROR(INDEX(Stu_Class,MATCH(B94,Stu_ID,0)),""))</f>
        <v/>
      </c>
      <c r="E94" s="88">
        <f>IF(OR(B94="",A94=""),"",IFERROR(COUNTIFS(INDEX(CHOOSE(INDEX(Stu_C,MATCH(B94,Stu_ID,0)),'KG1-1'!$AD$9:$IM$38,'KG1-2'!$AD$9:$IM$38,'KG1-3'!$AD$9:$IM$38,'KG1-4'!$AD$9:$IM$38,'KG1-5'!$AD$9:$IM$38,'KG1-6'!$AD$9:$IM$38,'KG1-7'!$AD$9:$IM$38),INDEX(Stu_I,MATCH(B94,Stu_ID,0)),0),"غياب بدون عذر",CHOOSE(INDEX(Stu_C,MATCH(B94,Stu_ID,0)),'KG1-1'!$AD$7:$IM$7,'KG1-2'!$AD$7:$IM$7,'KG1-3'!$AD$7:$IM$7,'KG1-4'!$AD$7:$IM$7,'KG1-5'!$AD$7:$IM$7,'KG1-6'!$AD$7:$IM$7,'KG1-7'!$AD$7:$IM$7),"✓",'KG1-1'!$AD$5:$IM$5,"&lt;="&amp;A94),""))</f>
        <v/>
      </c>
      <c r="F94" s="6" t="n"/>
      <c r="G94" s="108" t="n"/>
      <c r="H94" s="88">
        <f>IF(E94="","",INDEX(LevelLabels,MATCH(E94,LevelValues,1)))</f>
        <v/>
      </c>
      <c r="I94" s="40">
        <f>IF(OR(B94="",A94=""),"",B94&amp;"|"&amp;A94)</f>
        <v/>
      </c>
      <c r="J94" s="40">
        <f>IF(AND(B94&lt;&gt;"",B94=Prof_ID),COUNTIF($B$6:B94,Prof_ID),"")</f>
        <v/>
      </c>
    </row>
    <row r="95">
      <c r="A95" s="5" t="n"/>
      <c r="B95" s="6" t="n"/>
      <c r="C95" s="103">
        <f>IF(B95="","",IFERROR(INDEX(Stu_Name,MATCH(B95,Stu_ID,0)),"رقم غير موجود"))</f>
        <v/>
      </c>
      <c r="D95" s="88">
        <f>IF(B95="","",IFERROR(INDEX(Stu_Class,MATCH(B95,Stu_ID,0)),""))</f>
        <v/>
      </c>
      <c r="E95" s="88">
        <f>IF(OR(B95="",A95=""),"",IFERROR(COUNTIFS(INDEX(CHOOSE(INDEX(Stu_C,MATCH(B95,Stu_ID,0)),'KG1-1'!$AD$9:$IM$38,'KG1-2'!$AD$9:$IM$38,'KG1-3'!$AD$9:$IM$38,'KG1-4'!$AD$9:$IM$38,'KG1-5'!$AD$9:$IM$38,'KG1-6'!$AD$9:$IM$38,'KG1-7'!$AD$9:$IM$38),INDEX(Stu_I,MATCH(B95,Stu_ID,0)),0),"غياب بدون عذر",CHOOSE(INDEX(Stu_C,MATCH(B95,Stu_ID,0)),'KG1-1'!$AD$7:$IM$7,'KG1-2'!$AD$7:$IM$7,'KG1-3'!$AD$7:$IM$7,'KG1-4'!$AD$7:$IM$7,'KG1-5'!$AD$7:$IM$7,'KG1-6'!$AD$7:$IM$7,'KG1-7'!$AD$7:$IM$7),"✓",'KG1-1'!$AD$5:$IM$5,"&lt;="&amp;A95),""))</f>
        <v/>
      </c>
      <c r="F95" s="6" t="n"/>
      <c r="G95" s="108" t="n"/>
      <c r="H95" s="88">
        <f>IF(E95="","",INDEX(LevelLabels,MATCH(E95,LevelValues,1)))</f>
        <v/>
      </c>
      <c r="I95" s="40">
        <f>IF(OR(B95="",A95=""),"",B95&amp;"|"&amp;A95)</f>
        <v/>
      </c>
      <c r="J95" s="40">
        <f>IF(AND(B95&lt;&gt;"",B95=Prof_ID),COUNTIF($B$6:B95,Prof_ID),"")</f>
        <v/>
      </c>
    </row>
    <row r="96">
      <c r="A96" s="5" t="n"/>
      <c r="B96" s="6" t="n"/>
      <c r="C96" s="103">
        <f>IF(B96="","",IFERROR(INDEX(Stu_Name,MATCH(B96,Stu_ID,0)),"رقم غير موجود"))</f>
        <v/>
      </c>
      <c r="D96" s="88">
        <f>IF(B96="","",IFERROR(INDEX(Stu_Class,MATCH(B96,Stu_ID,0)),""))</f>
        <v/>
      </c>
      <c r="E96" s="88">
        <f>IF(OR(B96="",A96=""),"",IFERROR(COUNTIFS(INDEX(CHOOSE(INDEX(Stu_C,MATCH(B96,Stu_ID,0)),'KG1-1'!$AD$9:$IM$38,'KG1-2'!$AD$9:$IM$38,'KG1-3'!$AD$9:$IM$38,'KG1-4'!$AD$9:$IM$38,'KG1-5'!$AD$9:$IM$38,'KG1-6'!$AD$9:$IM$38,'KG1-7'!$AD$9:$IM$38),INDEX(Stu_I,MATCH(B96,Stu_ID,0)),0),"غياب بدون عذر",CHOOSE(INDEX(Stu_C,MATCH(B96,Stu_ID,0)),'KG1-1'!$AD$7:$IM$7,'KG1-2'!$AD$7:$IM$7,'KG1-3'!$AD$7:$IM$7,'KG1-4'!$AD$7:$IM$7,'KG1-5'!$AD$7:$IM$7,'KG1-6'!$AD$7:$IM$7,'KG1-7'!$AD$7:$IM$7),"✓",'KG1-1'!$AD$5:$IM$5,"&lt;="&amp;A96),""))</f>
        <v/>
      </c>
      <c r="F96" s="6" t="n"/>
      <c r="G96" s="108" t="n"/>
      <c r="H96" s="88">
        <f>IF(E96="","",INDEX(LevelLabels,MATCH(E96,LevelValues,1)))</f>
        <v/>
      </c>
      <c r="I96" s="40">
        <f>IF(OR(B96="",A96=""),"",B96&amp;"|"&amp;A96)</f>
        <v/>
      </c>
      <c r="J96" s="40">
        <f>IF(AND(B96&lt;&gt;"",B96=Prof_ID),COUNTIF($B$6:B96,Prof_ID),"")</f>
        <v/>
      </c>
    </row>
    <row r="97">
      <c r="A97" s="5" t="n"/>
      <c r="B97" s="6" t="n"/>
      <c r="C97" s="103">
        <f>IF(B97="","",IFERROR(INDEX(Stu_Name,MATCH(B97,Stu_ID,0)),"رقم غير موجود"))</f>
        <v/>
      </c>
      <c r="D97" s="88">
        <f>IF(B97="","",IFERROR(INDEX(Stu_Class,MATCH(B97,Stu_ID,0)),""))</f>
        <v/>
      </c>
      <c r="E97" s="88">
        <f>IF(OR(B97="",A97=""),"",IFERROR(COUNTIFS(INDEX(CHOOSE(INDEX(Stu_C,MATCH(B97,Stu_ID,0)),'KG1-1'!$AD$9:$IM$38,'KG1-2'!$AD$9:$IM$38,'KG1-3'!$AD$9:$IM$38,'KG1-4'!$AD$9:$IM$38,'KG1-5'!$AD$9:$IM$38,'KG1-6'!$AD$9:$IM$38,'KG1-7'!$AD$9:$IM$38),INDEX(Stu_I,MATCH(B97,Stu_ID,0)),0),"غياب بدون عذر",CHOOSE(INDEX(Stu_C,MATCH(B97,Stu_ID,0)),'KG1-1'!$AD$7:$IM$7,'KG1-2'!$AD$7:$IM$7,'KG1-3'!$AD$7:$IM$7,'KG1-4'!$AD$7:$IM$7,'KG1-5'!$AD$7:$IM$7,'KG1-6'!$AD$7:$IM$7,'KG1-7'!$AD$7:$IM$7),"✓",'KG1-1'!$AD$5:$IM$5,"&lt;="&amp;A97),""))</f>
        <v/>
      </c>
      <c r="F97" s="6" t="n"/>
      <c r="G97" s="108" t="n"/>
      <c r="H97" s="88">
        <f>IF(E97="","",INDEX(LevelLabels,MATCH(E97,LevelValues,1)))</f>
        <v/>
      </c>
      <c r="I97" s="40">
        <f>IF(OR(B97="",A97=""),"",B97&amp;"|"&amp;A97)</f>
        <v/>
      </c>
      <c r="J97" s="40">
        <f>IF(AND(B97&lt;&gt;"",B97=Prof_ID),COUNTIF($B$6:B97,Prof_ID),"")</f>
        <v/>
      </c>
    </row>
    <row r="98">
      <c r="A98" s="5" t="n"/>
      <c r="B98" s="6" t="n"/>
      <c r="C98" s="103">
        <f>IF(B98="","",IFERROR(INDEX(Stu_Name,MATCH(B98,Stu_ID,0)),"رقم غير موجود"))</f>
        <v/>
      </c>
      <c r="D98" s="88">
        <f>IF(B98="","",IFERROR(INDEX(Stu_Class,MATCH(B98,Stu_ID,0)),""))</f>
        <v/>
      </c>
      <c r="E98" s="88">
        <f>IF(OR(B98="",A98=""),"",IFERROR(COUNTIFS(INDEX(CHOOSE(INDEX(Stu_C,MATCH(B98,Stu_ID,0)),'KG1-1'!$AD$9:$IM$38,'KG1-2'!$AD$9:$IM$38,'KG1-3'!$AD$9:$IM$38,'KG1-4'!$AD$9:$IM$38,'KG1-5'!$AD$9:$IM$38,'KG1-6'!$AD$9:$IM$38,'KG1-7'!$AD$9:$IM$38),INDEX(Stu_I,MATCH(B98,Stu_ID,0)),0),"غياب بدون عذر",CHOOSE(INDEX(Stu_C,MATCH(B98,Stu_ID,0)),'KG1-1'!$AD$7:$IM$7,'KG1-2'!$AD$7:$IM$7,'KG1-3'!$AD$7:$IM$7,'KG1-4'!$AD$7:$IM$7,'KG1-5'!$AD$7:$IM$7,'KG1-6'!$AD$7:$IM$7,'KG1-7'!$AD$7:$IM$7),"✓",'KG1-1'!$AD$5:$IM$5,"&lt;="&amp;A98),""))</f>
        <v/>
      </c>
      <c r="F98" s="6" t="n"/>
      <c r="G98" s="108" t="n"/>
      <c r="H98" s="88">
        <f>IF(E98="","",INDEX(LevelLabels,MATCH(E98,LevelValues,1)))</f>
        <v/>
      </c>
      <c r="I98" s="40">
        <f>IF(OR(B98="",A98=""),"",B98&amp;"|"&amp;A98)</f>
        <v/>
      </c>
      <c r="J98" s="40">
        <f>IF(AND(B98&lt;&gt;"",B98=Prof_ID),COUNTIF($B$6:B98,Prof_ID),"")</f>
        <v/>
      </c>
    </row>
    <row r="99">
      <c r="A99" s="5" t="n"/>
      <c r="B99" s="6" t="n"/>
      <c r="C99" s="103">
        <f>IF(B99="","",IFERROR(INDEX(Stu_Name,MATCH(B99,Stu_ID,0)),"رقم غير موجود"))</f>
        <v/>
      </c>
      <c r="D99" s="88">
        <f>IF(B99="","",IFERROR(INDEX(Stu_Class,MATCH(B99,Stu_ID,0)),""))</f>
        <v/>
      </c>
      <c r="E99" s="88">
        <f>IF(OR(B99="",A99=""),"",IFERROR(COUNTIFS(INDEX(CHOOSE(INDEX(Stu_C,MATCH(B99,Stu_ID,0)),'KG1-1'!$AD$9:$IM$38,'KG1-2'!$AD$9:$IM$38,'KG1-3'!$AD$9:$IM$38,'KG1-4'!$AD$9:$IM$38,'KG1-5'!$AD$9:$IM$38,'KG1-6'!$AD$9:$IM$38,'KG1-7'!$AD$9:$IM$38),INDEX(Stu_I,MATCH(B99,Stu_ID,0)),0),"غياب بدون عذر",CHOOSE(INDEX(Stu_C,MATCH(B99,Stu_ID,0)),'KG1-1'!$AD$7:$IM$7,'KG1-2'!$AD$7:$IM$7,'KG1-3'!$AD$7:$IM$7,'KG1-4'!$AD$7:$IM$7,'KG1-5'!$AD$7:$IM$7,'KG1-6'!$AD$7:$IM$7,'KG1-7'!$AD$7:$IM$7),"✓",'KG1-1'!$AD$5:$IM$5,"&lt;="&amp;A99),""))</f>
        <v/>
      </c>
      <c r="F99" s="6" t="n"/>
      <c r="G99" s="108" t="n"/>
      <c r="H99" s="88">
        <f>IF(E99="","",INDEX(LevelLabels,MATCH(E99,LevelValues,1)))</f>
        <v/>
      </c>
      <c r="I99" s="40">
        <f>IF(OR(B99="",A99=""),"",B99&amp;"|"&amp;A99)</f>
        <v/>
      </c>
      <c r="J99" s="40">
        <f>IF(AND(B99&lt;&gt;"",B99=Prof_ID),COUNTIF($B$6:B99,Prof_ID),"")</f>
        <v/>
      </c>
    </row>
    <row r="100">
      <c r="A100" s="5" t="n"/>
      <c r="B100" s="6" t="n"/>
      <c r="C100" s="103">
        <f>IF(B100="","",IFERROR(INDEX(Stu_Name,MATCH(B100,Stu_ID,0)),"رقم غير موجود"))</f>
        <v/>
      </c>
      <c r="D100" s="88">
        <f>IF(B100="","",IFERROR(INDEX(Stu_Class,MATCH(B100,Stu_ID,0)),""))</f>
        <v/>
      </c>
      <c r="E100" s="88">
        <f>IF(OR(B100="",A100=""),"",IFERROR(COUNTIFS(INDEX(CHOOSE(INDEX(Stu_C,MATCH(B100,Stu_ID,0)),'KG1-1'!$AD$9:$IM$38,'KG1-2'!$AD$9:$IM$38,'KG1-3'!$AD$9:$IM$38,'KG1-4'!$AD$9:$IM$38,'KG1-5'!$AD$9:$IM$38,'KG1-6'!$AD$9:$IM$38,'KG1-7'!$AD$9:$IM$38),INDEX(Stu_I,MATCH(B100,Stu_ID,0)),0),"غياب بدون عذر",CHOOSE(INDEX(Stu_C,MATCH(B100,Stu_ID,0)),'KG1-1'!$AD$7:$IM$7,'KG1-2'!$AD$7:$IM$7,'KG1-3'!$AD$7:$IM$7,'KG1-4'!$AD$7:$IM$7,'KG1-5'!$AD$7:$IM$7,'KG1-6'!$AD$7:$IM$7,'KG1-7'!$AD$7:$IM$7),"✓",'KG1-1'!$AD$5:$IM$5,"&lt;="&amp;A100),""))</f>
        <v/>
      </c>
      <c r="F100" s="6" t="n"/>
      <c r="G100" s="108" t="n"/>
      <c r="H100" s="88">
        <f>IF(E100="","",INDEX(LevelLabels,MATCH(E100,LevelValues,1)))</f>
        <v/>
      </c>
      <c r="I100" s="40">
        <f>IF(OR(B100="",A100=""),"",B100&amp;"|"&amp;A100)</f>
        <v/>
      </c>
      <c r="J100" s="40">
        <f>IF(AND(B100&lt;&gt;"",B100=Prof_ID),COUNTIF($B$6:B100,Prof_ID),"")</f>
        <v/>
      </c>
    </row>
    <row r="101">
      <c r="A101" s="5" t="n"/>
      <c r="B101" s="6" t="n"/>
      <c r="C101" s="103">
        <f>IF(B101="","",IFERROR(INDEX(Stu_Name,MATCH(B101,Stu_ID,0)),"رقم غير موجود"))</f>
        <v/>
      </c>
      <c r="D101" s="88">
        <f>IF(B101="","",IFERROR(INDEX(Stu_Class,MATCH(B101,Stu_ID,0)),""))</f>
        <v/>
      </c>
      <c r="E101" s="88">
        <f>IF(OR(B101="",A101=""),"",IFERROR(COUNTIFS(INDEX(CHOOSE(INDEX(Stu_C,MATCH(B101,Stu_ID,0)),'KG1-1'!$AD$9:$IM$38,'KG1-2'!$AD$9:$IM$38,'KG1-3'!$AD$9:$IM$38,'KG1-4'!$AD$9:$IM$38,'KG1-5'!$AD$9:$IM$38,'KG1-6'!$AD$9:$IM$38,'KG1-7'!$AD$9:$IM$38),INDEX(Stu_I,MATCH(B101,Stu_ID,0)),0),"غياب بدون عذر",CHOOSE(INDEX(Stu_C,MATCH(B101,Stu_ID,0)),'KG1-1'!$AD$7:$IM$7,'KG1-2'!$AD$7:$IM$7,'KG1-3'!$AD$7:$IM$7,'KG1-4'!$AD$7:$IM$7,'KG1-5'!$AD$7:$IM$7,'KG1-6'!$AD$7:$IM$7,'KG1-7'!$AD$7:$IM$7),"✓",'KG1-1'!$AD$5:$IM$5,"&lt;="&amp;A101),""))</f>
        <v/>
      </c>
      <c r="F101" s="6" t="n"/>
      <c r="G101" s="108" t="n"/>
      <c r="H101" s="88">
        <f>IF(E101="","",INDEX(LevelLabels,MATCH(E101,LevelValues,1)))</f>
        <v/>
      </c>
      <c r="I101" s="40">
        <f>IF(OR(B101="",A101=""),"",B101&amp;"|"&amp;A101)</f>
        <v/>
      </c>
      <c r="J101" s="40">
        <f>IF(AND(B101&lt;&gt;"",B101=Prof_ID),COUNTIF($B$6:B101,Prof_ID),"")</f>
        <v/>
      </c>
    </row>
    <row r="102">
      <c r="A102" s="5" t="n"/>
      <c r="B102" s="6" t="n"/>
      <c r="C102" s="103">
        <f>IF(B102="","",IFERROR(INDEX(Stu_Name,MATCH(B102,Stu_ID,0)),"رقم غير موجود"))</f>
        <v/>
      </c>
      <c r="D102" s="88">
        <f>IF(B102="","",IFERROR(INDEX(Stu_Class,MATCH(B102,Stu_ID,0)),""))</f>
        <v/>
      </c>
      <c r="E102" s="88">
        <f>IF(OR(B102="",A102=""),"",IFERROR(COUNTIFS(INDEX(CHOOSE(INDEX(Stu_C,MATCH(B102,Stu_ID,0)),'KG1-1'!$AD$9:$IM$38,'KG1-2'!$AD$9:$IM$38,'KG1-3'!$AD$9:$IM$38,'KG1-4'!$AD$9:$IM$38,'KG1-5'!$AD$9:$IM$38,'KG1-6'!$AD$9:$IM$38,'KG1-7'!$AD$9:$IM$38),INDEX(Stu_I,MATCH(B102,Stu_ID,0)),0),"غياب بدون عذر",CHOOSE(INDEX(Stu_C,MATCH(B102,Stu_ID,0)),'KG1-1'!$AD$7:$IM$7,'KG1-2'!$AD$7:$IM$7,'KG1-3'!$AD$7:$IM$7,'KG1-4'!$AD$7:$IM$7,'KG1-5'!$AD$7:$IM$7,'KG1-6'!$AD$7:$IM$7,'KG1-7'!$AD$7:$IM$7),"✓",'KG1-1'!$AD$5:$IM$5,"&lt;="&amp;A102),""))</f>
        <v/>
      </c>
      <c r="F102" s="6" t="n"/>
      <c r="G102" s="108" t="n"/>
      <c r="H102" s="88">
        <f>IF(E102="","",INDEX(LevelLabels,MATCH(E102,LevelValues,1)))</f>
        <v/>
      </c>
      <c r="I102" s="40">
        <f>IF(OR(B102="",A102=""),"",B102&amp;"|"&amp;A102)</f>
        <v/>
      </c>
      <c r="J102" s="40">
        <f>IF(AND(B102&lt;&gt;"",B102=Prof_ID),COUNTIF($B$6:B102,Prof_ID),"")</f>
        <v/>
      </c>
    </row>
    <row r="103">
      <c r="A103" s="5" t="n"/>
      <c r="B103" s="6" t="n"/>
      <c r="C103" s="103">
        <f>IF(B103="","",IFERROR(INDEX(Stu_Name,MATCH(B103,Stu_ID,0)),"رقم غير موجود"))</f>
        <v/>
      </c>
      <c r="D103" s="88">
        <f>IF(B103="","",IFERROR(INDEX(Stu_Class,MATCH(B103,Stu_ID,0)),""))</f>
        <v/>
      </c>
      <c r="E103" s="88">
        <f>IF(OR(B103="",A103=""),"",IFERROR(COUNTIFS(INDEX(CHOOSE(INDEX(Stu_C,MATCH(B103,Stu_ID,0)),'KG1-1'!$AD$9:$IM$38,'KG1-2'!$AD$9:$IM$38,'KG1-3'!$AD$9:$IM$38,'KG1-4'!$AD$9:$IM$38,'KG1-5'!$AD$9:$IM$38,'KG1-6'!$AD$9:$IM$38,'KG1-7'!$AD$9:$IM$38),INDEX(Stu_I,MATCH(B103,Stu_ID,0)),0),"غياب بدون عذر",CHOOSE(INDEX(Stu_C,MATCH(B103,Stu_ID,0)),'KG1-1'!$AD$7:$IM$7,'KG1-2'!$AD$7:$IM$7,'KG1-3'!$AD$7:$IM$7,'KG1-4'!$AD$7:$IM$7,'KG1-5'!$AD$7:$IM$7,'KG1-6'!$AD$7:$IM$7,'KG1-7'!$AD$7:$IM$7),"✓",'KG1-1'!$AD$5:$IM$5,"&lt;="&amp;A103),""))</f>
        <v/>
      </c>
      <c r="F103" s="6" t="n"/>
      <c r="G103" s="108" t="n"/>
      <c r="H103" s="88">
        <f>IF(E103="","",INDEX(LevelLabels,MATCH(E103,LevelValues,1)))</f>
        <v/>
      </c>
      <c r="I103" s="40">
        <f>IF(OR(B103="",A103=""),"",B103&amp;"|"&amp;A103)</f>
        <v/>
      </c>
      <c r="J103" s="40">
        <f>IF(AND(B103&lt;&gt;"",B103=Prof_ID),COUNTIF($B$6:B103,Prof_ID),"")</f>
        <v/>
      </c>
    </row>
    <row r="104">
      <c r="A104" s="5" t="n"/>
      <c r="B104" s="6" t="n"/>
      <c r="C104" s="103">
        <f>IF(B104="","",IFERROR(INDEX(Stu_Name,MATCH(B104,Stu_ID,0)),"رقم غير موجود"))</f>
        <v/>
      </c>
      <c r="D104" s="88">
        <f>IF(B104="","",IFERROR(INDEX(Stu_Class,MATCH(B104,Stu_ID,0)),""))</f>
        <v/>
      </c>
      <c r="E104" s="88">
        <f>IF(OR(B104="",A104=""),"",IFERROR(COUNTIFS(INDEX(CHOOSE(INDEX(Stu_C,MATCH(B104,Stu_ID,0)),'KG1-1'!$AD$9:$IM$38,'KG1-2'!$AD$9:$IM$38,'KG1-3'!$AD$9:$IM$38,'KG1-4'!$AD$9:$IM$38,'KG1-5'!$AD$9:$IM$38,'KG1-6'!$AD$9:$IM$38,'KG1-7'!$AD$9:$IM$38),INDEX(Stu_I,MATCH(B104,Stu_ID,0)),0),"غياب بدون عذر",CHOOSE(INDEX(Stu_C,MATCH(B104,Stu_ID,0)),'KG1-1'!$AD$7:$IM$7,'KG1-2'!$AD$7:$IM$7,'KG1-3'!$AD$7:$IM$7,'KG1-4'!$AD$7:$IM$7,'KG1-5'!$AD$7:$IM$7,'KG1-6'!$AD$7:$IM$7,'KG1-7'!$AD$7:$IM$7),"✓",'KG1-1'!$AD$5:$IM$5,"&lt;="&amp;A104),""))</f>
        <v/>
      </c>
      <c r="F104" s="6" t="n"/>
      <c r="G104" s="108" t="n"/>
      <c r="H104" s="88">
        <f>IF(E104="","",INDEX(LevelLabels,MATCH(E104,LevelValues,1)))</f>
        <v/>
      </c>
      <c r="I104" s="40">
        <f>IF(OR(B104="",A104=""),"",B104&amp;"|"&amp;A104)</f>
        <v/>
      </c>
      <c r="J104" s="40">
        <f>IF(AND(B104&lt;&gt;"",B104=Prof_ID),COUNTIF($B$6:B104,Prof_ID),"")</f>
        <v/>
      </c>
    </row>
    <row r="105">
      <c r="A105" s="5" t="n"/>
      <c r="B105" s="6" t="n"/>
      <c r="C105" s="103">
        <f>IF(B105="","",IFERROR(INDEX(Stu_Name,MATCH(B105,Stu_ID,0)),"رقم غير موجود"))</f>
        <v/>
      </c>
      <c r="D105" s="88">
        <f>IF(B105="","",IFERROR(INDEX(Stu_Class,MATCH(B105,Stu_ID,0)),""))</f>
        <v/>
      </c>
      <c r="E105" s="88">
        <f>IF(OR(B105="",A105=""),"",IFERROR(COUNTIFS(INDEX(CHOOSE(INDEX(Stu_C,MATCH(B105,Stu_ID,0)),'KG1-1'!$AD$9:$IM$38,'KG1-2'!$AD$9:$IM$38,'KG1-3'!$AD$9:$IM$38,'KG1-4'!$AD$9:$IM$38,'KG1-5'!$AD$9:$IM$38,'KG1-6'!$AD$9:$IM$38,'KG1-7'!$AD$9:$IM$38),INDEX(Stu_I,MATCH(B105,Stu_ID,0)),0),"غياب بدون عذر",CHOOSE(INDEX(Stu_C,MATCH(B105,Stu_ID,0)),'KG1-1'!$AD$7:$IM$7,'KG1-2'!$AD$7:$IM$7,'KG1-3'!$AD$7:$IM$7,'KG1-4'!$AD$7:$IM$7,'KG1-5'!$AD$7:$IM$7,'KG1-6'!$AD$7:$IM$7,'KG1-7'!$AD$7:$IM$7),"✓",'KG1-1'!$AD$5:$IM$5,"&lt;="&amp;A105),""))</f>
        <v/>
      </c>
      <c r="F105" s="6" t="n"/>
      <c r="G105" s="108" t="n"/>
      <c r="H105" s="88">
        <f>IF(E105="","",INDEX(LevelLabels,MATCH(E105,LevelValues,1)))</f>
        <v/>
      </c>
      <c r="I105" s="40">
        <f>IF(OR(B105="",A105=""),"",B105&amp;"|"&amp;A105)</f>
        <v/>
      </c>
      <c r="J105" s="40">
        <f>IF(AND(B105&lt;&gt;"",B105=Prof_ID),COUNTIF($B$6:B105,Prof_ID),"")</f>
        <v/>
      </c>
    </row>
    <row r="106">
      <c r="A106" s="5" t="n"/>
      <c r="B106" s="6" t="n"/>
      <c r="C106" s="103">
        <f>IF(B106="","",IFERROR(INDEX(Stu_Name,MATCH(B106,Stu_ID,0)),"رقم غير موجود"))</f>
        <v/>
      </c>
      <c r="D106" s="88">
        <f>IF(B106="","",IFERROR(INDEX(Stu_Class,MATCH(B106,Stu_ID,0)),""))</f>
        <v/>
      </c>
      <c r="E106" s="88">
        <f>IF(OR(B106="",A106=""),"",IFERROR(COUNTIFS(INDEX(CHOOSE(INDEX(Stu_C,MATCH(B106,Stu_ID,0)),'KG1-1'!$AD$9:$IM$38,'KG1-2'!$AD$9:$IM$38,'KG1-3'!$AD$9:$IM$38,'KG1-4'!$AD$9:$IM$38,'KG1-5'!$AD$9:$IM$38,'KG1-6'!$AD$9:$IM$38,'KG1-7'!$AD$9:$IM$38),INDEX(Stu_I,MATCH(B106,Stu_ID,0)),0),"غياب بدون عذر",CHOOSE(INDEX(Stu_C,MATCH(B106,Stu_ID,0)),'KG1-1'!$AD$7:$IM$7,'KG1-2'!$AD$7:$IM$7,'KG1-3'!$AD$7:$IM$7,'KG1-4'!$AD$7:$IM$7,'KG1-5'!$AD$7:$IM$7,'KG1-6'!$AD$7:$IM$7,'KG1-7'!$AD$7:$IM$7),"✓",'KG1-1'!$AD$5:$IM$5,"&lt;="&amp;A106),""))</f>
        <v/>
      </c>
      <c r="F106" s="6" t="n"/>
      <c r="G106" s="108" t="n"/>
      <c r="H106" s="88">
        <f>IF(E106="","",INDEX(LevelLabels,MATCH(E106,LevelValues,1)))</f>
        <v/>
      </c>
      <c r="I106" s="40">
        <f>IF(OR(B106="",A106=""),"",B106&amp;"|"&amp;A106)</f>
        <v/>
      </c>
      <c r="J106" s="40">
        <f>IF(AND(B106&lt;&gt;"",B106=Prof_ID),COUNTIF($B$6:B106,Prof_ID),"")</f>
        <v/>
      </c>
    </row>
    <row r="107">
      <c r="A107" s="5" t="n"/>
      <c r="B107" s="6" t="n"/>
      <c r="C107" s="103">
        <f>IF(B107="","",IFERROR(INDEX(Stu_Name,MATCH(B107,Stu_ID,0)),"رقم غير موجود"))</f>
        <v/>
      </c>
      <c r="D107" s="88">
        <f>IF(B107="","",IFERROR(INDEX(Stu_Class,MATCH(B107,Stu_ID,0)),""))</f>
        <v/>
      </c>
      <c r="E107" s="88">
        <f>IF(OR(B107="",A107=""),"",IFERROR(COUNTIFS(INDEX(CHOOSE(INDEX(Stu_C,MATCH(B107,Stu_ID,0)),'KG1-1'!$AD$9:$IM$38,'KG1-2'!$AD$9:$IM$38,'KG1-3'!$AD$9:$IM$38,'KG1-4'!$AD$9:$IM$38,'KG1-5'!$AD$9:$IM$38,'KG1-6'!$AD$9:$IM$38,'KG1-7'!$AD$9:$IM$38),INDEX(Stu_I,MATCH(B107,Stu_ID,0)),0),"غياب بدون عذر",CHOOSE(INDEX(Stu_C,MATCH(B107,Stu_ID,0)),'KG1-1'!$AD$7:$IM$7,'KG1-2'!$AD$7:$IM$7,'KG1-3'!$AD$7:$IM$7,'KG1-4'!$AD$7:$IM$7,'KG1-5'!$AD$7:$IM$7,'KG1-6'!$AD$7:$IM$7,'KG1-7'!$AD$7:$IM$7),"✓",'KG1-1'!$AD$5:$IM$5,"&lt;="&amp;A107),""))</f>
        <v/>
      </c>
      <c r="F107" s="6" t="n"/>
      <c r="G107" s="108" t="n"/>
      <c r="H107" s="88">
        <f>IF(E107="","",INDEX(LevelLabels,MATCH(E107,LevelValues,1)))</f>
        <v/>
      </c>
      <c r="I107" s="40">
        <f>IF(OR(B107="",A107=""),"",B107&amp;"|"&amp;A107)</f>
        <v/>
      </c>
      <c r="J107" s="40">
        <f>IF(AND(B107&lt;&gt;"",B107=Prof_ID),COUNTIF($B$6:B107,Prof_ID),"")</f>
        <v/>
      </c>
    </row>
    <row r="108">
      <c r="A108" s="5" t="n"/>
      <c r="B108" s="6" t="n"/>
      <c r="C108" s="103">
        <f>IF(B108="","",IFERROR(INDEX(Stu_Name,MATCH(B108,Stu_ID,0)),"رقم غير موجود"))</f>
        <v/>
      </c>
      <c r="D108" s="88">
        <f>IF(B108="","",IFERROR(INDEX(Stu_Class,MATCH(B108,Stu_ID,0)),""))</f>
        <v/>
      </c>
      <c r="E108" s="88">
        <f>IF(OR(B108="",A108=""),"",IFERROR(COUNTIFS(INDEX(CHOOSE(INDEX(Stu_C,MATCH(B108,Stu_ID,0)),'KG1-1'!$AD$9:$IM$38,'KG1-2'!$AD$9:$IM$38,'KG1-3'!$AD$9:$IM$38,'KG1-4'!$AD$9:$IM$38,'KG1-5'!$AD$9:$IM$38,'KG1-6'!$AD$9:$IM$38,'KG1-7'!$AD$9:$IM$38),INDEX(Stu_I,MATCH(B108,Stu_ID,0)),0),"غياب بدون عذر",CHOOSE(INDEX(Stu_C,MATCH(B108,Stu_ID,0)),'KG1-1'!$AD$7:$IM$7,'KG1-2'!$AD$7:$IM$7,'KG1-3'!$AD$7:$IM$7,'KG1-4'!$AD$7:$IM$7,'KG1-5'!$AD$7:$IM$7,'KG1-6'!$AD$7:$IM$7,'KG1-7'!$AD$7:$IM$7),"✓",'KG1-1'!$AD$5:$IM$5,"&lt;="&amp;A108),""))</f>
        <v/>
      </c>
      <c r="F108" s="6" t="n"/>
      <c r="G108" s="108" t="n"/>
      <c r="H108" s="88">
        <f>IF(E108="","",INDEX(LevelLabels,MATCH(E108,LevelValues,1)))</f>
        <v/>
      </c>
      <c r="I108" s="40">
        <f>IF(OR(B108="",A108=""),"",B108&amp;"|"&amp;A108)</f>
        <v/>
      </c>
      <c r="J108" s="40">
        <f>IF(AND(B108&lt;&gt;"",B108=Prof_ID),COUNTIF($B$6:B108,Prof_ID),"")</f>
        <v/>
      </c>
    </row>
    <row r="109">
      <c r="A109" s="5" t="n"/>
      <c r="B109" s="6" t="n"/>
      <c r="C109" s="103">
        <f>IF(B109="","",IFERROR(INDEX(Stu_Name,MATCH(B109,Stu_ID,0)),"رقم غير موجود"))</f>
        <v/>
      </c>
      <c r="D109" s="88">
        <f>IF(B109="","",IFERROR(INDEX(Stu_Class,MATCH(B109,Stu_ID,0)),""))</f>
        <v/>
      </c>
      <c r="E109" s="88">
        <f>IF(OR(B109="",A109=""),"",IFERROR(COUNTIFS(INDEX(CHOOSE(INDEX(Stu_C,MATCH(B109,Stu_ID,0)),'KG1-1'!$AD$9:$IM$38,'KG1-2'!$AD$9:$IM$38,'KG1-3'!$AD$9:$IM$38,'KG1-4'!$AD$9:$IM$38,'KG1-5'!$AD$9:$IM$38,'KG1-6'!$AD$9:$IM$38,'KG1-7'!$AD$9:$IM$38),INDEX(Stu_I,MATCH(B109,Stu_ID,0)),0),"غياب بدون عذر",CHOOSE(INDEX(Stu_C,MATCH(B109,Stu_ID,0)),'KG1-1'!$AD$7:$IM$7,'KG1-2'!$AD$7:$IM$7,'KG1-3'!$AD$7:$IM$7,'KG1-4'!$AD$7:$IM$7,'KG1-5'!$AD$7:$IM$7,'KG1-6'!$AD$7:$IM$7,'KG1-7'!$AD$7:$IM$7),"✓",'KG1-1'!$AD$5:$IM$5,"&lt;="&amp;A109),""))</f>
        <v/>
      </c>
      <c r="F109" s="6" t="n"/>
      <c r="G109" s="108" t="n"/>
      <c r="H109" s="88">
        <f>IF(E109="","",INDEX(LevelLabels,MATCH(E109,LevelValues,1)))</f>
        <v/>
      </c>
      <c r="I109" s="40">
        <f>IF(OR(B109="",A109=""),"",B109&amp;"|"&amp;A109)</f>
        <v/>
      </c>
      <c r="J109" s="40">
        <f>IF(AND(B109&lt;&gt;"",B109=Prof_ID),COUNTIF($B$6:B109,Prof_ID),"")</f>
        <v/>
      </c>
    </row>
    <row r="110">
      <c r="A110" s="5" t="n"/>
      <c r="B110" s="6" t="n"/>
      <c r="C110" s="103">
        <f>IF(B110="","",IFERROR(INDEX(Stu_Name,MATCH(B110,Stu_ID,0)),"رقم غير موجود"))</f>
        <v/>
      </c>
      <c r="D110" s="88">
        <f>IF(B110="","",IFERROR(INDEX(Stu_Class,MATCH(B110,Stu_ID,0)),""))</f>
        <v/>
      </c>
      <c r="E110" s="88">
        <f>IF(OR(B110="",A110=""),"",IFERROR(COUNTIFS(INDEX(CHOOSE(INDEX(Stu_C,MATCH(B110,Stu_ID,0)),'KG1-1'!$AD$9:$IM$38,'KG1-2'!$AD$9:$IM$38,'KG1-3'!$AD$9:$IM$38,'KG1-4'!$AD$9:$IM$38,'KG1-5'!$AD$9:$IM$38,'KG1-6'!$AD$9:$IM$38,'KG1-7'!$AD$9:$IM$38),INDEX(Stu_I,MATCH(B110,Stu_ID,0)),0),"غياب بدون عذر",CHOOSE(INDEX(Stu_C,MATCH(B110,Stu_ID,0)),'KG1-1'!$AD$7:$IM$7,'KG1-2'!$AD$7:$IM$7,'KG1-3'!$AD$7:$IM$7,'KG1-4'!$AD$7:$IM$7,'KG1-5'!$AD$7:$IM$7,'KG1-6'!$AD$7:$IM$7,'KG1-7'!$AD$7:$IM$7),"✓",'KG1-1'!$AD$5:$IM$5,"&lt;="&amp;A110),""))</f>
        <v/>
      </c>
      <c r="F110" s="6" t="n"/>
      <c r="G110" s="108" t="n"/>
      <c r="H110" s="88">
        <f>IF(E110="","",INDEX(LevelLabels,MATCH(E110,LevelValues,1)))</f>
        <v/>
      </c>
      <c r="I110" s="40">
        <f>IF(OR(B110="",A110=""),"",B110&amp;"|"&amp;A110)</f>
        <v/>
      </c>
      <c r="J110" s="40">
        <f>IF(AND(B110&lt;&gt;"",B110=Prof_ID),COUNTIF($B$6:B110,Prof_ID),"")</f>
        <v/>
      </c>
    </row>
    <row r="111">
      <c r="A111" s="5" t="n"/>
      <c r="B111" s="6" t="n"/>
      <c r="C111" s="103">
        <f>IF(B111="","",IFERROR(INDEX(Stu_Name,MATCH(B111,Stu_ID,0)),"رقم غير موجود"))</f>
        <v/>
      </c>
      <c r="D111" s="88">
        <f>IF(B111="","",IFERROR(INDEX(Stu_Class,MATCH(B111,Stu_ID,0)),""))</f>
        <v/>
      </c>
      <c r="E111" s="88">
        <f>IF(OR(B111="",A111=""),"",IFERROR(COUNTIFS(INDEX(CHOOSE(INDEX(Stu_C,MATCH(B111,Stu_ID,0)),'KG1-1'!$AD$9:$IM$38,'KG1-2'!$AD$9:$IM$38,'KG1-3'!$AD$9:$IM$38,'KG1-4'!$AD$9:$IM$38,'KG1-5'!$AD$9:$IM$38,'KG1-6'!$AD$9:$IM$38,'KG1-7'!$AD$9:$IM$38),INDEX(Stu_I,MATCH(B111,Stu_ID,0)),0),"غياب بدون عذر",CHOOSE(INDEX(Stu_C,MATCH(B111,Stu_ID,0)),'KG1-1'!$AD$7:$IM$7,'KG1-2'!$AD$7:$IM$7,'KG1-3'!$AD$7:$IM$7,'KG1-4'!$AD$7:$IM$7,'KG1-5'!$AD$7:$IM$7,'KG1-6'!$AD$7:$IM$7,'KG1-7'!$AD$7:$IM$7),"✓",'KG1-1'!$AD$5:$IM$5,"&lt;="&amp;A111),""))</f>
        <v/>
      </c>
      <c r="F111" s="6" t="n"/>
      <c r="G111" s="108" t="n"/>
      <c r="H111" s="88">
        <f>IF(E111="","",INDEX(LevelLabels,MATCH(E111,LevelValues,1)))</f>
        <v/>
      </c>
      <c r="I111" s="40">
        <f>IF(OR(B111="",A111=""),"",B111&amp;"|"&amp;A111)</f>
        <v/>
      </c>
      <c r="J111" s="40">
        <f>IF(AND(B111&lt;&gt;"",B111=Prof_ID),COUNTIF($B$6:B111,Prof_ID),"")</f>
        <v/>
      </c>
    </row>
    <row r="112">
      <c r="A112" s="5" t="n"/>
      <c r="B112" s="6" t="n"/>
      <c r="C112" s="103">
        <f>IF(B112="","",IFERROR(INDEX(Stu_Name,MATCH(B112,Stu_ID,0)),"رقم غير موجود"))</f>
        <v/>
      </c>
      <c r="D112" s="88">
        <f>IF(B112="","",IFERROR(INDEX(Stu_Class,MATCH(B112,Stu_ID,0)),""))</f>
        <v/>
      </c>
      <c r="E112" s="88">
        <f>IF(OR(B112="",A112=""),"",IFERROR(COUNTIFS(INDEX(CHOOSE(INDEX(Stu_C,MATCH(B112,Stu_ID,0)),'KG1-1'!$AD$9:$IM$38,'KG1-2'!$AD$9:$IM$38,'KG1-3'!$AD$9:$IM$38,'KG1-4'!$AD$9:$IM$38,'KG1-5'!$AD$9:$IM$38,'KG1-6'!$AD$9:$IM$38,'KG1-7'!$AD$9:$IM$38),INDEX(Stu_I,MATCH(B112,Stu_ID,0)),0),"غياب بدون عذر",CHOOSE(INDEX(Stu_C,MATCH(B112,Stu_ID,0)),'KG1-1'!$AD$7:$IM$7,'KG1-2'!$AD$7:$IM$7,'KG1-3'!$AD$7:$IM$7,'KG1-4'!$AD$7:$IM$7,'KG1-5'!$AD$7:$IM$7,'KG1-6'!$AD$7:$IM$7,'KG1-7'!$AD$7:$IM$7),"✓",'KG1-1'!$AD$5:$IM$5,"&lt;="&amp;A112),""))</f>
        <v/>
      </c>
      <c r="F112" s="6" t="n"/>
      <c r="G112" s="108" t="n"/>
      <c r="H112" s="88">
        <f>IF(E112="","",INDEX(LevelLabels,MATCH(E112,LevelValues,1)))</f>
        <v/>
      </c>
      <c r="I112" s="40">
        <f>IF(OR(B112="",A112=""),"",B112&amp;"|"&amp;A112)</f>
        <v/>
      </c>
      <c r="J112" s="40">
        <f>IF(AND(B112&lt;&gt;"",B112=Prof_ID),COUNTIF($B$6:B112,Prof_ID),"")</f>
        <v/>
      </c>
    </row>
    <row r="113">
      <c r="A113" s="5" t="n"/>
      <c r="B113" s="6" t="n"/>
      <c r="C113" s="103">
        <f>IF(B113="","",IFERROR(INDEX(Stu_Name,MATCH(B113,Stu_ID,0)),"رقم غير موجود"))</f>
        <v/>
      </c>
      <c r="D113" s="88">
        <f>IF(B113="","",IFERROR(INDEX(Stu_Class,MATCH(B113,Stu_ID,0)),""))</f>
        <v/>
      </c>
      <c r="E113" s="88">
        <f>IF(OR(B113="",A113=""),"",IFERROR(COUNTIFS(INDEX(CHOOSE(INDEX(Stu_C,MATCH(B113,Stu_ID,0)),'KG1-1'!$AD$9:$IM$38,'KG1-2'!$AD$9:$IM$38,'KG1-3'!$AD$9:$IM$38,'KG1-4'!$AD$9:$IM$38,'KG1-5'!$AD$9:$IM$38,'KG1-6'!$AD$9:$IM$38,'KG1-7'!$AD$9:$IM$38),INDEX(Stu_I,MATCH(B113,Stu_ID,0)),0),"غياب بدون عذر",CHOOSE(INDEX(Stu_C,MATCH(B113,Stu_ID,0)),'KG1-1'!$AD$7:$IM$7,'KG1-2'!$AD$7:$IM$7,'KG1-3'!$AD$7:$IM$7,'KG1-4'!$AD$7:$IM$7,'KG1-5'!$AD$7:$IM$7,'KG1-6'!$AD$7:$IM$7,'KG1-7'!$AD$7:$IM$7),"✓",'KG1-1'!$AD$5:$IM$5,"&lt;="&amp;A113),""))</f>
        <v/>
      </c>
      <c r="F113" s="6" t="n"/>
      <c r="G113" s="108" t="n"/>
      <c r="H113" s="88">
        <f>IF(E113="","",INDEX(LevelLabels,MATCH(E113,LevelValues,1)))</f>
        <v/>
      </c>
      <c r="I113" s="40">
        <f>IF(OR(B113="",A113=""),"",B113&amp;"|"&amp;A113)</f>
        <v/>
      </c>
      <c r="J113" s="40">
        <f>IF(AND(B113&lt;&gt;"",B113=Prof_ID),COUNTIF($B$6:B113,Prof_ID),"")</f>
        <v/>
      </c>
    </row>
    <row r="114">
      <c r="A114" s="5" t="n"/>
      <c r="B114" s="6" t="n"/>
      <c r="C114" s="103">
        <f>IF(B114="","",IFERROR(INDEX(Stu_Name,MATCH(B114,Stu_ID,0)),"رقم غير موجود"))</f>
        <v/>
      </c>
      <c r="D114" s="88">
        <f>IF(B114="","",IFERROR(INDEX(Stu_Class,MATCH(B114,Stu_ID,0)),""))</f>
        <v/>
      </c>
      <c r="E114" s="88">
        <f>IF(OR(B114="",A114=""),"",IFERROR(COUNTIFS(INDEX(CHOOSE(INDEX(Stu_C,MATCH(B114,Stu_ID,0)),'KG1-1'!$AD$9:$IM$38,'KG1-2'!$AD$9:$IM$38,'KG1-3'!$AD$9:$IM$38,'KG1-4'!$AD$9:$IM$38,'KG1-5'!$AD$9:$IM$38,'KG1-6'!$AD$9:$IM$38,'KG1-7'!$AD$9:$IM$38),INDEX(Stu_I,MATCH(B114,Stu_ID,0)),0),"غياب بدون عذر",CHOOSE(INDEX(Stu_C,MATCH(B114,Stu_ID,0)),'KG1-1'!$AD$7:$IM$7,'KG1-2'!$AD$7:$IM$7,'KG1-3'!$AD$7:$IM$7,'KG1-4'!$AD$7:$IM$7,'KG1-5'!$AD$7:$IM$7,'KG1-6'!$AD$7:$IM$7,'KG1-7'!$AD$7:$IM$7),"✓",'KG1-1'!$AD$5:$IM$5,"&lt;="&amp;A114),""))</f>
        <v/>
      </c>
      <c r="F114" s="6" t="n"/>
      <c r="G114" s="108" t="n"/>
      <c r="H114" s="88">
        <f>IF(E114="","",INDEX(LevelLabels,MATCH(E114,LevelValues,1)))</f>
        <v/>
      </c>
      <c r="I114" s="40">
        <f>IF(OR(B114="",A114=""),"",B114&amp;"|"&amp;A114)</f>
        <v/>
      </c>
      <c r="J114" s="40">
        <f>IF(AND(B114&lt;&gt;"",B114=Prof_ID),COUNTIF($B$6:B114,Prof_ID),"")</f>
        <v/>
      </c>
    </row>
    <row r="115">
      <c r="A115" s="5" t="n"/>
      <c r="B115" s="6" t="n"/>
      <c r="C115" s="103">
        <f>IF(B115="","",IFERROR(INDEX(Stu_Name,MATCH(B115,Stu_ID,0)),"رقم غير موجود"))</f>
        <v/>
      </c>
      <c r="D115" s="88">
        <f>IF(B115="","",IFERROR(INDEX(Stu_Class,MATCH(B115,Stu_ID,0)),""))</f>
        <v/>
      </c>
      <c r="E115" s="88">
        <f>IF(OR(B115="",A115=""),"",IFERROR(COUNTIFS(INDEX(CHOOSE(INDEX(Stu_C,MATCH(B115,Stu_ID,0)),'KG1-1'!$AD$9:$IM$38,'KG1-2'!$AD$9:$IM$38,'KG1-3'!$AD$9:$IM$38,'KG1-4'!$AD$9:$IM$38,'KG1-5'!$AD$9:$IM$38,'KG1-6'!$AD$9:$IM$38,'KG1-7'!$AD$9:$IM$38),INDEX(Stu_I,MATCH(B115,Stu_ID,0)),0),"غياب بدون عذر",CHOOSE(INDEX(Stu_C,MATCH(B115,Stu_ID,0)),'KG1-1'!$AD$7:$IM$7,'KG1-2'!$AD$7:$IM$7,'KG1-3'!$AD$7:$IM$7,'KG1-4'!$AD$7:$IM$7,'KG1-5'!$AD$7:$IM$7,'KG1-6'!$AD$7:$IM$7,'KG1-7'!$AD$7:$IM$7),"✓",'KG1-1'!$AD$5:$IM$5,"&lt;="&amp;A115),""))</f>
        <v/>
      </c>
      <c r="F115" s="6" t="n"/>
      <c r="G115" s="108" t="n"/>
      <c r="H115" s="88">
        <f>IF(E115="","",INDEX(LevelLabels,MATCH(E115,LevelValues,1)))</f>
        <v/>
      </c>
      <c r="I115" s="40">
        <f>IF(OR(B115="",A115=""),"",B115&amp;"|"&amp;A115)</f>
        <v/>
      </c>
      <c r="J115" s="40">
        <f>IF(AND(B115&lt;&gt;"",B115=Prof_ID),COUNTIF($B$6:B115,Prof_ID),"")</f>
        <v/>
      </c>
    </row>
    <row r="116">
      <c r="A116" s="5" t="n"/>
      <c r="B116" s="6" t="n"/>
      <c r="C116" s="103">
        <f>IF(B116="","",IFERROR(INDEX(Stu_Name,MATCH(B116,Stu_ID,0)),"رقم غير موجود"))</f>
        <v/>
      </c>
      <c r="D116" s="88">
        <f>IF(B116="","",IFERROR(INDEX(Stu_Class,MATCH(B116,Stu_ID,0)),""))</f>
        <v/>
      </c>
      <c r="E116" s="88">
        <f>IF(OR(B116="",A116=""),"",IFERROR(COUNTIFS(INDEX(CHOOSE(INDEX(Stu_C,MATCH(B116,Stu_ID,0)),'KG1-1'!$AD$9:$IM$38,'KG1-2'!$AD$9:$IM$38,'KG1-3'!$AD$9:$IM$38,'KG1-4'!$AD$9:$IM$38,'KG1-5'!$AD$9:$IM$38,'KG1-6'!$AD$9:$IM$38,'KG1-7'!$AD$9:$IM$38),INDEX(Stu_I,MATCH(B116,Stu_ID,0)),0),"غياب بدون عذر",CHOOSE(INDEX(Stu_C,MATCH(B116,Stu_ID,0)),'KG1-1'!$AD$7:$IM$7,'KG1-2'!$AD$7:$IM$7,'KG1-3'!$AD$7:$IM$7,'KG1-4'!$AD$7:$IM$7,'KG1-5'!$AD$7:$IM$7,'KG1-6'!$AD$7:$IM$7,'KG1-7'!$AD$7:$IM$7),"✓",'KG1-1'!$AD$5:$IM$5,"&lt;="&amp;A116),""))</f>
        <v/>
      </c>
      <c r="F116" s="6" t="n"/>
      <c r="G116" s="108" t="n"/>
      <c r="H116" s="88">
        <f>IF(E116="","",INDEX(LevelLabels,MATCH(E116,LevelValues,1)))</f>
        <v/>
      </c>
      <c r="I116" s="40">
        <f>IF(OR(B116="",A116=""),"",B116&amp;"|"&amp;A116)</f>
        <v/>
      </c>
      <c r="J116" s="40">
        <f>IF(AND(B116&lt;&gt;"",B116=Prof_ID),COUNTIF($B$6:B116,Prof_ID),"")</f>
        <v/>
      </c>
    </row>
    <row r="117">
      <c r="A117" s="5" t="n"/>
      <c r="B117" s="6" t="n"/>
      <c r="C117" s="103">
        <f>IF(B117="","",IFERROR(INDEX(Stu_Name,MATCH(B117,Stu_ID,0)),"رقم غير موجود"))</f>
        <v/>
      </c>
      <c r="D117" s="88">
        <f>IF(B117="","",IFERROR(INDEX(Stu_Class,MATCH(B117,Stu_ID,0)),""))</f>
        <v/>
      </c>
      <c r="E117" s="88">
        <f>IF(OR(B117="",A117=""),"",IFERROR(COUNTIFS(INDEX(CHOOSE(INDEX(Stu_C,MATCH(B117,Stu_ID,0)),'KG1-1'!$AD$9:$IM$38,'KG1-2'!$AD$9:$IM$38,'KG1-3'!$AD$9:$IM$38,'KG1-4'!$AD$9:$IM$38,'KG1-5'!$AD$9:$IM$38,'KG1-6'!$AD$9:$IM$38,'KG1-7'!$AD$9:$IM$38),INDEX(Stu_I,MATCH(B117,Stu_ID,0)),0),"غياب بدون عذر",CHOOSE(INDEX(Stu_C,MATCH(B117,Stu_ID,0)),'KG1-1'!$AD$7:$IM$7,'KG1-2'!$AD$7:$IM$7,'KG1-3'!$AD$7:$IM$7,'KG1-4'!$AD$7:$IM$7,'KG1-5'!$AD$7:$IM$7,'KG1-6'!$AD$7:$IM$7,'KG1-7'!$AD$7:$IM$7),"✓",'KG1-1'!$AD$5:$IM$5,"&lt;="&amp;A117),""))</f>
        <v/>
      </c>
      <c r="F117" s="6" t="n"/>
      <c r="G117" s="108" t="n"/>
      <c r="H117" s="88">
        <f>IF(E117="","",INDEX(LevelLabels,MATCH(E117,LevelValues,1)))</f>
        <v/>
      </c>
      <c r="I117" s="40">
        <f>IF(OR(B117="",A117=""),"",B117&amp;"|"&amp;A117)</f>
        <v/>
      </c>
      <c r="J117" s="40">
        <f>IF(AND(B117&lt;&gt;"",B117=Prof_ID),COUNTIF($B$6:B117,Prof_ID),"")</f>
        <v/>
      </c>
    </row>
    <row r="118">
      <c r="A118" s="5" t="n"/>
      <c r="B118" s="6" t="n"/>
      <c r="C118" s="103">
        <f>IF(B118="","",IFERROR(INDEX(Stu_Name,MATCH(B118,Stu_ID,0)),"رقم غير موجود"))</f>
        <v/>
      </c>
      <c r="D118" s="88">
        <f>IF(B118="","",IFERROR(INDEX(Stu_Class,MATCH(B118,Stu_ID,0)),""))</f>
        <v/>
      </c>
      <c r="E118" s="88">
        <f>IF(OR(B118="",A118=""),"",IFERROR(COUNTIFS(INDEX(CHOOSE(INDEX(Stu_C,MATCH(B118,Stu_ID,0)),'KG1-1'!$AD$9:$IM$38,'KG1-2'!$AD$9:$IM$38,'KG1-3'!$AD$9:$IM$38,'KG1-4'!$AD$9:$IM$38,'KG1-5'!$AD$9:$IM$38,'KG1-6'!$AD$9:$IM$38,'KG1-7'!$AD$9:$IM$38),INDEX(Stu_I,MATCH(B118,Stu_ID,0)),0),"غياب بدون عذر",CHOOSE(INDEX(Stu_C,MATCH(B118,Stu_ID,0)),'KG1-1'!$AD$7:$IM$7,'KG1-2'!$AD$7:$IM$7,'KG1-3'!$AD$7:$IM$7,'KG1-4'!$AD$7:$IM$7,'KG1-5'!$AD$7:$IM$7,'KG1-6'!$AD$7:$IM$7,'KG1-7'!$AD$7:$IM$7),"✓",'KG1-1'!$AD$5:$IM$5,"&lt;="&amp;A118),""))</f>
        <v/>
      </c>
      <c r="F118" s="6" t="n"/>
      <c r="G118" s="108" t="n"/>
      <c r="H118" s="88">
        <f>IF(E118="","",INDEX(LevelLabels,MATCH(E118,LevelValues,1)))</f>
        <v/>
      </c>
      <c r="I118" s="40">
        <f>IF(OR(B118="",A118=""),"",B118&amp;"|"&amp;A118)</f>
        <v/>
      </c>
      <c r="J118" s="40">
        <f>IF(AND(B118&lt;&gt;"",B118=Prof_ID),COUNTIF($B$6:B118,Prof_ID),"")</f>
        <v/>
      </c>
    </row>
    <row r="119">
      <c r="A119" s="5" t="n"/>
      <c r="B119" s="6" t="n"/>
      <c r="C119" s="103">
        <f>IF(B119="","",IFERROR(INDEX(Stu_Name,MATCH(B119,Stu_ID,0)),"رقم غير موجود"))</f>
        <v/>
      </c>
      <c r="D119" s="88">
        <f>IF(B119="","",IFERROR(INDEX(Stu_Class,MATCH(B119,Stu_ID,0)),""))</f>
        <v/>
      </c>
      <c r="E119" s="88">
        <f>IF(OR(B119="",A119=""),"",IFERROR(COUNTIFS(INDEX(CHOOSE(INDEX(Stu_C,MATCH(B119,Stu_ID,0)),'KG1-1'!$AD$9:$IM$38,'KG1-2'!$AD$9:$IM$38,'KG1-3'!$AD$9:$IM$38,'KG1-4'!$AD$9:$IM$38,'KG1-5'!$AD$9:$IM$38,'KG1-6'!$AD$9:$IM$38,'KG1-7'!$AD$9:$IM$38),INDEX(Stu_I,MATCH(B119,Stu_ID,0)),0),"غياب بدون عذر",CHOOSE(INDEX(Stu_C,MATCH(B119,Stu_ID,0)),'KG1-1'!$AD$7:$IM$7,'KG1-2'!$AD$7:$IM$7,'KG1-3'!$AD$7:$IM$7,'KG1-4'!$AD$7:$IM$7,'KG1-5'!$AD$7:$IM$7,'KG1-6'!$AD$7:$IM$7,'KG1-7'!$AD$7:$IM$7),"✓",'KG1-1'!$AD$5:$IM$5,"&lt;="&amp;A119),""))</f>
        <v/>
      </c>
      <c r="F119" s="6" t="n"/>
      <c r="G119" s="108" t="n"/>
      <c r="H119" s="88">
        <f>IF(E119="","",INDEX(LevelLabels,MATCH(E119,LevelValues,1)))</f>
        <v/>
      </c>
      <c r="I119" s="40">
        <f>IF(OR(B119="",A119=""),"",B119&amp;"|"&amp;A119)</f>
        <v/>
      </c>
      <c r="J119" s="40">
        <f>IF(AND(B119&lt;&gt;"",B119=Prof_ID),COUNTIF($B$6:B119,Prof_ID),"")</f>
        <v/>
      </c>
    </row>
    <row r="120">
      <c r="A120" s="5" t="n"/>
      <c r="B120" s="6" t="n"/>
      <c r="C120" s="103">
        <f>IF(B120="","",IFERROR(INDEX(Stu_Name,MATCH(B120,Stu_ID,0)),"رقم غير موجود"))</f>
        <v/>
      </c>
      <c r="D120" s="88">
        <f>IF(B120="","",IFERROR(INDEX(Stu_Class,MATCH(B120,Stu_ID,0)),""))</f>
        <v/>
      </c>
      <c r="E120" s="88">
        <f>IF(OR(B120="",A120=""),"",IFERROR(COUNTIFS(INDEX(CHOOSE(INDEX(Stu_C,MATCH(B120,Stu_ID,0)),'KG1-1'!$AD$9:$IM$38,'KG1-2'!$AD$9:$IM$38,'KG1-3'!$AD$9:$IM$38,'KG1-4'!$AD$9:$IM$38,'KG1-5'!$AD$9:$IM$38,'KG1-6'!$AD$9:$IM$38,'KG1-7'!$AD$9:$IM$38),INDEX(Stu_I,MATCH(B120,Stu_ID,0)),0),"غياب بدون عذر",CHOOSE(INDEX(Stu_C,MATCH(B120,Stu_ID,0)),'KG1-1'!$AD$7:$IM$7,'KG1-2'!$AD$7:$IM$7,'KG1-3'!$AD$7:$IM$7,'KG1-4'!$AD$7:$IM$7,'KG1-5'!$AD$7:$IM$7,'KG1-6'!$AD$7:$IM$7,'KG1-7'!$AD$7:$IM$7),"✓",'KG1-1'!$AD$5:$IM$5,"&lt;="&amp;A120),""))</f>
        <v/>
      </c>
      <c r="F120" s="6" t="n"/>
      <c r="G120" s="108" t="n"/>
      <c r="H120" s="88">
        <f>IF(E120="","",INDEX(LevelLabels,MATCH(E120,LevelValues,1)))</f>
        <v/>
      </c>
      <c r="I120" s="40">
        <f>IF(OR(B120="",A120=""),"",B120&amp;"|"&amp;A120)</f>
        <v/>
      </c>
      <c r="J120" s="40">
        <f>IF(AND(B120&lt;&gt;"",B120=Prof_ID),COUNTIF($B$6:B120,Prof_ID),"")</f>
        <v/>
      </c>
    </row>
    <row r="121">
      <c r="A121" s="5" t="n"/>
      <c r="B121" s="6" t="n"/>
      <c r="C121" s="103">
        <f>IF(B121="","",IFERROR(INDEX(Stu_Name,MATCH(B121,Stu_ID,0)),"رقم غير موجود"))</f>
        <v/>
      </c>
      <c r="D121" s="88">
        <f>IF(B121="","",IFERROR(INDEX(Stu_Class,MATCH(B121,Stu_ID,0)),""))</f>
        <v/>
      </c>
      <c r="E121" s="88">
        <f>IF(OR(B121="",A121=""),"",IFERROR(COUNTIFS(INDEX(CHOOSE(INDEX(Stu_C,MATCH(B121,Stu_ID,0)),'KG1-1'!$AD$9:$IM$38,'KG1-2'!$AD$9:$IM$38,'KG1-3'!$AD$9:$IM$38,'KG1-4'!$AD$9:$IM$38,'KG1-5'!$AD$9:$IM$38,'KG1-6'!$AD$9:$IM$38,'KG1-7'!$AD$9:$IM$38),INDEX(Stu_I,MATCH(B121,Stu_ID,0)),0),"غياب بدون عذر",CHOOSE(INDEX(Stu_C,MATCH(B121,Stu_ID,0)),'KG1-1'!$AD$7:$IM$7,'KG1-2'!$AD$7:$IM$7,'KG1-3'!$AD$7:$IM$7,'KG1-4'!$AD$7:$IM$7,'KG1-5'!$AD$7:$IM$7,'KG1-6'!$AD$7:$IM$7,'KG1-7'!$AD$7:$IM$7),"✓",'KG1-1'!$AD$5:$IM$5,"&lt;="&amp;A121),""))</f>
        <v/>
      </c>
      <c r="F121" s="6" t="n"/>
      <c r="G121" s="108" t="n"/>
      <c r="H121" s="88">
        <f>IF(E121="","",INDEX(LevelLabels,MATCH(E121,LevelValues,1)))</f>
        <v/>
      </c>
      <c r="I121" s="40">
        <f>IF(OR(B121="",A121=""),"",B121&amp;"|"&amp;A121)</f>
        <v/>
      </c>
      <c r="J121" s="40">
        <f>IF(AND(B121&lt;&gt;"",B121=Prof_ID),COUNTIF($B$6:B121,Prof_ID),"")</f>
        <v/>
      </c>
    </row>
    <row r="122">
      <c r="A122" s="5" t="n"/>
      <c r="B122" s="6" t="n"/>
      <c r="C122" s="103">
        <f>IF(B122="","",IFERROR(INDEX(Stu_Name,MATCH(B122,Stu_ID,0)),"رقم غير موجود"))</f>
        <v/>
      </c>
      <c r="D122" s="88">
        <f>IF(B122="","",IFERROR(INDEX(Stu_Class,MATCH(B122,Stu_ID,0)),""))</f>
        <v/>
      </c>
      <c r="E122" s="88">
        <f>IF(OR(B122="",A122=""),"",IFERROR(COUNTIFS(INDEX(CHOOSE(INDEX(Stu_C,MATCH(B122,Stu_ID,0)),'KG1-1'!$AD$9:$IM$38,'KG1-2'!$AD$9:$IM$38,'KG1-3'!$AD$9:$IM$38,'KG1-4'!$AD$9:$IM$38,'KG1-5'!$AD$9:$IM$38,'KG1-6'!$AD$9:$IM$38,'KG1-7'!$AD$9:$IM$38),INDEX(Stu_I,MATCH(B122,Stu_ID,0)),0),"غياب بدون عذر",CHOOSE(INDEX(Stu_C,MATCH(B122,Stu_ID,0)),'KG1-1'!$AD$7:$IM$7,'KG1-2'!$AD$7:$IM$7,'KG1-3'!$AD$7:$IM$7,'KG1-4'!$AD$7:$IM$7,'KG1-5'!$AD$7:$IM$7,'KG1-6'!$AD$7:$IM$7,'KG1-7'!$AD$7:$IM$7),"✓",'KG1-1'!$AD$5:$IM$5,"&lt;="&amp;A122),""))</f>
        <v/>
      </c>
      <c r="F122" s="6" t="n"/>
      <c r="G122" s="108" t="n"/>
      <c r="H122" s="88">
        <f>IF(E122="","",INDEX(LevelLabels,MATCH(E122,LevelValues,1)))</f>
        <v/>
      </c>
      <c r="I122" s="40">
        <f>IF(OR(B122="",A122=""),"",B122&amp;"|"&amp;A122)</f>
        <v/>
      </c>
      <c r="J122" s="40">
        <f>IF(AND(B122&lt;&gt;"",B122=Prof_ID),COUNTIF($B$6:B122,Prof_ID),"")</f>
        <v/>
      </c>
    </row>
    <row r="123">
      <c r="A123" s="5" t="n"/>
      <c r="B123" s="6" t="n"/>
      <c r="C123" s="103">
        <f>IF(B123="","",IFERROR(INDEX(Stu_Name,MATCH(B123,Stu_ID,0)),"رقم غير موجود"))</f>
        <v/>
      </c>
      <c r="D123" s="88">
        <f>IF(B123="","",IFERROR(INDEX(Stu_Class,MATCH(B123,Stu_ID,0)),""))</f>
        <v/>
      </c>
      <c r="E123" s="88">
        <f>IF(OR(B123="",A123=""),"",IFERROR(COUNTIFS(INDEX(CHOOSE(INDEX(Stu_C,MATCH(B123,Stu_ID,0)),'KG1-1'!$AD$9:$IM$38,'KG1-2'!$AD$9:$IM$38,'KG1-3'!$AD$9:$IM$38,'KG1-4'!$AD$9:$IM$38,'KG1-5'!$AD$9:$IM$38,'KG1-6'!$AD$9:$IM$38,'KG1-7'!$AD$9:$IM$38),INDEX(Stu_I,MATCH(B123,Stu_ID,0)),0),"غياب بدون عذر",CHOOSE(INDEX(Stu_C,MATCH(B123,Stu_ID,0)),'KG1-1'!$AD$7:$IM$7,'KG1-2'!$AD$7:$IM$7,'KG1-3'!$AD$7:$IM$7,'KG1-4'!$AD$7:$IM$7,'KG1-5'!$AD$7:$IM$7,'KG1-6'!$AD$7:$IM$7,'KG1-7'!$AD$7:$IM$7),"✓",'KG1-1'!$AD$5:$IM$5,"&lt;="&amp;A123),""))</f>
        <v/>
      </c>
      <c r="F123" s="6" t="n"/>
      <c r="G123" s="108" t="n"/>
      <c r="H123" s="88">
        <f>IF(E123="","",INDEX(LevelLabels,MATCH(E123,LevelValues,1)))</f>
        <v/>
      </c>
      <c r="I123" s="40">
        <f>IF(OR(B123="",A123=""),"",B123&amp;"|"&amp;A123)</f>
        <v/>
      </c>
      <c r="J123" s="40">
        <f>IF(AND(B123&lt;&gt;"",B123=Prof_ID),COUNTIF($B$6:B123,Prof_ID),"")</f>
        <v/>
      </c>
    </row>
    <row r="124">
      <c r="A124" s="5" t="n"/>
      <c r="B124" s="6" t="n"/>
      <c r="C124" s="103">
        <f>IF(B124="","",IFERROR(INDEX(Stu_Name,MATCH(B124,Stu_ID,0)),"رقم غير موجود"))</f>
        <v/>
      </c>
      <c r="D124" s="88">
        <f>IF(B124="","",IFERROR(INDEX(Stu_Class,MATCH(B124,Stu_ID,0)),""))</f>
        <v/>
      </c>
      <c r="E124" s="88">
        <f>IF(OR(B124="",A124=""),"",IFERROR(COUNTIFS(INDEX(CHOOSE(INDEX(Stu_C,MATCH(B124,Stu_ID,0)),'KG1-1'!$AD$9:$IM$38,'KG1-2'!$AD$9:$IM$38,'KG1-3'!$AD$9:$IM$38,'KG1-4'!$AD$9:$IM$38,'KG1-5'!$AD$9:$IM$38,'KG1-6'!$AD$9:$IM$38,'KG1-7'!$AD$9:$IM$38),INDEX(Stu_I,MATCH(B124,Stu_ID,0)),0),"غياب بدون عذر",CHOOSE(INDEX(Stu_C,MATCH(B124,Stu_ID,0)),'KG1-1'!$AD$7:$IM$7,'KG1-2'!$AD$7:$IM$7,'KG1-3'!$AD$7:$IM$7,'KG1-4'!$AD$7:$IM$7,'KG1-5'!$AD$7:$IM$7,'KG1-6'!$AD$7:$IM$7,'KG1-7'!$AD$7:$IM$7),"✓",'KG1-1'!$AD$5:$IM$5,"&lt;="&amp;A124),""))</f>
        <v/>
      </c>
      <c r="F124" s="6" t="n"/>
      <c r="G124" s="108" t="n"/>
      <c r="H124" s="88">
        <f>IF(E124="","",INDEX(LevelLabels,MATCH(E124,LevelValues,1)))</f>
        <v/>
      </c>
      <c r="I124" s="40">
        <f>IF(OR(B124="",A124=""),"",B124&amp;"|"&amp;A124)</f>
        <v/>
      </c>
      <c r="J124" s="40">
        <f>IF(AND(B124&lt;&gt;"",B124=Prof_ID),COUNTIF($B$6:B124,Prof_ID),"")</f>
        <v/>
      </c>
    </row>
    <row r="125">
      <c r="A125" s="5" t="n"/>
      <c r="B125" s="6" t="n"/>
      <c r="C125" s="103">
        <f>IF(B125="","",IFERROR(INDEX(Stu_Name,MATCH(B125,Stu_ID,0)),"رقم غير موجود"))</f>
        <v/>
      </c>
      <c r="D125" s="88">
        <f>IF(B125="","",IFERROR(INDEX(Stu_Class,MATCH(B125,Stu_ID,0)),""))</f>
        <v/>
      </c>
      <c r="E125" s="88">
        <f>IF(OR(B125="",A125=""),"",IFERROR(COUNTIFS(INDEX(CHOOSE(INDEX(Stu_C,MATCH(B125,Stu_ID,0)),'KG1-1'!$AD$9:$IM$38,'KG1-2'!$AD$9:$IM$38,'KG1-3'!$AD$9:$IM$38,'KG1-4'!$AD$9:$IM$38,'KG1-5'!$AD$9:$IM$38,'KG1-6'!$AD$9:$IM$38,'KG1-7'!$AD$9:$IM$38),INDEX(Stu_I,MATCH(B125,Stu_ID,0)),0),"غياب بدون عذر",CHOOSE(INDEX(Stu_C,MATCH(B125,Stu_ID,0)),'KG1-1'!$AD$7:$IM$7,'KG1-2'!$AD$7:$IM$7,'KG1-3'!$AD$7:$IM$7,'KG1-4'!$AD$7:$IM$7,'KG1-5'!$AD$7:$IM$7,'KG1-6'!$AD$7:$IM$7,'KG1-7'!$AD$7:$IM$7),"✓",'KG1-1'!$AD$5:$IM$5,"&lt;="&amp;A125),""))</f>
        <v/>
      </c>
      <c r="F125" s="6" t="n"/>
      <c r="G125" s="108" t="n"/>
      <c r="H125" s="88">
        <f>IF(E125="","",INDEX(LevelLabels,MATCH(E125,LevelValues,1)))</f>
        <v/>
      </c>
      <c r="I125" s="40">
        <f>IF(OR(B125="",A125=""),"",B125&amp;"|"&amp;A125)</f>
        <v/>
      </c>
      <c r="J125" s="40">
        <f>IF(AND(B125&lt;&gt;"",B125=Prof_ID),COUNTIF($B$6:B125,Prof_ID),"")</f>
        <v/>
      </c>
    </row>
    <row r="126">
      <c r="A126" s="5" t="n"/>
      <c r="B126" s="6" t="n"/>
      <c r="C126" s="103">
        <f>IF(B126="","",IFERROR(INDEX(Stu_Name,MATCH(B126,Stu_ID,0)),"رقم غير موجود"))</f>
        <v/>
      </c>
      <c r="D126" s="88">
        <f>IF(B126="","",IFERROR(INDEX(Stu_Class,MATCH(B126,Stu_ID,0)),""))</f>
        <v/>
      </c>
      <c r="E126" s="88">
        <f>IF(OR(B126="",A126=""),"",IFERROR(COUNTIFS(INDEX(CHOOSE(INDEX(Stu_C,MATCH(B126,Stu_ID,0)),'KG1-1'!$AD$9:$IM$38,'KG1-2'!$AD$9:$IM$38,'KG1-3'!$AD$9:$IM$38,'KG1-4'!$AD$9:$IM$38,'KG1-5'!$AD$9:$IM$38,'KG1-6'!$AD$9:$IM$38,'KG1-7'!$AD$9:$IM$38),INDEX(Stu_I,MATCH(B126,Stu_ID,0)),0),"غياب بدون عذر",CHOOSE(INDEX(Stu_C,MATCH(B126,Stu_ID,0)),'KG1-1'!$AD$7:$IM$7,'KG1-2'!$AD$7:$IM$7,'KG1-3'!$AD$7:$IM$7,'KG1-4'!$AD$7:$IM$7,'KG1-5'!$AD$7:$IM$7,'KG1-6'!$AD$7:$IM$7,'KG1-7'!$AD$7:$IM$7),"✓",'KG1-1'!$AD$5:$IM$5,"&lt;="&amp;A126),""))</f>
        <v/>
      </c>
      <c r="F126" s="6" t="n"/>
      <c r="G126" s="108" t="n"/>
      <c r="H126" s="88">
        <f>IF(E126="","",INDEX(LevelLabels,MATCH(E126,LevelValues,1)))</f>
        <v/>
      </c>
      <c r="I126" s="40">
        <f>IF(OR(B126="",A126=""),"",B126&amp;"|"&amp;A126)</f>
        <v/>
      </c>
      <c r="J126" s="40">
        <f>IF(AND(B126&lt;&gt;"",B126=Prof_ID),COUNTIF($B$6:B126,Prof_ID),"")</f>
        <v/>
      </c>
    </row>
    <row r="127">
      <c r="A127" s="5" t="n"/>
      <c r="B127" s="6" t="n"/>
      <c r="C127" s="103">
        <f>IF(B127="","",IFERROR(INDEX(Stu_Name,MATCH(B127,Stu_ID,0)),"رقم غير موجود"))</f>
        <v/>
      </c>
      <c r="D127" s="88">
        <f>IF(B127="","",IFERROR(INDEX(Stu_Class,MATCH(B127,Stu_ID,0)),""))</f>
        <v/>
      </c>
      <c r="E127" s="88">
        <f>IF(OR(B127="",A127=""),"",IFERROR(COUNTIFS(INDEX(CHOOSE(INDEX(Stu_C,MATCH(B127,Stu_ID,0)),'KG1-1'!$AD$9:$IM$38,'KG1-2'!$AD$9:$IM$38,'KG1-3'!$AD$9:$IM$38,'KG1-4'!$AD$9:$IM$38,'KG1-5'!$AD$9:$IM$38,'KG1-6'!$AD$9:$IM$38,'KG1-7'!$AD$9:$IM$38),INDEX(Stu_I,MATCH(B127,Stu_ID,0)),0),"غياب بدون عذر",CHOOSE(INDEX(Stu_C,MATCH(B127,Stu_ID,0)),'KG1-1'!$AD$7:$IM$7,'KG1-2'!$AD$7:$IM$7,'KG1-3'!$AD$7:$IM$7,'KG1-4'!$AD$7:$IM$7,'KG1-5'!$AD$7:$IM$7,'KG1-6'!$AD$7:$IM$7,'KG1-7'!$AD$7:$IM$7),"✓",'KG1-1'!$AD$5:$IM$5,"&lt;="&amp;A127),""))</f>
        <v/>
      </c>
      <c r="F127" s="6" t="n"/>
      <c r="G127" s="108" t="n"/>
      <c r="H127" s="88">
        <f>IF(E127="","",INDEX(LevelLabels,MATCH(E127,LevelValues,1)))</f>
        <v/>
      </c>
      <c r="I127" s="40">
        <f>IF(OR(B127="",A127=""),"",B127&amp;"|"&amp;A127)</f>
        <v/>
      </c>
      <c r="J127" s="40">
        <f>IF(AND(B127&lt;&gt;"",B127=Prof_ID),COUNTIF($B$6:B127,Prof_ID),"")</f>
        <v/>
      </c>
    </row>
    <row r="128">
      <c r="A128" s="5" t="n"/>
      <c r="B128" s="6" t="n"/>
      <c r="C128" s="103">
        <f>IF(B128="","",IFERROR(INDEX(Stu_Name,MATCH(B128,Stu_ID,0)),"رقم غير موجود"))</f>
        <v/>
      </c>
      <c r="D128" s="88">
        <f>IF(B128="","",IFERROR(INDEX(Stu_Class,MATCH(B128,Stu_ID,0)),""))</f>
        <v/>
      </c>
      <c r="E128" s="88">
        <f>IF(OR(B128="",A128=""),"",IFERROR(COUNTIFS(INDEX(CHOOSE(INDEX(Stu_C,MATCH(B128,Stu_ID,0)),'KG1-1'!$AD$9:$IM$38,'KG1-2'!$AD$9:$IM$38,'KG1-3'!$AD$9:$IM$38,'KG1-4'!$AD$9:$IM$38,'KG1-5'!$AD$9:$IM$38,'KG1-6'!$AD$9:$IM$38,'KG1-7'!$AD$9:$IM$38),INDEX(Stu_I,MATCH(B128,Stu_ID,0)),0),"غياب بدون عذر",CHOOSE(INDEX(Stu_C,MATCH(B128,Stu_ID,0)),'KG1-1'!$AD$7:$IM$7,'KG1-2'!$AD$7:$IM$7,'KG1-3'!$AD$7:$IM$7,'KG1-4'!$AD$7:$IM$7,'KG1-5'!$AD$7:$IM$7,'KG1-6'!$AD$7:$IM$7,'KG1-7'!$AD$7:$IM$7),"✓",'KG1-1'!$AD$5:$IM$5,"&lt;="&amp;A128),""))</f>
        <v/>
      </c>
      <c r="F128" s="6" t="n"/>
      <c r="G128" s="108" t="n"/>
      <c r="H128" s="88">
        <f>IF(E128="","",INDEX(LevelLabels,MATCH(E128,LevelValues,1)))</f>
        <v/>
      </c>
      <c r="I128" s="40">
        <f>IF(OR(B128="",A128=""),"",B128&amp;"|"&amp;A128)</f>
        <v/>
      </c>
      <c r="J128" s="40">
        <f>IF(AND(B128&lt;&gt;"",B128=Prof_ID),COUNTIF($B$6:B128,Prof_ID),"")</f>
        <v/>
      </c>
    </row>
    <row r="129">
      <c r="A129" s="5" t="n"/>
      <c r="B129" s="6" t="n"/>
      <c r="C129" s="103">
        <f>IF(B129="","",IFERROR(INDEX(Stu_Name,MATCH(B129,Stu_ID,0)),"رقم غير موجود"))</f>
        <v/>
      </c>
      <c r="D129" s="88">
        <f>IF(B129="","",IFERROR(INDEX(Stu_Class,MATCH(B129,Stu_ID,0)),""))</f>
        <v/>
      </c>
      <c r="E129" s="88">
        <f>IF(OR(B129="",A129=""),"",IFERROR(COUNTIFS(INDEX(CHOOSE(INDEX(Stu_C,MATCH(B129,Stu_ID,0)),'KG1-1'!$AD$9:$IM$38,'KG1-2'!$AD$9:$IM$38,'KG1-3'!$AD$9:$IM$38,'KG1-4'!$AD$9:$IM$38,'KG1-5'!$AD$9:$IM$38,'KG1-6'!$AD$9:$IM$38,'KG1-7'!$AD$9:$IM$38),INDEX(Stu_I,MATCH(B129,Stu_ID,0)),0),"غياب بدون عذر",CHOOSE(INDEX(Stu_C,MATCH(B129,Stu_ID,0)),'KG1-1'!$AD$7:$IM$7,'KG1-2'!$AD$7:$IM$7,'KG1-3'!$AD$7:$IM$7,'KG1-4'!$AD$7:$IM$7,'KG1-5'!$AD$7:$IM$7,'KG1-6'!$AD$7:$IM$7,'KG1-7'!$AD$7:$IM$7),"✓",'KG1-1'!$AD$5:$IM$5,"&lt;="&amp;A129),""))</f>
        <v/>
      </c>
      <c r="F129" s="6" t="n"/>
      <c r="G129" s="108" t="n"/>
      <c r="H129" s="88">
        <f>IF(E129="","",INDEX(LevelLabels,MATCH(E129,LevelValues,1)))</f>
        <v/>
      </c>
      <c r="I129" s="40">
        <f>IF(OR(B129="",A129=""),"",B129&amp;"|"&amp;A129)</f>
        <v/>
      </c>
      <c r="J129" s="40">
        <f>IF(AND(B129&lt;&gt;"",B129=Prof_ID),COUNTIF($B$6:B129,Prof_ID),"")</f>
        <v/>
      </c>
    </row>
    <row r="130">
      <c r="A130" s="5" t="n"/>
      <c r="B130" s="6" t="n"/>
      <c r="C130" s="103">
        <f>IF(B130="","",IFERROR(INDEX(Stu_Name,MATCH(B130,Stu_ID,0)),"رقم غير موجود"))</f>
        <v/>
      </c>
      <c r="D130" s="88">
        <f>IF(B130="","",IFERROR(INDEX(Stu_Class,MATCH(B130,Stu_ID,0)),""))</f>
        <v/>
      </c>
      <c r="E130" s="88">
        <f>IF(OR(B130="",A130=""),"",IFERROR(COUNTIFS(INDEX(CHOOSE(INDEX(Stu_C,MATCH(B130,Stu_ID,0)),'KG1-1'!$AD$9:$IM$38,'KG1-2'!$AD$9:$IM$38,'KG1-3'!$AD$9:$IM$38,'KG1-4'!$AD$9:$IM$38,'KG1-5'!$AD$9:$IM$38,'KG1-6'!$AD$9:$IM$38,'KG1-7'!$AD$9:$IM$38),INDEX(Stu_I,MATCH(B130,Stu_ID,0)),0),"غياب بدون عذر",CHOOSE(INDEX(Stu_C,MATCH(B130,Stu_ID,0)),'KG1-1'!$AD$7:$IM$7,'KG1-2'!$AD$7:$IM$7,'KG1-3'!$AD$7:$IM$7,'KG1-4'!$AD$7:$IM$7,'KG1-5'!$AD$7:$IM$7,'KG1-6'!$AD$7:$IM$7,'KG1-7'!$AD$7:$IM$7),"✓",'KG1-1'!$AD$5:$IM$5,"&lt;="&amp;A130),""))</f>
        <v/>
      </c>
      <c r="F130" s="6" t="n"/>
      <c r="G130" s="108" t="n"/>
      <c r="H130" s="88">
        <f>IF(E130="","",INDEX(LevelLabels,MATCH(E130,LevelValues,1)))</f>
        <v/>
      </c>
      <c r="I130" s="40">
        <f>IF(OR(B130="",A130=""),"",B130&amp;"|"&amp;A130)</f>
        <v/>
      </c>
      <c r="J130" s="40">
        <f>IF(AND(B130&lt;&gt;"",B130=Prof_ID),COUNTIF($B$6:B130,Prof_ID),"")</f>
        <v/>
      </c>
    </row>
    <row r="131">
      <c r="A131" s="5" t="n"/>
      <c r="B131" s="6" t="n"/>
      <c r="C131" s="103">
        <f>IF(B131="","",IFERROR(INDEX(Stu_Name,MATCH(B131,Stu_ID,0)),"رقم غير موجود"))</f>
        <v/>
      </c>
      <c r="D131" s="88">
        <f>IF(B131="","",IFERROR(INDEX(Stu_Class,MATCH(B131,Stu_ID,0)),""))</f>
        <v/>
      </c>
      <c r="E131" s="88">
        <f>IF(OR(B131="",A131=""),"",IFERROR(COUNTIFS(INDEX(CHOOSE(INDEX(Stu_C,MATCH(B131,Stu_ID,0)),'KG1-1'!$AD$9:$IM$38,'KG1-2'!$AD$9:$IM$38,'KG1-3'!$AD$9:$IM$38,'KG1-4'!$AD$9:$IM$38,'KG1-5'!$AD$9:$IM$38,'KG1-6'!$AD$9:$IM$38,'KG1-7'!$AD$9:$IM$38),INDEX(Stu_I,MATCH(B131,Stu_ID,0)),0),"غياب بدون عذر",CHOOSE(INDEX(Stu_C,MATCH(B131,Stu_ID,0)),'KG1-1'!$AD$7:$IM$7,'KG1-2'!$AD$7:$IM$7,'KG1-3'!$AD$7:$IM$7,'KG1-4'!$AD$7:$IM$7,'KG1-5'!$AD$7:$IM$7,'KG1-6'!$AD$7:$IM$7,'KG1-7'!$AD$7:$IM$7),"✓",'KG1-1'!$AD$5:$IM$5,"&lt;="&amp;A131),""))</f>
        <v/>
      </c>
      <c r="F131" s="6" t="n"/>
      <c r="G131" s="108" t="n"/>
      <c r="H131" s="88">
        <f>IF(E131="","",INDEX(LevelLabels,MATCH(E131,LevelValues,1)))</f>
        <v/>
      </c>
      <c r="I131" s="40">
        <f>IF(OR(B131="",A131=""),"",B131&amp;"|"&amp;A131)</f>
        <v/>
      </c>
      <c r="J131" s="40">
        <f>IF(AND(B131&lt;&gt;"",B131=Prof_ID),COUNTIF($B$6:B131,Prof_ID),"")</f>
        <v/>
      </c>
    </row>
    <row r="132">
      <c r="A132" s="5" t="n"/>
      <c r="B132" s="6" t="n"/>
      <c r="C132" s="103">
        <f>IF(B132="","",IFERROR(INDEX(Stu_Name,MATCH(B132,Stu_ID,0)),"رقم غير موجود"))</f>
        <v/>
      </c>
      <c r="D132" s="88">
        <f>IF(B132="","",IFERROR(INDEX(Stu_Class,MATCH(B132,Stu_ID,0)),""))</f>
        <v/>
      </c>
      <c r="E132" s="88">
        <f>IF(OR(B132="",A132=""),"",IFERROR(COUNTIFS(INDEX(CHOOSE(INDEX(Stu_C,MATCH(B132,Stu_ID,0)),'KG1-1'!$AD$9:$IM$38,'KG1-2'!$AD$9:$IM$38,'KG1-3'!$AD$9:$IM$38,'KG1-4'!$AD$9:$IM$38,'KG1-5'!$AD$9:$IM$38,'KG1-6'!$AD$9:$IM$38,'KG1-7'!$AD$9:$IM$38),INDEX(Stu_I,MATCH(B132,Stu_ID,0)),0),"غياب بدون عذر",CHOOSE(INDEX(Stu_C,MATCH(B132,Stu_ID,0)),'KG1-1'!$AD$7:$IM$7,'KG1-2'!$AD$7:$IM$7,'KG1-3'!$AD$7:$IM$7,'KG1-4'!$AD$7:$IM$7,'KG1-5'!$AD$7:$IM$7,'KG1-6'!$AD$7:$IM$7,'KG1-7'!$AD$7:$IM$7),"✓",'KG1-1'!$AD$5:$IM$5,"&lt;="&amp;A132),""))</f>
        <v/>
      </c>
      <c r="F132" s="6" t="n"/>
      <c r="G132" s="108" t="n"/>
      <c r="H132" s="88">
        <f>IF(E132="","",INDEX(LevelLabels,MATCH(E132,LevelValues,1)))</f>
        <v/>
      </c>
      <c r="I132" s="40">
        <f>IF(OR(B132="",A132=""),"",B132&amp;"|"&amp;A132)</f>
        <v/>
      </c>
      <c r="J132" s="40">
        <f>IF(AND(B132&lt;&gt;"",B132=Prof_ID),COUNTIF($B$6:B132,Prof_ID),"")</f>
        <v/>
      </c>
    </row>
    <row r="133">
      <c r="A133" s="5" t="n"/>
      <c r="B133" s="6" t="n"/>
      <c r="C133" s="103">
        <f>IF(B133="","",IFERROR(INDEX(Stu_Name,MATCH(B133,Stu_ID,0)),"رقم غير موجود"))</f>
        <v/>
      </c>
      <c r="D133" s="88">
        <f>IF(B133="","",IFERROR(INDEX(Stu_Class,MATCH(B133,Stu_ID,0)),""))</f>
        <v/>
      </c>
      <c r="E133" s="88">
        <f>IF(OR(B133="",A133=""),"",IFERROR(COUNTIFS(INDEX(CHOOSE(INDEX(Stu_C,MATCH(B133,Stu_ID,0)),'KG1-1'!$AD$9:$IM$38,'KG1-2'!$AD$9:$IM$38,'KG1-3'!$AD$9:$IM$38,'KG1-4'!$AD$9:$IM$38,'KG1-5'!$AD$9:$IM$38,'KG1-6'!$AD$9:$IM$38,'KG1-7'!$AD$9:$IM$38),INDEX(Stu_I,MATCH(B133,Stu_ID,0)),0),"غياب بدون عذر",CHOOSE(INDEX(Stu_C,MATCH(B133,Stu_ID,0)),'KG1-1'!$AD$7:$IM$7,'KG1-2'!$AD$7:$IM$7,'KG1-3'!$AD$7:$IM$7,'KG1-4'!$AD$7:$IM$7,'KG1-5'!$AD$7:$IM$7,'KG1-6'!$AD$7:$IM$7,'KG1-7'!$AD$7:$IM$7),"✓",'KG1-1'!$AD$5:$IM$5,"&lt;="&amp;A133),""))</f>
        <v/>
      </c>
      <c r="F133" s="6" t="n"/>
      <c r="G133" s="108" t="n"/>
      <c r="H133" s="88">
        <f>IF(E133="","",INDEX(LevelLabels,MATCH(E133,LevelValues,1)))</f>
        <v/>
      </c>
      <c r="I133" s="40">
        <f>IF(OR(B133="",A133=""),"",B133&amp;"|"&amp;A133)</f>
        <v/>
      </c>
      <c r="J133" s="40">
        <f>IF(AND(B133&lt;&gt;"",B133=Prof_ID),COUNTIF($B$6:B133,Prof_ID),"")</f>
        <v/>
      </c>
    </row>
    <row r="134">
      <c r="A134" s="5" t="n"/>
      <c r="B134" s="6" t="n"/>
      <c r="C134" s="103">
        <f>IF(B134="","",IFERROR(INDEX(Stu_Name,MATCH(B134,Stu_ID,0)),"رقم غير موجود"))</f>
        <v/>
      </c>
      <c r="D134" s="88">
        <f>IF(B134="","",IFERROR(INDEX(Stu_Class,MATCH(B134,Stu_ID,0)),""))</f>
        <v/>
      </c>
      <c r="E134" s="88">
        <f>IF(OR(B134="",A134=""),"",IFERROR(COUNTIFS(INDEX(CHOOSE(INDEX(Stu_C,MATCH(B134,Stu_ID,0)),'KG1-1'!$AD$9:$IM$38,'KG1-2'!$AD$9:$IM$38,'KG1-3'!$AD$9:$IM$38,'KG1-4'!$AD$9:$IM$38,'KG1-5'!$AD$9:$IM$38,'KG1-6'!$AD$9:$IM$38,'KG1-7'!$AD$9:$IM$38),INDEX(Stu_I,MATCH(B134,Stu_ID,0)),0),"غياب بدون عذر",CHOOSE(INDEX(Stu_C,MATCH(B134,Stu_ID,0)),'KG1-1'!$AD$7:$IM$7,'KG1-2'!$AD$7:$IM$7,'KG1-3'!$AD$7:$IM$7,'KG1-4'!$AD$7:$IM$7,'KG1-5'!$AD$7:$IM$7,'KG1-6'!$AD$7:$IM$7,'KG1-7'!$AD$7:$IM$7),"✓",'KG1-1'!$AD$5:$IM$5,"&lt;="&amp;A134),""))</f>
        <v/>
      </c>
      <c r="F134" s="6" t="n"/>
      <c r="G134" s="108" t="n"/>
      <c r="H134" s="88">
        <f>IF(E134="","",INDEX(LevelLabels,MATCH(E134,LevelValues,1)))</f>
        <v/>
      </c>
      <c r="I134" s="40">
        <f>IF(OR(B134="",A134=""),"",B134&amp;"|"&amp;A134)</f>
        <v/>
      </c>
      <c r="J134" s="40">
        <f>IF(AND(B134&lt;&gt;"",B134=Prof_ID),COUNTIF($B$6:B134,Prof_ID),"")</f>
        <v/>
      </c>
    </row>
    <row r="135">
      <c r="A135" s="5" t="n"/>
      <c r="B135" s="6" t="n"/>
      <c r="C135" s="103">
        <f>IF(B135="","",IFERROR(INDEX(Stu_Name,MATCH(B135,Stu_ID,0)),"رقم غير موجود"))</f>
        <v/>
      </c>
      <c r="D135" s="88">
        <f>IF(B135="","",IFERROR(INDEX(Stu_Class,MATCH(B135,Stu_ID,0)),""))</f>
        <v/>
      </c>
      <c r="E135" s="88">
        <f>IF(OR(B135="",A135=""),"",IFERROR(COUNTIFS(INDEX(CHOOSE(INDEX(Stu_C,MATCH(B135,Stu_ID,0)),'KG1-1'!$AD$9:$IM$38,'KG1-2'!$AD$9:$IM$38,'KG1-3'!$AD$9:$IM$38,'KG1-4'!$AD$9:$IM$38,'KG1-5'!$AD$9:$IM$38,'KG1-6'!$AD$9:$IM$38,'KG1-7'!$AD$9:$IM$38),INDEX(Stu_I,MATCH(B135,Stu_ID,0)),0),"غياب بدون عذر",CHOOSE(INDEX(Stu_C,MATCH(B135,Stu_ID,0)),'KG1-1'!$AD$7:$IM$7,'KG1-2'!$AD$7:$IM$7,'KG1-3'!$AD$7:$IM$7,'KG1-4'!$AD$7:$IM$7,'KG1-5'!$AD$7:$IM$7,'KG1-6'!$AD$7:$IM$7,'KG1-7'!$AD$7:$IM$7),"✓",'KG1-1'!$AD$5:$IM$5,"&lt;="&amp;A135),""))</f>
        <v/>
      </c>
      <c r="F135" s="6" t="n"/>
      <c r="G135" s="108" t="n"/>
      <c r="H135" s="88">
        <f>IF(E135="","",INDEX(LevelLabels,MATCH(E135,LevelValues,1)))</f>
        <v/>
      </c>
      <c r="I135" s="40">
        <f>IF(OR(B135="",A135=""),"",B135&amp;"|"&amp;A135)</f>
        <v/>
      </c>
      <c r="J135" s="40">
        <f>IF(AND(B135&lt;&gt;"",B135=Prof_ID),COUNTIF($B$6:B135,Prof_ID),"")</f>
        <v/>
      </c>
    </row>
    <row r="136">
      <c r="A136" s="5" t="n"/>
      <c r="B136" s="6" t="n"/>
      <c r="C136" s="103">
        <f>IF(B136="","",IFERROR(INDEX(Stu_Name,MATCH(B136,Stu_ID,0)),"رقم غير موجود"))</f>
        <v/>
      </c>
      <c r="D136" s="88">
        <f>IF(B136="","",IFERROR(INDEX(Stu_Class,MATCH(B136,Stu_ID,0)),""))</f>
        <v/>
      </c>
      <c r="E136" s="88">
        <f>IF(OR(B136="",A136=""),"",IFERROR(COUNTIFS(INDEX(CHOOSE(INDEX(Stu_C,MATCH(B136,Stu_ID,0)),'KG1-1'!$AD$9:$IM$38,'KG1-2'!$AD$9:$IM$38,'KG1-3'!$AD$9:$IM$38,'KG1-4'!$AD$9:$IM$38,'KG1-5'!$AD$9:$IM$38,'KG1-6'!$AD$9:$IM$38,'KG1-7'!$AD$9:$IM$38),INDEX(Stu_I,MATCH(B136,Stu_ID,0)),0),"غياب بدون عذر",CHOOSE(INDEX(Stu_C,MATCH(B136,Stu_ID,0)),'KG1-1'!$AD$7:$IM$7,'KG1-2'!$AD$7:$IM$7,'KG1-3'!$AD$7:$IM$7,'KG1-4'!$AD$7:$IM$7,'KG1-5'!$AD$7:$IM$7,'KG1-6'!$AD$7:$IM$7,'KG1-7'!$AD$7:$IM$7),"✓",'KG1-1'!$AD$5:$IM$5,"&lt;="&amp;A136),""))</f>
        <v/>
      </c>
      <c r="F136" s="6" t="n"/>
      <c r="G136" s="108" t="n"/>
      <c r="H136" s="88">
        <f>IF(E136="","",INDEX(LevelLabels,MATCH(E136,LevelValues,1)))</f>
        <v/>
      </c>
      <c r="I136" s="40">
        <f>IF(OR(B136="",A136=""),"",B136&amp;"|"&amp;A136)</f>
        <v/>
      </c>
      <c r="J136" s="40">
        <f>IF(AND(B136&lt;&gt;"",B136=Prof_ID),COUNTIF($B$6:B136,Prof_ID),"")</f>
        <v/>
      </c>
    </row>
    <row r="137">
      <c r="A137" s="5" t="n"/>
      <c r="B137" s="6" t="n"/>
      <c r="C137" s="103">
        <f>IF(B137="","",IFERROR(INDEX(Stu_Name,MATCH(B137,Stu_ID,0)),"رقم غير موجود"))</f>
        <v/>
      </c>
      <c r="D137" s="88">
        <f>IF(B137="","",IFERROR(INDEX(Stu_Class,MATCH(B137,Stu_ID,0)),""))</f>
        <v/>
      </c>
      <c r="E137" s="88">
        <f>IF(OR(B137="",A137=""),"",IFERROR(COUNTIFS(INDEX(CHOOSE(INDEX(Stu_C,MATCH(B137,Stu_ID,0)),'KG1-1'!$AD$9:$IM$38,'KG1-2'!$AD$9:$IM$38,'KG1-3'!$AD$9:$IM$38,'KG1-4'!$AD$9:$IM$38,'KG1-5'!$AD$9:$IM$38,'KG1-6'!$AD$9:$IM$38,'KG1-7'!$AD$9:$IM$38),INDEX(Stu_I,MATCH(B137,Stu_ID,0)),0),"غياب بدون عذر",CHOOSE(INDEX(Stu_C,MATCH(B137,Stu_ID,0)),'KG1-1'!$AD$7:$IM$7,'KG1-2'!$AD$7:$IM$7,'KG1-3'!$AD$7:$IM$7,'KG1-4'!$AD$7:$IM$7,'KG1-5'!$AD$7:$IM$7,'KG1-6'!$AD$7:$IM$7,'KG1-7'!$AD$7:$IM$7),"✓",'KG1-1'!$AD$5:$IM$5,"&lt;="&amp;A137),""))</f>
        <v/>
      </c>
      <c r="F137" s="6" t="n"/>
      <c r="G137" s="108" t="n"/>
      <c r="H137" s="88">
        <f>IF(E137="","",INDEX(LevelLabels,MATCH(E137,LevelValues,1)))</f>
        <v/>
      </c>
      <c r="I137" s="40">
        <f>IF(OR(B137="",A137=""),"",B137&amp;"|"&amp;A137)</f>
        <v/>
      </c>
      <c r="J137" s="40">
        <f>IF(AND(B137&lt;&gt;"",B137=Prof_ID),COUNTIF($B$6:B137,Prof_ID),"")</f>
        <v/>
      </c>
    </row>
    <row r="138">
      <c r="A138" s="5" t="n"/>
      <c r="B138" s="6" t="n"/>
      <c r="C138" s="103">
        <f>IF(B138="","",IFERROR(INDEX(Stu_Name,MATCH(B138,Stu_ID,0)),"رقم غير موجود"))</f>
        <v/>
      </c>
      <c r="D138" s="88">
        <f>IF(B138="","",IFERROR(INDEX(Stu_Class,MATCH(B138,Stu_ID,0)),""))</f>
        <v/>
      </c>
      <c r="E138" s="88">
        <f>IF(OR(B138="",A138=""),"",IFERROR(COUNTIFS(INDEX(CHOOSE(INDEX(Stu_C,MATCH(B138,Stu_ID,0)),'KG1-1'!$AD$9:$IM$38,'KG1-2'!$AD$9:$IM$38,'KG1-3'!$AD$9:$IM$38,'KG1-4'!$AD$9:$IM$38,'KG1-5'!$AD$9:$IM$38,'KG1-6'!$AD$9:$IM$38,'KG1-7'!$AD$9:$IM$38),INDEX(Stu_I,MATCH(B138,Stu_ID,0)),0),"غياب بدون عذر",CHOOSE(INDEX(Stu_C,MATCH(B138,Stu_ID,0)),'KG1-1'!$AD$7:$IM$7,'KG1-2'!$AD$7:$IM$7,'KG1-3'!$AD$7:$IM$7,'KG1-4'!$AD$7:$IM$7,'KG1-5'!$AD$7:$IM$7,'KG1-6'!$AD$7:$IM$7,'KG1-7'!$AD$7:$IM$7),"✓",'KG1-1'!$AD$5:$IM$5,"&lt;="&amp;A138),""))</f>
        <v/>
      </c>
      <c r="F138" s="6" t="n"/>
      <c r="G138" s="108" t="n"/>
      <c r="H138" s="88">
        <f>IF(E138="","",INDEX(LevelLabels,MATCH(E138,LevelValues,1)))</f>
        <v/>
      </c>
      <c r="I138" s="40">
        <f>IF(OR(B138="",A138=""),"",B138&amp;"|"&amp;A138)</f>
        <v/>
      </c>
      <c r="J138" s="40">
        <f>IF(AND(B138&lt;&gt;"",B138=Prof_ID),COUNTIF($B$6:B138,Prof_ID),"")</f>
        <v/>
      </c>
    </row>
    <row r="139">
      <c r="A139" s="5" t="n"/>
      <c r="B139" s="6" t="n"/>
      <c r="C139" s="103">
        <f>IF(B139="","",IFERROR(INDEX(Stu_Name,MATCH(B139,Stu_ID,0)),"رقم غير موجود"))</f>
        <v/>
      </c>
      <c r="D139" s="88">
        <f>IF(B139="","",IFERROR(INDEX(Stu_Class,MATCH(B139,Stu_ID,0)),""))</f>
        <v/>
      </c>
      <c r="E139" s="88">
        <f>IF(OR(B139="",A139=""),"",IFERROR(COUNTIFS(INDEX(CHOOSE(INDEX(Stu_C,MATCH(B139,Stu_ID,0)),'KG1-1'!$AD$9:$IM$38,'KG1-2'!$AD$9:$IM$38,'KG1-3'!$AD$9:$IM$38,'KG1-4'!$AD$9:$IM$38,'KG1-5'!$AD$9:$IM$38,'KG1-6'!$AD$9:$IM$38,'KG1-7'!$AD$9:$IM$38),INDEX(Stu_I,MATCH(B139,Stu_ID,0)),0),"غياب بدون عذر",CHOOSE(INDEX(Stu_C,MATCH(B139,Stu_ID,0)),'KG1-1'!$AD$7:$IM$7,'KG1-2'!$AD$7:$IM$7,'KG1-3'!$AD$7:$IM$7,'KG1-4'!$AD$7:$IM$7,'KG1-5'!$AD$7:$IM$7,'KG1-6'!$AD$7:$IM$7,'KG1-7'!$AD$7:$IM$7),"✓",'KG1-1'!$AD$5:$IM$5,"&lt;="&amp;A139),""))</f>
        <v/>
      </c>
      <c r="F139" s="6" t="n"/>
      <c r="G139" s="108" t="n"/>
      <c r="H139" s="88">
        <f>IF(E139="","",INDEX(LevelLabels,MATCH(E139,LevelValues,1)))</f>
        <v/>
      </c>
      <c r="I139" s="40">
        <f>IF(OR(B139="",A139=""),"",B139&amp;"|"&amp;A139)</f>
        <v/>
      </c>
      <c r="J139" s="40">
        <f>IF(AND(B139&lt;&gt;"",B139=Prof_ID),COUNTIF($B$6:B139,Prof_ID),"")</f>
        <v/>
      </c>
    </row>
    <row r="140">
      <c r="A140" s="5" t="n"/>
      <c r="B140" s="6" t="n"/>
      <c r="C140" s="103">
        <f>IF(B140="","",IFERROR(INDEX(Stu_Name,MATCH(B140,Stu_ID,0)),"رقم غير موجود"))</f>
        <v/>
      </c>
      <c r="D140" s="88">
        <f>IF(B140="","",IFERROR(INDEX(Stu_Class,MATCH(B140,Stu_ID,0)),""))</f>
        <v/>
      </c>
      <c r="E140" s="88">
        <f>IF(OR(B140="",A140=""),"",IFERROR(COUNTIFS(INDEX(CHOOSE(INDEX(Stu_C,MATCH(B140,Stu_ID,0)),'KG1-1'!$AD$9:$IM$38,'KG1-2'!$AD$9:$IM$38,'KG1-3'!$AD$9:$IM$38,'KG1-4'!$AD$9:$IM$38,'KG1-5'!$AD$9:$IM$38,'KG1-6'!$AD$9:$IM$38,'KG1-7'!$AD$9:$IM$38),INDEX(Stu_I,MATCH(B140,Stu_ID,0)),0),"غياب بدون عذر",CHOOSE(INDEX(Stu_C,MATCH(B140,Stu_ID,0)),'KG1-1'!$AD$7:$IM$7,'KG1-2'!$AD$7:$IM$7,'KG1-3'!$AD$7:$IM$7,'KG1-4'!$AD$7:$IM$7,'KG1-5'!$AD$7:$IM$7,'KG1-6'!$AD$7:$IM$7,'KG1-7'!$AD$7:$IM$7),"✓",'KG1-1'!$AD$5:$IM$5,"&lt;="&amp;A140),""))</f>
        <v/>
      </c>
      <c r="F140" s="6" t="n"/>
      <c r="G140" s="108" t="n"/>
      <c r="H140" s="88">
        <f>IF(E140="","",INDEX(LevelLabels,MATCH(E140,LevelValues,1)))</f>
        <v/>
      </c>
      <c r="I140" s="40">
        <f>IF(OR(B140="",A140=""),"",B140&amp;"|"&amp;A140)</f>
        <v/>
      </c>
      <c r="J140" s="40">
        <f>IF(AND(B140&lt;&gt;"",B140=Prof_ID),COUNTIF($B$6:B140,Prof_ID),"")</f>
        <v/>
      </c>
    </row>
    <row r="141">
      <c r="A141" s="5" t="n"/>
      <c r="B141" s="6" t="n"/>
      <c r="C141" s="103">
        <f>IF(B141="","",IFERROR(INDEX(Stu_Name,MATCH(B141,Stu_ID,0)),"رقم غير موجود"))</f>
        <v/>
      </c>
      <c r="D141" s="88">
        <f>IF(B141="","",IFERROR(INDEX(Stu_Class,MATCH(B141,Stu_ID,0)),""))</f>
        <v/>
      </c>
      <c r="E141" s="88">
        <f>IF(OR(B141="",A141=""),"",IFERROR(COUNTIFS(INDEX(CHOOSE(INDEX(Stu_C,MATCH(B141,Stu_ID,0)),'KG1-1'!$AD$9:$IM$38,'KG1-2'!$AD$9:$IM$38,'KG1-3'!$AD$9:$IM$38,'KG1-4'!$AD$9:$IM$38,'KG1-5'!$AD$9:$IM$38,'KG1-6'!$AD$9:$IM$38,'KG1-7'!$AD$9:$IM$38),INDEX(Stu_I,MATCH(B141,Stu_ID,0)),0),"غياب بدون عذر",CHOOSE(INDEX(Stu_C,MATCH(B141,Stu_ID,0)),'KG1-1'!$AD$7:$IM$7,'KG1-2'!$AD$7:$IM$7,'KG1-3'!$AD$7:$IM$7,'KG1-4'!$AD$7:$IM$7,'KG1-5'!$AD$7:$IM$7,'KG1-6'!$AD$7:$IM$7,'KG1-7'!$AD$7:$IM$7),"✓",'KG1-1'!$AD$5:$IM$5,"&lt;="&amp;A141),""))</f>
        <v/>
      </c>
      <c r="F141" s="6" t="n"/>
      <c r="G141" s="108" t="n"/>
      <c r="H141" s="88">
        <f>IF(E141="","",INDEX(LevelLabels,MATCH(E141,LevelValues,1)))</f>
        <v/>
      </c>
      <c r="I141" s="40">
        <f>IF(OR(B141="",A141=""),"",B141&amp;"|"&amp;A141)</f>
        <v/>
      </c>
      <c r="J141" s="40">
        <f>IF(AND(B141&lt;&gt;"",B141=Prof_ID),COUNTIF($B$6:B141,Prof_ID),"")</f>
        <v/>
      </c>
    </row>
    <row r="142">
      <c r="A142" s="5" t="n"/>
      <c r="B142" s="6" t="n"/>
      <c r="C142" s="103">
        <f>IF(B142="","",IFERROR(INDEX(Stu_Name,MATCH(B142,Stu_ID,0)),"رقم غير موجود"))</f>
        <v/>
      </c>
      <c r="D142" s="88">
        <f>IF(B142="","",IFERROR(INDEX(Stu_Class,MATCH(B142,Stu_ID,0)),""))</f>
        <v/>
      </c>
      <c r="E142" s="88">
        <f>IF(OR(B142="",A142=""),"",IFERROR(COUNTIFS(INDEX(CHOOSE(INDEX(Stu_C,MATCH(B142,Stu_ID,0)),'KG1-1'!$AD$9:$IM$38,'KG1-2'!$AD$9:$IM$38,'KG1-3'!$AD$9:$IM$38,'KG1-4'!$AD$9:$IM$38,'KG1-5'!$AD$9:$IM$38,'KG1-6'!$AD$9:$IM$38,'KG1-7'!$AD$9:$IM$38),INDEX(Stu_I,MATCH(B142,Stu_ID,0)),0),"غياب بدون عذر",CHOOSE(INDEX(Stu_C,MATCH(B142,Stu_ID,0)),'KG1-1'!$AD$7:$IM$7,'KG1-2'!$AD$7:$IM$7,'KG1-3'!$AD$7:$IM$7,'KG1-4'!$AD$7:$IM$7,'KG1-5'!$AD$7:$IM$7,'KG1-6'!$AD$7:$IM$7,'KG1-7'!$AD$7:$IM$7),"✓",'KG1-1'!$AD$5:$IM$5,"&lt;="&amp;A142),""))</f>
        <v/>
      </c>
      <c r="F142" s="6" t="n"/>
      <c r="G142" s="108" t="n"/>
      <c r="H142" s="88">
        <f>IF(E142="","",INDEX(LevelLabels,MATCH(E142,LevelValues,1)))</f>
        <v/>
      </c>
      <c r="I142" s="40">
        <f>IF(OR(B142="",A142=""),"",B142&amp;"|"&amp;A142)</f>
        <v/>
      </c>
      <c r="J142" s="40">
        <f>IF(AND(B142&lt;&gt;"",B142=Prof_ID),COUNTIF($B$6:B142,Prof_ID),"")</f>
        <v/>
      </c>
    </row>
    <row r="143">
      <c r="A143" s="5" t="n"/>
      <c r="B143" s="6" t="n"/>
      <c r="C143" s="103">
        <f>IF(B143="","",IFERROR(INDEX(Stu_Name,MATCH(B143,Stu_ID,0)),"رقم غير موجود"))</f>
        <v/>
      </c>
      <c r="D143" s="88">
        <f>IF(B143="","",IFERROR(INDEX(Stu_Class,MATCH(B143,Stu_ID,0)),""))</f>
        <v/>
      </c>
      <c r="E143" s="88">
        <f>IF(OR(B143="",A143=""),"",IFERROR(COUNTIFS(INDEX(CHOOSE(INDEX(Stu_C,MATCH(B143,Stu_ID,0)),'KG1-1'!$AD$9:$IM$38,'KG1-2'!$AD$9:$IM$38,'KG1-3'!$AD$9:$IM$38,'KG1-4'!$AD$9:$IM$38,'KG1-5'!$AD$9:$IM$38,'KG1-6'!$AD$9:$IM$38,'KG1-7'!$AD$9:$IM$38),INDEX(Stu_I,MATCH(B143,Stu_ID,0)),0),"غياب بدون عذر",CHOOSE(INDEX(Stu_C,MATCH(B143,Stu_ID,0)),'KG1-1'!$AD$7:$IM$7,'KG1-2'!$AD$7:$IM$7,'KG1-3'!$AD$7:$IM$7,'KG1-4'!$AD$7:$IM$7,'KG1-5'!$AD$7:$IM$7,'KG1-6'!$AD$7:$IM$7,'KG1-7'!$AD$7:$IM$7),"✓",'KG1-1'!$AD$5:$IM$5,"&lt;="&amp;A143),""))</f>
        <v/>
      </c>
      <c r="F143" s="6" t="n"/>
      <c r="G143" s="108" t="n"/>
      <c r="H143" s="88">
        <f>IF(E143="","",INDEX(LevelLabels,MATCH(E143,LevelValues,1)))</f>
        <v/>
      </c>
      <c r="I143" s="40">
        <f>IF(OR(B143="",A143=""),"",B143&amp;"|"&amp;A143)</f>
        <v/>
      </c>
      <c r="J143" s="40">
        <f>IF(AND(B143&lt;&gt;"",B143=Prof_ID),COUNTIF($B$6:B143,Prof_ID),"")</f>
        <v/>
      </c>
    </row>
    <row r="144">
      <c r="A144" s="5" t="n"/>
      <c r="B144" s="6" t="n"/>
      <c r="C144" s="103">
        <f>IF(B144="","",IFERROR(INDEX(Stu_Name,MATCH(B144,Stu_ID,0)),"رقم غير موجود"))</f>
        <v/>
      </c>
      <c r="D144" s="88">
        <f>IF(B144="","",IFERROR(INDEX(Stu_Class,MATCH(B144,Stu_ID,0)),""))</f>
        <v/>
      </c>
      <c r="E144" s="88">
        <f>IF(OR(B144="",A144=""),"",IFERROR(COUNTIFS(INDEX(CHOOSE(INDEX(Stu_C,MATCH(B144,Stu_ID,0)),'KG1-1'!$AD$9:$IM$38,'KG1-2'!$AD$9:$IM$38,'KG1-3'!$AD$9:$IM$38,'KG1-4'!$AD$9:$IM$38,'KG1-5'!$AD$9:$IM$38,'KG1-6'!$AD$9:$IM$38,'KG1-7'!$AD$9:$IM$38),INDEX(Stu_I,MATCH(B144,Stu_ID,0)),0),"غياب بدون عذر",CHOOSE(INDEX(Stu_C,MATCH(B144,Stu_ID,0)),'KG1-1'!$AD$7:$IM$7,'KG1-2'!$AD$7:$IM$7,'KG1-3'!$AD$7:$IM$7,'KG1-4'!$AD$7:$IM$7,'KG1-5'!$AD$7:$IM$7,'KG1-6'!$AD$7:$IM$7,'KG1-7'!$AD$7:$IM$7),"✓",'KG1-1'!$AD$5:$IM$5,"&lt;="&amp;A144),""))</f>
        <v/>
      </c>
      <c r="F144" s="6" t="n"/>
      <c r="G144" s="108" t="n"/>
      <c r="H144" s="88">
        <f>IF(E144="","",INDEX(LevelLabels,MATCH(E144,LevelValues,1)))</f>
        <v/>
      </c>
      <c r="I144" s="40">
        <f>IF(OR(B144="",A144=""),"",B144&amp;"|"&amp;A144)</f>
        <v/>
      </c>
      <c r="J144" s="40">
        <f>IF(AND(B144&lt;&gt;"",B144=Prof_ID),COUNTIF($B$6:B144,Prof_ID),"")</f>
        <v/>
      </c>
    </row>
    <row r="145">
      <c r="A145" s="5" t="n"/>
      <c r="B145" s="6" t="n"/>
      <c r="C145" s="103">
        <f>IF(B145="","",IFERROR(INDEX(Stu_Name,MATCH(B145,Stu_ID,0)),"رقم غير موجود"))</f>
        <v/>
      </c>
      <c r="D145" s="88">
        <f>IF(B145="","",IFERROR(INDEX(Stu_Class,MATCH(B145,Stu_ID,0)),""))</f>
        <v/>
      </c>
      <c r="E145" s="88">
        <f>IF(OR(B145="",A145=""),"",IFERROR(COUNTIFS(INDEX(CHOOSE(INDEX(Stu_C,MATCH(B145,Stu_ID,0)),'KG1-1'!$AD$9:$IM$38,'KG1-2'!$AD$9:$IM$38,'KG1-3'!$AD$9:$IM$38,'KG1-4'!$AD$9:$IM$38,'KG1-5'!$AD$9:$IM$38,'KG1-6'!$AD$9:$IM$38,'KG1-7'!$AD$9:$IM$38),INDEX(Stu_I,MATCH(B145,Stu_ID,0)),0),"غياب بدون عذر",CHOOSE(INDEX(Stu_C,MATCH(B145,Stu_ID,0)),'KG1-1'!$AD$7:$IM$7,'KG1-2'!$AD$7:$IM$7,'KG1-3'!$AD$7:$IM$7,'KG1-4'!$AD$7:$IM$7,'KG1-5'!$AD$7:$IM$7,'KG1-6'!$AD$7:$IM$7,'KG1-7'!$AD$7:$IM$7),"✓",'KG1-1'!$AD$5:$IM$5,"&lt;="&amp;A145),""))</f>
        <v/>
      </c>
      <c r="F145" s="6" t="n"/>
      <c r="G145" s="108" t="n"/>
      <c r="H145" s="88">
        <f>IF(E145="","",INDEX(LevelLabels,MATCH(E145,LevelValues,1)))</f>
        <v/>
      </c>
      <c r="I145" s="40">
        <f>IF(OR(B145="",A145=""),"",B145&amp;"|"&amp;A145)</f>
        <v/>
      </c>
      <c r="J145" s="40">
        <f>IF(AND(B145&lt;&gt;"",B145=Prof_ID),COUNTIF($B$6:B145,Prof_ID),"")</f>
        <v/>
      </c>
    </row>
    <row r="146">
      <c r="A146" s="5" t="n"/>
      <c r="B146" s="6" t="n"/>
      <c r="C146" s="103">
        <f>IF(B146="","",IFERROR(INDEX(Stu_Name,MATCH(B146,Stu_ID,0)),"رقم غير موجود"))</f>
        <v/>
      </c>
      <c r="D146" s="88">
        <f>IF(B146="","",IFERROR(INDEX(Stu_Class,MATCH(B146,Stu_ID,0)),""))</f>
        <v/>
      </c>
      <c r="E146" s="88">
        <f>IF(OR(B146="",A146=""),"",IFERROR(COUNTIFS(INDEX(CHOOSE(INDEX(Stu_C,MATCH(B146,Stu_ID,0)),'KG1-1'!$AD$9:$IM$38,'KG1-2'!$AD$9:$IM$38,'KG1-3'!$AD$9:$IM$38,'KG1-4'!$AD$9:$IM$38,'KG1-5'!$AD$9:$IM$38,'KG1-6'!$AD$9:$IM$38,'KG1-7'!$AD$9:$IM$38),INDEX(Stu_I,MATCH(B146,Stu_ID,0)),0),"غياب بدون عذر",CHOOSE(INDEX(Stu_C,MATCH(B146,Stu_ID,0)),'KG1-1'!$AD$7:$IM$7,'KG1-2'!$AD$7:$IM$7,'KG1-3'!$AD$7:$IM$7,'KG1-4'!$AD$7:$IM$7,'KG1-5'!$AD$7:$IM$7,'KG1-6'!$AD$7:$IM$7,'KG1-7'!$AD$7:$IM$7),"✓",'KG1-1'!$AD$5:$IM$5,"&lt;="&amp;A146),""))</f>
        <v/>
      </c>
      <c r="F146" s="6" t="n"/>
      <c r="G146" s="108" t="n"/>
      <c r="H146" s="88">
        <f>IF(E146="","",INDEX(LevelLabels,MATCH(E146,LevelValues,1)))</f>
        <v/>
      </c>
      <c r="I146" s="40">
        <f>IF(OR(B146="",A146=""),"",B146&amp;"|"&amp;A146)</f>
        <v/>
      </c>
      <c r="J146" s="40">
        <f>IF(AND(B146&lt;&gt;"",B146=Prof_ID),COUNTIF($B$6:B146,Prof_ID),"")</f>
        <v/>
      </c>
    </row>
    <row r="147">
      <c r="A147" s="5" t="n"/>
      <c r="B147" s="6" t="n"/>
      <c r="C147" s="103">
        <f>IF(B147="","",IFERROR(INDEX(Stu_Name,MATCH(B147,Stu_ID,0)),"رقم غير موجود"))</f>
        <v/>
      </c>
      <c r="D147" s="88">
        <f>IF(B147="","",IFERROR(INDEX(Stu_Class,MATCH(B147,Stu_ID,0)),""))</f>
        <v/>
      </c>
      <c r="E147" s="88">
        <f>IF(OR(B147="",A147=""),"",IFERROR(COUNTIFS(INDEX(CHOOSE(INDEX(Stu_C,MATCH(B147,Stu_ID,0)),'KG1-1'!$AD$9:$IM$38,'KG1-2'!$AD$9:$IM$38,'KG1-3'!$AD$9:$IM$38,'KG1-4'!$AD$9:$IM$38,'KG1-5'!$AD$9:$IM$38,'KG1-6'!$AD$9:$IM$38,'KG1-7'!$AD$9:$IM$38),INDEX(Stu_I,MATCH(B147,Stu_ID,0)),0),"غياب بدون عذر",CHOOSE(INDEX(Stu_C,MATCH(B147,Stu_ID,0)),'KG1-1'!$AD$7:$IM$7,'KG1-2'!$AD$7:$IM$7,'KG1-3'!$AD$7:$IM$7,'KG1-4'!$AD$7:$IM$7,'KG1-5'!$AD$7:$IM$7,'KG1-6'!$AD$7:$IM$7,'KG1-7'!$AD$7:$IM$7),"✓",'KG1-1'!$AD$5:$IM$5,"&lt;="&amp;A147),""))</f>
        <v/>
      </c>
      <c r="F147" s="6" t="n"/>
      <c r="G147" s="108" t="n"/>
      <c r="H147" s="88">
        <f>IF(E147="","",INDEX(LevelLabels,MATCH(E147,LevelValues,1)))</f>
        <v/>
      </c>
      <c r="I147" s="40">
        <f>IF(OR(B147="",A147=""),"",B147&amp;"|"&amp;A147)</f>
        <v/>
      </c>
      <c r="J147" s="40">
        <f>IF(AND(B147&lt;&gt;"",B147=Prof_ID),COUNTIF($B$6:B147,Prof_ID),"")</f>
        <v/>
      </c>
    </row>
    <row r="148">
      <c r="A148" s="5" t="n"/>
      <c r="B148" s="6" t="n"/>
      <c r="C148" s="103">
        <f>IF(B148="","",IFERROR(INDEX(Stu_Name,MATCH(B148,Stu_ID,0)),"رقم غير موجود"))</f>
        <v/>
      </c>
      <c r="D148" s="88">
        <f>IF(B148="","",IFERROR(INDEX(Stu_Class,MATCH(B148,Stu_ID,0)),""))</f>
        <v/>
      </c>
      <c r="E148" s="88">
        <f>IF(OR(B148="",A148=""),"",IFERROR(COUNTIFS(INDEX(CHOOSE(INDEX(Stu_C,MATCH(B148,Stu_ID,0)),'KG1-1'!$AD$9:$IM$38,'KG1-2'!$AD$9:$IM$38,'KG1-3'!$AD$9:$IM$38,'KG1-4'!$AD$9:$IM$38,'KG1-5'!$AD$9:$IM$38,'KG1-6'!$AD$9:$IM$38,'KG1-7'!$AD$9:$IM$38),INDEX(Stu_I,MATCH(B148,Stu_ID,0)),0),"غياب بدون عذر",CHOOSE(INDEX(Stu_C,MATCH(B148,Stu_ID,0)),'KG1-1'!$AD$7:$IM$7,'KG1-2'!$AD$7:$IM$7,'KG1-3'!$AD$7:$IM$7,'KG1-4'!$AD$7:$IM$7,'KG1-5'!$AD$7:$IM$7,'KG1-6'!$AD$7:$IM$7,'KG1-7'!$AD$7:$IM$7),"✓",'KG1-1'!$AD$5:$IM$5,"&lt;="&amp;A148),""))</f>
        <v/>
      </c>
      <c r="F148" s="6" t="n"/>
      <c r="G148" s="108" t="n"/>
      <c r="H148" s="88">
        <f>IF(E148="","",INDEX(LevelLabels,MATCH(E148,LevelValues,1)))</f>
        <v/>
      </c>
      <c r="I148" s="40">
        <f>IF(OR(B148="",A148=""),"",B148&amp;"|"&amp;A148)</f>
        <v/>
      </c>
      <c r="J148" s="40">
        <f>IF(AND(B148&lt;&gt;"",B148=Prof_ID),COUNTIF($B$6:B148,Prof_ID),"")</f>
        <v/>
      </c>
    </row>
    <row r="149">
      <c r="A149" s="5" t="n"/>
      <c r="B149" s="6" t="n"/>
      <c r="C149" s="103">
        <f>IF(B149="","",IFERROR(INDEX(Stu_Name,MATCH(B149,Stu_ID,0)),"رقم غير موجود"))</f>
        <v/>
      </c>
      <c r="D149" s="88">
        <f>IF(B149="","",IFERROR(INDEX(Stu_Class,MATCH(B149,Stu_ID,0)),""))</f>
        <v/>
      </c>
      <c r="E149" s="88">
        <f>IF(OR(B149="",A149=""),"",IFERROR(COUNTIFS(INDEX(CHOOSE(INDEX(Stu_C,MATCH(B149,Stu_ID,0)),'KG1-1'!$AD$9:$IM$38,'KG1-2'!$AD$9:$IM$38,'KG1-3'!$AD$9:$IM$38,'KG1-4'!$AD$9:$IM$38,'KG1-5'!$AD$9:$IM$38,'KG1-6'!$AD$9:$IM$38,'KG1-7'!$AD$9:$IM$38),INDEX(Stu_I,MATCH(B149,Stu_ID,0)),0),"غياب بدون عذر",CHOOSE(INDEX(Stu_C,MATCH(B149,Stu_ID,0)),'KG1-1'!$AD$7:$IM$7,'KG1-2'!$AD$7:$IM$7,'KG1-3'!$AD$7:$IM$7,'KG1-4'!$AD$7:$IM$7,'KG1-5'!$AD$7:$IM$7,'KG1-6'!$AD$7:$IM$7,'KG1-7'!$AD$7:$IM$7),"✓",'KG1-1'!$AD$5:$IM$5,"&lt;="&amp;A149),""))</f>
        <v/>
      </c>
      <c r="F149" s="6" t="n"/>
      <c r="G149" s="108" t="n"/>
      <c r="H149" s="88">
        <f>IF(E149="","",INDEX(LevelLabels,MATCH(E149,LevelValues,1)))</f>
        <v/>
      </c>
      <c r="I149" s="40">
        <f>IF(OR(B149="",A149=""),"",B149&amp;"|"&amp;A149)</f>
        <v/>
      </c>
      <c r="J149" s="40">
        <f>IF(AND(B149&lt;&gt;"",B149=Prof_ID),COUNTIF($B$6:B149,Prof_ID),"")</f>
        <v/>
      </c>
    </row>
    <row r="150">
      <c r="A150" s="5" t="n"/>
      <c r="B150" s="6" t="n"/>
      <c r="C150" s="103">
        <f>IF(B150="","",IFERROR(INDEX(Stu_Name,MATCH(B150,Stu_ID,0)),"رقم غير موجود"))</f>
        <v/>
      </c>
      <c r="D150" s="88">
        <f>IF(B150="","",IFERROR(INDEX(Stu_Class,MATCH(B150,Stu_ID,0)),""))</f>
        <v/>
      </c>
      <c r="E150" s="88">
        <f>IF(OR(B150="",A150=""),"",IFERROR(COUNTIFS(INDEX(CHOOSE(INDEX(Stu_C,MATCH(B150,Stu_ID,0)),'KG1-1'!$AD$9:$IM$38,'KG1-2'!$AD$9:$IM$38,'KG1-3'!$AD$9:$IM$38,'KG1-4'!$AD$9:$IM$38,'KG1-5'!$AD$9:$IM$38,'KG1-6'!$AD$9:$IM$38,'KG1-7'!$AD$9:$IM$38),INDEX(Stu_I,MATCH(B150,Stu_ID,0)),0),"غياب بدون عذر",CHOOSE(INDEX(Stu_C,MATCH(B150,Stu_ID,0)),'KG1-1'!$AD$7:$IM$7,'KG1-2'!$AD$7:$IM$7,'KG1-3'!$AD$7:$IM$7,'KG1-4'!$AD$7:$IM$7,'KG1-5'!$AD$7:$IM$7,'KG1-6'!$AD$7:$IM$7,'KG1-7'!$AD$7:$IM$7),"✓",'KG1-1'!$AD$5:$IM$5,"&lt;="&amp;A150),""))</f>
        <v/>
      </c>
      <c r="F150" s="6" t="n"/>
      <c r="G150" s="108" t="n"/>
      <c r="H150" s="88">
        <f>IF(E150="","",INDEX(LevelLabels,MATCH(E150,LevelValues,1)))</f>
        <v/>
      </c>
      <c r="I150" s="40">
        <f>IF(OR(B150="",A150=""),"",B150&amp;"|"&amp;A150)</f>
        <v/>
      </c>
      <c r="J150" s="40">
        <f>IF(AND(B150&lt;&gt;"",B150=Prof_ID),COUNTIF($B$6:B150,Prof_ID),"")</f>
        <v/>
      </c>
    </row>
    <row r="151">
      <c r="A151" s="5" t="n"/>
      <c r="B151" s="6" t="n"/>
      <c r="C151" s="103">
        <f>IF(B151="","",IFERROR(INDEX(Stu_Name,MATCH(B151,Stu_ID,0)),"رقم غير موجود"))</f>
        <v/>
      </c>
      <c r="D151" s="88">
        <f>IF(B151="","",IFERROR(INDEX(Stu_Class,MATCH(B151,Stu_ID,0)),""))</f>
        <v/>
      </c>
      <c r="E151" s="88">
        <f>IF(OR(B151="",A151=""),"",IFERROR(COUNTIFS(INDEX(CHOOSE(INDEX(Stu_C,MATCH(B151,Stu_ID,0)),'KG1-1'!$AD$9:$IM$38,'KG1-2'!$AD$9:$IM$38,'KG1-3'!$AD$9:$IM$38,'KG1-4'!$AD$9:$IM$38,'KG1-5'!$AD$9:$IM$38,'KG1-6'!$AD$9:$IM$38,'KG1-7'!$AD$9:$IM$38),INDEX(Stu_I,MATCH(B151,Stu_ID,0)),0),"غياب بدون عذر",CHOOSE(INDEX(Stu_C,MATCH(B151,Stu_ID,0)),'KG1-1'!$AD$7:$IM$7,'KG1-2'!$AD$7:$IM$7,'KG1-3'!$AD$7:$IM$7,'KG1-4'!$AD$7:$IM$7,'KG1-5'!$AD$7:$IM$7,'KG1-6'!$AD$7:$IM$7,'KG1-7'!$AD$7:$IM$7),"✓",'KG1-1'!$AD$5:$IM$5,"&lt;="&amp;A151),""))</f>
        <v/>
      </c>
      <c r="F151" s="6" t="n"/>
      <c r="G151" s="108" t="n"/>
      <c r="H151" s="88">
        <f>IF(E151="","",INDEX(LevelLabels,MATCH(E151,LevelValues,1)))</f>
        <v/>
      </c>
      <c r="I151" s="40">
        <f>IF(OR(B151="",A151=""),"",B151&amp;"|"&amp;A151)</f>
        <v/>
      </c>
      <c r="J151" s="40">
        <f>IF(AND(B151&lt;&gt;"",B151=Prof_ID),COUNTIF($B$6:B151,Prof_ID),"")</f>
        <v/>
      </c>
    </row>
    <row r="152">
      <c r="A152" s="5" t="n"/>
      <c r="B152" s="6" t="n"/>
      <c r="C152" s="103">
        <f>IF(B152="","",IFERROR(INDEX(Stu_Name,MATCH(B152,Stu_ID,0)),"رقم غير موجود"))</f>
        <v/>
      </c>
      <c r="D152" s="88">
        <f>IF(B152="","",IFERROR(INDEX(Stu_Class,MATCH(B152,Stu_ID,0)),""))</f>
        <v/>
      </c>
      <c r="E152" s="88">
        <f>IF(OR(B152="",A152=""),"",IFERROR(COUNTIFS(INDEX(CHOOSE(INDEX(Stu_C,MATCH(B152,Stu_ID,0)),'KG1-1'!$AD$9:$IM$38,'KG1-2'!$AD$9:$IM$38,'KG1-3'!$AD$9:$IM$38,'KG1-4'!$AD$9:$IM$38,'KG1-5'!$AD$9:$IM$38,'KG1-6'!$AD$9:$IM$38,'KG1-7'!$AD$9:$IM$38),INDEX(Stu_I,MATCH(B152,Stu_ID,0)),0),"غياب بدون عذر",CHOOSE(INDEX(Stu_C,MATCH(B152,Stu_ID,0)),'KG1-1'!$AD$7:$IM$7,'KG1-2'!$AD$7:$IM$7,'KG1-3'!$AD$7:$IM$7,'KG1-4'!$AD$7:$IM$7,'KG1-5'!$AD$7:$IM$7,'KG1-6'!$AD$7:$IM$7,'KG1-7'!$AD$7:$IM$7),"✓",'KG1-1'!$AD$5:$IM$5,"&lt;="&amp;A152),""))</f>
        <v/>
      </c>
      <c r="F152" s="6" t="n"/>
      <c r="G152" s="108" t="n"/>
      <c r="H152" s="88">
        <f>IF(E152="","",INDEX(LevelLabels,MATCH(E152,LevelValues,1)))</f>
        <v/>
      </c>
      <c r="I152" s="40">
        <f>IF(OR(B152="",A152=""),"",B152&amp;"|"&amp;A152)</f>
        <v/>
      </c>
      <c r="J152" s="40">
        <f>IF(AND(B152&lt;&gt;"",B152=Prof_ID),COUNTIF($B$6:B152,Prof_ID),"")</f>
        <v/>
      </c>
    </row>
    <row r="153">
      <c r="A153" s="5" t="n"/>
      <c r="B153" s="6" t="n"/>
      <c r="C153" s="103">
        <f>IF(B153="","",IFERROR(INDEX(Stu_Name,MATCH(B153,Stu_ID,0)),"رقم غير موجود"))</f>
        <v/>
      </c>
      <c r="D153" s="88">
        <f>IF(B153="","",IFERROR(INDEX(Stu_Class,MATCH(B153,Stu_ID,0)),""))</f>
        <v/>
      </c>
      <c r="E153" s="88">
        <f>IF(OR(B153="",A153=""),"",IFERROR(COUNTIFS(INDEX(CHOOSE(INDEX(Stu_C,MATCH(B153,Stu_ID,0)),'KG1-1'!$AD$9:$IM$38,'KG1-2'!$AD$9:$IM$38,'KG1-3'!$AD$9:$IM$38,'KG1-4'!$AD$9:$IM$38,'KG1-5'!$AD$9:$IM$38,'KG1-6'!$AD$9:$IM$38,'KG1-7'!$AD$9:$IM$38),INDEX(Stu_I,MATCH(B153,Stu_ID,0)),0),"غياب بدون عذر",CHOOSE(INDEX(Stu_C,MATCH(B153,Stu_ID,0)),'KG1-1'!$AD$7:$IM$7,'KG1-2'!$AD$7:$IM$7,'KG1-3'!$AD$7:$IM$7,'KG1-4'!$AD$7:$IM$7,'KG1-5'!$AD$7:$IM$7,'KG1-6'!$AD$7:$IM$7,'KG1-7'!$AD$7:$IM$7),"✓",'KG1-1'!$AD$5:$IM$5,"&lt;="&amp;A153),""))</f>
        <v/>
      </c>
      <c r="F153" s="6" t="n"/>
      <c r="G153" s="108" t="n"/>
      <c r="H153" s="88">
        <f>IF(E153="","",INDEX(LevelLabels,MATCH(E153,LevelValues,1)))</f>
        <v/>
      </c>
      <c r="I153" s="40">
        <f>IF(OR(B153="",A153=""),"",B153&amp;"|"&amp;A153)</f>
        <v/>
      </c>
      <c r="J153" s="40">
        <f>IF(AND(B153&lt;&gt;"",B153=Prof_ID),COUNTIF($B$6:B153,Prof_ID),"")</f>
        <v/>
      </c>
    </row>
    <row r="154">
      <c r="A154" s="5" t="n"/>
      <c r="B154" s="6" t="n"/>
      <c r="C154" s="103">
        <f>IF(B154="","",IFERROR(INDEX(Stu_Name,MATCH(B154,Stu_ID,0)),"رقم غير موجود"))</f>
        <v/>
      </c>
      <c r="D154" s="88">
        <f>IF(B154="","",IFERROR(INDEX(Stu_Class,MATCH(B154,Stu_ID,0)),""))</f>
        <v/>
      </c>
      <c r="E154" s="88">
        <f>IF(OR(B154="",A154=""),"",IFERROR(COUNTIFS(INDEX(CHOOSE(INDEX(Stu_C,MATCH(B154,Stu_ID,0)),'KG1-1'!$AD$9:$IM$38,'KG1-2'!$AD$9:$IM$38,'KG1-3'!$AD$9:$IM$38,'KG1-4'!$AD$9:$IM$38,'KG1-5'!$AD$9:$IM$38,'KG1-6'!$AD$9:$IM$38,'KG1-7'!$AD$9:$IM$38),INDEX(Stu_I,MATCH(B154,Stu_ID,0)),0),"غياب بدون عذر",CHOOSE(INDEX(Stu_C,MATCH(B154,Stu_ID,0)),'KG1-1'!$AD$7:$IM$7,'KG1-2'!$AD$7:$IM$7,'KG1-3'!$AD$7:$IM$7,'KG1-4'!$AD$7:$IM$7,'KG1-5'!$AD$7:$IM$7,'KG1-6'!$AD$7:$IM$7,'KG1-7'!$AD$7:$IM$7),"✓",'KG1-1'!$AD$5:$IM$5,"&lt;="&amp;A154),""))</f>
        <v/>
      </c>
      <c r="F154" s="6" t="n"/>
      <c r="G154" s="108" t="n"/>
      <c r="H154" s="88">
        <f>IF(E154="","",INDEX(LevelLabels,MATCH(E154,LevelValues,1)))</f>
        <v/>
      </c>
      <c r="I154" s="40">
        <f>IF(OR(B154="",A154=""),"",B154&amp;"|"&amp;A154)</f>
        <v/>
      </c>
      <c r="J154" s="40">
        <f>IF(AND(B154&lt;&gt;"",B154=Prof_ID),COUNTIF($B$6:B154,Prof_ID),"")</f>
        <v/>
      </c>
    </row>
    <row r="155">
      <c r="A155" s="5" t="n"/>
      <c r="B155" s="6" t="n"/>
      <c r="C155" s="103">
        <f>IF(B155="","",IFERROR(INDEX(Stu_Name,MATCH(B155,Stu_ID,0)),"رقم غير موجود"))</f>
        <v/>
      </c>
      <c r="D155" s="88">
        <f>IF(B155="","",IFERROR(INDEX(Stu_Class,MATCH(B155,Stu_ID,0)),""))</f>
        <v/>
      </c>
      <c r="E155" s="88">
        <f>IF(OR(B155="",A155=""),"",IFERROR(COUNTIFS(INDEX(CHOOSE(INDEX(Stu_C,MATCH(B155,Stu_ID,0)),'KG1-1'!$AD$9:$IM$38,'KG1-2'!$AD$9:$IM$38,'KG1-3'!$AD$9:$IM$38,'KG1-4'!$AD$9:$IM$38,'KG1-5'!$AD$9:$IM$38,'KG1-6'!$AD$9:$IM$38,'KG1-7'!$AD$9:$IM$38),INDEX(Stu_I,MATCH(B155,Stu_ID,0)),0),"غياب بدون عذر",CHOOSE(INDEX(Stu_C,MATCH(B155,Stu_ID,0)),'KG1-1'!$AD$7:$IM$7,'KG1-2'!$AD$7:$IM$7,'KG1-3'!$AD$7:$IM$7,'KG1-4'!$AD$7:$IM$7,'KG1-5'!$AD$7:$IM$7,'KG1-6'!$AD$7:$IM$7,'KG1-7'!$AD$7:$IM$7),"✓",'KG1-1'!$AD$5:$IM$5,"&lt;="&amp;A155),""))</f>
        <v/>
      </c>
      <c r="F155" s="6" t="n"/>
      <c r="G155" s="108" t="n"/>
      <c r="H155" s="88">
        <f>IF(E155="","",INDEX(LevelLabels,MATCH(E155,LevelValues,1)))</f>
        <v/>
      </c>
      <c r="I155" s="40">
        <f>IF(OR(B155="",A155=""),"",B155&amp;"|"&amp;A155)</f>
        <v/>
      </c>
      <c r="J155" s="40">
        <f>IF(AND(B155&lt;&gt;"",B155=Prof_ID),COUNTIF($B$6:B155,Prof_ID),"")</f>
        <v/>
      </c>
    </row>
    <row r="156">
      <c r="A156" s="5" t="n"/>
      <c r="B156" s="6" t="n"/>
      <c r="C156" s="103">
        <f>IF(B156="","",IFERROR(INDEX(Stu_Name,MATCH(B156,Stu_ID,0)),"رقم غير موجود"))</f>
        <v/>
      </c>
      <c r="D156" s="88">
        <f>IF(B156="","",IFERROR(INDEX(Stu_Class,MATCH(B156,Stu_ID,0)),""))</f>
        <v/>
      </c>
      <c r="E156" s="88">
        <f>IF(OR(B156="",A156=""),"",IFERROR(COUNTIFS(INDEX(CHOOSE(INDEX(Stu_C,MATCH(B156,Stu_ID,0)),'KG1-1'!$AD$9:$IM$38,'KG1-2'!$AD$9:$IM$38,'KG1-3'!$AD$9:$IM$38,'KG1-4'!$AD$9:$IM$38,'KG1-5'!$AD$9:$IM$38,'KG1-6'!$AD$9:$IM$38,'KG1-7'!$AD$9:$IM$38),INDEX(Stu_I,MATCH(B156,Stu_ID,0)),0),"غياب بدون عذر",CHOOSE(INDEX(Stu_C,MATCH(B156,Stu_ID,0)),'KG1-1'!$AD$7:$IM$7,'KG1-2'!$AD$7:$IM$7,'KG1-3'!$AD$7:$IM$7,'KG1-4'!$AD$7:$IM$7,'KG1-5'!$AD$7:$IM$7,'KG1-6'!$AD$7:$IM$7,'KG1-7'!$AD$7:$IM$7),"✓",'KG1-1'!$AD$5:$IM$5,"&lt;="&amp;A156),""))</f>
        <v/>
      </c>
      <c r="F156" s="6" t="n"/>
      <c r="G156" s="108" t="n"/>
      <c r="H156" s="88">
        <f>IF(E156="","",INDEX(LevelLabels,MATCH(E156,LevelValues,1)))</f>
        <v/>
      </c>
      <c r="I156" s="40">
        <f>IF(OR(B156="",A156=""),"",B156&amp;"|"&amp;A156)</f>
        <v/>
      </c>
      <c r="J156" s="40">
        <f>IF(AND(B156&lt;&gt;"",B156=Prof_ID),COUNTIF($B$6:B156,Prof_ID),"")</f>
        <v/>
      </c>
    </row>
    <row r="157">
      <c r="A157" s="5" t="n"/>
      <c r="B157" s="6" t="n"/>
      <c r="C157" s="103">
        <f>IF(B157="","",IFERROR(INDEX(Stu_Name,MATCH(B157,Stu_ID,0)),"رقم غير موجود"))</f>
        <v/>
      </c>
      <c r="D157" s="88">
        <f>IF(B157="","",IFERROR(INDEX(Stu_Class,MATCH(B157,Stu_ID,0)),""))</f>
        <v/>
      </c>
      <c r="E157" s="88">
        <f>IF(OR(B157="",A157=""),"",IFERROR(COUNTIFS(INDEX(CHOOSE(INDEX(Stu_C,MATCH(B157,Stu_ID,0)),'KG1-1'!$AD$9:$IM$38,'KG1-2'!$AD$9:$IM$38,'KG1-3'!$AD$9:$IM$38,'KG1-4'!$AD$9:$IM$38,'KG1-5'!$AD$9:$IM$38,'KG1-6'!$AD$9:$IM$38,'KG1-7'!$AD$9:$IM$38),INDEX(Stu_I,MATCH(B157,Stu_ID,0)),0),"غياب بدون عذر",CHOOSE(INDEX(Stu_C,MATCH(B157,Stu_ID,0)),'KG1-1'!$AD$7:$IM$7,'KG1-2'!$AD$7:$IM$7,'KG1-3'!$AD$7:$IM$7,'KG1-4'!$AD$7:$IM$7,'KG1-5'!$AD$7:$IM$7,'KG1-6'!$AD$7:$IM$7,'KG1-7'!$AD$7:$IM$7),"✓",'KG1-1'!$AD$5:$IM$5,"&lt;="&amp;A157),""))</f>
        <v/>
      </c>
      <c r="F157" s="6" t="n"/>
      <c r="G157" s="108" t="n"/>
      <c r="H157" s="88">
        <f>IF(E157="","",INDEX(LevelLabels,MATCH(E157,LevelValues,1)))</f>
        <v/>
      </c>
      <c r="I157" s="40">
        <f>IF(OR(B157="",A157=""),"",B157&amp;"|"&amp;A157)</f>
        <v/>
      </c>
      <c r="J157" s="40">
        <f>IF(AND(B157&lt;&gt;"",B157=Prof_ID),COUNTIF($B$6:B157,Prof_ID),"")</f>
        <v/>
      </c>
    </row>
    <row r="158">
      <c r="A158" s="5" t="n"/>
      <c r="B158" s="6" t="n"/>
      <c r="C158" s="103">
        <f>IF(B158="","",IFERROR(INDEX(Stu_Name,MATCH(B158,Stu_ID,0)),"رقم غير موجود"))</f>
        <v/>
      </c>
      <c r="D158" s="88">
        <f>IF(B158="","",IFERROR(INDEX(Stu_Class,MATCH(B158,Stu_ID,0)),""))</f>
        <v/>
      </c>
      <c r="E158" s="88">
        <f>IF(OR(B158="",A158=""),"",IFERROR(COUNTIFS(INDEX(CHOOSE(INDEX(Stu_C,MATCH(B158,Stu_ID,0)),'KG1-1'!$AD$9:$IM$38,'KG1-2'!$AD$9:$IM$38,'KG1-3'!$AD$9:$IM$38,'KG1-4'!$AD$9:$IM$38,'KG1-5'!$AD$9:$IM$38,'KG1-6'!$AD$9:$IM$38,'KG1-7'!$AD$9:$IM$38),INDEX(Stu_I,MATCH(B158,Stu_ID,0)),0),"غياب بدون عذر",CHOOSE(INDEX(Stu_C,MATCH(B158,Stu_ID,0)),'KG1-1'!$AD$7:$IM$7,'KG1-2'!$AD$7:$IM$7,'KG1-3'!$AD$7:$IM$7,'KG1-4'!$AD$7:$IM$7,'KG1-5'!$AD$7:$IM$7,'KG1-6'!$AD$7:$IM$7,'KG1-7'!$AD$7:$IM$7),"✓",'KG1-1'!$AD$5:$IM$5,"&lt;="&amp;A158),""))</f>
        <v/>
      </c>
      <c r="F158" s="6" t="n"/>
      <c r="G158" s="108" t="n"/>
      <c r="H158" s="88">
        <f>IF(E158="","",INDEX(LevelLabels,MATCH(E158,LevelValues,1)))</f>
        <v/>
      </c>
      <c r="I158" s="40">
        <f>IF(OR(B158="",A158=""),"",B158&amp;"|"&amp;A158)</f>
        <v/>
      </c>
      <c r="J158" s="40">
        <f>IF(AND(B158&lt;&gt;"",B158=Prof_ID),COUNTIF($B$6:B158,Prof_ID),"")</f>
        <v/>
      </c>
    </row>
    <row r="159">
      <c r="A159" s="5" t="n"/>
      <c r="B159" s="6" t="n"/>
      <c r="C159" s="103">
        <f>IF(B159="","",IFERROR(INDEX(Stu_Name,MATCH(B159,Stu_ID,0)),"رقم غير موجود"))</f>
        <v/>
      </c>
      <c r="D159" s="88">
        <f>IF(B159="","",IFERROR(INDEX(Stu_Class,MATCH(B159,Stu_ID,0)),""))</f>
        <v/>
      </c>
      <c r="E159" s="88">
        <f>IF(OR(B159="",A159=""),"",IFERROR(COUNTIFS(INDEX(CHOOSE(INDEX(Stu_C,MATCH(B159,Stu_ID,0)),'KG1-1'!$AD$9:$IM$38,'KG1-2'!$AD$9:$IM$38,'KG1-3'!$AD$9:$IM$38,'KG1-4'!$AD$9:$IM$38,'KG1-5'!$AD$9:$IM$38,'KG1-6'!$AD$9:$IM$38,'KG1-7'!$AD$9:$IM$38),INDEX(Stu_I,MATCH(B159,Stu_ID,0)),0),"غياب بدون عذر",CHOOSE(INDEX(Stu_C,MATCH(B159,Stu_ID,0)),'KG1-1'!$AD$7:$IM$7,'KG1-2'!$AD$7:$IM$7,'KG1-3'!$AD$7:$IM$7,'KG1-4'!$AD$7:$IM$7,'KG1-5'!$AD$7:$IM$7,'KG1-6'!$AD$7:$IM$7,'KG1-7'!$AD$7:$IM$7),"✓",'KG1-1'!$AD$5:$IM$5,"&lt;="&amp;A159),""))</f>
        <v/>
      </c>
      <c r="F159" s="6" t="n"/>
      <c r="G159" s="108" t="n"/>
      <c r="H159" s="88">
        <f>IF(E159="","",INDEX(LevelLabels,MATCH(E159,LevelValues,1)))</f>
        <v/>
      </c>
      <c r="I159" s="40">
        <f>IF(OR(B159="",A159=""),"",B159&amp;"|"&amp;A159)</f>
        <v/>
      </c>
      <c r="J159" s="40">
        <f>IF(AND(B159&lt;&gt;"",B159=Prof_ID),COUNTIF($B$6:B159,Prof_ID),"")</f>
        <v/>
      </c>
    </row>
    <row r="160">
      <c r="A160" s="5" t="n"/>
      <c r="B160" s="6" t="n"/>
      <c r="C160" s="103">
        <f>IF(B160="","",IFERROR(INDEX(Stu_Name,MATCH(B160,Stu_ID,0)),"رقم غير موجود"))</f>
        <v/>
      </c>
      <c r="D160" s="88">
        <f>IF(B160="","",IFERROR(INDEX(Stu_Class,MATCH(B160,Stu_ID,0)),""))</f>
        <v/>
      </c>
      <c r="E160" s="88">
        <f>IF(OR(B160="",A160=""),"",IFERROR(COUNTIFS(INDEX(CHOOSE(INDEX(Stu_C,MATCH(B160,Stu_ID,0)),'KG1-1'!$AD$9:$IM$38,'KG1-2'!$AD$9:$IM$38,'KG1-3'!$AD$9:$IM$38,'KG1-4'!$AD$9:$IM$38,'KG1-5'!$AD$9:$IM$38,'KG1-6'!$AD$9:$IM$38,'KG1-7'!$AD$9:$IM$38),INDEX(Stu_I,MATCH(B160,Stu_ID,0)),0),"غياب بدون عذر",CHOOSE(INDEX(Stu_C,MATCH(B160,Stu_ID,0)),'KG1-1'!$AD$7:$IM$7,'KG1-2'!$AD$7:$IM$7,'KG1-3'!$AD$7:$IM$7,'KG1-4'!$AD$7:$IM$7,'KG1-5'!$AD$7:$IM$7,'KG1-6'!$AD$7:$IM$7,'KG1-7'!$AD$7:$IM$7),"✓",'KG1-1'!$AD$5:$IM$5,"&lt;="&amp;A160),""))</f>
        <v/>
      </c>
      <c r="F160" s="6" t="n"/>
      <c r="G160" s="108" t="n"/>
      <c r="H160" s="88">
        <f>IF(E160="","",INDEX(LevelLabels,MATCH(E160,LevelValues,1)))</f>
        <v/>
      </c>
      <c r="I160" s="40">
        <f>IF(OR(B160="",A160=""),"",B160&amp;"|"&amp;A160)</f>
        <v/>
      </c>
      <c r="J160" s="40">
        <f>IF(AND(B160&lt;&gt;"",B160=Prof_ID),COUNTIF($B$6:B160,Prof_ID),"")</f>
        <v/>
      </c>
    </row>
    <row r="161">
      <c r="A161" s="5" t="n"/>
      <c r="B161" s="6" t="n"/>
      <c r="C161" s="103">
        <f>IF(B161="","",IFERROR(INDEX(Stu_Name,MATCH(B161,Stu_ID,0)),"رقم غير موجود"))</f>
        <v/>
      </c>
      <c r="D161" s="88">
        <f>IF(B161="","",IFERROR(INDEX(Stu_Class,MATCH(B161,Stu_ID,0)),""))</f>
        <v/>
      </c>
      <c r="E161" s="88">
        <f>IF(OR(B161="",A161=""),"",IFERROR(COUNTIFS(INDEX(CHOOSE(INDEX(Stu_C,MATCH(B161,Stu_ID,0)),'KG1-1'!$AD$9:$IM$38,'KG1-2'!$AD$9:$IM$38,'KG1-3'!$AD$9:$IM$38,'KG1-4'!$AD$9:$IM$38,'KG1-5'!$AD$9:$IM$38,'KG1-6'!$AD$9:$IM$38,'KG1-7'!$AD$9:$IM$38),INDEX(Stu_I,MATCH(B161,Stu_ID,0)),0),"غياب بدون عذر",CHOOSE(INDEX(Stu_C,MATCH(B161,Stu_ID,0)),'KG1-1'!$AD$7:$IM$7,'KG1-2'!$AD$7:$IM$7,'KG1-3'!$AD$7:$IM$7,'KG1-4'!$AD$7:$IM$7,'KG1-5'!$AD$7:$IM$7,'KG1-6'!$AD$7:$IM$7,'KG1-7'!$AD$7:$IM$7),"✓",'KG1-1'!$AD$5:$IM$5,"&lt;="&amp;A161),""))</f>
        <v/>
      </c>
      <c r="F161" s="6" t="n"/>
      <c r="G161" s="108" t="n"/>
      <c r="H161" s="88">
        <f>IF(E161="","",INDEX(LevelLabels,MATCH(E161,LevelValues,1)))</f>
        <v/>
      </c>
      <c r="I161" s="40">
        <f>IF(OR(B161="",A161=""),"",B161&amp;"|"&amp;A161)</f>
        <v/>
      </c>
      <c r="J161" s="40">
        <f>IF(AND(B161&lt;&gt;"",B161=Prof_ID),COUNTIF($B$6:B161,Prof_ID),"")</f>
        <v/>
      </c>
    </row>
    <row r="162">
      <c r="A162" s="5" t="n"/>
      <c r="B162" s="6" t="n"/>
      <c r="C162" s="103">
        <f>IF(B162="","",IFERROR(INDEX(Stu_Name,MATCH(B162,Stu_ID,0)),"رقم غير موجود"))</f>
        <v/>
      </c>
      <c r="D162" s="88">
        <f>IF(B162="","",IFERROR(INDEX(Stu_Class,MATCH(B162,Stu_ID,0)),""))</f>
        <v/>
      </c>
      <c r="E162" s="88">
        <f>IF(OR(B162="",A162=""),"",IFERROR(COUNTIFS(INDEX(CHOOSE(INDEX(Stu_C,MATCH(B162,Stu_ID,0)),'KG1-1'!$AD$9:$IM$38,'KG1-2'!$AD$9:$IM$38,'KG1-3'!$AD$9:$IM$38,'KG1-4'!$AD$9:$IM$38,'KG1-5'!$AD$9:$IM$38,'KG1-6'!$AD$9:$IM$38,'KG1-7'!$AD$9:$IM$38),INDEX(Stu_I,MATCH(B162,Stu_ID,0)),0),"غياب بدون عذر",CHOOSE(INDEX(Stu_C,MATCH(B162,Stu_ID,0)),'KG1-1'!$AD$7:$IM$7,'KG1-2'!$AD$7:$IM$7,'KG1-3'!$AD$7:$IM$7,'KG1-4'!$AD$7:$IM$7,'KG1-5'!$AD$7:$IM$7,'KG1-6'!$AD$7:$IM$7,'KG1-7'!$AD$7:$IM$7),"✓",'KG1-1'!$AD$5:$IM$5,"&lt;="&amp;A162),""))</f>
        <v/>
      </c>
      <c r="F162" s="6" t="n"/>
      <c r="G162" s="108" t="n"/>
      <c r="H162" s="88">
        <f>IF(E162="","",INDEX(LevelLabels,MATCH(E162,LevelValues,1)))</f>
        <v/>
      </c>
      <c r="I162" s="40">
        <f>IF(OR(B162="",A162=""),"",B162&amp;"|"&amp;A162)</f>
        <v/>
      </c>
      <c r="J162" s="40">
        <f>IF(AND(B162&lt;&gt;"",B162=Prof_ID),COUNTIF($B$6:B162,Prof_ID),"")</f>
        <v/>
      </c>
    </row>
    <row r="163">
      <c r="A163" s="5" t="n"/>
      <c r="B163" s="6" t="n"/>
      <c r="C163" s="103">
        <f>IF(B163="","",IFERROR(INDEX(Stu_Name,MATCH(B163,Stu_ID,0)),"رقم غير موجود"))</f>
        <v/>
      </c>
      <c r="D163" s="88">
        <f>IF(B163="","",IFERROR(INDEX(Stu_Class,MATCH(B163,Stu_ID,0)),""))</f>
        <v/>
      </c>
      <c r="E163" s="88">
        <f>IF(OR(B163="",A163=""),"",IFERROR(COUNTIFS(INDEX(CHOOSE(INDEX(Stu_C,MATCH(B163,Stu_ID,0)),'KG1-1'!$AD$9:$IM$38,'KG1-2'!$AD$9:$IM$38,'KG1-3'!$AD$9:$IM$38,'KG1-4'!$AD$9:$IM$38,'KG1-5'!$AD$9:$IM$38,'KG1-6'!$AD$9:$IM$38,'KG1-7'!$AD$9:$IM$38),INDEX(Stu_I,MATCH(B163,Stu_ID,0)),0),"غياب بدون عذر",CHOOSE(INDEX(Stu_C,MATCH(B163,Stu_ID,0)),'KG1-1'!$AD$7:$IM$7,'KG1-2'!$AD$7:$IM$7,'KG1-3'!$AD$7:$IM$7,'KG1-4'!$AD$7:$IM$7,'KG1-5'!$AD$7:$IM$7,'KG1-6'!$AD$7:$IM$7,'KG1-7'!$AD$7:$IM$7),"✓",'KG1-1'!$AD$5:$IM$5,"&lt;="&amp;A163),""))</f>
        <v/>
      </c>
      <c r="F163" s="6" t="n"/>
      <c r="G163" s="108" t="n"/>
      <c r="H163" s="88">
        <f>IF(E163="","",INDEX(LevelLabels,MATCH(E163,LevelValues,1)))</f>
        <v/>
      </c>
      <c r="I163" s="40">
        <f>IF(OR(B163="",A163=""),"",B163&amp;"|"&amp;A163)</f>
        <v/>
      </c>
      <c r="J163" s="40">
        <f>IF(AND(B163&lt;&gt;"",B163=Prof_ID),COUNTIF($B$6:B163,Prof_ID),"")</f>
        <v/>
      </c>
    </row>
    <row r="164">
      <c r="A164" s="5" t="n"/>
      <c r="B164" s="6" t="n"/>
      <c r="C164" s="103">
        <f>IF(B164="","",IFERROR(INDEX(Stu_Name,MATCH(B164,Stu_ID,0)),"رقم غير موجود"))</f>
        <v/>
      </c>
      <c r="D164" s="88">
        <f>IF(B164="","",IFERROR(INDEX(Stu_Class,MATCH(B164,Stu_ID,0)),""))</f>
        <v/>
      </c>
      <c r="E164" s="88">
        <f>IF(OR(B164="",A164=""),"",IFERROR(COUNTIFS(INDEX(CHOOSE(INDEX(Stu_C,MATCH(B164,Stu_ID,0)),'KG1-1'!$AD$9:$IM$38,'KG1-2'!$AD$9:$IM$38,'KG1-3'!$AD$9:$IM$38,'KG1-4'!$AD$9:$IM$38,'KG1-5'!$AD$9:$IM$38,'KG1-6'!$AD$9:$IM$38,'KG1-7'!$AD$9:$IM$38),INDEX(Stu_I,MATCH(B164,Stu_ID,0)),0),"غياب بدون عذر",CHOOSE(INDEX(Stu_C,MATCH(B164,Stu_ID,0)),'KG1-1'!$AD$7:$IM$7,'KG1-2'!$AD$7:$IM$7,'KG1-3'!$AD$7:$IM$7,'KG1-4'!$AD$7:$IM$7,'KG1-5'!$AD$7:$IM$7,'KG1-6'!$AD$7:$IM$7,'KG1-7'!$AD$7:$IM$7),"✓",'KG1-1'!$AD$5:$IM$5,"&lt;="&amp;A164),""))</f>
        <v/>
      </c>
      <c r="F164" s="6" t="n"/>
      <c r="G164" s="108" t="n"/>
      <c r="H164" s="88">
        <f>IF(E164="","",INDEX(LevelLabels,MATCH(E164,LevelValues,1)))</f>
        <v/>
      </c>
      <c r="I164" s="40">
        <f>IF(OR(B164="",A164=""),"",B164&amp;"|"&amp;A164)</f>
        <v/>
      </c>
      <c r="J164" s="40">
        <f>IF(AND(B164&lt;&gt;"",B164=Prof_ID),COUNTIF($B$6:B164,Prof_ID),"")</f>
        <v/>
      </c>
    </row>
    <row r="165">
      <c r="A165" s="5" t="n"/>
      <c r="B165" s="6" t="n"/>
      <c r="C165" s="103">
        <f>IF(B165="","",IFERROR(INDEX(Stu_Name,MATCH(B165,Stu_ID,0)),"رقم غير موجود"))</f>
        <v/>
      </c>
      <c r="D165" s="88">
        <f>IF(B165="","",IFERROR(INDEX(Stu_Class,MATCH(B165,Stu_ID,0)),""))</f>
        <v/>
      </c>
      <c r="E165" s="88">
        <f>IF(OR(B165="",A165=""),"",IFERROR(COUNTIFS(INDEX(CHOOSE(INDEX(Stu_C,MATCH(B165,Stu_ID,0)),'KG1-1'!$AD$9:$IM$38,'KG1-2'!$AD$9:$IM$38,'KG1-3'!$AD$9:$IM$38,'KG1-4'!$AD$9:$IM$38,'KG1-5'!$AD$9:$IM$38,'KG1-6'!$AD$9:$IM$38,'KG1-7'!$AD$9:$IM$38),INDEX(Stu_I,MATCH(B165,Stu_ID,0)),0),"غياب بدون عذر",CHOOSE(INDEX(Stu_C,MATCH(B165,Stu_ID,0)),'KG1-1'!$AD$7:$IM$7,'KG1-2'!$AD$7:$IM$7,'KG1-3'!$AD$7:$IM$7,'KG1-4'!$AD$7:$IM$7,'KG1-5'!$AD$7:$IM$7,'KG1-6'!$AD$7:$IM$7,'KG1-7'!$AD$7:$IM$7),"✓",'KG1-1'!$AD$5:$IM$5,"&lt;="&amp;A165),""))</f>
        <v/>
      </c>
      <c r="F165" s="6" t="n"/>
      <c r="G165" s="108" t="n"/>
      <c r="H165" s="88">
        <f>IF(E165="","",INDEX(LevelLabels,MATCH(E165,LevelValues,1)))</f>
        <v/>
      </c>
      <c r="I165" s="40">
        <f>IF(OR(B165="",A165=""),"",B165&amp;"|"&amp;A165)</f>
        <v/>
      </c>
      <c r="J165" s="40">
        <f>IF(AND(B165&lt;&gt;"",B165=Prof_ID),COUNTIF($B$6:B165,Prof_ID),"")</f>
        <v/>
      </c>
    </row>
    <row r="166">
      <c r="A166" s="5" t="n"/>
      <c r="B166" s="6" t="n"/>
      <c r="C166" s="103">
        <f>IF(B166="","",IFERROR(INDEX(Stu_Name,MATCH(B166,Stu_ID,0)),"رقم غير موجود"))</f>
        <v/>
      </c>
      <c r="D166" s="88">
        <f>IF(B166="","",IFERROR(INDEX(Stu_Class,MATCH(B166,Stu_ID,0)),""))</f>
        <v/>
      </c>
      <c r="E166" s="88">
        <f>IF(OR(B166="",A166=""),"",IFERROR(COUNTIFS(INDEX(CHOOSE(INDEX(Stu_C,MATCH(B166,Stu_ID,0)),'KG1-1'!$AD$9:$IM$38,'KG1-2'!$AD$9:$IM$38,'KG1-3'!$AD$9:$IM$38,'KG1-4'!$AD$9:$IM$38,'KG1-5'!$AD$9:$IM$38,'KG1-6'!$AD$9:$IM$38,'KG1-7'!$AD$9:$IM$38),INDEX(Stu_I,MATCH(B166,Stu_ID,0)),0),"غياب بدون عذر",CHOOSE(INDEX(Stu_C,MATCH(B166,Stu_ID,0)),'KG1-1'!$AD$7:$IM$7,'KG1-2'!$AD$7:$IM$7,'KG1-3'!$AD$7:$IM$7,'KG1-4'!$AD$7:$IM$7,'KG1-5'!$AD$7:$IM$7,'KG1-6'!$AD$7:$IM$7,'KG1-7'!$AD$7:$IM$7),"✓",'KG1-1'!$AD$5:$IM$5,"&lt;="&amp;A166),""))</f>
        <v/>
      </c>
      <c r="F166" s="6" t="n"/>
      <c r="G166" s="108" t="n"/>
      <c r="H166" s="88">
        <f>IF(E166="","",INDEX(LevelLabels,MATCH(E166,LevelValues,1)))</f>
        <v/>
      </c>
      <c r="I166" s="40">
        <f>IF(OR(B166="",A166=""),"",B166&amp;"|"&amp;A166)</f>
        <v/>
      </c>
      <c r="J166" s="40">
        <f>IF(AND(B166&lt;&gt;"",B166=Prof_ID),COUNTIF($B$6:B166,Prof_ID),"")</f>
        <v/>
      </c>
    </row>
    <row r="167">
      <c r="A167" s="5" t="n"/>
      <c r="B167" s="6" t="n"/>
      <c r="C167" s="103">
        <f>IF(B167="","",IFERROR(INDEX(Stu_Name,MATCH(B167,Stu_ID,0)),"رقم غير موجود"))</f>
        <v/>
      </c>
      <c r="D167" s="88">
        <f>IF(B167="","",IFERROR(INDEX(Stu_Class,MATCH(B167,Stu_ID,0)),""))</f>
        <v/>
      </c>
      <c r="E167" s="88">
        <f>IF(OR(B167="",A167=""),"",IFERROR(COUNTIFS(INDEX(CHOOSE(INDEX(Stu_C,MATCH(B167,Stu_ID,0)),'KG1-1'!$AD$9:$IM$38,'KG1-2'!$AD$9:$IM$38,'KG1-3'!$AD$9:$IM$38,'KG1-4'!$AD$9:$IM$38,'KG1-5'!$AD$9:$IM$38,'KG1-6'!$AD$9:$IM$38,'KG1-7'!$AD$9:$IM$38),INDEX(Stu_I,MATCH(B167,Stu_ID,0)),0),"غياب بدون عذر",CHOOSE(INDEX(Stu_C,MATCH(B167,Stu_ID,0)),'KG1-1'!$AD$7:$IM$7,'KG1-2'!$AD$7:$IM$7,'KG1-3'!$AD$7:$IM$7,'KG1-4'!$AD$7:$IM$7,'KG1-5'!$AD$7:$IM$7,'KG1-6'!$AD$7:$IM$7,'KG1-7'!$AD$7:$IM$7),"✓",'KG1-1'!$AD$5:$IM$5,"&lt;="&amp;A167),""))</f>
        <v/>
      </c>
      <c r="F167" s="6" t="n"/>
      <c r="G167" s="108" t="n"/>
      <c r="H167" s="88">
        <f>IF(E167="","",INDEX(LevelLabels,MATCH(E167,LevelValues,1)))</f>
        <v/>
      </c>
      <c r="I167" s="40">
        <f>IF(OR(B167="",A167=""),"",B167&amp;"|"&amp;A167)</f>
        <v/>
      </c>
      <c r="J167" s="40">
        <f>IF(AND(B167&lt;&gt;"",B167=Prof_ID),COUNTIF($B$6:B167,Prof_ID),"")</f>
        <v/>
      </c>
    </row>
    <row r="168">
      <c r="A168" s="5" t="n"/>
      <c r="B168" s="6" t="n"/>
      <c r="C168" s="103">
        <f>IF(B168="","",IFERROR(INDEX(Stu_Name,MATCH(B168,Stu_ID,0)),"رقم غير موجود"))</f>
        <v/>
      </c>
      <c r="D168" s="88">
        <f>IF(B168="","",IFERROR(INDEX(Stu_Class,MATCH(B168,Stu_ID,0)),""))</f>
        <v/>
      </c>
      <c r="E168" s="88">
        <f>IF(OR(B168="",A168=""),"",IFERROR(COUNTIFS(INDEX(CHOOSE(INDEX(Stu_C,MATCH(B168,Stu_ID,0)),'KG1-1'!$AD$9:$IM$38,'KG1-2'!$AD$9:$IM$38,'KG1-3'!$AD$9:$IM$38,'KG1-4'!$AD$9:$IM$38,'KG1-5'!$AD$9:$IM$38,'KG1-6'!$AD$9:$IM$38,'KG1-7'!$AD$9:$IM$38),INDEX(Stu_I,MATCH(B168,Stu_ID,0)),0),"غياب بدون عذر",CHOOSE(INDEX(Stu_C,MATCH(B168,Stu_ID,0)),'KG1-1'!$AD$7:$IM$7,'KG1-2'!$AD$7:$IM$7,'KG1-3'!$AD$7:$IM$7,'KG1-4'!$AD$7:$IM$7,'KG1-5'!$AD$7:$IM$7,'KG1-6'!$AD$7:$IM$7,'KG1-7'!$AD$7:$IM$7),"✓",'KG1-1'!$AD$5:$IM$5,"&lt;="&amp;A168),""))</f>
        <v/>
      </c>
      <c r="F168" s="6" t="n"/>
      <c r="G168" s="108" t="n"/>
      <c r="H168" s="88">
        <f>IF(E168="","",INDEX(LevelLabels,MATCH(E168,LevelValues,1)))</f>
        <v/>
      </c>
      <c r="I168" s="40">
        <f>IF(OR(B168="",A168=""),"",B168&amp;"|"&amp;A168)</f>
        <v/>
      </c>
      <c r="J168" s="40">
        <f>IF(AND(B168&lt;&gt;"",B168=Prof_ID),COUNTIF($B$6:B168,Prof_ID),"")</f>
        <v/>
      </c>
    </row>
    <row r="169">
      <c r="A169" s="5" t="n"/>
      <c r="B169" s="6" t="n"/>
      <c r="C169" s="103">
        <f>IF(B169="","",IFERROR(INDEX(Stu_Name,MATCH(B169,Stu_ID,0)),"رقم غير موجود"))</f>
        <v/>
      </c>
      <c r="D169" s="88">
        <f>IF(B169="","",IFERROR(INDEX(Stu_Class,MATCH(B169,Stu_ID,0)),""))</f>
        <v/>
      </c>
      <c r="E169" s="88">
        <f>IF(OR(B169="",A169=""),"",IFERROR(COUNTIFS(INDEX(CHOOSE(INDEX(Stu_C,MATCH(B169,Stu_ID,0)),'KG1-1'!$AD$9:$IM$38,'KG1-2'!$AD$9:$IM$38,'KG1-3'!$AD$9:$IM$38,'KG1-4'!$AD$9:$IM$38,'KG1-5'!$AD$9:$IM$38,'KG1-6'!$AD$9:$IM$38,'KG1-7'!$AD$9:$IM$38),INDEX(Stu_I,MATCH(B169,Stu_ID,0)),0),"غياب بدون عذر",CHOOSE(INDEX(Stu_C,MATCH(B169,Stu_ID,0)),'KG1-1'!$AD$7:$IM$7,'KG1-2'!$AD$7:$IM$7,'KG1-3'!$AD$7:$IM$7,'KG1-4'!$AD$7:$IM$7,'KG1-5'!$AD$7:$IM$7,'KG1-6'!$AD$7:$IM$7,'KG1-7'!$AD$7:$IM$7),"✓",'KG1-1'!$AD$5:$IM$5,"&lt;="&amp;A169),""))</f>
        <v/>
      </c>
      <c r="F169" s="6" t="n"/>
      <c r="G169" s="108" t="n"/>
      <c r="H169" s="88">
        <f>IF(E169="","",INDEX(LevelLabels,MATCH(E169,LevelValues,1)))</f>
        <v/>
      </c>
      <c r="I169" s="40">
        <f>IF(OR(B169="",A169=""),"",B169&amp;"|"&amp;A169)</f>
        <v/>
      </c>
      <c r="J169" s="40">
        <f>IF(AND(B169&lt;&gt;"",B169=Prof_ID),COUNTIF($B$6:B169,Prof_ID),"")</f>
        <v/>
      </c>
    </row>
    <row r="170">
      <c r="A170" s="5" t="n"/>
      <c r="B170" s="6" t="n"/>
      <c r="C170" s="103">
        <f>IF(B170="","",IFERROR(INDEX(Stu_Name,MATCH(B170,Stu_ID,0)),"رقم غير موجود"))</f>
        <v/>
      </c>
      <c r="D170" s="88">
        <f>IF(B170="","",IFERROR(INDEX(Stu_Class,MATCH(B170,Stu_ID,0)),""))</f>
        <v/>
      </c>
      <c r="E170" s="88">
        <f>IF(OR(B170="",A170=""),"",IFERROR(COUNTIFS(INDEX(CHOOSE(INDEX(Stu_C,MATCH(B170,Stu_ID,0)),'KG1-1'!$AD$9:$IM$38,'KG1-2'!$AD$9:$IM$38,'KG1-3'!$AD$9:$IM$38,'KG1-4'!$AD$9:$IM$38,'KG1-5'!$AD$9:$IM$38,'KG1-6'!$AD$9:$IM$38,'KG1-7'!$AD$9:$IM$38),INDEX(Stu_I,MATCH(B170,Stu_ID,0)),0),"غياب بدون عذر",CHOOSE(INDEX(Stu_C,MATCH(B170,Stu_ID,0)),'KG1-1'!$AD$7:$IM$7,'KG1-2'!$AD$7:$IM$7,'KG1-3'!$AD$7:$IM$7,'KG1-4'!$AD$7:$IM$7,'KG1-5'!$AD$7:$IM$7,'KG1-6'!$AD$7:$IM$7,'KG1-7'!$AD$7:$IM$7),"✓",'KG1-1'!$AD$5:$IM$5,"&lt;="&amp;A170),""))</f>
        <v/>
      </c>
      <c r="F170" s="6" t="n"/>
      <c r="G170" s="108" t="n"/>
      <c r="H170" s="88">
        <f>IF(E170="","",INDEX(LevelLabels,MATCH(E170,LevelValues,1)))</f>
        <v/>
      </c>
      <c r="I170" s="40">
        <f>IF(OR(B170="",A170=""),"",B170&amp;"|"&amp;A170)</f>
        <v/>
      </c>
      <c r="J170" s="40">
        <f>IF(AND(B170&lt;&gt;"",B170=Prof_ID),COUNTIF($B$6:B170,Prof_ID),"")</f>
        <v/>
      </c>
    </row>
    <row r="171">
      <c r="A171" s="5" t="n"/>
      <c r="B171" s="6" t="n"/>
      <c r="C171" s="103">
        <f>IF(B171="","",IFERROR(INDEX(Stu_Name,MATCH(B171,Stu_ID,0)),"رقم غير موجود"))</f>
        <v/>
      </c>
      <c r="D171" s="88">
        <f>IF(B171="","",IFERROR(INDEX(Stu_Class,MATCH(B171,Stu_ID,0)),""))</f>
        <v/>
      </c>
      <c r="E171" s="88">
        <f>IF(OR(B171="",A171=""),"",IFERROR(COUNTIFS(INDEX(CHOOSE(INDEX(Stu_C,MATCH(B171,Stu_ID,0)),'KG1-1'!$AD$9:$IM$38,'KG1-2'!$AD$9:$IM$38,'KG1-3'!$AD$9:$IM$38,'KG1-4'!$AD$9:$IM$38,'KG1-5'!$AD$9:$IM$38,'KG1-6'!$AD$9:$IM$38,'KG1-7'!$AD$9:$IM$38),INDEX(Stu_I,MATCH(B171,Stu_ID,0)),0),"غياب بدون عذر",CHOOSE(INDEX(Stu_C,MATCH(B171,Stu_ID,0)),'KG1-1'!$AD$7:$IM$7,'KG1-2'!$AD$7:$IM$7,'KG1-3'!$AD$7:$IM$7,'KG1-4'!$AD$7:$IM$7,'KG1-5'!$AD$7:$IM$7,'KG1-6'!$AD$7:$IM$7,'KG1-7'!$AD$7:$IM$7),"✓",'KG1-1'!$AD$5:$IM$5,"&lt;="&amp;A171),""))</f>
        <v/>
      </c>
      <c r="F171" s="6" t="n"/>
      <c r="G171" s="108" t="n"/>
      <c r="H171" s="88">
        <f>IF(E171="","",INDEX(LevelLabels,MATCH(E171,LevelValues,1)))</f>
        <v/>
      </c>
      <c r="I171" s="40">
        <f>IF(OR(B171="",A171=""),"",B171&amp;"|"&amp;A171)</f>
        <v/>
      </c>
      <c r="J171" s="40">
        <f>IF(AND(B171&lt;&gt;"",B171=Prof_ID),COUNTIF($B$6:B171,Prof_ID),"")</f>
        <v/>
      </c>
    </row>
    <row r="172">
      <c r="A172" s="5" t="n"/>
      <c r="B172" s="6" t="n"/>
      <c r="C172" s="103">
        <f>IF(B172="","",IFERROR(INDEX(Stu_Name,MATCH(B172,Stu_ID,0)),"رقم غير موجود"))</f>
        <v/>
      </c>
      <c r="D172" s="88">
        <f>IF(B172="","",IFERROR(INDEX(Stu_Class,MATCH(B172,Stu_ID,0)),""))</f>
        <v/>
      </c>
      <c r="E172" s="88">
        <f>IF(OR(B172="",A172=""),"",IFERROR(COUNTIFS(INDEX(CHOOSE(INDEX(Stu_C,MATCH(B172,Stu_ID,0)),'KG1-1'!$AD$9:$IM$38,'KG1-2'!$AD$9:$IM$38,'KG1-3'!$AD$9:$IM$38,'KG1-4'!$AD$9:$IM$38,'KG1-5'!$AD$9:$IM$38,'KG1-6'!$AD$9:$IM$38,'KG1-7'!$AD$9:$IM$38),INDEX(Stu_I,MATCH(B172,Stu_ID,0)),0),"غياب بدون عذر",CHOOSE(INDEX(Stu_C,MATCH(B172,Stu_ID,0)),'KG1-1'!$AD$7:$IM$7,'KG1-2'!$AD$7:$IM$7,'KG1-3'!$AD$7:$IM$7,'KG1-4'!$AD$7:$IM$7,'KG1-5'!$AD$7:$IM$7,'KG1-6'!$AD$7:$IM$7,'KG1-7'!$AD$7:$IM$7),"✓",'KG1-1'!$AD$5:$IM$5,"&lt;="&amp;A172),""))</f>
        <v/>
      </c>
      <c r="F172" s="6" t="n"/>
      <c r="G172" s="108" t="n"/>
      <c r="H172" s="88">
        <f>IF(E172="","",INDEX(LevelLabels,MATCH(E172,LevelValues,1)))</f>
        <v/>
      </c>
      <c r="I172" s="40">
        <f>IF(OR(B172="",A172=""),"",B172&amp;"|"&amp;A172)</f>
        <v/>
      </c>
      <c r="J172" s="40">
        <f>IF(AND(B172&lt;&gt;"",B172=Prof_ID),COUNTIF($B$6:B172,Prof_ID),"")</f>
        <v/>
      </c>
    </row>
    <row r="173">
      <c r="A173" s="5" t="n"/>
      <c r="B173" s="6" t="n"/>
      <c r="C173" s="103">
        <f>IF(B173="","",IFERROR(INDEX(Stu_Name,MATCH(B173,Stu_ID,0)),"رقم غير موجود"))</f>
        <v/>
      </c>
      <c r="D173" s="88">
        <f>IF(B173="","",IFERROR(INDEX(Stu_Class,MATCH(B173,Stu_ID,0)),""))</f>
        <v/>
      </c>
      <c r="E173" s="88">
        <f>IF(OR(B173="",A173=""),"",IFERROR(COUNTIFS(INDEX(CHOOSE(INDEX(Stu_C,MATCH(B173,Stu_ID,0)),'KG1-1'!$AD$9:$IM$38,'KG1-2'!$AD$9:$IM$38,'KG1-3'!$AD$9:$IM$38,'KG1-4'!$AD$9:$IM$38,'KG1-5'!$AD$9:$IM$38,'KG1-6'!$AD$9:$IM$38,'KG1-7'!$AD$9:$IM$38),INDEX(Stu_I,MATCH(B173,Stu_ID,0)),0),"غياب بدون عذر",CHOOSE(INDEX(Stu_C,MATCH(B173,Stu_ID,0)),'KG1-1'!$AD$7:$IM$7,'KG1-2'!$AD$7:$IM$7,'KG1-3'!$AD$7:$IM$7,'KG1-4'!$AD$7:$IM$7,'KG1-5'!$AD$7:$IM$7,'KG1-6'!$AD$7:$IM$7,'KG1-7'!$AD$7:$IM$7),"✓",'KG1-1'!$AD$5:$IM$5,"&lt;="&amp;A173),""))</f>
        <v/>
      </c>
      <c r="F173" s="6" t="n"/>
      <c r="G173" s="108" t="n"/>
      <c r="H173" s="88">
        <f>IF(E173="","",INDEX(LevelLabels,MATCH(E173,LevelValues,1)))</f>
        <v/>
      </c>
      <c r="I173" s="40">
        <f>IF(OR(B173="",A173=""),"",B173&amp;"|"&amp;A173)</f>
        <v/>
      </c>
      <c r="J173" s="40">
        <f>IF(AND(B173&lt;&gt;"",B173=Prof_ID),COUNTIF($B$6:B173,Prof_ID),"")</f>
        <v/>
      </c>
    </row>
    <row r="174">
      <c r="A174" s="5" t="n"/>
      <c r="B174" s="6" t="n"/>
      <c r="C174" s="103">
        <f>IF(B174="","",IFERROR(INDEX(Stu_Name,MATCH(B174,Stu_ID,0)),"رقم غير موجود"))</f>
        <v/>
      </c>
      <c r="D174" s="88">
        <f>IF(B174="","",IFERROR(INDEX(Stu_Class,MATCH(B174,Stu_ID,0)),""))</f>
        <v/>
      </c>
      <c r="E174" s="88">
        <f>IF(OR(B174="",A174=""),"",IFERROR(COUNTIFS(INDEX(CHOOSE(INDEX(Stu_C,MATCH(B174,Stu_ID,0)),'KG1-1'!$AD$9:$IM$38,'KG1-2'!$AD$9:$IM$38,'KG1-3'!$AD$9:$IM$38,'KG1-4'!$AD$9:$IM$38,'KG1-5'!$AD$9:$IM$38,'KG1-6'!$AD$9:$IM$38,'KG1-7'!$AD$9:$IM$38),INDEX(Stu_I,MATCH(B174,Stu_ID,0)),0),"غياب بدون عذر",CHOOSE(INDEX(Stu_C,MATCH(B174,Stu_ID,0)),'KG1-1'!$AD$7:$IM$7,'KG1-2'!$AD$7:$IM$7,'KG1-3'!$AD$7:$IM$7,'KG1-4'!$AD$7:$IM$7,'KG1-5'!$AD$7:$IM$7,'KG1-6'!$AD$7:$IM$7,'KG1-7'!$AD$7:$IM$7),"✓",'KG1-1'!$AD$5:$IM$5,"&lt;="&amp;A174),""))</f>
        <v/>
      </c>
      <c r="F174" s="6" t="n"/>
      <c r="G174" s="108" t="n"/>
      <c r="H174" s="88">
        <f>IF(E174="","",INDEX(LevelLabels,MATCH(E174,LevelValues,1)))</f>
        <v/>
      </c>
      <c r="I174" s="40">
        <f>IF(OR(B174="",A174=""),"",B174&amp;"|"&amp;A174)</f>
        <v/>
      </c>
      <c r="J174" s="40">
        <f>IF(AND(B174&lt;&gt;"",B174=Prof_ID),COUNTIF($B$6:B174,Prof_ID),"")</f>
        <v/>
      </c>
    </row>
    <row r="175">
      <c r="A175" s="5" t="n"/>
      <c r="B175" s="6" t="n"/>
      <c r="C175" s="103">
        <f>IF(B175="","",IFERROR(INDEX(Stu_Name,MATCH(B175,Stu_ID,0)),"رقم غير موجود"))</f>
        <v/>
      </c>
      <c r="D175" s="88">
        <f>IF(B175="","",IFERROR(INDEX(Stu_Class,MATCH(B175,Stu_ID,0)),""))</f>
        <v/>
      </c>
      <c r="E175" s="88">
        <f>IF(OR(B175="",A175=""),"",IFERROR(COUNTIFS(INDEX(CHOOSE(INDEX(Stu_C,MATCH(B175,Stu_ID,0)),'KG1-1'!$AD$9:$IM$38,'KG1-2'!$AD$9:$IM$38,'KG1-3'!$AD$9:$IM$38,'KG1-4'!$AD$9:$IM$38,'KG1-5'!$AD$9:$IM$38,'KG1-6'!$AD$9:$IM$38,'KG1-7'!$AD$9:$IM$38),INDEX(Stu_I,MATCH(B175,Stu_ID,0)),0),"غياب بدون عذر",CHOOSE(INDEX(Stu_C,MATCH(B175,Stu_ID,0)),'KG1-1'!$AD$7:$IM$7,'KG1-2'!$AD$7:$IM$7,'KG1-3'!$AD$7:$IM$7,'KG1-4'!$AD$7:$IM$7,'KG1-5'!$AD$7:$IM$7,'KG1-6'!$AD$7:$IM$7,'KG1-7'!$AD$7:$IM$7),"✓",'KG1-1'!$AD$5:$IM$5,"&lt;="&amp;A175),""))</f>
        <v/>
      </c>
      <c r="F175" s="6" t="n"/>
      <c r="G175" s="108" t="n"/>
      <c r="H175" s="88">
        <f>IF(E175="","",INDEX(LevelLabels,MATCH(E175,LevelValues,1)))</f>
        <v/>
      </c>
      <c r="I175" s="40">
        <f>IF(OR(B175="",A175=""),"",B175&amp;"|"&amp;A175)</f>
        <v/>
      </c>
      <c r="J175" s="40">
        <f>IF(AND(B175&lt;&gt;"",B175=Prof_ID),COUNTIF($B$6:B175,Prof_ID),"")</f>
        <v/>
      </c>
    </row>
    <row r="176">
      <c r="A176" s="5" t="n"/>
      <c r="B176" s="6" t="n"/>
      <c r="C176" s="103">
        <f>IF(B176="","",IFERROR(INDEX(Stu_Name,MATCH(B176,Stu_ID,0)),"رقم غير موجود"))</f>
        <v/>
      </c>
      <c r="D176" s="88">
        <f>IF(B176="","",IFERROR(INDEX(Stu_Class,MATCH(B176,Stu_ID,0)),""))</f>
        <v/>
      </c>
      <c r="E176" s="88">
        <f>IF(OR(B176="",A176=""),"",IFERROR(COUNTIFS(INDEX(CHOOSE(INDEX(Stu_C,MATCH(B176,Stu_ID,0)),'KG1-1'!$AD$9:$IM$38,'KG1-2'!$AD$9:$IM$38,'KG1-3'!$AD$9:$IM$38,'KG1-4'!$AD$9:$IM$38,'KG1-5'!$AD$9:$IM$38,'KG1-6'!$AD$9:$IM$38,'KG1-7'!$AD$9:$IM$38),INDEX(Stu_I,MATCH(B176,Stu_ID,0)),0),"غياب بدون عذر",CHOOSE(INDEX(Stu_C,MATCH(B176,Stu_ID,0)),'KG1-1'!$AD$7:$IM$7,'KG1-2'!$AD$7:$IM$7,'KG1-3'!$AD$7:$IM$7,'KG1-4'!$AD$7:$IM$7,'KG1-5'!$AD$7:$IM$7,'KG1-6'!$AD$7:$IM$7,'KG1-7'!$AD$7:$IM$7),"✓",'KG1-1'!$AD$5:$IM$5,"&lt;="&amp;A176),""))</f>
        <v/>
      </c>
      <c r="F176" s="6" t="n"/>
      <c r="G176" s="108" t="n"/>
      <c r="H176" s="88">
        <f>IF(E176="","",INDEX(LevelLabels,MATCH(E176,LevelValues,1)))</f>
        <v/>
      </c>
      <c r="I176" s="40">
        <f>IF(OR(B176="",A176=""),"",B176&amp;"|"&amp;A176)</f>
        <v/>
      </c>
      <c r="J176" s="40">
        <f>IF(AND(B176&lt;&gt;"",B176=Prof_ID),COUNTIF($B$6:B176,Prof_ID),"")</f>
        <v/>
      </c>
    </row>
    <row r="177">
      <c r="A177" s="5" t="n"/>
      <c r="B177" s="6" t="n"/>
      <c r="C177" s="103">
        <f>IF(B177="","",IFERROR(INDEX(Stu_Name,MATCH(B177,Stu_ID,0)),"رقم غير موجود"))</f>
        <v/>
      </c>
      <c r="D177" s="88">
        <f>IF(B177="","",IFERROR(INDEX(Stu_Class,MATCH(B177,Stu_ID,0)),""))</f>
        <v/>
      </c>
      <c r="E177" s="88">
        <f>IF(OR(B177="",A177=""),"",IFERROR(COUNTIFS(INDEX(CHOOSE(INDEX(Stu_C,MATCH(B177,Stu_ID,0)),'KG1-1'!$AD$9:$IM$38,'KG1-2'!$AD$9:$IM$38,'KG1-3'!$AD$9:$IM$38,'KG1-4'!$AD$9:$IM$38,'KG1-5'!$AD$9:$IM$38,'KG1-6'!$AD$9:$IM$38,'KG1-7'!$AD$9:$IM$38),INDEX(Stu_I,MATCH(B177,Stu_ID,0)),0),"غياب بدون عذر",CHOOSE(INDEX(Stu_C,MATCH(B177,Stu_ID,0)),'KG1-1'!$AD$7:$IM$7,'KG1-2'!$AD$7:$IM$7,'KG1-3'!$AD$7:$IM$7,'KG1-4'!$AD$7:$IM$7,'KG1-5'!$AD$7:$IM$7,'KG1-6'!$AD$7:$IM$7,'KG1-7'!$AD$7:$IM$7),"✓",'KG1-1'!$AD$5:$IM$5,"&lt;="&amp;A177),""))</f>
        <v/>
      </c>
      <c r="F177" s="6" t="n"/>
      <c r="G177" s="108" t="n"/>
      <c r="H177" s="88">
        <f>IF(E177="","",INDEX(LevelLabels,MATCH(E177,LevelValues,1)))</f>
        <v/>
      </c>
      <c r="I177" s="40">
        <f>IF(OR(B177="",A177=""),"",B177&amp;"|"&amp;A177)</f>
        <v/>
      </c>
      <c r="J177" s="40">
        <f>IF(AND(B177&lt;&gt;"",B177=Prof_ID),COUNTIF($B$6:B177,Prof_ID),"")</f>
        <v/>
      </c>
    </row>
    <row r="178">
      <c r="A178" s="5" t="n"/>
      <c r="B178" s="6" t="n"/>
      <c r="C178" s="103">
        <f>IF(B178="","",IFERROR(INDEX(Stu_Name,MATCH(B178,Stu_ID,0)),"رقم غير موجود"))</f>
        <v/>
      </c>
      <c r="D178" s="88">
        <f>IF(B178="","",IFERROR(INDEX(Stu_Class,MATCH(B178,Stu_ID,0)),""))</f>
        <v/>
      </c>
      <c r="E178" s="88">
        <f>IF(OR(B178="",A178=""),"",IFERROR(COUNTIFS(INDEX(CHOOSE(INDEX(Stu_C,MATCH(B178,Stu_ID,0)),'KG1-1'!$AD$9:$IM$38,'KG1-2'!$AD$9:$IM$38,'KG1-3'!$AD$9:$IM$38,'KG1-4'!$AD$9:$IM$38,'KG1-5'!$AD$9:$IM$38,'KG1-6'!$AD$9:$IM$38,'KG1-7'!$AD$9:$IM$38),INDEX(Stu_I,MATCH(B178,Stu_ID,0)),0),"غياب بدون عذر",CHOOSE(INDEX(Stu_C,MATCH(B178,Stu_ID,0)),'KG1-1'!$AD$7:$IM$7,'KG1-2'!$AD$7:$IM$7,'KG1-3'!$AD$7:$IM$7,'KG1-4'!$AD$7:$IM$7,'KG1-5'!$AD$7:$IM$7,'KG1-6'!$AD$7:$IM$7,'KG1-7'!$AD$7:$IM$7),"✓",'KG1-1'!$AD$5:$IM$5,"&lt;="&amp;A178),""))</f>
        <v/>
      </c>
      <c r="F178" s="6" t="n"/>
      <c r="G178" s="108" t="n"/>
      <c r="H178" s="88">
        <f>IF(E178="","",INDEX(LevelLabels,MATCH(E178,LevelValues,1)))</f>
        <v/>
      </c>
      <c r="I178" s="40">
        <f>IF(OR(B178="",A178=""),"",B178&amp;"|"&amp;A178)</f>
        <v/>
      </c>
      <c r="J178" s="40">
        <f>IF(AND(B178&lt;&gt;"",B178=Prof_ID),COUNTIF($B$6:B178,Prof_ID),"")</f>
        <v/>
      </c>
    </row>
    <row r="179">
      <c r="A179" s="5" t="n"/>
      <c r="B179" s="6" t="n"/>
      <c r="C179" s="103">
        <f>IF(B179="","",IFERROR(INDEX(Stu_Name,MATCH(B179,Stu_ID,0)),"رقم غير موجود"))</f>
        <v/>
      </c>
      <c r="D179" s="88">
        <f>IF(B179="","",IFERROR(INDEX(Stu_Class,MATCH(B179,Stu_ID,0)),""))</f>
        <v/>
      </c>
      <c r="E179" s="88">
        <f>IF(OR(B179="",A179=""),"",IFERROR(COUNTIFS(INDEX(CHOOSE(INDEX(Stu_C,MATCH(B179,Stu_ID,0)),'KG1-1'!$AD$9:$IM$38,'KG1-2'!$AD$9:$IM$38,'KG1-3'!$AD$9:$IM$38,'KG1-4'!$AD$9:$IM$38,'KG1-5'!$AD$9:$IM$38,'KG1-6'!$AD$9:$IM$38,'KG1-7'!$AD$9:$IM$38),INDEX(Stu_I,MATCH(B179,Stu_ID,0)),0),"غياب بدون عذر",CHOOSE(INDEX(Stu_C,MATCH(B179,Stu_ID,0)),'KG1-1'!$AD$7:$IM$7,'KG1-2'!$AD$7:$IM$7,'KG1-3'!$AD$7:$IM$7,'KG1-4'!$AD$7:$IM$7,'KG1-5'!$AD$7:$IM$7,'KG1-6'!$AD$7:$IM$7,'KG1-7'!$AD$7:$IM$7),"✓",'KG1-1'!$AD$5:$IM$5,"&lt;="&amp;A179),""))</f>
        <v/>
      </c>
      <c r="F179" s="6" t="n"/>
      <c r="G179" s="108" t="n"/>
      <c r="H179" s="88">
        <f>IF(E179="","",INDEX(LevelLabels,MATCH(E179,LevelValues,1)))</f>
        <v/>
      </c>
      <c r="I179" s="40">
        <f>IF(OR(B179="",A179=""),"",B179&amp;"|"&amp;A179)</f>
        <v/>
      </c>
      <c r="J179" s="40">
        <f>IF(AND(B179&lt;&gt;"",B179=Prof_ID),COUNTIF($B$6:B179,Prof_ID),"")</f>
        <v/>
      </c>
    </row>
    <row r="180">
      <c r="A180" s="5" t="n"/>
      <c r="B180" s="6" t="n"/>
      <c r="C180" s="103">
        <f>IF(B180="","",IFERROR(INDEX(Stu_Name,MATCH(B180,Stu_ID,0)),"رقم غير موجود"))</f>
        <v/>
      </c>
      <c r="D180" s="88">
        <f>IF(B180="","",IFERROR(INDEX(Stu_Class,MATCH(B180,Stu_ID,0)),""))</f>
        <v/>
      </c>
      <c r="E180" s="88">
        <f>IF(OR(B180="",A180=""),"",IFERROR(COUNTIFS(INDEX(CHOOSE(INDEX(Stu_C,MATCH(B180,Stu_ID,0)),'KG1-1'!$AD$9:$IM$38,'KG1-2'!$AD$9:$IM$38,'KG1-3'!$AD$9:$IM$38,'KG1-4'!$AD$9:$IM$38,'KG1-5'!$AD$9:$IM$38,'KG1-6'!$AD$9:$IM$38,'KG1-7'!$AD$9:$IM$38),INDEX(Stu_I,MATCH(B180,Stu_ID,0)),0),"غياب بدون عذر",CHOOSE(INDEX(Stu_C,MATCH(B180,Stu_ID,0)),'KG1-1'!$AD$7:$IM$7,'KG1-2'!$AD$7:$IM$7,'KG1-3'!$AD$7:$IM$7,'KG1-4'!$AD$7:$IM$7,'KG1-5'!$AD$7:$IM$7,'KG1-6'!$AD$7:$IM$7,'KG1-7'!$AD$7:$IM$7),"✓",'KG1-1'!$AD$5:$IM$5,"&lt;="&amp;A180),""))</f>
        <v/>
      </c>
      <c r="F180" s="6" t="n"/>
      <c r="G180" s="108" t="n"/>
      <c r="H180" s="88">
        <f>IF(E180="","",INDEX(LevelLabels,MATCH(E180,LevelValues,1)))</f>
        <v/>
      </c>
      <c r="I180" s="40">
        <f>IF(OR(B180="",A180=""),"",B180&amp;"|"&amp;A180)</f>
        <v/>
      </c>
      <c r="J180" s="40">
        <f>IF(AND(B180&lt;&gt;"",B180=Prof_ID),COUNTIF($B$6:B180,Prof_ID),"")</f>
        <v/>
      </c>
    </row>
    <row r="181">
      <c r="A181" s="5" t="n"/>
      <c r="B181" s="6" t="n"/>
      <c r="C181" s="103">
        <f>IF(B181="","",IFERROR(INDEX(Stu_Name,MATCH(B181,Stu_ID,0)),"رقم غير موجود"))</f>
        <v/>
      </c>
      <c r="D181" s="88">
        <f>IF(B181="","",IFERROR(INDEX(Stu_Class,MATCH(B181,Stu_ID,0)),""))</f>
        <v/>
      </c>
      <c r="E181" s="88">
        <f>IF(OR(B181="",A181=""),"",IFERROR(COUNTIFS(INDEX(CHOOSE(INDEX(Stu_C,MATCH(B181,Stu_ID,0)),'KG1-1'!$AD$9:$IM$38,'KG1-2'!$AD$9:$IM$38,'KG1-3'!$AD$9:$IM$38,'KG1-4'!$AD$9:$IM$38,'KG1-5'!$AD$9:$IM$38,'KG1-6'!$AD$9:$IM$38,'KG1-7'!$AD$9:$IM$38),INDEX(Stu_I,MATCH(B181,Stu_ID,0)),0),"غياب بدون عذر",CHOOSE(INDEX(Stu_C,MATCH(B181,Stu_ID,0)),'KG1-1'!$AD$7:$IM$7,'KG1-2'!$AD$7:$IM$7,'KG1-3'!$AD$7:$IM$7,'KG1-4'!$AD$7:$IM$7,'KG1-5'!$AD$7:$IM$7,'KG1-6'!$AD$7:$IM$7,'KG1-7'!$AD$7:$IM$7),"✓",'KG1-1'!$AD$5:$IM$5,"&lt;="&amp;A181),""))</f>
        <v/>
      </c>
      <c r="F181" s="6" t="n"/>
      <c r="G181" s="108" t="n"/>
      <c r="H181" s="88">
        <f>IF(E181="","",INDEX(LevelLabels,MATCH(E181,LevelValues,1)))</f>
        <v/>
      </c>
      <c r="I181" s="40">
        <f>IF(OR(B181="",A181=""),"",B181&amp;"|"&amp;A181)</f>
        <v/>
      </c>
      <c r="J181" s="40">
        <f>IF(AND(B181&lt;&gt;"",B181=Prof_ID),COUNTIF($B$6:B181,Prof_ID),"")</f>
        <v/>
      </c>
    </row>
    <row r="182">
      <c r="A182" s="5" t="n"/>
      <c r="B182" s="6" t="n"/>
      <c r="C182" s="103">
        <f>IF(B182="","",IFERROR(INDEX(Stu_Name,MATCH(B182,Stu_ID,0)),"رقم غير موجود"))</f>
        <v/>
      </c>
      <c r="D182" s="88">
        <f>IF(B182="","",IFERROR(INDEX(Stu_Class,MATCH(B182,Stu_ID,0)),""))</f>
        <v/>
      </c>
      <c r="E182" s="88">
        <f>IF(OR(B182="",A182=""),"",IFERROR(COUNTIFS(INDEX(CHOOSE(INDEX(Stu_C,MATCH(B182,Stu_ID,0)),'KG1-1'!$AD$9:$IM$38,'KG1-2'!$AD$9:$IM$38,'KG1-3'!$AD$9:$IM$38,'KG1-4'!$AD$9:$IM$38,'KG1-5'!$AD$9:$IM$38,'KG1-6'!$AD$9:$IM$38,'KG1-7'!$AD$9:$IM$38),INDEX(Stu_I,MATCH(B182,Stu_ID,0)),0),"غياب بدون عذر",CHOOSE(INDEX(Stu_C,MATCH(B182,Stu_ID,0)),'KG1-1'!$AD$7:$IM$7,'KG1-2'!$AD$7:$IM$7,'KG1-3'!$AD$7:$IM$7,'KG1-4'!$AD$7:$IM$7,'KG1-5'!$AD$7:$IM$7,'KG1-6'!$AD$7:$IM$7,'KG1-7'!$AD$7:$IM$7),"✓",'KG1-1'!$AD$5:$IM$5,"&lt;="&amp;A182),""))</f>
        <v/>
      </c>
      <c r="F182" s="6" t="n"/>
      <c r="G182" s="108" t="n"/>
      <c r="H182" s="88">
        <f>IF(E182="","",INDEX(LevelLabels,MATCH(E182,LevelValues,1)))</f>
        <v/>
      </c>
      <c r="I182" s="40">
        <f>IF(OR(B182="",A182=""),"",B182&amp;"|"&amp;A182)</f>
        <v/>
      </c>
      <c r="J182" s="40">
        <f>IF(AND(B182&lt;&gt;"",B182=Prof_ID),COUNTIF($B$6:B182,Prof_ID),"")</f>
        <v/>
      </c>
    </row>
    <row r="183">
      <c r="A183" s="5" t="n"/>
      <c r="B183" s="6" t="n"/>
      <c r="C183" s="103">
        <f>IF(B183="","",IFERROR(INDEX(Stu_Name,MATCH(B183,Stu_ID,0)),"رقم غير موجود"))</f>
        <v/>
      </c>
      <c r="D183" s="88">
        <f>IF(B183="","",IFERROR(INDEX(Stu_Class,MATCH(B183,Stu_ID,0)),""))</f>
        <v/>
      </c>
      <c r="E183" s="88">
        <f>IF(OR(B183="",A183=""),"",IFERROR(COUNTIFS(INDEX(CHOOSE(INDEX(Stu_C,MATCH(B183,Stu_ID,0)),'KG1-1'!$AD$9:$IM$38,'KG1-2'!$AD$9:$IM$38,'KG1-3'!$AD$9:$IM$38,'KG1-4'!$AD$9:$IM$38,'KG1-5'!$AD$9:$IM$38,'KG1-6'!$AD$9:$IM$38,'KG1-7'!$AD$9:$IM$38),INDEX(Stu_I,MATCH(B183,Stu_ID,0)),0),"غياب بدون عذر",CHOOSE(INDEX(Stu_C,MATCH(B183,Stu_ID,0)),'KG1-1'!$AD$7:$IM$7,'KG1-2'!$AD$7:$IM$7,'KG1-3'!$AD$7:$IM$7,'KG1-4'!$AD$7:$IM$7,'KG1-5'!$AD$7:$IM$7,'KG1-6'!$AD$7:$IM$7,'KG1-7'!$AD$7:$IM$7),"✓",'KG1-1'!$AD$5:$IM$5,"&lt;="&amp;A183),""))</f>
        <v/>
      </c>
      <c r="F183" s="6" t="n"/>
      <c r="G183" s="108" t="n"/>
      <c r="H183" s="88">
        <f>IF(E183="","",INDEX(LevelLabels,MATCH(E183,LevelValues,1)))</f>
        <v/>
      </c>
      <c r="I183" s="40">
        <f>IF(OR(B183="",A183=""),"",B183&amp;"|"&amp;A183)</f>
        <v/>
      </c>
      <c r="J183" s="40">
        <f>IF(AND(B183&lt;&gt;"",B183=Prof_ID),COUNTIF($B$6:B183,Prof_ID),"")</f>
        <v/>
      </c>
    </row>
    <row r="184">
      <c r="A184" s="5" t="n"/>
      <c r="B184" s="6" t="n"/>
      <c r="C184" s="103">
        <f>IF(B184="","",IFERROR(INDEX(Stu_Name,MATCH(B184,Stu_ID,0)),"رقم غير موجود"))</f>
        <v/>
      </c>
      <c r="D184" s="88">
        <f>IF(B184="","",IFERROR(INDEX(Stu_Class,MATCH(B184,Stu_ID,0)),""))</f>
        <v/>
      </c>
      <c r="E184" s="88">
        <f>IF(OR(B184="",A184=""),"",IFERROR(COUNTIFS(INDEX(CHOOSE(INDEX(Stu_C,MATCH(B184,Stu_ID,0)),'KG1-1'!$AD$9:$IM$38,'KG1-2'!$AD$9:$IM$38,'KG1-3'!$AD$9:$IM$38,'KG1-4'!$AD$9:$IM$38,'KG1-5'!$AD$9:$IM$38,'KG1-6'!$AD$9:$IM$38,'KG1-7'!$AD$9:$IM$38),INDEX(Stu_I,MATCH(B184,Stu_ID,0)),0),"غياب بدون عذر",CHOOSE(INDEX(Stu_C,MATCH(B184,Stu_ID,0)),'KG1-1'!$AD$7:$IM$7,'KG1-2'!$AD$7:$IM$7,'KG1-3'!$AD$7:$IM$7,'KG1-4'!$AD$7:$IM$7,'KG1-5'!$AD$7:$IM$7,'KG1-6'!$AD$7:$IM$7,'KG1-7'!$AD$7:$IM$7),"✓",'KG1-1'!$AD$5:$IM$5,"&lt;="&amp;A184),""))</f>
        <v/>
      </c>
      <c r="F184" s="6" t="n"/>
      <c r="G184" s="108" t="n"/>
      <c r="H184" s="88">
        <f>IF(E184="","",INDEX(LevelLabels,MATCH(E184,LevelValues,1)))</f>
        <v/>
      </c>
      <c r="I184" s="40">
        <f>IF(OR(B184="",A184=""),"",B184&amp;"|"&amp;A184)</f>
        <v/>
      </c>
      <c r="J184" s="40">
        <f>IF(AND(B184&lt;&gt;"",B184=Prof_ID),COUNTIF($B$6:B184,Prof_ID),"")</f>
        <v/>
      </c>
    </row>
    <row r="185">
      <c r="A185" s="5" t="n"/>
      <c r="B185" s="6" t="n"/>
      <c r="C185" s="103">
        <f>IF(B185="","",IFERROR(INDEX(Stu_Name,MATCH(B185,Stu_ID,0)),"رقم غير موجود"))</f>
        <v/>
      </c>
      <c r="D185" s="88">
        <f>IF(B185="","",IFERROR(INDEX(Stu_Class,MATCH(B185,Stu_ID,0)),""))</f>
        <v/>
      </c>
      <c r="E185" s="88">
        <f>IF(OR(B185="",A185=""),"",IFERROR(COUNTIFS(INDEX(CHOOSE(INDEX(Stu_C,MATCH(B185,Stu_ID,0)),'KG1-1'!$AD$9:$IM$38,'KG1-2'!$AD$9:$IM$38,'KG1-3'!$AD$9:$IM$38,'KG1-4'!$AD$9:$IM$38,'KG1-5'!$AD$9:$IM$38,'KG1-6'!$AD$9:$IM$38,'KG1-7'!$AD$9:$IM$38),INDEX(Stu_I,MATCH(B185,Stu_ID,0)),0),"غياب بدون عذر",CHOOSE(INDEX(Stu_C,MATCH(B185,Stu_ID,0)),'KG1-1'!$AD$7:$IM$7,'KG1-2'!$AD$7:$IM$7,'KG1-3'!$AD$7:$IM$7,'KG1-4'!$AD$7:$IM$7,'KG1-5'!$AD$7:$IM$7,'KG1-6'!$AD$7:$IM$7,'KG1-7'!$AD$7:$IM$7),"✓",'KG1-1'!$AD$5:$IM$5,"&lt;="&amp;A185),""))</f>
        <v/>
      </c>
      <c r="F185" s="6" t="n"/>
      <c r="G185" s="108" t="n"/>
      <c r="H185" s="88">
        <f>IF(E185="","",INDEX(LevelLabels,MATCH(E185,LevelValues,1)))</f>
        <v/>
      </c>
      <c r="I185" s="40">
        <f>IF(OR(B185="",A185=""),"",B185&amp;"|"&amp;A185)</f>
        <v/>
      </c>
      <c r="J185" s="40">
        <f>IF(AND(B185&lt;&gt;"",B185=Prof_ID),COUNTIF($B$6:B185,Prof_ID),"")</f>
        <v/>
      </c>
    </row>
    <row r="186">
      <c r="A186" s="5" t="n"/>
      <c r="B186" s="6" t="n"/>
      <c r="C186" s="103">
        <f>IF(B186="","",IFERROR(INDEX(Stu_Name,MATCH(B186,Stu_ID,0)),"رقم غير موجود"))</f>
        <v/>
      </c>
      <c r="D186" s="88">
        <f>IF(B186="","",IFERROR(INDEX(Stu_Class,MATCH(B186,Stu_ID,0)),""))</f>
        <v/>
      </c>
      <c r="E186" s="88">
        <f>IF(OR(B186="",A186=""),"",IFERROR(COUNTIFS(INDEX(CHOOSE(INDEX(Stu_C,MATCH(B186,Stu_ID,0)),'KG1-1'!$AD$9:$IM$38,'KG1-2'!$AD$9:$IM$38,'KG1-3'!$AD$9:$IM$38,'KG1-4'!$AD$9:$IM$38,'KG1-5'!$AD$9:$IM$38,'KG1-6'!$AD$9:$IM$38,'KG1-7'!$AD$9:$IM$38),INDEX(Stu_I,MATCH(B186,Stu_ID,0)),0),"غياب بدون عذر",CHOOSE(INDEX(Stu_C,MATCH(B186,Stu_ID,0)),'KG1-1'!$AD$7:$IM$7,'KG1-2'!$AD$7:$IM$7,'KG1-3'!$AD$7:$IM$7,'KG1-4'!$AD$7:$IM$7,'KG1-5'!$AD$7:$IM$7,'KG1-6'!$AD$7:$IM$7,'KG1-7'!$AD$7:$IM$7),"✓",'KG1-1'!$AD$5:$IM$5,"&lt;="&amp;A186),""))</f>
        <v/>
      </c>
      <c r="F186" s="6" t="n"/>
      <c r="G186" s="108" t="n"/>
      <c r="H186" s="88">
        <f>IF(E186="","",INDEX(LevelLabels,MATCH(E186,LevelValues,1)))</f>
        <v/>
      </c>
      <c r="I186" s="40">
        <f>IF(OR(B186="",A186=""),"",B186&amp;"|"&amp;A186)</f>
        <v/>
      </c>
      <c r="J186" s="40">
        <f>IF(AND(B186&lt;&gt;"",B186=Prof_ID),COUNTIF($B$6:B186,Prof_ID),"")</f>
        <v/>
      </c>
    </row>
    <row r="187">
      <c r="A187" s="5" t="n"/>
      <c r="B187" s="6" t="n"/>
      <c r="C187" s="103">
        <f>IF(B187="","",IFERROR(INDEX(Stu_Name,MATCH(B187,Stu_ID,0)),"رقم غير موجود"))</f>
        <v/>
      </c>
      <c r="D187" s="88">
        <f>IF(B187="","",IFERROR(INDEX(Stu_Class,MATCH(B187,Stu_ID,0)),""))</f>
        <v/>
      </c>
      <c r="E187" s="88">
        <f>IF(OR(B187="",A187=""),"",IFERROR(COUNTIFS(INDEX(CHOOSE(INDEX(Stu_C,MATCH(B187,Stu_ID,0)),'KG1-1'!$AD$9:$IM$38,'KG1-2'!$AD$9:$IM$38,'KG1-3'!$AD$9:$IM$38,'KG1-4'!$AD$9:$IM$38,'KG1-5'!$AD$9:$IM$38,'KG1-6'!$AD$9:$IM$38,'KG1-7'!$AD$9:$IM$38),INDEX(Stu_I,MATCH(B187,Stu_ID,0)),0),"غياب بدون عذر",CHOOSE(INDEX(Stu_C,MATCH(B187,Stu_ID,0)),'KG1-1'!$AD$7:$IM$7,'KG1-2'!$AD$7:$IM$7,'KG1-3'!$AD$7:$IM$7,'KG1-4'!$AD$7:$IM$7,'KG1-5'!$AD$7:$IM$7,'KG1-6'!$AD$7:$IM$7,'KG1-7'!$AD$7:$IM$7),"✓",'KG1-1'!$AD$5:$IM$5,"&lt;="&amp;A187),""))</f>
        <v/>
      </c>
      <c r="F187" s="6" t="n"/>
      <c r="G187" s="108" t="n"/>
      <c r="H187" s="88">
        <f>IF(E187="","",INDEX(LevelLabels,MATCH(E187,LevelValues,1)))</f>
        <v/>
      </c>
      <c r="I187" s="40">
        <f>IF(OR(B187="",A187=""),"",B187&amp;"|"&amp;A187)</f>
        <v/>
      </c>
      <c r="J187" s="40">
        <f>IF(AND(B187&lt;&gt;"",B187=Prof_ID),COUNTIF($B$6:B187,Prof_ID),"")</f>
        <v/>
      </c>
    </row>
    <row r="188">
      <c r="A188" s="5" t="n"/>
      <c r="B188" s="6" t="n"/>
      <c r="C188" s="103">
        <f>IF(B188="","",IFERROR(INDEX(Stu_Name,MATCH(B188,Stu_ID,0)),"رقم غير موجود"))</f>
        <v/>
      </c>
      <c r="D188" s="88">
        <f>IF(B188="","",IFERROR(INDEX(Stu_Class,MATCH(B188,Stu_ID,0)),""))</f>
        <v/>
      </c>
      <c r="E188" s="88">
        <f>IF(OR(B188="",A188=""),"",IFERROR(COUNTIFS(INDEX(CHOOSE(INDEX(Stu_C,MATCH(B188,Stu_ID,0)),'KG1-1'!$AD$9:$IM$38,'KG1-2'!$AD$9:$IM$38,'KG1-3'!$AD$9:$IM$38,'KG1-4'!$AD$9:$IM$38,'KG1-5'!$AD$9:$IM$38,'KG1-6'!$AD$9:$IM$38,'KG1-7'!$AD$9:$IM$38),INDEX(Stu_I,MATCH(B188,Stu_ID,0)),0),"غياب بدون عذر",CHOOSE(INDEX(Stu_C,MATCH(B188,Stu_ID,0)),'KG1-1'!$AD$7:$IM$7,'KG1-2'!$AD$7:$IM$7,'KG1-3'!$AD$7:$IM$7,'KG1-4'!$AD$7:$IM$7,'KG1-5'!$AD$7:$IM$7,'KG1-6'!$AD$7:$IM$7,'KG1-7'!$AD$7:$IM$7),"✓",'KG1-1'!$AD$5:$IM$5,"&lt;="&amp;A188),""))</f>
        <v/>
      </c>
      <c r="F188" s="6" t="n"/>
      <c r="G188" s="108" t="n"/>
      <c r="H188" s="88">
        <f>IF(E188="","",INDEX(LevelLabels,MATCH(E188,LevelValues,1)))</f>
        <v/>
      </c>
      <c r="I188" s="40">
        <f>IF(OR(B188="",A188=""),"",B188&amp;"|"&amp;A188)</f>
        <v/>
      </c>
      <c r="J188" s="40">
        <f>IF(AND(B188&lt;&gt;"",B188=Prof_ID),COUNTIF($B$6:B188,Prof_ID),"")</f>
        <v/>
      </c>
    </row>
    <row r="189">
      <c r="A189" s="5" t="n"/>
      <c r="B189" s="6" t="n"/>
      <c r="C189" s="103">
        <f>IF(B189="","",IFERROR(INDEX(Stu_Name,MATCH(B189,Stu_ID,0)),"رقم غير موجود"))</f>
        <v/>
      </c>
      <c r="D189" s="88">
        <f>IF(B189="","",IFERROR(INDEX(Stu_Class,MATCH(B189,Stu_ID,0)),""))</f>
        <v/>
      </c>
      <c r="E189" s="88">
        <f>IF(OR(B189="",A189=""),"",IFERROR(COUNTIFS(INDEX(CHOOSE(INDEX(Stu_C,MATCH(B189,Stu_ID,0)),'KG1-1'!$AD$9:$IM$38,'KG1-2'!$AD$9:$IM$38,'KG1-3'!$AD$9:$IM$38,'KG1-4'!$AD$9:$IM$38,'KG1-5'!$AD$9:$IM$38,'KG1-6'!$AD$9:$IM$38,'KG1-7'!$AD$9:$IM$38),INDEX(Stu_I,MATCH(B189,Stu_ID,0)),0),"غياب بدون عذر",CHOOSE(INDEX(Stu_C,MATCH(B189,Stu_ID,0)),'KG1-1'!$AD$7:$IM$7,'KG1-2'!$AD$7:$IM$7,'KG1-3'!$AD$7:$IM$7,'KG1-4'!$AD$7:$IM$7,'KG1-5'!$AD$7:$IM$7,'KG1-6'!$AD$7:$IM$7,'KG1-7'!$AD$7:$IM$7),"✓",'KG1-1'!$AD$5:$IM$5,"&lt;="&amp;A189),""))</f>
        <v/>
      </c>
      <c r="F189" s="6" t="n"/>
      <c r="G189" s="108" t="n"/>
      <c r="H189" s="88">
        <f>IF(E189="","",INDEX(LevelLabels,MATCH(E189,LevelValues,1)))</f>
        <v/>
      </c>
      <c r="I189" s="40">
        <f>IF(OR(B189="",A189=""),"",B189&amp;"|"&amp;A189)</f>
        <v/>
      </c>
      <c r="J189" s="40">
        <f>IF(AND(B189&lt;&gt;"",B189=Prof_ID),COUNTIF($B$6:B189,Prof_ID),"")</f>
        <v/>
      </c>
    </row>
    <row r="190">
      <c r="A190" s="5" t="n"/>
      <c r="B190" s="6" t="n"/>
      <c r="C190" s="103">
        <f>IF(B190="","",IFERROR(INDEX(Stu_Name,MATCH(B190,Stu_ID,0)),"رقم غير موجود"))</f>
        <v/>
      </c>
      <c r="D190" s="88">
        <f>IF(B190="","",IFERROR(INDEX(Stu_Class,MATCH(B190,Stu_ID,0)),""))</f>
        <v/>
      </c>
      <c r="E190" s="88">
        <f>IF(OR(B190="",A190=""),"",IFERROR(COUNTIFS(INDEX(CHOOSE(INDEX(Stu_C,MATCH(B190,Stu_ID,0)),'KG1-1'!$AD$9:$IM$38,'KG1-2'!$AD$9:$IM$38,'KG1-3'!$AD$9:$IM$38,'KG1-4'!$AD$9:$IM$38,'KG1-5'!$AD$9:$IM$38,'KG1-6'!$AD$9:$IM$38,'KG1-7'!$AD$9:$IM$38),INDEX(Stu_I,MATCH(B190,Stu_ID,0)),0),"غياب بدون عذر",CHOOSE(INDEX(Stu_C,MATCH(B190,Stu_ID,0)),'KG1-1'!$AD$7:$IM$7,'KG1-2'!$AD$7:$IM$7,'KG1-3'!$AD$7:$IM$7,'KG1-4'!$AD$7:$IM$7,'KG1-5'!$AD$7:$IM$7,'KG1-6'!$AD$7:$IM$7,'KG1-7'!$AD$7:$IM$7),"✓",'KG1-1'!$AD$5:$IM$5,"&lt;="&amp;A190),""))</f>
        <v/>
      </c>
      <c r="F190" s="6" t="n"/>
      <c r="G190" s="108" t="n"/>
      <c r="H190" s="88">
        <f>IF(E190="","",INDEX(LevelLabels,MATCH(E190,LevelValues,1)))</f>
        <v/>
      </c>
      <c r="I190" s="40">
        <f>IF(OR(B190="",A190=""),"",B190&amp;"|"&amp;A190)</f>
        <v/>
      </c>
      <c r="J190" s="40">
        <f>IF(AND(B190&lt;&gt;"",B190=Prof_ID),COUNTIF($B$6:B190,Prof_ID),"")</f>
        <v/>
      </c>
    </row>
    <row r="191">
      <c r="A191" s="5" t="n"/>
      <c r="B191" s="6" t="n"/>
      <c r="C191" s="103">
        <f>IF(B191="","",IFERROR(INDEX(Stu_Name,MATCH(B191,Stu_ID,0)),"رقم غير موجود"))</f>
        <v/>
      </c>
      <c r="D191" s="88">
        <f>IF(B191="","",IFERROR(INDEX(Stu_Class,MATCH(B191,Stu_ID,0)),""))</f>
        <v/>
      </c>
      <c r="E191" s="88">
        <f>IF(OR(B191="",A191=""),"",IFERROR(COUNTIFS(INDEX(CHOOSE(INDEX(Stu_C,MATCH(B191,Stu_ID,0)),'KG1-1'!$AD$9:$IM$38,'KG1-2'!$AD$9:$IM$38,'KG1-3'!$AD$9:$IM$38,'KG1-4'!$AD$9:$IM$38,'KG1-5'!$AD$9:$IM$38,'KG1-6'!$AD$9:$IM$38,'KG1-7'!$AD$9:$IM$38),INDEX(Stu_I,MATCH(B191,Stu_ID,0)),0),"غياب بدون عذر",CHOOSE(INDEX(Stu_C,MATCH(B191,Stu_ID,0)),'KG1-1'!$AD$7:$IM$7,'KG1-2'!$AD$7:$IM$7,'KG1-3'!$AD$7:$IM$7,'KG1-4'!$AD$7:$IM$7,'KG1-5'!$AD$7:$IM$7,'KG1-6'!$AD$7:$IM$7,'KG1-7'!$AD$7:$IM$7),"✓",'KG1-1'!$AD$5:$IM$5,"&lt;="&amp;A191),""))</f>
        <v/>
      </c>
      <c r="F191" s="6" t="n"/>
      <c r="G191" s="108" t="n"/>
      <c r="H191" s="88">
        <f>IF(E191="","",INDEX(LevelLabels,MATCH(E191,LevelValues,1)))</f>
        <v/>
      </c>
      <c r="I191" s="40">
        <f>IF(OR(B191="",A191=""),"",B191&amp;"|"&amp;A191)</f>
        <v/>
      </c>
      <c r="J191" s="40">
        <f>IF(AND(B191&lt;&gt;"",B191=Prof_ID),COUNTIF($B$6:B191,Prof_ID),"")</f>
        <v/>
      </c>
    </row>
    <row r="192">
      <c r="A192" s="5" t="n"/>
      <c r="B192" s="6" t="n"/>
      <c r="C192" s="103">
        <f>IF(B192="","",IFERROR(INDEX(Stu_Name,MATCH(B192,Stu_ID,0)),"رقم غير موجود"))</f>
        <v/>
      </c>
      <c r="D192" s="88">
        <f>IF(B192="","",IFERROR(INDEX(Stu_Class,MATCH(B192,Stu_ID,0)),""))</f>
        <v/>
      </c>
      <c r="E192" s="88">
        <f>IF(OR(B192="",A192=""),"",IFERROR(COUNTIFS(INDEX(CHOOSE(INDEX(Stu_C,MATCH(B192,Stu_ID,0)),'KG1-1'!$AD$9:$IM$38,'KG1-2'!$AD$9:$IM$38,'KG1-3'!$AD$9:$IM$38,'KG1-4'!$AD$9:$IM$38,'KG1-5'!$AD$9:$IM$38,'KG1-6'!$AD$9:$IM$38,'KG1-7'!$AD$9:$IM$38),INDEX(Stu_I,MATCH(B192,Stu_ID,0)),0),"غياب بدون عذر",CHOOSE(INDEX(Stu_C,MATCH(B192,Stu_ID,0)),'KG1-1'!$AD$7:$IM$7,'KG1-2'!$AD$7:$IM$7,'KG1-3'!$AD$7:$IM$7,'KG1-4'!$AD$7:$IM$7,'KG1-5'!$AD$7:$IM$7,'KG1-6'!$AD$7:$IM$7,'KG1-7'!$AD$7:$IM$7),"✓",'KG1-1'!$AD$5:$IM$5,"&lt;="&amp;A192),""))</f>
        <v/>
      </c>
      <c r="F192" s="6" t="n"/>
      <c r="G192" s="108" t="n"/>
      <c r="H192" s="88">
        <f>IF(E192="","",INDEX(LevelLabels,MATCH(E192,LevelValues,1)))</f>
        <v/>
      </c>
      <c r="I192" s="40">
        <f>IF(OR(B192="",A192=""),"",B192&amp;"|"&amp;A192)</f>
        <v/>
      </c>
      <c r="J192" s="40">
        <f>IF(AND(B192&lt;&gt;"",B192=Prof_ID),COUNTIF($B$6:B192,Prof_ID),"")</f>
        <v/>
      </c>
    </row>
    <row r="193">
      <c r="A193" s="5" t="n"/>
      <c r="B193" s="6" t="n"/>
      <c r="C193" s="103">
        <f>IF(B193="","",IFERROR(INDEX(Stu_Name,MATCH(B193,Stu_ID,0)),"رقم غير موجود"))</f>
        <v/>
      </c>
      <c r="D193" s="88">
        <f>IF(B193="","",IFERROR(INDEX(Stu_Class,MATCH(B193,Stu_ID,0)),""))</f>
        <v/>
      </c>
      <c r="E193" s="88">
        <f>IF(OR(B193="",A193=""),"",IFERROR(COUNTIFS(INDEX(CHOOSE(INDEX(Stu_C,MATCH(B193,Stu_ID,0)),'KG1-1'!$AD$9:$IM$38,'KG1-2'!$AD$9:$IM$38,'KG1-3'!$AD$9:$IM$38,'KG1-4'!$AD$9:$IM$38,'KG1-5'!$AD$9:$IM$38,'KG1-6'!$AD$9:$IM$38,'KG1-7'!$AD$9:$IM$38),INDEX(Stu_I,MATCH(B193,Stu_ID,0)),0),"غياب بدون عذر",CHOOSE(INDEX(Stu_C,MATCH(B193,Stu_ID,0)),'KG1-1'!$AD$7:$IM$7,'KG1-2'!$AD$7:$IM$7,'KG1-3'!$AD$7:$IM$7,'KG1-4'!$AD$7:$IM$7,'KG1-5'!$AD$7:$IM$7,'KG1-6'!$AD$7:$IM$7,'KG1-7'!$AD$7:$IM$7),"✓",'KG1-1'!$AD$5:$IM$5,"&lt;="&amp;A193),""))</f>
        <v/>
      </c>
      <c r="F193" s="6" t="n"/>
      <c r="G193" s="108" t="n"/>
      <c r="H193" s="88">
        <f>IF(E193="","",INDEX(LevelLabels,MATCH(E193,LevelValues,1)))</f>
        <v/>
      </c>
      <c r="I193" s="40">
        <f>IF(OR(B193="",A193=""),"",B193&amp;"|"&amp;A193)</f>
        <v/>
      </c>
      <c r="J193" s="40">
        <f>IF(AND(B193&lt;&gt;"",B193=Prof_ID),COUNTIF($B$6:B193,Prof_ID),"")</f>
        <v/>
      </c>
    </row>
    <row r="194">
      <c r="A194" s="5" t="n"/>
      <c r="B194" s="6" t="n"/>
      <c r="C194" s="103">
        <f>IF(B194="","",IFERROR(INDEX(Stu_Name,MATCH(B194,Stu_ID,0)),"رقم غير موجود"))</f>
        <v/>
      </c>
      <c r="D194" s="88">
        <f>IF(B194="","",IFERROR(INDEX(Stu_Class,MATCH(B194,Stu_ID,0)),""))</f>
        <v/>
      </c>
      <c r="E194" s="88">
        <f>IF(OR(B194="",A194=""),"",IFERROR(COUNTIFS(INDEX(CHOOSE(INDEX(Stu_C,MATCH(B194,Stu_ID,0)),'KG1-1'!$AD$9:$IM$38,'KG1-2'!$AD$9:$IM$38,'KG1-3'!$AD$9:$IM$38,'KG1-4'!$AD$9:$IM$38,'KG1-5'!$AD$9:$IM$38,'KG1-6'!$AD$9:$IM$38,'KG1-7'!$AD$9:$IM$38),INDEX(Stu_I,MATCH(B194,Stu_ID,0)),0),"غياب بدون عذر",CHOOSE(INDEX(Stu_C,MATCH(B194,Stu_ID,0)),'KG1-1'!$AD$7:$IM$7,'KG1-2'!$AD$7:$IM$7,'KG1-3'!$AD$7:$IM$7,'KG1-4'!$AD$7:$IM$7,'KG1-5'!$AD$7:$IM$7,'KG1-6'!$AD$7:$IM$7,'KG1-7'!$AD$7:$IM$7),"✓",'KG1-1'!$AD$5:$IM$5,"&lt;="&amp;A194),""))</f>
        <v/>
      </c>
      <c r="F194" s="6" t="n"/>
      <c r="G194" s="108" t="n"/>
      <c r="H194" s="88">
        <f>IF(E194="","",INDEX(LevelLabels,MATCH(E194,LevelValues,1)))</f>
        <v/>
      </c>
      <c r="I194" s="40">
        <f>IF(OR(B194="",A194=""),"",B194&amp;"|"&amp;A194)</f>
        <v/>
      </c>
      <c r="J194" s="40">
        <f>IF(AND(B194&lt;&gt;"",B194=Prof_ID),COUNTIF($B$6:B194,Prof_ID),"")</f>
        <v/>
      </c>
    </row>
    <row r="195">
      <c r="A195" s="5" t="n"/>
      <c r="B195" s="6" t="n"/>
      <c r="C195" s="103">
        <f>IF(B195="","",IFERROR(INDEX(Stu_Name,MATCH(B195,Stu_ID,0)),"رقم غير موجود"))</f>
        <v/>
      </c>
      <c r="D195" s="88">
        <f>IF(B195="","",IFERROR(INDEX(Stu_Class,MATCH(B195,Stu_ID,0)),""))</f>
        <v/>
      </c>
      <c r="E195" s="88">
        <f>IF(OR(B195="",A195=""),"",IFERROR(COUNTIFS(INDEX(CHOOSE(INDEX(Stu_C,MATCH(B195,Stu_ID,0)),'KG1-1'!$AD$9:$IM$38,'KG1-2'!$AD$9:$IM$38,'KG1-3'!$AD$9:$IM$38,'KG1-4'!$AD$9:$IM$38,'KG1-5'!$AD$9:$IM$38,'KG1-6'!$AD$9:$IM$38,'KG1-7'!$AD$9:$IM$38),INDEX(Stu_I,MATCH(B195,Stu_ID,0)),0),"غياب بدون عذر",CHOOSE(INDEX(Stu_C,MATCH(B195,Stu_ID,0)),'KG1-1'!$AD$7:$IM$7,'KG1-2'!$AD$7:$IM$7,'KG1-3'!$AD$7:$IM$7,'KG1-4'!$AD$7:$IM$7,'KG1-5'!$AD$7:$IM$7,'KG1-6'!$AD$7:$IM$7,'KG1-7'!$AD$7:$IM$7),"✓",'KG1-1'!$AD$5:$IM$5,"&lt;="&amp;A195),""))</f>
        <v/>
      </c>
      <c r="F195" s="6" t="n"/>
      <c r="G195" s="108" t="n"/>
      <c r="H195" s="88">
        <f>IF(E195="","",INDEX(LevelLabels,MATCH(E195,LevelValues,1)))</f>
        <v/>
      </c>
      <c r="I195" s="40">
        <f>IF(OR(B195="",A195=""),"",B195&amp;"|"&amp;A195)</f>
        <v/>
      </c>
      <c r="J195" s="40">
        <f>IF(AND(B195&lt;&gt;"",B195=Prof_ID),COUNTIF($B$6:B195,Prof_ID),"")</f>
        <v/>
      </c>
    </row>
    <row r="196">
      <c r="A196" s="5" t="n"/>
      <c r="B196" s="6" t="n"/>
      <c r="C196" s="103">
        <f>IF(B196="","",IFERROR(INDEX(Stu_Name,MATCH(B196,Stu_ID,0)),"رقم غير موجود"))</f>
        <v/>
      </c>
      <c r="D196" s="88">
        <f>IF(B196="","",IFERROR(INDEX(Stu_Class,MATCH(B196,Stu_ID,0)),""))</f>
        <v/>
      </c>
      <c r="E196" s="88">
        <f>IF(OR(B196="",A196=""),"",IFERROR(COUNTIFS(INDEX(CHOOSE(INDEX(Stu_C,MATCH(B196,Stu_ID,0)),'KG1-1'!$AD$9:$IM$38,'KG1-2'!$AD$9:$IM$38,'KG1-3'!$AD$9:$IM$38,'KG1-4'!$AD$9:$IM$38,'KG1-5'!$AD$9:$IM$38,'KG1-6'!$AD$9:$IM$38,'KG1-7'!$AD$9:$IM$38),INDEX(Stu_I,MATCH(B196,Stu_ID,0)),0),"غياب بدون عذر",CHOOSE(INDEX(Stu_C,MATCH(B196,Stu_ID,0)),'KG1-1'!$AD$7:$IM$7,'KG1-2'!$AD$7:$IM$7,'KG1-3'!$AD$7:$IM$7,'KG1-4'!$AD$7:$IM$7,'KG1-5'!$AD$7:$IM$7,'KG1-6'!$AD$7:$IM$7,'KG1-7'!$AD$7:$IM$7),"✓",'KG1-1'!$AD$5:$IM$5,"&lt;="&amp;A196),""))</f>
        <v/>
      </c>
      <c r="F196" s="6" t="n"/>
      <c r="G196" s="108" t="n"/>
      <c r="H196" s="88">
        <f>IF(E196="","",INDEX(LevelLabels,MATCH(E196,LevelValues,1)))</f>
        <v/>
      </c>
      <c r="I196" s="40">
        <f>IF(OR(B196="",A196=""),"",B196&amp;"|"&amp;A196)</f>
        <v/>
      </c>
      <c r="J196" s="40">
        <f>IF(AND(B196&lt;&gt;"",B196=Prof_ID),COUNTIF($B$6:B196,Prof_ID),"")</f>
        <v/>
      </c>
    </row>
    <row r="197">
      <c r="A197" s="5" t="n"/>
      <c r="B197" s="6" t="n"/>
      <c r="C197" s="103">
        <f>IF(B197="","",IFERROR(INDEX(Stu_Name,MATCH(B197,Stu_ID,0)),"رقم غير موجود"))</f>
        <v/>
      </c>
      <c r="D197" s="88">
        <f>IF(B197="","",IFERROR(INDEX(Stu_Class,MATCH(B197,Stu_ID,0)),""))</f>
        <v/>
      </c>
      <c r="E197" s="88">
        <f>IF(OR(B197="",A197=""),"",IFERROR(COUNTIFS(INDEX(CHOOSE(INDEX(Stu_C,MATCH(B197,Stu_ID,0)),'KG1-1'!$AD$9:$IM$38,'KG1-2'!$AD$9:$IM$38,'KG1-3'!$AD$9:$IM$38,'KG1-4'!$AD$9:$IM$38,'KG1-5'!$AD$9:$IM$38,'KG1-6'!$AD$9:$IM$38,'KG1-7'!$AD$9:$IM$38),INDEX(Stu_I,MATCH(B197,Stu_ID,0)),0),"غياب بدون عذر",CHOOSE(INDEX(Stu_C,MATCH(B197,Stu_ID,0)),'KG1-1'!$AD$7:$IM$7,'KG1-2'!$AD$7:$IM$7,'KG1-3'!$AD$7:$IM$7,'KG1-4'!$AD$7:$IM$7,'KG1-5'!$AD$7:$IM$7,'KG1-6'!$AD$7:$IM$7,'KG1-7'!$AD$7:$IM$7),"✓",'KG1-1'!$AD$5:$IM$5,"&lt;="&amp;A197),""))</f>
        <v/>
      </c>
      <c r="F197" s="6" t="n"/>
      <c r="G197" s="108" t="n"/>
      <c r="H197" s="88">
        <f>IF(E197="","",INDEX(LevelLabels,MATCH(E197,LevelValues,1)))</f>
        <v/>
      </c>
      <c r="I197" s="40">
        <f>IF(OR(B197="",A197=""),"",B197&amp;"|"&amp;A197)</f>
        <v/>
      </c>
      <c r="J197" s="40">
        <f>IF(AND(B197&lt;&gt;"",B197=Prof_ID),COUNTIF($B$6:B197,Prof_ID),"")</f>
        <v/>
      </c>
    </row>
    <row r="198">
      <c r="A198" s="5" t="n"/>
      <c r="B198" s="6" t="n"/>
      <c r="C198" s="103">
        <f>IF(B198="","",IFERROR(INDEX(Stu_Name,MATCH(B198,Stu_ID,0)),"رقم غير موجود"))</f>
        <v/>
      </c>
      <c r="D198" s="88">
        <f>IF(B198="","",IFERROR(INDEX(Stu_Class,MATCH(B198,Stu_ID,0)),""))</f>
        <v/>
      </c>
      <c r="E198" s="88">
        <f>IF(OR(B198="",A198=""),"",IFERROR(COUNTIFS(INDEX(CHOOSE(INDEX(Stu_C,MATCH(B198,Stu_ID,0)),'KG1-1'!$AD$9:$IM$38,'KG1-2'!$AD$9:$IM$38,'KG1-3'!$AD$9:$IM$38,'KG1-4'!$AD$9:$IM$38,'KG1-5'!$AD$9:$IM$38,'KG1-6'!$AD$9:$IM$38,'KG1-7'!$AD$9:$IM$38),INDEX(Stu_I,MATCH(B198,Stu_ID,0)),0),"غياب بدون عذر",CHOOSE(INDEX(Stu_C,MATCH(B198,Stu_ID,0)),'KG1-1'!$AD$7:$IM$7,'KG1-2'!$AD$7:$IM$7,'KG1-3'!$AD$7:$IM$7,'KG1-4'!$AD$7:$IM$7,'KG1-5'!$AD$7:$IM$7,'KG1-6'!$AD$7:$IM$7,'KG1-7'!$AD$7:$IM$7),"✓",'KG1-1'!$AD$5:$IM$5,"&lt;="&amp;A198),""))</f>
        <v/>
      </c>
      <c r="F198" s="6" t="n"/>
      <c r="G198" s="108" t="n"/>
      <c r="H198" s="88">
        <f>IF(E198="","",INDEX(LevelLabels,MATCH(E198,LevelValues,1)))</f>
        <v/>
      </c>
      <c r="I198" s="40">
        <f>IF(OR(B198="",A198=""),"",B198&amp;"|"&amp;A198)</f>
        <v/>
      </c>
      <c r="J198" s="40">
        <f>IF(AND(B198&lt;&gt;"",B198=Prof_ID),COUNTIF($B$6:B198,Prof_ID),"")</f>
        <v/>
      </c>
    </row>
    <row r="199">
      <c r="A199" s="5" t="n"/>
      <c r="B199" s="6" t="n"/>
      <c r="C199" s="103">
        <f>IF(B199="","",IFERROR(INDEX(Stu_Name,MATCH(B199,Stu_ID,0)),"رقم غير موجود"))</f>
        <v/>
      </c>
      <c r="D199" s="88">
        <f>IF(B199="","",IFERROR(INDEX(Stu_Class,MATCH(B199,Stu_ID,0)),""))</f>
        <v/>
      </c>
      <c r="E199" s="88">
        <f>IF(OR(B199="",A199=""),"",IFERROR(COUNTIFS(INDEX(CHOOSE(INDEX(Stu_C,MATCH(B199,Stu_ID,0)),'KG1-1'!$AD$9:$IM$38,'KG1-2'!$AD$9:$IM$38,'KG1-3'!$AD$9:$IM$38,'KG1-4'!$AD$9:$IM$38,'KG1-5'!$AD$9:$IM$38,'KG1-6'!$AD$9:$IM$38,'KG1-7'!$AD$9:$IM$38),INDEX(Stu_I,MATCH(B199,Stu_ID,0)),0),"غياب بدون عذر",CHOOSE(INDEX(Stu_C,MATCH(B199,Stu_ID,0)),'KG1-1'!$AD$7:$IM$7,'KG1-2'!$AD$7:$IM$7,'KG1-3'!$AD$7:$IM$7,'KG1-4'!$AD$7:$IM$7,'KG1-5'!$AD$7:$IM$7,'KG1-6'!$AD$7:$IM$7,'KG1-7'!$AD$7:$IM$7),"✓",'KG1-1'!$AD$5:$IM$5,"&lt;="&amp;A199),""))</f>
        <v/>
      </c>
      <c r="F199" s="6" t="n"/>
      <c r="G199" s="108" t="n"/>
      <c r="H199" s="88">
        <f>IF(E199="","",INDEX(LevelLabels,MATCH(E199,LevelValues,1)))</f>
        <v/>
      </c>
      <c r="I199" s="40">
        <f>IF(OR(B199="",A199=""),"",B199&amp;"|"&amp;A199)</f>
        <v/>
      </c>
      <c r="J199" s="40">
        <f>IF(AND(B199&lt;&gt;"",B199=Prof_ID),COUNTIF($B$6:B199,Prof_ID),"")</f>
        <v/>
      </c>
    </row>
    <row r="200">
      <c r="A200" s="5" t="n"/>
      <c r="B200" s="6" t="n"/>
      <c r="C200" s="103">
        <f>IF(B200="","",IFERROR(INDEX(Stu_Name,MATCH(B200,Stu_ID,0)),"رقم غير موجود"))</f>
        <v/>
      </c>
      <c r="D200" s="88">
        <f>IF(B200="","",IFERROR(INDEX(Stu_Class,MATCH(B200,Stu_ID,0)),""))</f>
        <v/>
      </c>
      <c r="E200" s="88">
        <f>IF(OR(B200="",A200=""),"",IFERROR(COUNTIFS(INDEX(CHOOSE(INDEX(Stu_C,MATCH(B200,Stu_ID,0)),'KG1-1'!$AD$9:$IM$38,'KG1-2'!$AD$9:$IM$38,'KG1-3'!$AD$9:$IM$38,'KG1-4'!$AD$9:$IM$38,'KG1-5'!$AD$9:$IM$38,'KG1-6'!$AD$9:$IM$38,'KG1-7'!$AD$9:$IM$38),INDEX(Stu_I,MATCH(B200,Stu_ID,0)),0),"غياب بدون عذر",CHOOSE(INDEX(Stu_C,MATCH(B200,Stu_ID,0)),'KG1-1'!$AD$7:$IM$7,'KG1-2'!$AD$7:$IM$7,'KG1-3'!$AD$7:$IM$7,'KG1-4'!$AD$7:$IM$7,'KG1-5'!$AD$7:$IM$7,'KG1-6'!$AD$7:$IM$7,'KG1-7'!$AD$7:$IM$7),"✓",'KG1-1'!$AD$5:$IM$5,"&lt;="&amp;A200),""))</f>
        <v/>
      </c>
      <c r="F200" s="6" t="n"/>
      <c r="G200" s="108" t="n"/>
      <c r="H200" s="88">
        <f>IF(E200="","",INDEX(LevelLabels,MATCH(E200,LevelValues,1)))</f>
        <v/>
      </c>
      <c r="I200" s="40">
        <f>IF(OR(B200="",A200=""),"",B200&amp;"|"&amp;A200)</f>
        <v/>
      </c>
      <c r="J200" s="40">
        <f>IF(AND(B200&lt;&gt;"",B200=Prof_ID),COUNTIF($B$6:B200,Prof_ID),"")</f>
        <v/>
      </c>
    </row>
    <row r="201">
      <c r="A201" s="5" t="n"/>
      <c r="B201" s="6" t="n"/>
      <c r="C201" s="103">
        <f>IF(B201="","",IFERROR(INDEX(Stu_Name,MATCH(B201,Stu_ID,0)),"رقم غير موجود"))</f>
        <v/>
      </c>
      <c r="D201" s="88">
        <f>IF(B201="","",IFERROR(INDEX(Stu_Class,MATCH(B201,Stu_ID,0)),""))</f>
        <v/>
      </c>
      <c r="E201" s="88">
        <f>IF(OR(B201="",A201=""),"",IFERROR(COUNTIFS(INDEX(CHOOSE(INDEX(Stu_C,MATCH(B201,Stu_ID,0)),'KG1-1'!$AD$9:$IM$38,'KG1-2'!$AD$9:$IM$38,'KG1-3'!$AD$9:$IM$38,'KG1-4'!$AD$9:$IM$38,'KG1-5'!$AD$9:$IM$38,'KG1-6'!$AD$9:$IM$38,'KG1-7'!$AD$9:$IM$38),INDEX(Stu_I,MATCH(B201,Stu_ID,0)),0),"غياب بدون عذر",CHOOSE(INDEX(Stu_C,MATCH(B201,Stu_ID,0)),'KG1-1'!$AD$7:$IM$7,'KG1-2'!$AD$7:$IM$7,'KG1-3'!$AD$7:$IM$7,'KG1-4'!$AD$7:$IM$7,'KG1-5'!$AD$7:$IM$7,'KG1-6'!$AD$7:$IM$7,'KG1-7'!$AD$7:$IM$7),"✓",'KG1-1'!$AD$5:$IM$5,"&lt;="&amp;A201),""))</f>
        <v/>
      </c>
      <c r="F201" s="6" t="n"/>
      <c r="G201" s="108" t="n"/>
      <c r="H201" s="88">
        <f>IF(E201="","",INDEX(LevelLabels,MATCH(E201,LevelValues,1)))</f>
        <v/>
      </c>
      <c r="I201" s="40">
        <f>IF(OR(B201="",A201=""),"",B201&amp;"|"&amp;A201)</f>
        <v/>
      </c>
      <c r="J201" s="40">
        <f>IF(AND(B201&lt;&gt;"",B201=Prof_ID),COUNTIF($B$6:B201,Prof_ID),"")</f>
        <v/>
      </c>
    </row>
    <row r="202">
      <c r="A202" s="5" t="n"/>
      <c r="B202" s="6" t="n"/>
      <c r="C202" s="103">
        <f>IF(B202="","",IFERROR(INDEX(Stu_Name,MATCH(B202,Stu_ID,0)),"رقم غير موجود"))</f>
        <v/>
      </c>
      <c r="D202" s="88">
        <f>IF(B202="","",IFERROR(INDEX(Stu_Class,MATCH(B202,Stu_ID,0)),""))</f>
        <v/>
      </c>
      <c r="E202" s="88">
        <f>IF(OR(B202="",A202=""),"",IFERROR(COUNTIFS(INDEX(CHOOSE(INDEX(Stu_C,MATCH(B202,Stu_ID,0)),'KG1-1'!$AD$9:$IM$38,'KG1-2'!$AD$9:$IM$38,'KG1-3'!$AD$9:$IM$38,'KG1-4'!$AD$9:$IM$38,'KG1-5'!$AD$9:$IM$38,'KG1-6'!$AD$9:$IM$38,'KG1-7'!$AD$9:$IM$38),INDEX(Stu_I,MATCH(B202,Stu_ID,0)),0),"غياب بدون عذر",CHOOSE(INDEX(Stu_C,MATCH(B202,Stu_ID,0)),'KG1-1'!$AD$7:$IM$7,'KG1-2'!$AD$7:$IM$7,'KG1-3'!$AD$7:$IM$7,'KG1-4'!$AD$7:$IM$7,'KG1-5'!$AD$7:$IM$7,'KG1-6'!$AD$7:$IM$7,'KG1-7'!$AD$7:$IM$7),"✓",'KG1-1'!$AD$5:$IM$5,"&lt;="&amp;A202),""))</f>
        <v/>
      </c>
      <c r="F202" s="6" t="n"/>
      <c r="G202" s="108" t="n"/>
      <c r="H202" s="88">
        <f>IF(E202="","",INDEX(LevelLabels,MATCH(E202,LevelValues,1)))</f>
        <v/>
      </c>
      <c r="I202" s="40">
        <f>IF(OR(B202="",A202=""),"",B202&amp;"|"&amp;A202)</f>
        <v/>
      </c>
      <c r="J202" s="40">
        <f>IF(AND(B202&lt;&gt;"",B202=Prof_ID),COUNTIF($B$6:B202,Prof_ID),"")</f>
        <v/>
      </c>
    </row>
    <row r="203">
      <c r="A203" s="5" t="n"/>
      <c r="B203" s="6" t="n"/>
      <c r="C203" s="103">
        <f>IF(B203="","",IFERROR(INDEX(Stu_Name,MATCH(B203,Stu_ID,0)),"رقم غير موجود"))</f>
        <v/>
      </c>
      <c r="D203" s="88">
        <f>IF(B203="","",IFERROR(INDEX(Stu_Class,MATCH(B203,Stu_ID,0)),""))</f>
        <v/>
      </c>
      <c r="E203" s="88">
        <f>IF(OR(B203="",A203=""),"",IFERROR(COUNTIFS(INDEX(CHOOSE(INDEX(Stu_C,MATCH(B203,Stu_ID,0)),'KG1-1'!$AD$9:$IM$38,'KG1-2'!$AD$9:$IM$38,'KG1-3'!$AD$9:$IM$38,'KG1-4'!$AD$9:$IM$38,'KG1-5'!$AD$9:$IM$38,'KG1-6'!$AD$9:$IM$38,'KG1-7'!$AD$9:$IM$38),INDEX(Stu_I,MATCH(B203,Stu_ID,0)),0),"غياب بدون عذر",CHOOSE(INDEX(Stu_C,MATCH(B203,Stu_ID,0)),'KG1-1'!$AD$7:$IM$7,'KG1-2'!$AD$7:$IM$7,'KG1-3'!$AD$7:$IM$7,'KG1-4'!$AD$7:$IM$7,'KG1-5'!$AD$7:$IM$7,'KG1-6'!$AD$7:$IM$7,'KG1-7'!$AD$7:$IM$7),"✓",'KG1-1'!$AD$5:$IM$5,"&lt;="&amp;A203),""))</f>
        <v/>
      </c>
      <c r="F203" s="6" t="n"/>
      <c r="G203" s="108" t="n"/>
      <c r="H203" s="88">
        <f>IF(E203="","",INDEX(LevelLabels,MATCH(E203,LevelValues,1)))</f>
        <v/>
      </c>
      <c r="I203" s="40">
        <f>IF(OR(B203="",A203=""),"",B203&amp;"|"&amp;A203)</f>
        <v/>
      </c>
      <c r="J203" s="40">
        <f>IF(AND(B203&lt;&gt;"",B203=Prof_ID),COUNTIF($B$6:B203,Prof_ID),"")</f>
        <v/>
      </c>
    </row>
    <row r="204">
      <c r="A204" s="5" t="n"/>
      <c r="B204" s="6" t="n"/>
      <c r="C204" s="103">
        <f>IF(B204="","",IFERROR(INDEX(Stu_Name,MATCH(B204,Stu_ID,0)),"رقم غير موجود"))</f>
        <v/>
      </c>
      <c r="D204" s="88">
        <f>IF(B204="","",IFERROR(INDEX(Stu_Class,MATCH(B204,Stu_ID,0)),""))</f>
        <v/>
      </c>
      <c r="E204" s="88">
        <f>IF(OR(B204="",A204=""),"",IFERROR(COUNTIFS(INDEX(CHOOSE(INDEX(Stu_C,MATCH(B204,Stu_ID,0)),'KG1-1'!$AD$9:$IM$38,'KG1-2'!$AD$9:$IM$38,'KG1-3'!$AD$9:$IM$38,'KG1-4'!$AD$9:$IM$38,'KG1-5'!$AD$9:$IM$38,'KG1-6'!$AD$9:$IM$38,'KG1-7'!$AD$9:$IM$38),INDEX(Stu_I,MATCH(B204,Stu_ID,0)),0),"غياب بدون عذر",CHOOSE(INDEX(Stu_C,MATCH(B204,Stu_ID,0)),'KG1-1'!$AD$7:$IM$7,'KG1-2'!$AD$7:$IM$7,'KG1-3'!$AD$7:$IM$7,'KG1-4'!$AD$7:$IM$7,'KG1-5'!$AD$7:$IM$7,'KG1-6'!$AD$7:$IM$7,'KG1-7'!$AD$7:$IM$7),"✓",'KG1-1'!$AD$5:$IM$5,"&lt;="&amp;A204),""))</f>
        <v/>
      </c>
      <c r="F204" s="6" t="n"/>
      <c r="G204" s="108" t="n"/>
      <c r="H204" s="88">
        <f>IF(E204="","",INDEX(LevelLabels,MATCH(E204,LevelValues,1)))</f>
        <v/>
      </c>
      <c r="I204" s="40">
        <f>IF(OR(B204="",A204=""),"",B204&amp;"|"&amp;A204)</f>
        <v/>
      </c>
      <c r="J204" s="40">
        <f>IF(AND(B204&lt;&gt;"",B204=Prof_ID),COUNTIF($B$6:B204,Prof_ID),"")</f>
        <v/>
      </c>
    </row>
    <row r="205">
      <c r="A205" s="5" t="n"/>
      <c r="B205" s="6" t="n"/>
      <c r="C205" s="103">
        <f>IF(B205="","",IFERROR(INDEX(Stu_Name,MATCH(B205,Stu_ID,0)),"رقم غير موجود"))</f>
        <v/>
      </c>
      <c r="D205" s="88">
        <f>IF(B205="","",IFERROR(INDEX(Stu_Class,MATCH(B205,Stu_ID,0)),""))</f>
        <v/>
      </c>
      <c r="E205" s="88">
        <f>IF(OR(B205="",A205=""),"",IFERROR(COUNTIFS(INDEX(CHOOSE(INDEX(Stu_C,MATCH(B205,Stu_ID,0)),'KG1-1'!$AD$9:$IM$38,'KG1-2'!$AD$9:$IM$38,'KG1-3'!$AD$9:$IM$38,'KG1-4'!$AD$9:$IM$38,'KG1-5'!$AD$9:$IM$38,'KG1-6'!$AD$9:$IM$38,'KG1-7'!$AD$9:$IM$38),INDEX(Stu_I,MATCH(B205,Stu_ID,0)),0),"غياب بدون عذر",CHOOSE(INDEX(Stu_C,MATCH(B205,Stu_ID,0)),'KG1-1'!$AD$7:$IM$7,'KG1-2'!$AD$7:$IM$7,'KG1-3'!$AD$7:$IM$7,'KG1-4'!$AD$7:$IM$7,'KG1-5'!$AD$7:$IM$7,'KG1-6'!$AD$7:$IM$7,'KG1-7'!$AD$7:$IM$7),"✓",'KG1-1'!$AD$5:$IM$5,"&lt;="&amp;A205),""))</f>
        <v/>
      </c>
      <c r="F205" s="6" t="n"/>
      <c r="G205" s="108" t="n"/>
      <c r="H205" s="88">
        <f>IF(E205="","",INDEX(LevelLabels,MATCH(E205,LevelValues,1)))</f>
        <v/>
      </c>
      <c r="I205" s="40">
        <f>IF(OR(B205="",A205=""),"",B205&amp;"|"&amp;A205)</f>
        <v/>
      </c>
      <c r="J205" s="40">
        <f>IF(AND(B205&lt;&gt;"",B205=Prof_ID),COUNTIF($B$6:B205,Prof_ID),"")</f>
        <v/>
      </c>
    </row>
    <row r="206">
      <c r="A206" s="5" t="n"/>
      <c r="B206" s="6" t="n"/>
      <c r="C206" s="103">
        <f>IF(B206="","",IFERROR(INDEX(Stu_Name,MATCH(B206,Stu_ID,0)),"رقم غير موجود"))</f>
        <v/>
      </c>
      <c r="D206" s="88">
        <f>IF(B206="","",IFERROR(INDEX(Stu_Class,MATCH(B206,Stu_ID,0)),""))</f>
        <v/>
      </c>
      <c r="E206" s="88">
        <f>IF(OR(B206="",A206=""),"",IFERROR(COUNTIFS(INDEX(CHOOSE(INDEX(Stu_C,MATCH(B206,Stu_ID,0)),'KG1-1'!$AD$9:$IM$38,'KG1-2'!$AD$9:$IM$38,'KG1-3'!$AD$9:$IM$38,'KG1-4'!$AD$9:$IM$38,'KG1-5'!$AD$9:$IM$38,'KG1-6'!$AD$9:$IM$38,'KG1-7'!$AD$9:$IM$38),INDEX(Stu_I,MATCH(B206,Stu_ID,0)),0),"غياب بدون عذر",CHOOSE(INDEX(Stu_C,MATCH(B206,Stu_ID,0)),'KG1-1'!$AD$7:$IM$7,'KG1-2'!$AD$7:$IM$7,'KG1-3'!$AD$7:$IM$7,'KG1-4'!$AD$7:$IM$7,'KG1-5'!$AD$7:$IM$7,'KG1-6'!$AD$7:$IM$7,'KG1-7'!$AD$7:$IM$7),"✓",'KG1-1'!$AD$5:$IM$5,"&lt;="&amp;A206),""))</f>
        <v/>
      </c>
      <c r="F206" s="6" t="n"/>
      <c r="G206" s="108" t="n"/>
      <c r="H206" s="88">
        <f>IF(E206="","",INDEX(LevelLabels,MATCH(E206,LevelValues,1)))</f>
        <v/>
      </c>
      <c r="I206" s="40">
        <f>IF(OR(B206="",A206=""),"",B206&amp;"|"&amp;A206)</f>
        <v/>
      </c>
      <c r="J206" s="40">
        <f>IF(AND(B206&lt;&gt;"",B206=Prof_ID),COUNTIF($B$6:B206,Prof_ID),"")</f>
        <v/>
      </c>
    </row>
    <row r="207">
      <c r="A207" s="5" t="n"/>
      <c r="B207" s="6" t="n"/>
      <c r="C207" s="103">
        <f>IF(B207="","",IFERROR(INDEX(Stu_Name,MATCH(B207,Stu_ID,0)),"رقم غير موجود"))</f>
        <v/>
      </c>
      <c r="D207" s="88">
        <f>IF(B207="","",IFERROR(INDEX(Stu_Class,MATCH(B207,Stu_ID,0)),""))</f>
        <v/>
      </c>
      <c r="E207" s="88">
        <f>IF(OR(B207="",A207=""),"",IFERROR(COUNTIFS(INDEX(CHOOSE(INDEX(Stu_C,MATCH(B207,Stu_ID,0)),'KG1-1'!$AD$9:$IM$38,'KG1-2'!$AD$9:$IM$38,'KG1-3'!$AD$9:$IM$38,'KG1-4'!$AD$9:$IM$38,'KG1-5'!$AD$9:$IM$38,'KG1-6'!$AD$9:$IM$38,'KG1-7'!$AD$9:$IM$38),INDEX(Stu_I,MATCH(B207,Stu_ID,0)),0),"غياب بدون عذر",CHOOSE(INDEX(Stu_C,MATCH(B207,Stu_ID,0)),'KG1-1'!$AD$7:$IM$7,'KG1-2'!$AD$7:$IM$7,'KG1-3'!$AD$7:$IM$7,'KG1-4'!$AD$7:$IM$7,'KG1-5'!$AD$7:$IM$7,'KG1-6'!$AD$7:$IM$7,'KG1-7'!$AD$7:$IM$7),"✓",'KG1-1'!$AD$5:$IM$5,"&lt;="&amp;A207),""))</f>
        <v/>
      </c>
      <c r="F207" s="6" t="n"/>
      <c r="G207" s="108" t="n"/>
      <c r="H207" s="88">
        <f>IF(E207="","",INDEX(LevelLabels,MATCH(E207,LevelValues,1)))</f>
        <v/>
      </c>
      <c r="I207" s="40">
        <f>IF(OR(B207="",A207=""),"",B207&amp;"|"&amp;A207)</f>
        <v/>
      </c>
      <c r="J207" s="40">
        <f>IF(AND(B207&lt;&gt;"",B207=Prof_ID),COUNTIF($B$6:B207,Prof_ID),"")</f>
        <v/>
      </c>
    </row>
    <row r="208">
      <c r="A208" s="5" t="n"/>
      <c r="B208" s="6" t="n"/>
      <c r="C208" s="103">
        <f>IF(B208="","",IFERROR(INDEX(Stu_Name,MATCH(B208,Stu_ID,0)),"رقم غير موجود"))</f>
        <v/>
      </c>
      <c r="D208" s="88">
        <f>IF(B208="","",IFERROR(INDEX(Stu_Class,MATCH(B208,Stu_ID,0)),""))</f>
        <v/>
      </c>
      <c r="E208" s="88">
        <f>IF(OR(B208="",A208=""),"",IFERROR(COUNTIFS(INDEX(CHOOSE(INDEX(Stu_C,MATCH(B208,Stu_ID,0)),'KG1-1'!$AD$9:$IM$38,'KG1-2'!$AD$9:$IM$38,'KG1-3'!$AD$9:$IM$38,'KG1-4'!$AD$9:$IM$38,'KG1-5'!$AD$9:$IM$38,'KG1-6'!$AD$9:$IM$38,'KG1-7'!$AD$9:$IM$38),INDEX(Stu_I,MATCH(B208,Stu_ID,0)),0),"غياب بدون عذر",CHOOSE(INDEX(Stu_C,MATCH(B208,Stu_ID,0)),'KG1-1'!$AD$7:$IM$7,'KG1-2'!$AD$7:$IM$7,'KG1-3'!$AD$7:$IM$7,'KG1-4'!$AD$7:$IM$7,'KG1-5'!$AD$7:$IM$7,'KG1-6'!$AD$7:$IM$7,'KG1-7'!$AD$7:$IM$7),"✓",'KG1-1'!$AD$5:$IM$5,"&lt;="&amp;A208),""))</f>
        <v/>
      </c>
      <c r="F208" s="6" t="n"/>
      <c r="G208" s="108" t="n"/>
      <c r="H208" s="88">
        <f>IF(E208="","",INDEX(LevelLabels,MATCH(E208,LevelValues,1)))</f>
        <v/>
      </c>
      <c r="I208" s="40">
        <f>IF(OR(B208="",A208=""),"",B208&amp;"|"&amp;A208)</f>
        <v/>
      </c>
      <c r="J208" s="40">
        <f>IF(AND(B208&lt;&gt;"",B208=Prof_ID),COUNTIF($B$6:B208,Prof_ID),"")</f>
        <v/>
      </c>
    </row>
    <row r="209">
      <c r="A209" s="5" t="n"/>
      <c r="B209" s="6" t="n"/>
      <c r="C209" s="103">
        <f>IF(B209="","",IFERROR(INDEX(Stu_Name,MATCH(B209,Stu_ID,0)),"رقم غير موجود"))</f>
        <v/>
      </c>
      <c r="D209" s="88">
        <f>IF(B209="","",IFERROR(INDEX(Stu_Class,MATCH(B209,Stu_ID,0)),""))</f>
        <v/>
      </c>
      <c r="E209" s="88">
        <f>IF(OR(B209="",A209=""),"",IFERROR(COUNTIFS(INDEX(CHOOSE(INDEX(Stu_C,MATCH(B209,Stu_ID,0)),'KG1-1'!$AD$9:$IM$38,'KG1-2'!$AD$9:$IM$38,'KG1-3'!$AD$9:$IM$38,'KG1-4'!$AD$9:$IM$38,'KG1-5'!$AD$9:$IM$38,'KG1-6'!$AD$9:$IM$38,'KG1-7'!$AD$9:$IM$38),INDEX(Stu_I,MATCH(B209,Stu_ID,0)),0),"غياب بدون عذر",CHOOSE(INDEX(Stu_C,MATCH(B209,Stu_ID,0)),'KG1-1'!$AD$7:$IM$7,'KG1-2'!$AD$7:$IM$7,'KG1-3'!$AD$7:$IM$7,'KG1-4'!$AD$7:$IM$7,'KG1-5'!$AD$7:$IM$7,'KG1-6'!$AD$7:$IM$7,'KG1-7'!$AD$7:$IM$7),"✓",'KG1-1'!$AD$5:$IM$5,"&lt;="&amp;A209),""))</f>
        <v/>
      </c>
      <c r="F209" s="6" t="n"/>
      <c r="G209" s="108" t="n"/>
      <c r="H209" s="88">
        <f>IF(E209="","",INDEX(LevelLabels,MATCH(E209,LevelValues,1)))</f>
        <v/>
      </c>
      <c r="I209" s="40">
        <f>IF(OR(B209="",A209=""),"",B209&amp;"|"&amp;A209)</f>
        <v/>
      </c>
      <c r="J209" s="40">
        <f>IF(AND(B209&lt;&gt;"",B209=Prof_ID),COUNTIF($B$6:B209,Prof_ID),"")</f>
        <v/>
      </c>
    </row>
    <row r="210">
      <c r="A210" s="5" t="n"/>
      <c r="B210" s="6" t="n"/>
      <c r="C210" s="103">
        <f>IF(B210="","",IFERROR(INDEX(Stu_Name,MATCH(B210,Stu_ID,0)),"رقم غير موجود"))</f>
        <v/>
      </c>
      <c r="D210" s="88">
        <f>IF(B210="","",IFERROR(INDEX(Stu_Class,MATCH(B210,Stu_ID,0)),""))</f>
        <v/>
      </c>
      <c r="E210" s="88">
        <f>IF(OR(B210="",A210=""),"",IFERROR(COUNTIFS(INDEX(CHOOSE(INDEX(Stu_C,MATCH(B210,Stu_ID,0)),'KG1-1'!$AD$9:$IM$38,'KG1-2'!$AD$9:$IM$38,'KG1-3'!$AD$9:$IM$38,'KG1-4'!$AD$9:$IM$38,'KG1-5'!$AD$9:$IM$38,'KG1-6'!$AD$9:$IM$38,'KG1-7'!$AD$9:$IM$38),INDEX(Stu_I,MATCH(B210,Stu_ID,0)),0),"غياب بدون عذر",CHOOSE(INDEX(Stu_C,MATCH(B210,Stu_ID,0)),'KG1-1'!$AD$7:$IM$7,'KG1-2'!$AD$7:$IM$7,'KG1-3'!$AD$7:$IM$7,'KG1-4'!$AD$7:$IM$7,'KG1-5'!$AD$7:$IM$7,'KG1-6'!$AD$7:$IM$7,'KG1-7'!$AD$7:$IM$7),"✓",'KG1-1'!$AD$5:$IM$5,"&lt;="&amp;A210),""))</f>
        <v/>
      </c>
      <c r="F210" s="6" t="n"/>
      <c r="G210" s="108" t="n"/>
      <c r="H210" s="88">
        <f>IF(E210="","",INDEX(LevelLabels,MATCH(E210,LevelValues,1)))</f>
        <v/>
      </c>
      <c r="I210" s="40">
        <f>IF(OR(B210="",A210=""),"",B210&amp;"|"&amp;A210)</f>
        <v/>
      </c>
      <c r="J210" s="40">
        <f>IF(AND(B210&lt;&gt;"",B210=Prof_ID),COUNTIF($B$6:B210,Prof_ID),"")</f>
        <v/>
      </c>
    </row>
    <row r="211">
      <c r="A211" s="5" t="n"/>
      <c r="B211" s="6" t="n"/>
      <c r="C211" s="103">
        <f>IF(B211="","",IFERROR(INDEX(Stu_Name,MATCH(B211,Stu_ID,0)),"رقم غير موجود"))</f>
        <v/>
      </c>
      <c r="D211" s="88">
        <f>IF(B211="","",IFERROR(INDEX(Stu_Class,MATCH(B211,Stu_ID,0)),""))</f>
        <v/>
      </c>
      <c r="E211" s="88">
        <f>IF(OR(B211="",A211=""),"",IFERROR(COUNTIFS(INDEX(CHOOSE(INDEX(Stu_C,MATCH(B211,Stu_ID,0)),'KG1-1'!$AD$9:$IM$38,'KG1-2'!$AD$9:$IM$38,'KG1-3'!$AD$9:$IM$38,'KG1-4'!$AD$9:$IM$38,'KG1-5'!$AD$9:$IM$38,'KG1-6'!$AD$9:$IM$38,'KG1-7'!$AD$9:$IM$38),INDEX(Stu_I,MATCH(B211,Stu_ID,0)),0),"غياب بدون عذر",CHOOSE(INDEX(Stu_C,MATCH(B211,Stu_ID,0)),'KG1-1'!$AD$7:$IM$7,'KG1-2'!$AD$7:$IM$7,'KG1-3'!$AD$7:$IM$7,'KG1-4'!$AD$7:$IM$7,'KG1-5'!$AD$7:$IM$7,'KG1-6'!$AD$7:$IM$7,'KG1-7'!$AD$7:$IM$7),"✓",'KG1-1'!$AD$5:$IM$5,"&lt;="&amp;A211),""))</f>
        <v/>
      </c>
      <c r="F211" s="6" t="n"/>
      <c r="G211" s="108" t="n"/>
      <c r="H211" s="88">
        <f>IF(E211="","",INDEX(LevelLabels,MATCH(E211,LevelValues,1)))</f>
        <v/>
      </c>
      <c r="I211" s="40">
        <f>IF(OR(B211="",A211=""),"",B211&amp;"|"&amp;A211)</f>
        <v/>
      </c>
      <c r="J211" s="40">
        <f>IF(AND(B211&lt;&gt;"",B211=Prof_ID),COUNTIF($B$6:B211,Prof_ID),"")</f>
        <v/>
      </c>
    </row>
    <row r="212">
      <c r="A212" s="5" t="n"/>
      <c r="B212" s="6" t="n"/>
      <c r="C212" s="103">
        <f>IF(B212="","",IFERROR(INDEX(Stu_Name,MATCH(B212,Stu_ID,0)),"رقم غير موجود"))</f>
        <v/>
      </c>
      <c r="D212" s="88">
        <f>IF(B212="","",IFERROR(INDEX(Stu_Class,MATCH(B212,Stu_ID,0)),""))</f>
        <v/>
      </c>
      <c r="E212" s="88">
        <f>IF(OR(B212="",A212=""),"",IFERROR(COUNTIFS(INDEX(CHOOSE(INDEX(Stu_C,MATCH(B212,Stu_ID,0)),'KG1-1'!$AD$9:$IM$38,'KG1-2'!$AD$9:$IM$38,'KG1-3'!$AD$9:$IM$38,'KG1-4'!$AD$9:$IM$38,'KG1-5'!$AD$9:$IM$38,'KG1-6'!$AD$9:$IM$38,'KG1-7'!$AD$9:$IM$38),INDEX(Stu_I,MATCH(B212,Stu_ID,0)),0),"غياب بدون عذر",CHOOSE(INDEX(Stu_C,MATCH(B212,Stu_ID,0)),'KG1-1'!$AD$7:$IM$7,'KG1-2'!$AD$7:$IM$7,'KG1-3'!$AD$7:$IM$7,'KG1-4'!$AD$7:$IM$7,'KG1-5'!$AD$7:$IM$7,'KG1-6'!$AD$7:$IM$7,'KG1-7'!$AD$7:$IM$7),"✓",'KG1-1'!$AD$5:$IM$5,"&lt;="&amp;A212),""))</f>
        <v/>
      </c>
      <c r="F212" s="6" t="n"/>
      <c r="G212" s="108" t="n"/>
      <c r="H212" s="88">
        <f>IF(E212="","",INDEX(LevelLabels,MATCH(E212,LevelValues,1)))</f>
        <v/>
      </c>
      <c r="I212" s="40">
        <f>IF(OR(B212="",A212=""),"",B212&amp;"|"&amp;A212)</f>
        <v/>
      </c>
      <c r="J212" s="40">
        <f>IF(AND(B212&lt;&gt;"",B212=Prof_ID),COUNTIF($B$6:B212,Prof_ID),"")</f>
        <v/>
      </c>
    </row>
    <row r="213">
      <c r="A213" s="5" t="n"/>
      <c r="B213" s="6" t="n"/>
      <c r="C213" s="103">
        <f>IF(B213="","",IFERROR(INDEX(Stu_Name,MATCH(B213,Stu_ID,0)),"رقم غير موجود"))</f>
        <v/>
      </c>
      <c r="D213" s="88">
        <f>IF(B213="","",IFERROR(INDEX(Stu_Class,MATCH(B213,Stu_ID,0)),""))</f>
        <v/>
      </c>
      <c r="E213" s="88">
        <f>IF(OR(B213="",A213=""),"",IFERROR(COUNTIFS(INDEX(CHOOSE(INDEX(Stu_C,MATCH(B213,Stu_ID,0)),'KG1-1'!$AD$9:$IM$38,'KG1-2'!$AD$9:$IM$38,'KG1-3'!$AD$9:$IM$38,'KG1-4'!$AD$9:$IM$38,'KG1-5'!$AD$9:$IM$38,'KG1-6'!$AD$9:$IM$38,'KG1-7'!$AD$9:$IM$38),INDEX(Stu_I,MATCH(B213,Stu_ID,0)),0),"غياب بدون عذر",CHOOSE(INDEX(Stu_C,MATCH(B213,Stu_ID,0)),'KG1-1'!$AD$7:$IM$7,'KG1-2'!$AD$7:$IM$7,'KG1-3'!$AD$7:$IM$7,'KG1-4'!$AD$7:$IM$7,'KG1-5'!$AD$7:$IM$7,'KG1-6'!$AD$7:$IM$7,'KG1-7'!$AD$7:$IM$7),"✓",'KG1-1'!$AD$5:$IM$5,"&lt;="&amp;A213),""))</f>
        <v/>
      </c>
      <c r="F213" s="6" t="n"/>
      <c r="G213" s="108" t="n"/>
      <c r="H213" s="88">
        <f>IF(E213="","",INDEX(LevelLabels,MATCH(E213,LevelValues,1)))</f>
        <v/>
      </c>
      <c r="I213" s="40">
        <f>IF(OR(B213="",A213=""),"",B213&amp;"|"&amp;A213)</f>
        <v/>
      </c>
      <c r="J213" s="40">
        <f>IF(AND(B213&lt;&gt;"",B213=Prof_ID),COUNTIF($B$6:B213,Prof_ID),"")</f>
        <v/>
      </c>
    </row>
    <row r="214">
      <c r="A214" s="5" t="n"/>
      <c r="B214" s="6" t="n"/>
      <c r="C214" s="103">
        <f>IF(B214="","",IFERROR(INDEX(Stu_Name,MATCH(B214,Stu_ID,0)),"رقم غير موجود"))</f>
        <v/>
      </c>
      <c r="D214" s="88">
        <f>IF(B214="","",IFERROR(INDEX(Stu_Class,MATCH(B214,Stu_ID,0)),""))</f>
        <v/>
      </c>
      <c r="E214" s="88">
        <f>IF(OR(B214="",A214=""),"",IFERROR(COUNTIFS(INDEX(CHOOSE(INDEX(Stu_C,MATCH(B214,Stu_ID,0)),'KG1-1'!$AD$9:$IM$38,'KG1-2'!$AD$9:$IM$38,'KG1-3'!$AD$9:$IM$38,'KG1-4'!$AD$9:$IM$38,'KG1-5'!$AD$9:$IM$38,'KG1-6'!$AD$9:$IM$38,'KG1-7'!$AD$9:$IM$38),INDEX(Stu_I,MATCH(B214,Stu_ID,0)),0),"غياب بدون عذر",CHOOSE(INDEX(Stu_C,MATCH(B214,Stu_ID,0)),'KG1-1'!$AD$7:$IM$7,'KG1-2'!$AD$7:$IM$7,'KG1-3'!$AD$7:$IM$7,'KG1-4'!$AD$7:$IM$7,'KG1-5'!$AD$7:$IM$7,'KG1-6'!$AD$7:$IM$7,'KG1-7'!$AD$7:$IM$7),"✓",'KG1-1'!$AD$5:$IM$5,"&lt;="&amp;A214),""))</f>
        <v/>
      </c>
      <c r="F214" s="6" t="n"/>
      <c r="G214" s="108" t="n"/>
      <c r="H214" s="88">
        <f>IF(E214="","",INDEX(LevelLabels,MATCH(E214,LevelValues,1)))</f>
        <v/>
      </c>
      <c r="I214" s="40">
        <f>IF(OR(B214="",A214=""),"",B214&amp;"|"&amp;A214)</f>
        <v/>
      </c>
      <c r="J214" s="40">
        <f>IF(AND(B214&lt;&gt;"",B214=Prof_ID),COUNTIF($B$6:B214,Prof_ID),"")</f>
        <v/>
      </c>
    </row>
    <row r="215">
      <c r="A215" s="5" t="n"/>
      <c r="B215" s="6" t="n"/>
      <c r="C215" s="103">
        <f>IF(B215="","",IFERROR(INDEX(Stu_Name,MATCH(B215,Stu_ID,0)),"رقم غير موجود"))</f>
        <v/>
      </c>
      <c r="D215" s="88">
        <f>IF(B215="","",IFERROR(INDEX(Stu_Class,MATCH(B215,Stu_ID,0)),""))</f>
        <v/>
      </c>
      <c r="E215" s="88">
        <f>IF(OR(B215="",A215=""),"",IFERROR(COUNTIFS(INDEX(CHOOSE(INDEX(Stu_C,MATCH(B215,Stu_ID,0)),'KG1-1'!$AD$9:$IM$38,'KG1-2'!$AD$9:$IM$38,'KG1-3'!$AD$9:$IM$38,'KG1-4'!$AD$9:$IM$38,'KG1-5'!$AD$9:$IM$38,'KG1-6'!$AD$9:$IM$38,'KG1-7'!$AD$9:$IM$38),INDEX(Stu_I,MATCH(B215,Stu_ID,0)),0),"غياب بدون عذر",CHOOSE(INDEX(Stu_C,MATCH(B215,Stu_ID,0)),'KG1-1'!$AD$7:$IM$7,'KG1-2'!$AD$7:$IM$7,'KG1-3'!$AD$7:$IM$7,'KG1-4'!$AD$7:$IM$7,'KG1-5'!$AD$7:$IM$7,'KG1-6'!$AD$7:$IM$7,'KG1-7'!$AD$7:$IM$7),"✓",'KG1-1'!$AD$5:$IM$5,"&lt;="&amp;A215),""))</f>
        <v/>
      </c>
      <c r="F215" s="6" t="n"/>
      <c r="G215" s="108" t="n"/>
      <c r="H215" s="88">
        <f>IF(E215="","",INDEX(LevelLabels,MATCH(E215,LevelValues,1)))</f>
        <v/>
      </c>
      <c r="I215" s="40">
        <f>IF(OR(B215="",A215=""),"",B215&amp;"|"&amp;A215)</f>
        <v/>
      </c>
      <c r="J215" s="40">
        <f>IF(AND(B215&lt;&gt;"",B215=Prof_ID),COUNTIF($B$6:B215,Prof_ID),"")</f>
        <v/>
      </c>
    </row>
    <row r="216">
      <c r="A216" s="5" t="n"/>
      <c r="B216" s="6" t="n"/>
      <c r="C216" s="103">
        <f>IF(B216="","",IFERROR(INDEX(Stu_Name,MATCH(B216,Stu_ID,0)),"رقم غير موجود"))</f>
        <v/>
      </c>
      <c r="D216" s="88">
        <f>IF(B216="","",IFERROR(INDEX(Stu_Class,MATCH(B216,Stu_ID,0)),""))</f>
        <v/>
      </c>
      <c r="E216" s="88">
        <f>IF(OR(B216="",A216=""),"",IFERROR(COUNTIFS(INDEX(CHOOSE(INDEX(Stu_C,MATCH(B216,Stu_ID,0)),'KG1-1'!$AD$9:$IM$38,'KG1-2'!$AD$9:$IM$38,'KG1-3'!$AD$9:$IM$38,'KG1-4'!$AD$9:$IM$38,'KG1-5'!$AD$9:$IM$38,'KG1-6'!$AD$9:$IM$38,'KG1-7'!$AD$9:$IM$38),INDEX(Stu_I,MATCH(B216,Stu_ID,0)),0),"غياب بدون عذر",CHOOSE(INDEX(Stu_C,MATCH(B216,Stu_ID,0)),'KG1-1'!$AD$7:$IM$7,'KG1-2'!$AD$7:$IM$7,'KG1-3'!$AD$7:$IM$7,'KG1-4'!$AD$7:$IM$7,'KG1-5'!$AD$7:$IM$7,'KG1-6'!$AD$7:$IM$7,'KG1-7'!$AD$7:$IM$7),"✓",'KG1-1'!$AD$5:$IM$5,"&lt;="&amp;A216),""))</f>
        <v/>
      </c>
      <c r="F216" s="6" t="n"/>
      <c r="G216" s="108" t="n"/>
      <c r="H216" s="88">
        <f>IF(E216="","",INDEX(LevelLabels,MATCH(E216,LevelValues,1)))</f>
        <v/>
      </c>
      <c r="I216" s="40">
        <f>IF(OR(B216="",A216=""),"",B216&amp;"|"&amp;A216)</f>
        <v/>
      </c>
      <c r="J216" s="40">
        <f>IF(AND(B216&lt;&gt;"",B216=Prof_ID),COUNTIF($B$6:B216,Prof_ID),"")</f>
        <v/>
      </c>
    </row>
    <row r="217">
      <c r="A217" s="5" t="n"/>
      <c r="B217" s="6" t="n"/>
      <c r="C217" s="103">
        <f>IF(B217="","",IFERROR(INDEX(Stu_Name,MATCH(B217,Stu_ID,0)),"رقم غير موجود"))</f>
        <v/>
      </c>
      <c r="D217" s="88">
        <f>IF(B217="","",IFERROR(INDEX(Stu_Class,MATCH(B217,Stu_ID,0)),""))</f>
        <v/>
      </c>
      <c r="E217" s="88">
        <f>IF(OR(B217="",A217=""),"",IFERROR(COUNTIFS(INDEX(CHOOSE(INDEX(Stu_C,MATCH(B217,Stu_ID,0)),'KG1-1'!$AD$9:$IM$38,'KG1-2'!$AD$9:$IM$38,'KG1-3'!$AD$9:$IM$38,'KG1-4'!$AD$9:$IM$38,'KG1-5'!$AD$9:$IM$38,'KG1-6'!$AD$9:$IM$38,'KG1-7'!$AD$9:$IM$38),INDEX(Stu_I,MATCH(B217,Stu_ID,0)),0),"غياب بدون عذر",CHOOSE(INDEX(Stu_C,MATCH(B217,Stu_ID,0)),'KG1-1'!$AD$7:$IM$7,'KG1-2'!$AD$7:$IM$7,'KG1-3'!$AD$7:$IM$7,'KG1-4'!$AD$7:$IM$7,'KG1-5'!$AD$7:$IM$7,'KG1-6'!$AD$7:$IM$7,'KG1-7'!$AD$7:$IM$7),"✓",'KG1-1'!$AD$5:$IM$5,"&lt;="&amp;A217),""))</f>
        <v/>
      </c>
      <c r="F217" s="6" t="n"/>
      <c r="G217" s="108" t="n"/>
      <c r="H217" s="88">
        <f>IF(E217="","",INDEX(LevelLabels,MATCH(E217,LevelValues,1)))</f>
        <v/>
      </c>
      <c r="I217" s="40">
        <f>IF(OR(B217="",A217=""),"",B217&amp;"|"&amp;A217)</f>
        <v/>
      </c>
      <c r="J217" s="40">
        <f>IF(AND(B217&lt;&gt;"",B217=Prof_ID),COUNTIF($B$6:B217,Prof_ID),"")</f>
        <v/>
      </c>
    </row>
    <row r="218">
      <c r="A218" s="5" t="n"/>
      <c r="B218" s="6" t="n"/>
      <c r="C218" s="103">
        <f>IF(B218="","",IFERROR(INDEX(Stu_Name,MATCH(B218,Stu_ID,0)),"رقم غير موجود"))</f>
        <v/>
      </c>
      <c r="D218" s="88">
        <f>IF(B218="","",IFERROR(INDEX(Stu_Class,MATCH(B218,Stu_ID,0)),""))</f>
        <v/>
      </c>
      <c r="E218" s="88">
        <f>IF(OR(B218="",A218=""),"",IFERROR(COUNTIFS(INDEX(CHOOSE(INDEX(Stu_C,MATCH(B218,Stu_ID,0)),'KG1-1'!$AD$9:$IM$38,'KG1-2'!$AD$9:$IM$38,'KG1-3'!$AD$9:$IM$38,'KG1-4'!$AD$9:$IM$38,'KG1-5'!$AD$9:$IM$38,'KG1-6'!$AD$9:$IM$38,'KG1-7'!$AD$9:$IM$38),INDEX(Stu_I,MATCH(B218,Stu_ID,0)),0),"غياب بدون عذر",CHOOSE(INDEX(Stu_C,MATCH(B218,Stu_ID,0)),'KG1-1'!$AD$7:$IM$7,'KG1-2'!$AD$7:$IM$7,'KG1-3'!$AD$7:$IM$7,'KG1-4'!$AD$7:$IM$7,'KG1-5'!$AD$7:$IM$7,'KG1-6'!$AD$7:$IM$7,'KG1-7'!$AD$7:$IM$7),"✓",'KG1-1'!$AD$5:$IM$5,"&lt;="&amp;A218),""))</f>
        <v/>
      </c>
      <c r="F218" s="6" t="n"/>
      <c r="G218" s="108" t="n"/>
      <c r="H218" s="88">
        <f>IF(E218="","",INDEX(LevelLabels,MATCH(E218,LevelValues,1)))</f>
        <v/>
      </c>
      <c r="I218" s="40">
        <f>IF(OR(B218="",A218=""),"",B218&amp;"|"&amp;A218)</f>
        <v/>
      </c>
      <c r="J218" s="40">
        <f>IF(AND(B218&lt;&gt;"",B218=Prof_ID),COUNTIF($B$6:B218,Prof_ID),"")</f>
        <v/>
      </c>
    </row>
    <row r="219">
      <c r="A219" s="5" t="n"/>
      <c r="B219" s="6" t="n"/>
      <c r="C219" s="103">
        <f>IF(B219="","",IFERROR(INDEX(Stu_Name,MATCH(B219,Stu_ID,0)),"رقم غير موجود"))</f>
        <v/>
      </c>
      <c r="D219" s="88">
        <f>IF(B219="","",IFERROR(INDEX(Stu_Class,MATCH(B219,Stu_ID,0)),""))</f>
        <v/>
      </c>
      <c r="E219" s="88">
        <f>IF(OR(B219="",A219=""),"",IFERROR(COUNTIFS(INDEX(CHOOSE(INDEX(Stu_C,MATCH(B219,Stu_ID,0)),'KG1-1'!$AD$9:$IM$38,'KG1-2'!$AD$9:$IM$38,'KG1-3'!$AD$9:$IM$38,'KG1-4'!$AD$9:$IM$38,'KG1-5'!$AD$9:$IM$38,'KG1-6'!$AD$9:$IM$38,'KG1-7'!$AD$9:$IM$38),INDEX(Stu_I,MATCH(B219,Stu_ID,0)),0),"غياب بدون عذر",CHOOSE(INDEX(Stu_C,MATCH(B219,Stu_ID,0)),'KG1-1'!$AD$7:$IM$7,'KG1-2'!$AD$7:$IM$7,'KG1-3'!$AD$7:$IM$7,'KG1-4'!$AD$7:$IM$7,'KG1-5'!$AD$7:$IM$7,'KG1-6'!$AD$7:$IM$7,'KG1-7'!$AD$7:$IM$7),"✓",'KG1-1'!$AD$5:$IM$5,"&lt;="&amp;A219),""))</f>
        <v/>
      </c>
      <c r="F219" s="6" t="n"/>
      <c r="G219" s="108" t="n"/>
      <c r="H219" s="88">
        <f>IF(E219="","",INDEX(LevelLabels,MATCH(E219,LevelValues,1)))</f>
        <v/>
      </c>
      <c r="I219" s="40">
        <f>IF(OR(B219="",A219=""),"",B219&amp;"|"&amp;A219)</f>
        <v/>
      </c>
      <c r="J219" s="40">
        <f>IF(AND(B219&lt;&gt;"",B219=Prof_ID),COUNTIF($B$6:B219,Prof_ID),"")</f>
        <v/>
      </c>
    </row>
    <row r="220">
      <c r="A220" s="5" t="n"/>
      <c r="B220" s="6" t="n"/>
      <c r="C220" s="103">
        <f>IF(B220="","",IFERROR(INDEX(Stu_Name,MATCH(B220,Stu_ID,0)),"رقم غير موجود"))</f>
        <v/>
      </c>
      <c r="D220" s="88">
        <f>IF(B220="","",IFERROR(INDEX(Stu_Class,MATCH(B220,Stu_ID,0)),""))</f>
        <v/>
      </c>
      <c r="E220" s="88">
        <f>IF(OR(B220="",A220=""),"",IFERROR(COUNTIFS(INDEX(CHOOSE(INDEX(Stu_C,MATCH(B220,Stu_ID,0)),'KG1-1'!$AD$9:$IM$38,'KG1-2'!$AD$9:$IM$38,'KG1-3'!$AD$9:$IM$38,'KG1-4'!$AD$9:$IM$38,'KG1-5'!$AD$9:$IM$38,'KG1-6'!$AD$9:$IM$38,'KG1-7'!$AD$9:$IM$38),INDEX(Stu_I,MATCH(B220,Stu_ID,0)),0),"غياب بدون عذر",CHOOSE(INDEX(Stu_C,MATCH(B220,Stu_ID,0)),'KG1-1'!$AD$7:$IM$7,'KG1-2'!$AD$7:$IM$7,'KG1-3'!$AD$7:$IM$7,'KG1-4'!$AD$7:$IM$7,'KG1-5'!$AD$7:$IM$7,'KG1-6'!$AD$7:$IM$7,'KG1-7'!$AD$7:$IM$7),"✓",'KG1-1'!$AD$5:$IM$5,"&lt;="&amp;A220),""))</f>
        <v/>
      </c>
      <c r="F220" s="6" t="n"/>
      <c r="G220" s="108" t="n"/>
      <c r="H220" s="88">
        <f>IF(E220="","",INDEX(LevelLabels,MATCH(E220,LevelValues,1)))</f>
        <v/>
      </c>
      <c r="I220" s="40">
        <f>IF(OR(B220="",A220=""),"",B220&amp;"|"&amp;A220)</f>
        <v/>
      </c>
      <c r="J220" s="40">
        <f>IF(AND(B220&lt;&gt;"",B220=Prof_ID),COUNTIF($B$6:B220,Prof_ID),"")</f>
        <v/>
      </c>
    </row>
    <row r="221">
      <c r="A221" s="5" t="n"/>
      <c r="B221" s="6" t="n"/>
      <c r="C221" s="103">
        <f>IF(B221="","",IFERROR(INDEX(Stu_Name,MATCH(B221,Stu_ID,0)),"رقم غير موجود"))</f>
        <v/>
      </c>
      <c r="D221" s="88">
        <f>IF(B221="","",IFERROR(INDEX(Stu_Class,MATCH(B221,Stu_ID,0)),""))</f>
        <v/>
      </c>
      <c r="E221" s="88">
        <f>IF(OR(B221="",A221=""),"",IFERROR(COUNTIFS(INDEX(CHOOSE(INDEX(Stu_C,MATCH(B221,Stu_ID,0)),'KG1-1'!$AD$9:$IM$38,'KG1-2'!$AD$9:$IM$38,'KG1-3'!$AD$9:$IM$38,'KG1-4'!$AD$9:$IM$38,'KG1-5'!$AD$9:$IM$38,'KG1-6'!$AD$9:$IM$38,'KG1-7'!$AD$9:$IM$38),INDEX(Stu_I,MATCH(B221,Stu_ID,0)),0),"غياب بدون عذر",CHOOSE(INDEX(Stu_C,MATCH(B221,Stu_ID,0)),'KG1-1'!$AD$7:$IM$7,'KG1-2'!$AD$7:$IM$7,'KG1-3'!$AD$7:$IM$7,'KG1-4'!$AD$7:$IM$7,'KG1-5'!$AD$7:$IM$7,'KG1-6'!$AD$7:$IM$7,'KG1-7'!$AD$7:$IM$7),"✓",'KG1-1'!$AD$5:$IM$5,"&lt;="&amp;A221),""))</f>
        <v/>
      </c>
      <c r="F221" s="6" t="n"/>
      <c r="G221" s="108" t="n"/>
      <c r="H221" s="88">
        <f>IF(E221="","",INDEX(LevelLabels,MATCH(E221,LevelValues,1)))</f>
        <v/>
      </c>
      <c r="I221" s="40">
        <f>IF(OR(B221="",A221=""),"",B221&amp;"|"&amp;A221)</f>
        <v/>
      </c>
      <c r="J221" s="40">
        <f>IF(AND(B221&lt;&gt;"",B221=Prof_ID),COUNTIF($B$6:B221,Prof_ID),"")</f>
        <v/>
      </c>
    </row>
    <row r="222">
      <c r="A222" s="5" t="n"/>
      <c r="B222" s="6" t="n"/>
      <c r="C222" s="103">
        <f>IF(B222="","",IFERROR(INDEX(Stu_Name,MATCH(B222,Stu_ID,0)),"رقم غير موجود"))</f>
        <v/>
      </c>
      <c r="D222" s="88">
        <f>IF(B222="","",IFERROR(INDEX(Stu_Class,MATCH(B222,Stu_ID,0)),""))</f>
        <v/>
      </c>
      <c r="E222" s="88">
        <f>IF(OR(B222="",A222=""),"",IFERROR(COUNTIFS(INDEX(CHOOSE(INDEX(Stu_C,MATCH(B222,Stu_ID,0)),'KG1-1'!$AD$9:$IM$38,'KG1-2'!$AD$9:$IM$38,'KG1-3'!$AD$9:$IM$38,'KG1-4'!$AD$9:$IM$38,'KG1-5'!$AD$9:$IM$38,'KG1-6'!$AD$9:$IM$38,'KG1-7'!$AD$9:$IM$38),INDEX(Stu_I,MATCH(B222,Stu_ID,0)),0),"غياب بدون عذر",CHOOSE(INDEX(Stu_C,MATCH(B222,Stu_ID,0)),'KG1-1'!$AD$7:$IM$7,'KG1-2'!$AD$7:$IM$7,'KG1-3'!$AD$7:$IM$7,'KG1-4'!$AD$7:$IM$7,'KG1-5'!$AD$7:$IM$7,'KG1-6'!$AD$7:$IM$7,'KG1-7'!$AD$7:$IM$7),"✓",'KG1-1'!$AD$5:$IM$5,"&lt;="&amp;A222),""))</f>
        <v/>
      </c>
      <c r="F222" s="6" t="n"/>
      <c r="G222" s="108" t="n"/>
      <c r="H222" s="88">
        <f>IF(E222="","",INDEX(LevelLabels,MATCH(E222,LevelValues,1)))</f>
        <v/>
      </c>
      <c r="I222" s="40">
        <f>IF(OR(B222="",A222=""),"",B222&amp;"|"&amp;A222)</f>
        <v/>
      </c>
      <c r="J222" s="40">
        <f>IF(AND(B222&lt;&gt;"",B222=Prof_ID),COUNTIF($B$6:B222,Prof_ID),"")</f>
        <v/>
      </c>
    </row>
    <row r="223">
      <c r="A223" s="5" t="n"/>
      <c r="B223" s="6" t="n"/>
      <c r="C223" s="103">
        <f>IF(B223="","",IFERROR(INDEX(Stu_Name,MATCH(B223,Stu_ID,0)),"رقم غير موجود"))</f>
        <v/>
      </c>
      <c r="D223" s="88">
        <f>IF(B223="","",IFERROR(INDEX(Stu_Class,MATCH(B223,Stu_ID,0)),""))</f>
        <v/>
      </c>
      <c r="E223" s="88">
        <f>IF(OR(B223="",A223=""),"",IFERROR(COUNTIFS(INDEX(CHOOSE(INDEX(Stu_C,MATCH(B223,Stu_ID,0)),'KG1-1'!$AD$9:$IM$38,'KG1-2'!$AD$9:$IM$38,'KG1-3'!$AD$9:$IM$38,'KG1-4'!$AD$9:$IM$38,'KG1-5'!$AD$9:$IM$38,'KG1-6'!$AD$9:$IM$38,'KG1-7'!$AD$9:$IM$38),INDEX(Stu_I,MATCH(B223,Stu_ID,0)),0),"غياب بدون عذر",CHOOSE(INDEX(Stu_C,MATCH(B223,Stu_ID,0)),'KG1-1'!$AD$7:$IM$7,'KG1-2'!$AD$7:$IM$7,'KG1-3'!$AD$7:$IM$7,'KG1-4'!$AD$7:$IM$7,'KG1-5'!$AD$7:$IM$7,'KG1-6'!$AD$7:$IM$7,'KG1-7'!$AD$7:$IM$7),"✓",'KG1-1'!$AD$5:$IM$5,"&lt;="&amp;A223),""))</f>
        <v/>
      </c>
      <c r="F223" s="6" t="n"/>
      <c r="G223" s="108" t="n"/>
      <c r="H223" s="88">
        <f>IF(E223="","",INDEX(LevelLabels,MATCH(E223,LevelValues,1)))</f>
        <v/>
      </c>
      <c r="I223" s="40">
        <f>IF(OR(B223="",A223=""),"",B223&amp;"|"&amp;A223)</f>
        <v/>
      </c>
      <c r="J223" s="40">
        <f>IF(AND(B223&lt;&gt;"",B223=Prof_ID),COUNTIF($B$6:B223,Prof_ID),"")</f>
        <v/>
      </c>
    </row>
    <row r="224">
      <c r="A224" s="5" t="n"/>
      <c r="B224" s="6" t="n"/>
      <c r="C224" s="103">
        <f>IF(B224="","",IFERROR(INDEX(Stu_Name,MATCH(B224,Stu_ID,0)),"رقم غير موجود"))</f>
        <v/>
      </c>
      <c r="D224" s="88">
        <f>IF(B224="","",IFERROR(INDEX(Stu_Class,MATCH(B224,Stu_ID,0)),""))</f>
        <v/>
      </c>
      <c r="E224" s="88">
        <f>IF(OR(B224="",A224=""),"",IFERROR(COUNTIFS(INDEX(CHOOSE(INDEX(Stu_C,MATCH(B224,Stu_ID,0)),'KG1-1'!$AD$9:$IM$38,'KG1-2'!$AD$9:$IM$38,'KG1-3'!$AD$9:$IM$38,'KG1-4'!$AD$9:$IM$38,'KG1-5'!$AD$9:$IM$38,'KG1-6'!$AD$9:$IM$38,'KG1-7'!$AD$9:$IM$38),INDEX(Stu_I,MATCH(B224,Stu_ID,0)),0),"غياب بدون عذر",CHOOSE(INDEX(Stu_C,MATCH(B224,Stu_ID,0)),'KG1-1'!$AD$7:$IM$7,'KG1-2'!$AD$7:$IM$7,'KG1-3'!$AD$7:$IM$7,'KG1-4'!$AD$7:$IM$7,'KG1-5'!$AD$7:$IM$7,'KG1-6'!$AD$7:$IM$7,'KG1-7'!$AD$7:$IM$7),"✓",'KG1-1'!$AD$5:$IM$5,"&lt;="&amp;A224),""))</f>
        <v/>
      </c>
      <c r="F224" s="6" t="n"/>
      <c r="G224" s="108" t="n"/>
      <c r="H224" s="88">
        <f>IF(E224="","",INDEX(LevelLabels,MATCH(E224,LevelValues,1)))</f>
        <v/>
      </c>
      <c r="I224" s="40">
        <f>IF(OR(B224="",A224=""),"",B224&amp;"|"&amp;A224)</f>
        <v/>
      </c>
      <c r="J224" s="40">
        <f>IF(AND(B224&lt;&gt;"",B224=Prof_ID),COUNTIF($B$6:B224,Prof_ID),"")</f>
        <v/>
      </c>
    </row>
    <row r="225">
      <c r="A225" s="5" t="n"/>
      <c r="B225" s="6" t="n"/>
      <c r="C225" s="103">
        <f>IF(B225="","",IFERROR(INDEX(Stu_Name,MATCH(B225,Stu_ID,0)),"رقم غير موجود"))</f>
        <v/>
      </c>
      <c r="D225" s="88">
        <f>IF(B225="","",IFERROR(INDEX(Stu_Class,MATCH(B225,Stu_ID,0)),""))</f>
        <v/>
      </c>
      <c r="E225" s="88">
        <f>IF(OR(B225="",A225=""),"",IFERROR(COUNTIFS(INDEX(CHOOSE(INDEX(Stu_C,MATCH(B225,Stu_ID,0)),'KG1-1'!$AD$9:$IM$38,'KG1-2'!$AD$9:$IM$38,'KG1-3'!$AD$9:$IM$38,'KG1-4'!$AD$9:$IM$38,'KG1-5'!$AD$9:$IM$38,'KG1-6'!$AD$9:$IM$38,'KG1-7'!$AD$9:$IM$38),INDEX(Stu_I,MATCH(B225,Stu_ID,0)),0),"غياب بدون عذر",CHOOSE(INDEX(Stu_C,MATCH(B225,Stu_ID,0)),'KG1-1'!$AD$7:$IM$7,'KG1-2'!$AD$7:$IM$7,'KG1-3'!$AD$7:$IM$7,'KG1-4'!$AD$7:$IM$7,'KG1-5'!$AD$7:$IM$7,'KG1-6'!$AD$7:$IM$7,'KG1-7'!$AD$7:$IM$7),"✓",'KG1-1'!$AD$5:$IM$5,"&lt;="&amp;A225),""))</f>
        <v/>
      </c>
      <c r="F225" s="6" t="n"/>
      <c r="G225" s="108" t="n"/>
      <c r="H225" s="88">
        <f>IF(E225="","",INDEX(LevelLabels,MATCH(E225,LevelValues,1)))</f>
        <v/>
      </c>
      <c r="I225" s="40">
        <f>IF(OR(B225="",A225=""),"",B225&amp;"|"&amp;A225)</f>
        <v/>
      </c>
      <c r="J225" s="40">
        <f>IF(AND(B225&lt;&gt;"",B225=Prof_ID),COUNTIF($B$6:B225,Prof_ID),"")</f>
        <v/>
      </c>
    </row>
    <row r="226">
      <c r="A226" s="5" t="n"/>
      <c r="B226" s="6" t="n"/>
      <c r="C226" s="103">
        <f>IF(B226="","",IFERROR(INDEX(Stu_Name,MATCH(B226,Stu_ID,0)),"رقم غير موجود"))</f>
        <v/>
      </c>
      <c r="D226" s="88">
        <f>IF(B226="","",IFERROR(INDEX(Stu_Class,MATCH(B226,Stu_ID,0)),""))</f>
        <v/>
      </c>
      <c r="E226" s="88">
        <f>IF(OR(B226="",A226=""),"",IFERROR(COUNTIFS(INDEX(CHOOSE(INDEX(Stu_C,MATCH(B226,Stu_ID,0)),'KG1-1'!$AD$9:$IM$38,'KG1-2'!$AD$9:$IM$38,'KG1-3'!$AD$9:$IM$38,'KG1-4'!$AD$9:$IM$38,'KG1-5'!$AD$9:$IM$38,'KG1-6'!$AD$9:$IM$38,'KG1-7'!$AD$9:$IM$38),INDEX(Stu_I,MATCH(B226,Stu_ID,0)),0),"غياب بدون عذر",CHOOSE(INDEX(Stu_C,MATCH(B226,Stu_ID,0)),'KG1-1'!$AD$7:$IM$7,'KG1-2'!$AD$7:$IM$7,'KG1-3'!$AD$7:$IM$7,'KG1-4'!$AD$7:$IM$7,'KG1-5'!$AD$7:$IM$7,'KG1-6'!$AD$7:$IM$7,'KG1-7'!$AD$7:$IM$7),"✓",'KG1-1'!$AD$5:$IM$5,"&lt;="&amp;A226),""))</f>
        <v/>
      </c>
      <c r="F226" s="6" t="n"/>
      <c r="G226" s="108" t="n"/>
      <c r="H226" s="88">
        <f>IF(E226="","",INDEX(LevelLabels,MATCH(E226,LevelValues,1)))</f>
        <v/>
      </c>
      <c r="I226" s="40">
        <f>IF(OR(B226="",A226=""),"",B226&amp;"|"&amp;A226)</f>
        <v/>
      </c>
      <c r="J226" s="40">
        <f>IF(AND(B226&lt;&gt;"",B226=Prof_ID),COUNTIF($B$6:B226,Prof_ID),"")</f>
        <v/>
      </c>
    </row>
    <row r="227">
      <c r="A227" s="5" t="n"/>
      <c r="B227" s="6" t="n"/>
      <c r="C227" s="103">
        <f>IF(B227="","",IFERROR(INDEX(Stu_Name,MATCH(B227,Stu_ID,0)),"رقم غير موجود"))</f>
        <v/>
      </c>
      <c r="D227" s="88">
        <f>IF(B227="","",IFERROR(INDEX(Stu_Class,MATCH(B227,Stu_ID,0)),""))</f>
        <v/>
      </c>
      <c r="E227" s="88">
        <f>IF(OR(B227="",A227=""),"",IFERROR(COUNTIFS(INDEX(CHOOSE(INDEX(Stu_C,MATCH(B227,Stu_ID,0)),'KG1-1'!$AD$9:$IM$38,'KG1-2'!$AD$9:$IM$38,'KG1-3'!$AD$9:$IM$38,'KG1-4'!$AD$9:$IM$38,'KG1-5'!$AD$9:$IM$38,'KG1-6'!$AD$9:$IM$38,'KG1-7'!$AD$9:$IM$38),INDEX(Stu_I,MATCH(B227,Stu_ID,0)),0),"غياب بدون عذر",CHOOSE(INDEX(Stu_C,MATCH(B227,Stu_ID,0)),'KG1-1'!$AD$7:$IM$7,'KG1-2'!$AD$7:$IM$7,'KG1-3'!$AD$7:$IM$7,'KG1-4'!$AD$7:$IM$7,'KG1-5'!$AD$7:$IM$7,'KG1-6'!$AD$7:$IM$7,'KG1-7'!$AD$7:$IM$7),"✓",'KG1-1'!$AD$5:$IM$5,"&lt;="&amp;A227),""))</f>
        <v/>
      </c>
      <c r="F227" s="6" t="n"/>
      <c r="G227" s="108" t="n"/>
      <c r="H227" s="88">
        <f>IF(E227="","",INDEX(LevelLabels,MATCH(E227,LevelValues,1)))</f>
        <v/>
      </c>
      <c r="I227" s="40">
        <f>IF(OR(B227="",A227=""),"",B227&amp;"|"&amp;A227)</f>
        <v/>
      </c>
      <c r="J227" s="40">
        <f>IF(AND(B227&lt;&gt;"",B227=Prof_ID),COUNTIF($B$6:B227,Prof_ID),"")</f>
        <v/>
      </c>
    </row>
    <row r="228">
      <c r="A228" s="5" t="n"/>
      <c r="B228" s="6" t="n"/>
      <c r="C228" s="103">
        <f>IF(B228="","",IFERROR(INDEX(Stu_Name,MATCH(B228,Stu_ID,0)),"رقم غير موجود"))</f>
        <v/>
      </c>
      <c r="D228" s="88">
        <f>IF(B228="","",IFERROR(INDEX(Stu_Class,MATCH(B228,Stu_ID,0)),""))</f>
        <v/>
      </c>
      <c r="E228" s="88">
        <f>IF(OR(B228="",A228=""),"",IFERROR(COUNTIFS(INDEX(CHOOSE(INDEX(Stu_C,MATCH(B228,Stu_ID,0)),'KG1-1'!$AD$9:$IM$38,'KG1-2'!$AD$9:$IM$38,'KG1-3'!$AD$9:$IM$38,'KG1-4'!$AD$9:$IM$38,'KG1-5'!$AD$9:$IM$38,'KG1-6'!$AD$9:$IM$38,'KG1-7'!$AD$9:$IM$38),INDEX(Stu_I,MATCH(B228,Stu_ID,0)),0),"غياب بدون عذر",CHOOSE(INDEX(Stu_C,MATCH(B228,Stu_ID,0)),'KG1-1'!$AD$7:$IM$7,'KG1-2'!$AD$7:$IM$7,'KG1-3'!$AD$7:$IM$7,'KG1-4'!$AD$7:$IM$7,'KG1-5'!$AD$7:$IM$7,'KG1-6'!$AD$7:$IM$7,'KG1-7'!$AD$7:$IM$7),"✓",'KG1-1'!$AD$5:$IM$5,"&lt;="&amp;A228),""))</f>
        <v/>
      </c>
      <c r="F228" s="6" t="n"/>
      <c r="G228" s="108" t="n"/>
      <c r="H228" s="88">
        <f>IF(E228="","",INDEX(LevelLabels,MATCH(E228,LevelValues,1)))</f>
        <v/>
      </c>
      <c r="I228" s="40">
        <f>IF(OR(B228="",A228=""),"",B228&amp;"|"&amp;A228)</f>
        <v/>
      </c>
      <c r="J228" s="40">
        <f>IF(AND(B228&lt;&gt;"",B228=Prof_ID),COUNTIF($B$6:B228,Prof_ID),"")</f>
        <v/>
      </c>
    </row>
    <row r="229">
      <c r="A229" s="5" t="n"/>
      <c r="B229" s="6" t="n"/>
      <c r="C229" s="103">
        <f>IF(B229="","",IFERROR(INDEX(Stu_Name,MATCH(B229,Stu_ID,0)),"رقم غير موجود"))</f>
        <v/>
      </c>
      <c r="D229" s="88">
        <f>IF(B229="","",IFERROR(INDEX(Stu_Class,MATCH(B229,Stu_ID,0)),""))</f>
        <v/>
      </c>
      <c r="E229" s="88">
        <f>IF(OR(B229="",A229=""),"",IFERROR(COUNTIFS(INDEX(CHOOSE(INDEX(Stu_C,MATCH(B229,Stu_ID,0)),'KG1-1'!$AD$9:$IM$38,'KG1-2'!$AD$9:$IM$38,'KG1-3'!$AD$9:$IM$38,'KG1-4'!$AD$9:$IM$38,'KG1-5'!$AD$9:$IM$38,'KG1-6'!$AD$9:$IM$38,'KG1-7'!$AD$9:$IM$38),INDEX(Stu_I,MATCH(B229,Stu_ID,0)),0),"غياب بدون عذر",CHOOSE(INDEX(Stu_C,MATCH(B229,Stu_ID,0)),'KG1-1'!$AD$7:$IM$7,'KG1-2'!$AD$7:$IM$7,'KG1-3'!$AD$7:$IM$7,'KG1-4'!$AD$7:$IM$7,'KG1-5'!$AD$7:$IM$7,'KG1-6'!$AD$7:$IM$7,'KG1-7'!$AD$7:$IM$7),"✓",'KG1-1'!$AD$5:$IM$5,"&lt;="&amp;A229),""))</f>
        <v/>
      </c>
      <c r="F229" s="6" t="n"/>
      <c r="G229" s="108" t="n"/>
      <c r="H229" s="88">
        <f>IF(E229="","",INDEX(LevelLabels,MATCH(E229,LevelValues,1)))</f>
        <v/>
      </c>
      <c r="I229" s="40">
        <f>IF(OR(B229="",A229=""),"",B229&amp;"|"&amp;A229)</f>
        <v/>
      </c>
      <c r="J229" s="40">
        <f>IF(AND(B229&lt;&gt;"",B229=Prof_ID),COUNTIF($B$6:B229,Prof_ID),"")</f>
        <v/>
      </c>
    </row>
    <row r="230">
      <c r="A230" s="5" t="n"/>
      <c r="B230" s="6" t="n"/>
      <c r="C230" s="103">
        <f>IF(B230="","",IFERROR(INDEX(Stu_Name,MATCH(B230,Stu_ID,0)),"رقم غير موجود"))</f>
        <v/>
      </c>
      <c r="D230" s="88">
        <f>IF(B230="","",IFERROR(INDEX(Stu_Class,MATCH(B230,Stu_ID,0)),""))</f>
        <v/>
      </c>
      <c r="E230" s="88">
        <f>IF(OR(B230="",A230=""),"",IFERROR(COUNTIFS(INDEX(CHOOSE(INDEX(Stu_C,MATCH(B230,Stu_ID,0)),'KG1-1'!$AD$9:$IM$38,'KG1-2'!$AD$9:$IM$38,'KG1-3'!$AD$9:$IM$38,'KG1-4'!$AD$9:$IM$38,'KG1-5'!$AD$9:$IM$38,'KG1-6'!$AD$9:$IM$38,'KG1-7'!$AD$9:$IM$38),INDEX(Stu_I,MATCH(B230,Stu_ID,0)),0),"غياب بدون عذر",CHOOSE(INDEX(Stu_C,MATCH(B230,Stu_ID,0)),'KG1-1'!$AD$7:$IM$7,'KG1-2'!$AD$7:$IM$7,'KG1-3'!$AD$7:$IM$7,'KG1-4'!$AD$7:$IM$7,'KG1-5'!$AD$7:$IM$7,'KG1-6'!$AD$7:$IM$7,'KG1-7'!$AD$7:$IM$7),"✓",'KG1-1'!$AD$5:$IM$5,"&lt;="&amp;A230),""))</f>
        <v/>
      </c>
      <c r="F230" s="6" t="n"/>
      <c r="G230" s="108" t="n"/>
      <c r="H230" s="88">
        <f>IF(E230="","",INDEX(LevelLabels,MATCH(E230,LevelValues,1)))</f>
        <v/>
      </c>
      <c r="I230" s="40">
        <f>IF(OR(B230="",A230=""),"",B230&amp;"|"&amp;A230)</f>
        <v/>
      </c>
      <c r="J230" s="40">
        <f>IF(AND(B230&lt;&gt;"",B230=Prof_ID),COUNTIF($B$6:B230,Prof_ID),"")</f>
        <v/>
      </c>
    </row>
    <row r="231">
      <c r="A231" s="5" t="n"/>
      <c r="B231" s="6" t="n"/>
      <c r="C231" s="103">
        <f>IF(B231="","",IFERROR(INDEX(Stu_Name,MATCH(B231,Stu_ID,0)),"رقم غير موجود"))</f>
        <v/>
      </c>
      <c r="D231" s="88">
        <f>IF(B231="","",IFERROR(INDEX(Stu_Class,MATCH(B231,Stu_ID,0)),""))</f>
        <v/>
      </c>
      <c r="E231" s="88">
        <f>IF(OR(B231="",A231=""),"",IFERROR(COUNTIFS(INDEX(CHOOSE(INDEX(Stu_C,MATCH(B231,Stu_ID,0)),'KG1-1'!$AD$9:$IM$38,'KG1-2'!$AD$9:$IM$38,'KG1-3'!$AD$9:$IM$38,'KG1-4'!$AD$9:$IM$38,'KG1-5'!$AD$9:$IM$38,'KG1-6'!$AD$9:$IM$38,'KG1-7'!$AD$9:$IM$38),INDEX(Stu_I,MATCH(B231,Stu_ID,0)),0),"غياب بدون عذر",CHOOSE(INDEX(Stu_C,MATCH(B231,Stu_ID,0)),'KG1-1'!$AD$7:$IM$7,'KG1-2'!$AD$7:$IM$7,'KG1-3'!$AD$7:$IM$7,'KG1-4'!$AD$7:$IM$7,'KG1-5'!$AD$7:$IM$7,'KG1-6'!$AD$7:$IM$7,'KG1-7'!$AD$7:$IM$7),"✓",'KG1-1'!$AD$5:$IM$5,"&lt;="&amp;A231),""))</f>
        <v/>
      </c>
      <c r="F231" s="6" t="n"/>
      <c r="G231" s="108" t="n"/>
      <c r="H231" s="88">
        <f>IF(E231="","",INDEX(LevelLabels,MATCH(E231,LevelValues,1)))</f>
        <v/>
      </c>
      <c r="I231" s="40">
        <f>IF(OR(B231="",A231=""),"",B231&amp;"|"&amp;A231)</f>
        <v/>
      </c>
      <c r="J231" s="40">
        <f>IF(AND(B231&lt;&gt;"",B231=Prof_ID),COUNTIF($B$6:B231,Prof_ID),"")</f>
        <v/>
      </c>
    </row>
    <row r="232">
      <c r="A232" s="5" t="n"/>
      <c r="B232" s="6" t="n"/>
      <c r="C232" s="103">
        <f>IF(B232="","",IFERROR(INDEX(Stu_Name,MATCH(B232,Stu_ID,0)),"رقم غير موجود"))</f>
        <v/>
      </c>
      <c r="D232" s="88">
        <f>IF(B232="","",IFERROR(INDEX(Stu_Class,MATCH(B232,Stu_ID,0)),""))</f>
        <v/>
      </c>
      <c r="E232" s="88">
        <f>IF(OR(B232="",A232=""),"",IFERROR(COUNTIFS(INDEX(CHOOSE(INDEX(Stu_C,MATCH(B232,Stu_ID,0)),'KG1-1'!$AD$9:$IM$38,'KG1-2'!$AD$9:$IM$38,'KG1-3'!$AD$9:$IM$38,'KG1-4'!$AD$9:$IM$38,'KG1-5'!$AD$9:$IM$38,'KG1-6'!$AD$9:$IM$38,'KG1-7'!$AD$9:$IM$38),INDEX(Stu_I,MATCH(B232,Stu_ID,0)),0),"غياب بدون عذر",CHOOSE(INDEX(Stu_C,MATCH(B232,Stu_ID,0)),'KG1-1'!$AD$7:$IM$7,'KG1-2'!$AD$7:$IM$7,'KG1-3'!$AD$7:$IM$7,'KG1-4'!$AD$7:$IM$7,'KG1-5'!$AD$7:$IM$7,'KG1-6'!$AD$7:$IM$7,'KG1-7'!$AD$7:$IM$7),"✓",'KG1-1'!$AD$5:$IM$5,"&lt;="&amp;A232),""))</f>
        <v/>
      </c>
      <c r="F232" s="6" t="n"/>
      <c r="G232" s="108" t="n"/>
      <c r="H232" s="88">
        <f>IF(E232="","",INDEX(LevelLabels,MATCH(E232,LevelValues,1)))</f>
        <v/>
      </c>
      <c r="I232" s="40">
        <f>IF(OR(B232="",A232=""),"",B232&amp;"|"&amp;A232)</f>
        <v/>
      </c>
      <c r="J232" s="40">
        <f>IF(AND(B232&lt;&gt;"",B232=Prof_ID),COUNTIF($B$6:B232,Prof_ID),"")</f>
        <v/>
      </c>
    </row>
    <row r="233">
      <c r="A233" s="5" t="n"/>
      <c r="B233" s="6" t="n"/>
      <c r="C233" s="103">
        <f>IF(B233="","",IFERROR(INDEX(Stu_Name,MATCH(B233,Stu_ID,0)),"رقم غير موجود"))</f>
        <v/>
      </c>
      <c r="D233" s="88">
        <f>IF(B233="","",IFERROR(INDEX(Stu_Class,MATCH(B233,Stu_ID,0)),""))</f>
        <v/>
      </c>
      <c r="E233" s="88">
        <f>IF(OR(B233="",A233=""),"",IFERROR(COUNTIFS(INDEX(CHOOSE(INDEX(Stu_C,MATCH(B233,Stu_ID,0)),'KG1-1'!$AD$9:$IM$38,'KG1-2'!$AD$9:$IM$38,'KG1-3'!$AD$9:$IM$38,'KG1-4'!$AD$9:$IM$38,'KG1-5'!$AD$9:$IM$38,'KG1-6'!$AD$9:$IM$38,'KG1-7'!$AD$9:$IM$38),INDEX(Stu_I,MATCH(B233,Stu_ID,0)),0),"غياب بدون عذر",CHOOSE(INDEX(Stu_C,MATCH(B233,Stu_ID,0)),'KG1-1'!$AD$7:$IM$7,'KG1-2'!$AD$7:$IM$7,'KG1-3'!$AD$7:$IM$7,'KG1-4'!$AD$7:$IM$7,'KG1-5'!$AD$7:$IM$7,'KG1-6'!$AD$7:$IM$7,'KG1-7'!$AD$7:$IM$7),"✓",'KG1-1'!$AD$5:$IM$5,"&lt;="&amp;A233),""))</f>
        <v/>
      </c>
      <c r="F233" s="6" t="n"/>
      <c r="G233" s="108" t="n"/>
      <c r="H233" s="88">
        <f>IF(E233="","",INDEX(LevelLabels,MATCH(E233,LevelValues,1)))</f>
        <v/>
      </c>
      <c r="I233" s="40">
        <f>IF(OR(B233="",A233=""),"",B233&amp;"|"&amp;A233)</f>
        <v/>
      </c>
      <c r="J233" s="40">
        <f>IF(AND(B233&lt;&gt;"",B233=Prof_ID),COUNTIF($B$6:B233,Prof_ID),"")</f>
        <v/>
      </c>
    </row>
    <row r="234">
      <c r="A234" s="5" t="n"/>
      <c r="B234" s="6" t="n"/>
      <c r="C234" s="103">
        <f>IF(B234="","",IFERROR(INDEX(Stu_Name,MATCH(B234,Stu_ID,0)),"رقم غير موجود"))</f>
        <v/>
      </c>
      <c r="D234" s="88">
        <f>IF(B234="","",IFERROR(INDEX(Stu_Class,MATCH(B234,Stu_ID,0)),""))</f>
        <v/>
      </c>
      <c r="E234" s="88">
        <f>IF(OR(B234="",A234=""),"",IFERROR(COUNTIFS(INDEX(CHOOSE(INDEX(Stu_C,MATCH(B234,Stu_ID,0)),'KG1-1'!$AD$9:$IM$38,'KG1-2'!$AD$9:$IM$38,'KG1-3'!$AD$9:$IM$38,'KG1-4'!$AD$9:$IM$38,'KG1-5'!$AD$9:$IM$38,'KG1-6'!$AD$9:$IM$38,'KG1-7'!$AD$9:$IM$38),INDEX(Stu_I,MATCH(B234,Stu_ID,0)),0),"غياب بدون عذر",CHOOSE(INDEX(Stu_C,MATCH(B234,Stu_ID,0)),'KG1-1'!$AD$7:$IM$7,'KG1-2'!$AD$7:$IM$7,'KG1-3'!$AD$7:$IM$7,'KG1-4'!$AD$7:$IM$7,'KG1-5'!$AD$7:$IM$7,'KG1-6'!$AD$7:$IM$7,'KG1-7'!$AD$7:$IM$7),"✓",'KG1-1'!$AD$5:$IM$5,"&lt;="&amp;A234),""))</f>
        <v/>
      </c>
      <c r="F234" s="6" t="n"/>
      <c r="G234" s="108" t="n"/>
      <c r="H234" s="88">
        <f>IF(E234="","",INDEX(LevelLabels,MATCH(E234,LevelValues,1)))</f>
        <v/>
      </c>
      <c r="I234" s="40">
        <f>IF(OR(B234="",A234=""),"",B234&amp;"|"&amp;A234)</f>
        <v/>
      </c>
      <c r="J234" s="40">
        <f>IF(AND(B234&lt;&gt;"",B234=Prof_ID),COUNTIF($B$6:B234,Prof_ID),"")</f>
        <v/>
      </c>
    </row>
    <row r="235">
      <c r="A235" s="5" t="n"/>
      <c r="B235" s="6" t="n"/>
      <c r="C235" s="103">
        <f>IF(B235="","",IFERROR(INDEX(Stu_Name,MATCH(B235,Stu_ID,0)),"رقم غير موجود"))</f>
        <v/>
      </c>
      <c r="D235" s="88">
        <f>IF(B235="","",IFERROR(INDEX(Stu_Class,MATCH(B235,Stu_ID,0)),""))</f>
        <v/>
      </c>
      <c r="E235" s="88">
        <f>IF(OR(B235="",A235=""),"",IFERROR(COUNTIFS(INDEX(CHOOSE(INDEX(Stu_C,MATCH(B235,Stu_ID,0)),'KG1-1'!$AD$9:$IM$38,'KG1-2'!$AD$9:$IM$38,'KG1-3'!$AD$9:$IM$38,'KG1-4'!$AD$9:$IM$38,'KG1-5'!$AD$9:$IM$38,'KG1-6'!$AD$9:$IM$38,'KG1-7'!$AD$9:$IM$38),INDEX(Stu_I,MATCH(B235,Stu_ID,0)),0),"غياب بدون عذر",CHOOSE(INDEX(Stu_C,MATCH(B235,Stu_ID,0)),'KG1-1'!$AD$7:$IM$7,'KG1-2'!$AD$7:$IM$7,'KG1-3'!$AD$7:$IM$7,'KG1-4'!$AD$7:$IM$7,'KG1-5'!$AD$7:$IM$7,'KG1-6'!$AD$7:$IM$7,'KG1-7'!$AD$7:$IM$7),"✓",'KG1-1'!$AD$5:$IM$5,"&lt;="&amp;A235),""))</f>
        <v/>
      </c>
      <c r="F235" s="6" t="n"/>
      <c r="G235" s="108" t="n"/>
      <c r="H235" s="88">
        <f>IF(E235="","",INDEX(LevelLabels,MATCH(E235,LevelValues,1)))</f>
        <v/>
      </c>
      <c r="I235" s="40">
        <f>IF(OR(B235="",A235=""),"",B235&amp;"|"&amp;A235)</f>
        <v/>
      </c>
      <c r="J235" s="40">
        <f>IF(AND(B235&lt;&gt;"",B235=Prof_ID),COUNTIF($B$6:B235,Prof_ID),"")</f>
        <v/>
      </c>
    </row>
    <row r="236">
      <c r="A236" s="5" t="n"/>
      <c r="B236" s="6" t="n"/>
      <c r="C236" s="103">
        <f>IF(B236="","",IFERROR(INDEX(Stu_Name,MATCH(B236,Stu_ID,0)),"رقم غير موجود"))</f>
        <v/>
      </c>
      <c r="D236" s="88">
        <f>IF(B236="","",IFERROR(INDEX(Stu_Class,MATCH(B236,Stu_ID,0)),""))</f>
        <v/>
      </c>
      <c r="E236" s="88">
        <f>IF(OR(B236="",A236=""),"",IFERROR(COUNTIFS(INDEX(CHOOSE(INDEX(Stu_C,MATCH(B236,Stu_ID,0)),'KG1-1'!$AD$9:$IM$38,'KG1-2'!$AD$9:$IM$38,'KG1-3'!$AD$9:$IM$38,'KG1-4'!$AD$9:$IM$38,'KG1-5'!$AD$9:$IM$38,'KG1-6'!$AD$9:$IM$38,'KG1-7'!$AD$9:$IM$38),INDEX(Stu_I,MATCH(B236,Stu_ID,0)),0),"غياب بدون عذر",CHOOSE(INDEX(Stu_C,MATCH(B236,Stu_ID,0)),'KG1-1'!$AD$7:$IM$7,'KG1-2'!$AD$7:$IM$7,'KG1-3'!$AD$7:$IM$7,'KG1-4'!$AD$7:$IM$7,'KG1-5'!$AD$7:$IM$7,'KG1-6'!$AD$7:$IM$7,'KG1-7'!$AD$7:$IM$7),"✓",'KG1-1'!$AD$5:$IM$5,"&lt;="&amp;A236),""))</f>
        <v/>
      </c>
      <c r="F236" s="6" t="n"/>
      <c r="G236" s="108" t="n"/>
      <c r="H236" s="88">
        <f>IF(E236="","",INDEX(LevelLabels,MATCH(E236,LevelValues,1)))</f>
        <v/>
      </c>
      <c r="I236" s="40">
        <f>IF(OR(B236="",A236=""),"",B236&amp;"|"&amp;A236)</f>
        <v/>
      </c>
      <c r="J236" s="40">
        <f>IF(AND(B236&lt;&gt;"",B236=Prof_ID),COUNTIF($B$6:B236,Prof_ID),"")</f>
        <v/>
      </c>
    </row>
    <row r="237">
      <c r="A237" s="5" t="n"/>
      <c r="B237" s="6" t="n"/>
      <c r="C237" s="103">
        <f>IF(B237="","",IFERROR(INDEX(Stu_Name,MATCH(B237,Stu_ID,0)),"رقم غير موجود"))</f>
        <v/>
      </c>
      <c r="D237" s="88">
        <f>IF(B237="","",IFERROR(INDEX(Stu_Class,MATCH(B237,Stu_ID,0)),""))</f>
        <v/>
      </c>
      <c r="E237" s="88">
        <f>IF(OR(B237="",A237=""),"",IFERROR(COUNTIFS(INDEX(CHOOSE(INDEX(Stu_C,MATCH(B237,Stu_ID,0)),'KG1-1'!$AD$9:$IM$38,'KG1-2'!$AD$9:$IM$38,'KG1-3'!$AD$9:$IM$38,'KG1-4'!$AD$9:$IM$38,'KG1-5'!$AD$9:$IM$38,'KG1-6'!$AD$9:$IM$38,'KG1-7'!$AD$9:$IM$38),INDEX(Stu_I,MATCH(B237,Stu_ID,0)),0),"غياب بدون عذر",CHOOSE(INDEX(Stu_C,MATCH(B237,Stu_ID,0)),'KG1-1'!$AD$7:$IM$7,'KG1-2'!$AD$7:$IM$7,'KG1-3'!$AD$7:$IM$7,'KG1-4'!$AD$7:$IM$7,'KG1-5'!$AD$7:$IM$7,'KG1-6'!$AD$7:$IM$7,'KG1-7'!$AD$7:$IM$7),"✓",'KG1-1'!$AD$5:$IM$5,"&lt;="&amp;A237),""))</f>
        <v/>
      </c>
      <c r="F237" s="6" t="n"/>
      <c r="G237" s="108" t="n"/>
      <c r="H237" s="88">
        <f>IF(E237="","",INDEX(LevelLabels,MATCH(E237,LevelValues,1)))</f>
        <v/>
      </c>
      <c r="I237" s="40">
        <f>IF(OR(B237="",A237=""),"",B237&amp;"|"&amp;A237)</f>
        <v/>
      </c>
      <c r="J237" s="40">
        <f>IF(AND(B237&lt;&gt;"",B237=Prof_ID),COUNTIF($B$6:B237,Prof_ID),"")</f>
        <v/>
      </c>
    </row>
    <row r="238">
      <c r="A238" s="5" t="n"/>
      <c r="B238" s="6" t="n"/>
      <c r="C238" s="103">
        <f>IF(B238="","",IFERROR(INDEX(Stu_Name,MATCH(B238,Stu_ID,0)),"رقم غير موجود"))</f>
        <v/>
      </c>
      <c r="D238" s="88">
        <f>IF(B238="","",IFERROR(INDEX(Stu_Class,MATCH(B238,Stu_ID,0)),""))</f>
        <v/>
      </c>
      <c r="E238" s="88">
        <f>IF(OR(B238="",A238=""),"",IFERROR(COUNTIFS(INDEX(CHOOSE(INDEX(Stu_C,MATCH(B238,Stu_ID,0)),'KG1-1'!$AD$9:$IM$38,'KG1-2'!$AD$9:$IM$38,'KG1-3'!$AD$9:$IM$38,'KG1-4'!$AD$9:$IM$38,'KG1-5'!$AD$9:$IM$38,'KG1-6'!$AD$9:$IM$38,'KG1-7'!$AD$9:$IM$38),INDEX(Stu_I,MATCH(B238,Stu_ID,0)),0),"غياب بدون عذر",CHOOSE(INDEX(Stu_C,MATCH(B238,Stu_ID,0)),'KG1-1'!$AD$7:$IM$7,'KG1-2'!$AD$7:$IM$7,'KG1-3'!$AD$7:$IM$7,'KG1-4'!$AD$7:$IM$7,'KG1-5'!$AD$7:$IM$7,'KG1-6'!$AD$7:$IM$7,'KG1-7'!$AD$7:$IM$7),"✓",'KG1-1'!$AD$5:$IM$5,"&lt;="&amp;A238),""))</f>
        <v/>
      </c>
      <c r="F238" s="6" t="n"/>
      <c r="G238" s="108" t="n"/>
      <c r="H238" s="88">
        <f>IF(E238="","",INDEX(LevelLabels,MATCH(E238,LevelValues,1)))</f>
        <v/>
      </c>
      <c r="I238" s="40">
        <f>IF(OR(B238="",A238=""),"",B238&amp;"|"&amp;A238)</f>
        <v/>
      </c>
      <c r="J238" s="40">
        <f>IF(AND(B238&lt;&gt;"",B238=Prof_ID),COUNTIF($B$6:B238,Prof_ID),"")</f>
        <v/>
      </c>
    </row>
    <row r="239">
      <c r="A239" s="5" t="n"/>
      <c r="B239" s="6" t="n"/>
      <c r="C239" s="103">
        <f>IF(B239="","",IFERROR(INDEX(Stu_Name,MATCH(B239,Stu_ID,0)),"رقم غير موجود"))</f>
        <v/>
      </c>
      <c r="D239" s="88">
        <f>IF(B239="","",IFERROR(INDEX(Stu_Class,MATCH(B239,Stu_ID,0)),""))</f>
        <v/>
      </c>
      <c r="E239" s="88">
        <f>IF(OR(B239="",A239=""),"",IFERROR(COUNTIFS(INDEX(CHOOSE(INDEX(Stu_C,MATCH(B239,Stu_ID,0)),'KG1-1'!$AD$9:$IM$38,'KG1-2'!$AD$9:$IM$38,'KG1-3'!$AD$9:$IM$38,'KG1-4'!$AD$9:$IM$38,'KG1-5'!$AD$9:$IM$38,'KG1-6'!$AD$9:$IM$38,'KG1-7'!$AD$9:$IM$38),INDEX(Stu_I,MATCH(B239,Stu_ID,0)),0),"غياب بدون عذر",CHOOSE(INDEX(Stu_C,MATCH(B239,Stu_ID,0)),'KG1-1'!$AD$7:$IM$7,'KG1-2'!$AD$7:$IM$7,'KG1-3'!$AD$7:$IM$7,'KG1-4'!$AD$7:$IM$7,'KG1-5'!$AD$7:$IM$7,'KG1-6'!$AD$7:$IM$7,'KG1-7'!$AD$7:$IM$7),"✓",'KG1-1'!$AD$5:$IM$5,"&lt;="&amp;A239),""))</f>
        <v/>
      </c>
      <c r="F239" s="6" t="n"/>
      <c r="G239" s="108" t="n"/>
      <c r="H239" s="88">
        <f>IF(E239="","",INDEX(LevelLabels,MATCH(E239,LevelValues,1)))</f>
        <v/>
      </c>
      <c r="I239" s="40">
        <f>IF(OR(B239="",A239=""),"",B239&amp;"|"&amp;A239)</f>
        <v/>
      </c>
      <c r="J239" s="40">
        <f>IF(AND(B239&lt;&gt;"",B239=Prof_ID),COUNTIF($B$6:B239,Prof_ID),"")</f>
        <v/>
      </c>
    </row>
    <row r="240">
      <c r="A240" s="5" t="n"/>
      <c r="B240" s="6" t="n"/>
      <c r="C240" s="103">
        <f>IF(B240="","",IFERROR(INDEX(Stu_Name,MATCH(B240,Stu_ID,0)),"رقم غير موجود"))</f>
        <v/>
      </c>
      <c r="D240" s="88">
        <f>IF(B240="","",IFERROR(INDEX(Stu_Class,MATCH(B240,Stu_ID,0)),""))</f>
        <v/>
      </c>
      <c r="E240" s="88">
        <f>IF(OR(B240="",A240=""),"",IFERROR(COUNTIFS(INDEX(CHOOSE(INDEX(Stu_C,MATCH(B240,Stu_ID,0)),'KG1-1'!$AD$9:$IM$38,'KG1-2'!$AD$9:$IM$38,'KG1-3'!$AD$9:$IM$38,'KG1-4'!$AD$9:$IM$38,'KG1-5'!$AD$9:$IM$38,'KG1-6'!$AD$9:$IM$38,'KG1-7'!$AD$9:$IM$38),INDEX(Stu_I,MATCH(B240,Stu_ID,0)),0),"غياب بدون عذر",CHOOSE(INDEX(Stu_C,MATCH(B240,Stu_ID,0)),'KG1-1'!$AD$7:$IM$7,'KG1-2'!$AD$7:$IM$7,'KG1-3'!$AD$7:$IM$7,'KG1-4'!$AD$7:$IM$7,'KG1-5'!$AD$7:$IM$7,'KG1-6'!$AD$7:$IM$7,'KG1-7'!$AD$7:$IM$7),"✓",'KG1-1'!$AD$5:$IM$5,"&lt;="&amp;A240),""))</f>
        <v/>
      </c>
      <c r="F240" s="6" t="n"/>
      <c r="G240" s="108" t="n"/>
      <c r="H240" s="88">
        <f>IF(E240="","",INDEX(LevelLabels,MATCH(E240,LevelValues,1)))</f>
        <v/>
      </c>
      <c r="I240" s="40">
        <f>IF(OR(B240="",A240=""),"",B240&amp;"|"&amp;A240)</f>
        <v/>
      </c>
      <c r="J240" s="40">
        <f>IF(AND(B240&lt;&gt;"",B240=Prof_ID),COUNTIF($B$6:B240,Prof_ID),"")</f>
        <v/>
      </c>
    </row>
    <row r="241">
      <c r="A241" s="5" t="n"/>
      <c r="B241" s="6" t="n"/>
      <c r="C241" s="103">
        <f>IF(B241="","",IFERROR(INDEX(Stu_Name,MATCH(B241,Stu_ID,0)),"رقم غير موجود"))</f>
        <v/>
      </c>
      <c r="D241" s="88">
        <f>IF(B241="","",IFERROR(INDEX(Stu_Class,MATCH(B241,Stu_ID,0)),""))</f>
        <v/>
      </c>
      <c r="E241" s="88">
        <f>IF(OR(B241="",A241=""),"",IFERROR(COUNTIFS(INDEX(CHOOSE(INDEX(Stu_C,MATCH(B241,Stu_ID,0)),'KG1-1'!$AD$9:$IM$38,'KG1-2'!$AD$9:$IM$38,'KG1-3'!$AD$9:$IM$38,'KG1-4'!$AD$9:$IM$38,'KG1-5'!$AD$9:$IM$38,'KG1-6'!$AD$9:$IM$38,'KG1-7'!$AD$9:$IM$38),INDEX(Stu_I,MATCH(B241,Stu_ID,0)),0),"غياب بدون عذر",CHOOSE(INDEX(Stu_C,MATCH(B241,Stu_ID,0)),'KG1-1'!$AD$7:$IM$7,'KG1-2'!$AD$7:$IM$7,'KG1-3'!$AD$7:$IM$7,'KG1-4'!$AD$7:$IM$7,'KG1-5'!$AD$7:$IM$7,'KG1-6'!$AD$7:$IM$7,'KG1-7'!$AD$7:$IM$7),"✓",'KG1-1'!$AD$5:$IM$5,"&lt;="&amp;A241),""))</f>
        <v/>
      </c>
      <c r="F241" s="6" t="n"/>
      <c r="G241" s="108" t="n"/>
      <c r="H241" s="88">
        <f>IF(E241="","",INDEX(LevelLabels,MATCH(E241,LevelValues,1)))</f>
        <v/>
      </c>
      <c r="I241" s="40">
        <f>IF(OR(B241="",A241=""),"",B241&amp;"|"&amp;A241)</f>
        <v/>
      </c>
      <c r="J241" s="40">
        <f>IF(AND(B241&lt;&gt;"",B241=Prof_ID),COUNTIF($B$6:B241,Prof_ID),"")</f>
        <v/>
      </c>
    </row>
    <row r="242">
      <c r="A242" s="5" t="n"/>
      <c r="B242" s="6" t="n"/>
      <c r="C242" s="103">
        <f>IF(B242="","",IFERROR(INDEX(Stu_Name,MATCH(B242,Stu_ID,0)),"رقم غير موجود"))</f>
        <v/>
      </c>
      <c r="D242" s="88">
        <f>IF(B242="","",IFERROR(INDEX(Stu_Class,MATCH(B242,Stu_ID,0)),""))</f>
        <v/>
      </c>
      <c r="E242" s="88">
        <f>IF(OR(B242="",A242=""),"",IFERROR(COUNTIFS(INDEX(CHOOSE(INDEX(Stu_C,MATCH(B242,Stu_ID,0)),'KG1-1'!$AD$9:$IM$38,'KG1-2'!$AD$9:$IM$38,'KG1-3'!$AD$9:$IM$38,'KG1-4'!$AD$9:$IM$38,'KG1-5'!$AD$9:$IM$38,'KG1-6'!$AD$9:$IM$38,'KG1-7'!$AD$9:$IM$38),INDEX(Stu_I,MATCH(B242,Stu_ID,0)),0),"غياب بدون عذر",CHOOSE(INDEX(Stu_C,MATCH(B242,Stu_ID,0)),'KG1-1'!$AD$7:$IM$7,'KG1-2'!$AD$7:$IM$7,'KG1-3'!$AD$7:$IM$7,'KG1-4'!$AD$7:$IM$7,'KG1-5'!$AD$7:$IM$7,'KG1-6'!$AD$7:$IM$7,'KG1-7'!$AD$7:$IM$7),"✓",'KG1-1'!$AD$5:$IM$5,"&lt;="&amp;A242),""))</f>
        <v/>
      </c>
      <c r="F242" s="6" t="n"/>
      <c r="G242" s="108" t="n"/>
      <c r="H242" s="88">
        <f>IF(E242="","",INDEX(LevelLabels,MATCH(E242,LevelValues,1)))</f>
        <v/>
      </c>
      <c r="I242" s="40">
        <f>IF(OR(B242="",A242=""),"",B242&amp;"|"&amp;A242)</f>
        <v/>
      </c>
      <c r="J242" s="40">
        <f>IF(AND(B242&lt;&gt;"",B242=Prof_ID),COUNTIF($B$6:B242,Prof_ID),"")</f>
        <v/>
      </c>
    </row>
    <row r="243">
      <c r="A243" s="5" t="n"/>
      <c r="B243" s="6" t="n"/>
      <c r="C243" s="103">
        <f>IF(B243="","",IFERROR(INDEX(Stu_Name,MATCH(B243,Stu_ID,0)),"رقم غير موجود"))</f>
        <v/>
      </c>
      <c r="D243" s="88">
        <f>IF(B243="","",IFERROR(INDEX(Stu_Class,MATCH(B243,Stu_ID,0)),""))</f>
        <v/>
      </c>
      <c r="E243" s="88">
        <f>IF(OR(B243="",A243=""),"",IFERROR(COUNTIFS(INDEX(CHOOSE(INDEX(Stu_C,MATCH(B243,Stu_ID,0)),'KG1-1'!$AD$9:$IM$38,'KG1-2'!$AD$9:$IM$38,'KG1-3'!$AD$9:$IM$38,'KG1-4'!$AD$9:$IM$38,'KG1-5'!$AD$9:$IM$38,'KG1-6'!$AD$9:$IM$38,'KG1-7'!$AD$9:$IM$38),INDEX(Stu_I,MATCH(B243,Stu_ID,0)),0),"غياب بدون عذر",CHOOSE(INDEX(Stu_C,MATCH(B243,Stu_ID,0)),'KG1-1'!$AD$7:$IM$7,'KG1-2'!$AD$7:$IM$7,'KG1-3'!$AD$7:$IM$7,'KG1-4'!$AD$7:$IM$7,'KG1-5'!$AD$7:$IM$7,'KG1-6'!$AD$7:$IM$7,'KG1-7'!$AD$7:$IM$7),"✓",'KG1-1'!$AD$5:$IM$5,"&lt;="&amp;A243),""))</f>
        <v/>
      </c>
      <c r="F243" s="6" t="n"/>
      <c r="G243" s="108" t="n"/>
      <c r="H243" s="88">
        <f>IF(E243="","",INDEX(LevelLabels,MATCH(E243,LevelValues,1)))</f>
        <v/>
      </c>
      <c r="I243" s="40">
        <f>IF(OR(B243="",A243=""),"",B243&amp;"|"&amp;A243)</f>
        <v/>
      </c>
      <c r="J243" s="40">
        <f>IF(AND(B243&lt;&gt;"",B243=Prof_ID),COUNTIF($B$6:B243,Prof_ID),"")</f>
        <v/>
      </c>
    </row>
    <row r="244">
      <c r="A244" s="5" t="n"/>
      <c r="B244" s="6" t="n"/>
      <c r="C244" s="103">
        <f>IF(B244="","",IFERROR(INDEX(Stu_Name,MATCH(B244,Stu_ID,0)),"رقم غير موجود"))</f>
        <v/>
      </c>
      <c r="D244" s="88">
        <f>IF(B244="","",IFERROR(INDEX(Stu_Class,MATCH(B244,Stu_ID,0)),""))</f>
        <v/>
      </c>
      <c r="E244" s="88">
        <f>IF(OR(B244="",A244=""),"",IFERROR(COUNTIFS(INDEX(CHOOSE(INDEX(Stu_C,MATCH(B244,Stu_ID,0)),'KG1-1'!$AD$9:$IM$38,'KG1-2'!$AD$9:$IM$38,'KG1-3'!$AD$9:$IM$38,'KG1-4'!$AD$9:$IM$38,'KG1-5'!$AD$9:$IM$38,'KG1-6'!$AD$9:$IM$38,'KG1-7'!$AD$9:$IM$38),INDEX(Stu_I,MATCH(B244,Stu_ID,0)),0),"غياب بدون عذر",CHOOSE(INDEX(Stu_C,MATCH(B244,Stu_ID,0)),'KG1-1'!$AD$7:$IM$7,'KG1-2'!$AD$7:$IM$7,'KG1-3'!$AD$7:$IM$7,'KG1-4'!$AD$7:$IM$7,'KG1-5'!$AD$7:$IM$7,'KG1-6'!$AD$7:$IM$7,'KG1-7'!$AD$7:$IM$7),"✓",'KG1-1'!$AD$5:$IM$5,"&lt;="&amp;A244),""))</f>
        <v/>
      </c>
      <c r="F244" s="6" t="n"/>
      <c r="G244" s="108" t="n"/>
      <c r="H244" s="88">
        <f>IF(E244="","",INDEX(LevelLabels,MATCH(E244,LevelValues,1)))</f>
        <v/>
      </c>
      <c r="I244" s="40">
        <f>IF(OR(B244="",A244=""),"",B244&amp;"|"&amp;A244)</f>
        <v/>
      </c>
      <c r="J244" s="40">
        <f>IF(AND(B244&lt;&gt;"",B244=Prof_ID),COUNTIF($B$6:B244,Prof_ID),"")</f>
        <v/>
      </c>
    </row>
    <row r="245">
      <c r="A245" s="5" t="n"/>
      <c r="B245" s="6" t="n"/>
      <c r="C245" s="103">
        <f>IF(B245="","",IFERROR(INDEX(Stu_Name,MATCH(B245,Stu_ID,0)),"رقم غير موجود"))</f>
        <v/>
      </c>
      <c r="D245" s="88">
        <f>IF(B245="","",IFERROR(INDEX(Stu_Class,MATCH(B245,Stu_ID,0)),""))</f>
        <v/>
      </c>
      <c r="E245" s="88">
        <f>IF(OR(B245="",A245=""),"",IFERROR(COUNTIFS(INDEX(CHOOSE(INDEX(Stu_C,MATCH(B245,Stu_ID,0)),'KG1-1'!$AD$9:$IM$38,'KG1-2'!$AD$9:$IM$38,'KG1-3'!$AD$9:$IM$38,'KG1-4'!$AD$9:$IM$38,'KG1-5'!$AD$9:$IM$38,'KG1-6'!$AD$9:$IM$38,'KG1-7'!$AD$9:$IM$38),INDEX(Stu_I,MATCH(B245,Stu_ID,0)),0),"غياب بدون عذر",CHOOSE(INDEX(Stu_C,MATCH(B245,Stu_ID,0)),'KG1-1'!$AD$7:$IM$7,'KG1-2'!$AD$7:$IM$7,'KG1-3'!$AD$7:$IM$7,'KG1-4'!$AD$7:$IM$7,'KG1-5'!$AD$7:$IM$7,'KG1-6'!$AD$7:$IM$7,'KG1-7'!$AD$7:$IM$7),"✓",'KG1-1'!$AD$5:$IM$5,"&lt;="&amp;A245),""))</f>
        <v/>
      </c>
      <c r="F245" s="6" t="n"/>
      <c r="G245" s="108" t="n"/>
      <c r="H245" s="88">
        <f>IF(E245="","",INDEX(LevelLabels,MATCH(E245,LevelValues,1)))</f>
        <v/>
      </c>
      <c r="I245" s="40">
        <f>IF(OR(B245="",A245=""),"",B245&amp;"|"&amp;A245)</f>
        <v/>
      </c>
      <c r="J245" s="40">
        <f>IF(AND(B245&lt;&gt;"",B245=Prof_ID),COUNTIF($B$6:B245,Prof_ID),"")</f>
        <v/>
      </c>
    </row>
    <row r="246">
      <c r="A246" s="5" t="n"/>
      <c r="B246" s="6" t="n"/>
      <c r="C246" s="103">
        <f>IF(B246="","",IFERROR(INDEX(Stu_Name,MATCH(B246,Stu_ID,0)),"رقم غير موجود"))</f>
        <v/>
      </c>
      <c r="D246" s="88">
        <f>IF(B246="","",IFERROR(INDEX(Stu_Class,MATCH(B246,Stu_ID,0)),""))</f>
        <v/>
      </c>
      <c r="E246" s="88">
        <f>IF(OR(B246="",A246=""),"",IFERROR(COUNTIFS(INDEX(CHOOSE(INDEX(Stu_C,MATCH(B246,Stu_ID,0)),'KG1-1'!$AD$9:$IM$38,'KG1-2'!$AD$9:$IM$38,'KG1-3'!$AD$9:$IM$38,'KG1-4'!$AD$9:$IM$38,'KG1-5'!$AD$9:$IM$38,'KG1-6'!$AD$9:$IM$38,'KG1-7'!$AD$9:$IM$38),INDEX(Stu_I,MATCH(B246,Stu_ID,0)),0),"غياب بدون عذر",CHOOSE(INDEX(Stu_C,MATCH(B246,Stu_ID,0)),'KG1-1'!$AD$7:$IM$7,'KG1-2'!$AD$7:$IM$7,'KG1-3'!$AD$7:$IM$7,'KG1-4'!$AD$7:$IM$7,'KG1-5'!$AD$7:$IM$7,'KG1-6'!$AD$7:$IM$7,'KG1-7'!$AD$7:$IM$7),"✓",'KG1-1'!$AD$5:$IM$5,"&lt;="&amp;A246),""))</f>
        <v/>
      </c>
      <c r="F246" s="6" t="n"/>
      <c r="G246" s="108" t="n"/>
      <c r="H246" s="88">
        <f>IF(E246="","",INDEX(LevelLabels,MATCH(E246,LevelValues,1)))</f>
        <v/>
      </c>
      <c r="I246" s="40">
        <f>IF(OR(B246="",A246=""),"",B246&amp;"|"&amp;A246)</f>
        <v/>
      </c>
      <c r="J246" s="40">
        <f>IF(AND(B246&lt;&gt;"",B246=Prof_ID),COUNTIF($B$6:B246,Prof_ID),"")</f>
        <v/>
      </c>
    </row>
    <row r="247">
      <c r="A247" s="5" t="n"/>
      <c r="B247" s="6" t="n"/>
      <c r="C247" s="103">
        <f>IF(B247="","",IFERROR(INDEX(Stu_Name,MATCH(B247,Stu_ID,0)),"رقم غير موجود"))</f>
        <v/>
      </c>
      <c r="D247" s="88">
        <f>IF(B247="","",IFERROR(INDEX(Stu_Class,MATCH(B247,Stu_ID,0)),""))</f>
        <v/>
      </c>
      <c r="E247" s="88">
        <f>IF(OR(B247="",A247=""),"",IFERROR(COUNTIFS(INDEX(CHOOSE(INDEX(Stu_C,MATCH(B247,Stu_ID,0)),'KG1-1'!$AD$9:$IM$38,'KG1-2'!$AD$9:$IM$38,'KG1-3'!$AD$9:$IM$38,'KG1-4'!$AD$9:$IM$38,'KG1-5'!$AD$9:$IM$38,'KG1-6'!$AD$9:$IM$38,'KG1-7'!$AD$9:$IM$38),INDEX(Stu_I,MATCH(B247,Stu_ID,0)),0),"غياب بدون عذر",CHOOSE(INDEX(Stu_C,MATCH(B247,Stu_ID,0)),'KG1-1'!$AD$7:$IM$7,'KG1-2'!$AD$7:$IM$7,'KG1-3'!$AD$7:$IM$7,'KG1-4'!$AD$7:$IM$7,'KG1-5'!$AD$7:$IM$7,'KG1-6'!$AD$7:$IM$7,'KG1-7'!$AD$7:$IM$7),"✓",'KG1-1'!$AD$5:$IM$5,"&lt;="&amp;A247),""))</f>
        <v/>
      </c>
      <c r="F247" s="6" t="n"/>
      <c r="G247" s="108" t="n"/>
      <c r="H247" s="88">
        <f>IF(E247="","",INDEX(LevelLabels,MATCH(E247,LevelValues,1)))</f>
        <v/>
      </c>
      <c r="I247" s="40">
        <f>IF(OR(B247="",A247=""),"",B247&amp;"|"&amp;A247)</f>
        <v/>
      </c>
      <c r="J247" s="40">
        <f>IF(AND(B247&lt;&gt;"",B247=Prof_ID),COUNTIF($B$6:B247,Prof_ID),"")</f>
        <v/>
      </c>
    </row>
    <row r="248">
      <c r="A248" s="5" t="n"/>
      <c r="B248" s="6" t="n"/>
      <c r="C248" s="103">
        <f>IF(B248="","",IFERROR(INDEX(Stu_Name,MATCH(B248,Stu_ID,0)),"رقم غير موجود"))</f>
        <v/>
      </c>
      <c r="D248" s="88">
        <f>IF(B248="","",IFERROR(INDEX(Stu_Class,MATCH(B248,Stu_ID,0)),""))</f>
        <v/>
      </c>
      <c r="E248" s="88">
        <f>IF(OR(B248="",A248=""),"",IFERROR(COUNTIFS(INDEX(CHOOSE(INDEX(Stu_C,MATCH(B248,Stu_ID,0)),'KG1-1'!$AD$9:$IM$38,'KG1-2'!$AD$9:$IM$38,'KG1-3'!$AD$9:$IM$38,'KG1-4'!$AD$9:$IM$38,'KG1-5'!$AD$9:$IM$38,'KG1-6'!$AD$9:$IM$38,'KG1-7'!$AD$9:$IM$38),INDEX(Stu_I,MATCH(B248,Stu_ID,0)),0),"غياب بدون عذر",CHOOSE(INDEX(Stu_C,MATCH(B248,Stu_ID,0)),'KG1-1'!$AD$7:$IM$7,'KG1-2'!$AD$7:$IM$7,'KG1-3'!$AD$7:$IM$7,'KG1-4'!$AD$7:$IM$7,'KG1-5'!$AD$7:$IM$7,'KG1-6'!$AD$7:$IM$7,'KG1-7'!$AD$7:$IM$7),"✓",'KG1-1'!$AD$5:$IM$5,"&lt;="&amp;A248),""))</f>
        <v/>
      </c>
      <c r="F248" s="6" t="n"/>
      <c r="G248" s="108" t="n"/>
      <c r="H248" s="88">
        <f>IF(E248="","",INDEX(LevelLabels,MATCH(E248,LevelValues,1)))</f>
        <v/>
      </c>
      <c r="I248" s="40">
        <f>IF(OR(B248="",A248=""),"",B248&amp;"|"&amp;A248)</f>
        <v/>
      </c>
      <c r="J248" s="40">
        <f>IF(AND(B248&lt;&gt;"",B248=Prof_ID),COUNTIF($B$6:B248,Prof_ID),"")</f>
        <v/>
      </c>
    </row>
    <row r="249">
      <c r="A249" s="5" t="n"/>
      <c r="B249" s="6" t="n"/>
      <c r="C249" s="103">
        <f>IF(B249="","",IFERROR(INDEX(Stu_Name,MATCH(B249,Stu_ID,0)),"رقم غير موجود"))</f>
        <v/>
      </c>
      <c r="D249" s="88">
        <f>IF(B249="","",IFERROR(INDEX(Stu_Class,MATCH(B249,Stu_ID,0)),""))</f>
        <v/>
      </c>
      <c r="E249" s="88">
        <f>IF(OR(B249="",A249=""),"",IFERROR(COUNTIFS(INDEX(CHOOSE(INDEX(Stu_C,MATCH(B249,Stu_ID,0)),'KG1-1'!$AD$9:$IM$38,'KG1-2'!$AD$9:$IM$38,'KG1-3'!$AD$9:$IM$38,'KG1-4'!$AD$9:$IM$38,'KG1-5'!$AD$9:$IM$38,'KG1-6'!$AD$9:$IM$38,'KG1-7'!$AD$9:$IM$38),INDEX(Stu_I,MATCH(B249,Stu_ID,0)),0),"غياب بدون عذر",CHOOSE(INDEX(Stu_C,MATCH(B249,Stu_ID,0)),'KG1-1'!$AD$7:$IM$7,'KG1-2'!$AD$7:$IM$7,'KG1-3'!$AD$7:$IM$7,'KG1-4'!$AD$7:$IM$7,'KG1-5'!$AD$7:$IM$7,'KG1-6'!$AD$7:$IM$7,'KG1-7'!$AD$7:$IM$7),"✓",'KG1-1'!$AD$5:$IM$5,"&lt;="&amp;A249),""))</f>
        <v/>
      </c>
      <c r="F249" s="6" t="n"/>
      <c r="G249" s="108" t="n"/>
      <c r="H249" s="88">
        <f>IF(E249="","",INDEX(LevelLabels,MATCH(E249,LevelValues,1)))</f>
        <v/>
      </c>
      <c r="I249" s="40">
        <f>IF(OR(B249="",A249=""),"",B249&amp;"|"&amp;A249)</f>
        <v/>
      </c>
      <c r="J249" s="40">
        <f>IF(AND(B249&lt;&gt;"",B249=Prof_ID),COUNTIF($B$6:B249,Prof_ID),"")</f>
        <v/>
      </c>
    </row>
    <row r="250">
      <c r="A250" s="5" t="n"/>
      <c r="B250" s="6" t="n"/>
      <c r="C250" s="103">
        <f>IF(B250="","",IFERROR(INDEX(Stu_Name,MATCH(B250,Stu_ID,0)),"رقم غير موجود"))</f>
        <v/>
      </c>
      <c r="D250" s="88">
        <f>IF(B250="","",IFERROR(INDEX(Stu_Class,MATCH(B250,Stu_ID,0)),""))</f>
        <v/>
      </c>
      <c r="E250" s="88">
        <f>IF(OR(B250="",A250=""),"",IFERROR(COUNTIFS(INDEX(CHOOSE(INDEX(Stu_C,MATCH(B250,Stu_ID,0)),'KG1-1'!$AD$9:$IM$38,'KG1-2'!$AD$9:$IM$38,'KG1-3'!$AD$9:$IM$38,'KG1-4'!$AD$9:$IM$38,'KG1-5'!$AD$9:$IM$38,'KG1-6'!$AD$9:$IM$38,'KG1-7'!$AD$9:$IM$38),INDEX(Stu_I,MATCH(B250,Stu_ID,0)),0),"غياب بدون عذر",CHOOSE(INDEX(Stu_C,MATCH(B250,Stu_ID,0)),'KG1-1'!$AD$7:$IM$7,'KG1-2'!$AD$7:$IM$7,'KG1-3'!$AD$7:$IM$7,'KG1-4'!$AD$7:$IM$7,'KG1-5'!$AD$7:$IM$7,'KG1-6'!$AD$7:$IM$7,'KG1-7'!$AD$7:$IM$7),"✓",'KG1-1'!$AD$5:$IM$5,"&lt;="&amp;A250),""))</f>
        <v/>
      </c>
      <c r="F250" s="6" t="n"/>
      <c r="G250" s="108" t="n"/>
      <c r="H250" s="88">
        <f>IF(E250="","",INDEX(LevelLabels,MATCH(E250,LevelValues,1)))</f>
        <v/>
      </c>
      <c r="I250" s="40">
        <f>IF(OR(B250="",A250=""),"",B250&amp;"|"&amp;A250)</f>
        <v/>
      </c>
      <c r="J250" s="40">
        <f>IF(AND(B250&lt;&gt;"",B250=Prof_ID),COUNTIF($B$6:B250,Prof_ID),"")</f>
        <v/>
      </c>
    </row>
    <row r="251">
      <c r="A251" s="5" t="n"/>
      <c r="B251" s="6" t="n"/>
      <c r="C251" s="103">
        <f>IF(B251="","",IFERROR(INDEX(Stu_Name,MATCH(B251,Stu_ID,0)),"رقم غير موجود"))</f>
        <v/>
      </c>
      <c r="D251" s="88">
        <f>IF(B251="","",IFERROR(INDEX(Stu_Class,MATCH(B251,Stu_ID,0)),""))</f>
        <v/>
      </c>
      <c r="E251" s="88">
        <f>IF(OR(B251="",A251=""),"",IFERROR(COUNTIFS(INDEX(CHOOSE(INDEX(Stu_C,MATCH(B251,Stu_ID,0)),'KG1-1'!$AD$9:$IM$38,'KG1-2'!$AD$9:$IM$38,'KG1-3'!$AD$9:$IM$38,'KG1-4'!$AD$9:$IM$38,'KG1-5'!$AD$9:$IM$38,'KG1-6'!$AD$9:$IM$38,'KG1-7'!$AD$9:$IM$38),INDEX(Stu_I,MATCH(B251,Stu_ID,0)),0),"غياب بدون عذر",CHOOSE(INDEX(Stu_C,MATCH(B251,Stu_ID,0)),'KG1-1'!$AD$7:$IM$7,'KG1-2'!$AD$7:$IM$7,'KG1-3'!$AD$7:$IM$7,'KG1-4'!$AD$7:$IM$7,'KG1-5'!$AD$7:$IM$7,'KG1-6'!$AD$7:$IM$7,'KG1-7'!$AD$7:$IM$7),"✓",'KG1-1'!$AD$5:$IM$5,"&lt;="&amp;A251),""))</f>
        <v/>
      </c>
      <c r="F251" s="6" t="n"/>
      <c r="G251" s="108" t="n"/>
      <c r="H251" s="88">
        <f>IF(E251="","",INDEX(LevelLabels,MATCH(E251,LevelValues,1)))</f>
        <v/>
      </c>
      <c r="I251" s="40">
        <f>IF(OR(B251="",A251=""),"",B251&amp;"|"&amp;A251)</f>
        <v/>
      </c>
      <c r="J251" s="40">
        <f>IF(AND(B251&lt;&gt;"",B251=Prof_ID),COUNTIF($B$6:B251,Prof_ID),"")</f>
        <v/>
      </c>
    </row>
    <row r="252">
      <c r="A252" s="5" t="n"/>
      <c r="B252" s="6" t="n"/>
      <c r="C252" s="103">
        <f>IF(B252="","",IFERROR(INDEX(Stu_Name,MATCH(B252,Stu_ID,0)),"رقم غير موجود"))</f>
        <v/>
      </c>
      <c r="D252" s="88">
        <f>IF(B252="","",IFERROR(INDEX(Stu_Class,MATCH(B252,Stu_ID,0)),""))</f>
        <v/>
      </c>
      <c r="E252" s="88">
        <f>IF(OR(B252="",A252=""),"",IFERROR(COUNTIFS(INDEX(CHOOSE(INDEX(Stu_C,MATCH(B252,Stu_ID,0)),'KG1-1'!$AD$9:$IM$38,'KG1-2'!$AD$9:$IM$38,'KG1-3'!$AD$9:$IM$38,'KG1-4'!$AD$9:$IM$38,'KG1-5'!$AD$9:$IM$38,'KG1-6'!$AD$9:$IM$38,'KG1-7'!$AD$9:$IM$38),INDEX(Stu_I,MATCH(B252,Stu_ID,0)),0),"غياب بدون عذر",CHOOSE(INDEX(Stu_C,MATCH(B252,Stu_ID,0)),'KG1-1'!$AD$7:$IM$7,'KG1-2'!$AD$7:$IM$7,'KG1-3'!$AD$7:$IM$7,'KG1-4'!$AD$7:$IM$7,'KG1-5'!$AD$7:$IM$7,'KG1-6'!$AD$7:$IM$7,'KG1-7'!$AD$7:$IM$7),"✓",'KG1-1'!$AD$5:$IM$5,"&lt;="&amp;A252),""))</f>
        <v/>
      </c>
      <c r="F252" s="6" t="n"/>
      <c r="G252" s="108" t="n"/>
      <c r="H252" s="88">
        <f>IF(E252="","",INDEX(LevelLabels,MATCH(E252,LevelValues,1)))</f>
        <v/>
      </c>
      <c r="I252" s="40">
        <f>IF(OR(B252="",A252=""),"",B252&amp;"|"&amp;A252)</f>
        <v/>
      </c>
      <c r="J252" s="40">
        <f>IF(AND(B252&lt;&gt;"",B252=Prof_ID),COUNTIF($B$6:B252,Prof_ID),"")</f>
        <v/>
      </c>
    </row>
    <row r="253">
      <c r="A253" s="5" t="n"/>
      <c r="B253" s="6" t="n"/>
      <c r="C253" s="103">
        <f>IF(B253="","",IFERROR(INDEX(Stu_Name,MATCH(B253,Stu_ID,0)),"رقم غير موجود"))</f>
        <v/>
      </c>
      <c r="D253" s="88">
        <f>IF(B253="","",IFERROR(INDEX(Stu_Class,MATCH(B253,Stu_ID,0)),""))</f>
        <v/>
      </c>
      <c r="E253" s="88">
        <f>IF(OR(B253="",A253=""),"",IFERROR(COUNTIFS(INDEX(CHOOSE(INDEX(Stu_C,MATCH(B253,Stu_ID,0)),'KG1-1'!$AD$9:$IM$38,'KG1-2'!$AD$9:$IM$38,'KG1-3'!$AD$9:$IM$38,'KG1-4'!$AD$9:$IM$38,'KG1-5'!$AD$9:$IM$38,'KG1-6'!$AD$9:$IM$38,'KG1-7'!$AD$9:$IM$38),INDEX(Stu_I,MATCH(B253,Stu_ID,0)),0),"غياب بدون عذر",CHOOSE(INDEX(Stu_C,MATCH(B253,Stu_ID,0)),'KG1-1'!$AD$7:$IM$7,'KG1-2'!$AD$7:$IM$7,'KG1-3'!$AD$7:$IM$7,'KG1-4'!$AD$7:$IM$7,'KG1-5'!$AD$7:$IM$7,'KG1-6'!$AD$7:$IM$7,'KG1-7'!$AD$7:$IM$7),"✓",'KG1-1'!$AD$5:$IM$5,"&lt;="&amp;A253),""))</f>
        <v/>
      </c>
      <c r="F253" s="6" t="n"/>
      <c r="G253" s="108" t="n"/>
      <c r="H253" s="88">
        <f>IF(E253="","",INDEX(LevelLabels,MATCH(E253,LevelValues,1)))</f>
        <v/>
      </c>
      <c r="I253" s="40">
        <f>IF(OR(B253="",A253=""),"",B253&amp;"|"&amp;A253)</f>
        <v/>
      </c>
      <c r="J253" s="40">
        <f>IF(AND(B253&lt;&gt;"",B253=Prof_ID),COUNTIF($B$6:B253,Prof_ID),"")</f>
        <v/>
      </c>
    </row>
    <row r="254">
      <c r="A254" s="5" t="n"/>
      <c r="B254" s="6" t="n"/>
      <c r="C254" s="103">
        <f>IF(B254="","",IFERROR(INDEX(Stu_Name,MATCH(B254,Stu_ID,0)),"رقم غير موجود"))</f>
        <v/>
      </c>
      <c r="D254" s="88">
        <f>IF(B254="","",IFERROR(INDEX(Stu_Class,MATCH(B254,Stu_ID,0)),""))</f>
        <v/>
      </c>
      <c r="E254" s="88">
        <f>IF(OR(B254="",A254=""),"",IFERROR(COUNTIFS(INDEX(CHOOSE(INDEX(Stu_C,MATCH(B254,Stu_ID,0)),'KG1-1'!$AD$9:$IM$38,'KG1-2'!$AD$9:$IM$38,'KG1-3'!$AD$9:$IM$38,'KG1-4'!$AD$9:$IM$38,'KG1-5'!$AD$9:$IM$38,'KG1-6'!$AD$9:$IM$38,'KG1-7'!$AD$9:$IM$38),INDEX(Stu_I,MATCH(B254,Stu_ID,0)),0),"غياب بدون عذر",CHOOSE(INDEX(Stu_C,MATCH(B254,Stu_ID,0)),'KG1-1'!$AD$7:$IM$7,'KG1-2'!$AD$7:$IM$7,'KG1-3'!$AD$7:$IM$7,'KG1-4'!$AD$7:$IM$7,'KG1-5'!$AD$7:$IM$7,'KG1-6'!$AD$7:$IM$7,'KG1-7'!$AD$7:$IM$7),"✓",'KG1-1'!$AD$5:$IM$5,"&lt;="&amp;A254),""))</f>
        <v/>
      </c>
      <c r="F254" s="6" t="n"/>
      <c r="G254" s="108" t="n"/>
      <c r="H254" s="88">
        <f>IF(E254="","",INDEX(LevelLabels,MATCH(E254,LevelValues,1)))</f>
        <v/>
      </c>
      <c r="I254" s="40">
        <f>IF(OR(B254="",A254=""),"",B254&amp;"|"&amp;A254)</f>
        <v/>
      </c>
      <c r="J254" s="40">
        <f>IF(AND(B254&lt;&gt;"",B254=Prof_ID),COUNTIF($B$6:B254,Prof_ID),"")</f>
        <v/>
      </c>
    </row>
    <row r="255">
      <c r="A255" s="5" t="n"/>
      <c r="B255" s="6" t="n"/>
      <c r="C255" s="103">
        <f>IF(B255="","",IFERROR(INDEX(Stu_Name,MATCH(B255,Stu_ID,0)),"رقم غير موجود"))</f>
        <v/>
      </c>
      <c r="D255" s="88">
        <f>IF(B255="","",IFERROR(INDEX(Stu_Class,MATCH(B255,Stu_ID,0)),""))</f>
        <v/>
      </c>
      <c r="E255" s="88">
        <f>IF(OR(B255="",A255=""),"",IFERROR(COUNTIFS(INDEX(CHOOSE(INDEX(Stu_C,MATCH(B255,Stu_ID,0)),'KG1-1'!$AD$9:$IM$38,'KG1-2'!$AD$9:$IM$38,'KG1-3'!$AD$9:$IM$38,'KG1-4'!$AD$9:$IM$38,'KG1-5'!$AD$9:$IM$38,'KG1-6'!$AD$9:$IM$38,'KG1-7'!$AD$9:$IM$38),INDEX(Stu_I,MATCH(B255,Stu_ID,0)),0),"غياب بدون عذر",CHOOSE(INDEX(Stu_C,MATCH(B255,Stu_ID,0)),'KG1-1'!$AD$7:$IM$7,'KG1-2'!$AD$7:$IM$7,'KG1-3'!$AD$7:$IM$7,'KG1-4'!$AD$7:$IM$7,'KG1-5'!$AD$7:$IM$7,'KG1-6'!$AD$7:$IM$7,'KG1-7'!$AD$7:$IM$7),"✓",'KG1-1'!$AD$5:$IM$5,"&lt;="&amp;A255),""))</f>
        <v/>
      </c>
      <c r="F255" s="6" t="n"/>
      <c r="G255" s="108" t="n"/>
      <c r="H255" s="88">
        <f>IF(E255="","",INDEX(LevelLabels,MATCH(E255,LevelValues,1)))</f>
        <v/>
      </c>
      <c r="I255" s="40">
        <f>IF(OR(B255="",A255=""),"",B255&amp;"|"&amp;A255)</f>
        <v/>
      </c>
      <c r="J255" s="40">
        <f>IF(AND(B255&lt;&gt;"",B255=Prof_ID),COUNTIF($B$6:B255,Prof_ID),"")</f>
        <v/>
      </c>
    </row>
    <row r="256">
      <c r="A256" s="5" t="n"/>
      <c r="B256" s="6" t="n"/>
      <c r="C256" s="103">
        <f>IF(B256="","",IFERROR(INDEX(Stu_Name,MATCH(B256,Stu_ID,0)),"رقم غير موجود"))</f>
        <v/>
      </c>
      <c r="D256" s="88">
        <f>IF(B256="","",IFERROR(INDEX(Stu_Class,MATCH(B256,Stu_ID,0)),""))</f>
        <v/>
      </c>
      <c r="E256" s="88">
        <f>IF(OR(B256="",A256=""),"",IFERROR(COUNTIFS(INDEX(CHOOSE(INDEX(Stu_C,MATCH(B256,Stu_ID,0)),'KG1-1'!$AD$9:$IM$38,'KG1-2'!$AD$9:$IM$38,'KG1-3'!$AD$9:$IM$38,'KG1-4'!$AD$9:$IM$38,'KG1-5'!$AD$9:$IM$38,'KG1-6'!$AD$9:$IM$38,'KG1-7'!$AD$9:$IM$38),INDEX(Stu_I,MATCH(B256,Stu_ID,0)),0),"غياب بدون عذر",CHOOSE(INDEX(Stu_C,MATCH(B256,Stu_ID,0)),'KG1-1'!$AD$7:$IM$7,'KG1-2'!$AD$7:$IM$7,'KG1-3'!$AD$7:$IM$7,'KG1-4'!$AD$7:$IM$7,'KG1-5'!$AD$7:$IM$7,'KG1-6'!$AD$7:$IM$7,'KG1-7'!$AD$7:$IM$7),"✓",'KG1-1'!$AD$5:$IM$5,"&lt;="&amp;A256),""))</f>
        <v/>
      </c>
      <c r="F256" s="6" t="n"/>
      <c r="G256" s="108" t="n"/>
      <c r="H256" s="88">
        <f>IF(E256="","",INDEX(LevelLabels,MATCH(E256,LevelValues,1)))</f>
        <v/>
      </c>
      <c r="I256" s="40">
        <f>IF(OR(B256="",A256=""),"",B256&amp;"|"&amp;A256)</f>
        <v/>
      </c>
      <c r="J256" s="40">
        <f>IF(AND(B256&lt;&gt;"",B256=Prof_ID),COUNTIF($B$6:B256,Prof_ID),"")</f>
        <v/>
      </c>
    </row>
    <row r="257">
      <c r="A257" s="5" t="n"/>
      <c r="B257" s="6" t="n"/>
      <c r="C257" s="103">
        <f>IF(B257="","",IFERROR(INDEX(Stu_Name,MATCH(B257,Stu_ID,0)),"رقم غير موجود"))</f>
        <v/>
      </c>
      <c r="D257" s="88">
        <f>IF(B257="","",IFERROR(INDEX(Stu_Class,MATCH(B257,Stu_ID,0)),""))</f>
        <v/>
      </c>
      <c r="E257" s="88">
        <f>IF(OR(B257="",A257=""),"",IFERROR(COUNTIFS(INDEX(CHOOSE(INDEX(Stu_C,MATCH(B257,Stu_ID,0)),'KG1-1'!$AD$9:$IM$38,'KG1-2'!$AD$9:$IM$38,'KG1-3'!$AD$9:$IM$38,'KG1-4'!$AD$9:$IM$38,'KG1-5'!$AD$9:$IM$38,'KG1-6'!$AD$9:$IM$38,'KG1-7'!$AD$9:$IM$38),INDEX(Stu_I,MATCH(B257,Stu_ID,0)),0),"غياب بدون عذر",CHOOSE(INDEX(Stu_C,MATCH(B257,Stu_ID,0)),'KG1-1'!$AD$7:$IM$7,'KG1-2'!$AD$7:$IM$7,'KG1-3'!$AD$7:$IM$7,'KG1-4'!$AD$7:$IM$7,'KG1-5'!$AD$7:$IM$7,'KG1-6'!$AD$7:$IM$7,'KG1-7'!$AD$7:$IM$7),"✓",'KG1-1'!$AD$5:$IM$5,"&lt;="&amp;A257),""))</f>
        <v/>
      </c>
      <c r="F257" s="6" t="n"/>
      <c r="G257" s="108" t="n"/>
      <c r="H257" s="88">
        <f>IF(E257="","",INDEX(LevelLabels,MATCH(E257,LevelValues,1)))</f>
        <v/>
      </c>
      <c r="I257" s="40">
        <f>IF(OR(B257="",A257=""),"",B257&amp;"|"&amp;A257)</f>
        <v/>
      </c>
      <c r="J257" s="40">
        <f>IF(AND(B257&lt;&gt;"",B257=Prof_ID),COUNTIF($B$6:B257,Prof_ID),"")</f>
        <v/>
      </c>
    </row>
    <row r="258">
      <c r="A258" s="5" t="n"/>
      <c r="B258" s="6" t="n"/>
      <c r="C258" s="103">
        <f>IF(B258="","",IFERROR(INDEX(Stu_Name,MATCH(B258,Stu_ID,0)),"رقم غير موجود"))</f>
        <v/>
      </c>
      <c r="D258" s="88">
        <f>IF(B258="","",IFERROR(INDEX(Stu_Class,MATCH(B258,Stu_ID,0)),""))</f>
        <v/>
      </c>
      <c r="E258" s="88">
        <f>IF(OR(B258="",A258=""),"",IFERROR(COUNTIFS(INDEX(CHOOSE(INDEX(Stu_C,MATCH(B258,Stu_ID,0)),'KG1-1'!$AD$9:$IM$38,'KG1-2'!$AD$9:$IM$38,'KG1-3'!$AD$9:$IM$38,'KG1-4'!$AD$9:$IM$38,'KG1-5'!$AD$9:$IM$38,'KG1-6'!$AD$9:$IM$38,'KG1-7'!$AD$9:$IM$38),INDEX(Stu_I,MATCH(B258,Stu_ID,0)),0),"غياب بدون عذر",CHOOSE(INDEX(Stu_C,MATCH(B258,Stu_ID,0)),'KG1-1'!$AD$7:$IM$7,'KG1-2'!$AD$7:$IM$7,'KG1-3'!$AD$7:$IM$7,'KG1-4'!$AD$7:$IM$7,'KG1-5'!$AD$7:$IM$7,'KG1-6'!$AD$7:$IM$7,'KG1-7'!$AD$7:$IM$7),"✓",'KG1-1'!$AD$5:$IM$5,"&lt;="&amp;A258),""))</f>
        <v/>
      </c>
      <c r="F258" s="6" t="n"/>
      <c r="G258" s="108" t="n"/>
      <c r="H258" s="88">
        <f>IF(E258="","",INDEX(LevelLabels,MATCH(E258,LevelValues,1)))</f>
        <v/>
      </c>
      <c r="I258" s="40">
        <f>IF(OR(B258="",A258=""),"",B258&amp;"|"&amp;A258)</f>
        <v/>
      </c>
      <c r="J258" s="40">
        <f>IF(AND(B258&lt;&gt;"",B258=Prof_ID),COUNTIF($B$6:B258,Prof_ID),"")</f>
        <v/>
      </c>
    </row>
    <row r="259">
      <c r="A259" s="5" t="n"/>
      <c r="B259" s="6" t="n"/>
      <c r="C259" s="103">
        <f>IF(B259="","",IFERROR(INDEX(Stu_Name,MATCH(B259,Stu_ID,0)),"رقم غير موجود"))</f>
        <v/>
      </c>
      <c r="D259" s="88">
        <f>IF(B259="","",IFERROR(INDEX(Stu_Class,MATCH(B259,Stu_ID,0)),""))</f>
        <v/>
      </c>
      <c r="E259" s="88">
        <f>IF(OR(B259="",A259=""),"",IFERROR(COUNTIFS(INDEX(CHOOSE(INDEX(Stu_C,MATCH(B259,Stu_ID,0)),'KG1-1'!$AD$9:$IM$38,'KG1-2'!$AD$9:$IM$38,'KG1-3'!$AD$9:$IM$38,'KG1-4'!$AD$9:$IM$38,'KG1-5'!$AD$9:$IM$38,'KG1-6'!$AD$9:$IM$38,'KG1-7'!$AD$9:$IM$38),INDEX(Stu_I,MATCH(B259,Stu_ID,0)),0),"غياب بدون عذر",CHOOSE(INDEX(Stu_C,MATCH(B259,Stu_ID,0)),'KG1-1'!$AD$7:$IM$7,'KG1-2'!$AD$7:$IM$7,'KG1-3'!$AD$7:$IM$7,'KG1-4'!$AD$7:$IM$7,'KG1-5'!$AD$7:$IM$7,'KG1-6'!$AD$7:$IM$7,'KG1-7'!$AD$7:$IM$7),"✓",'KG1-1'!$AD$5:$IM$5,"&lt;="&amp;A259),""))</f>
        <v/>
      </c>
      <c r="F259" s="6" t="n"/>
      <c r="G259" s="108" t="n"/>
      <c r="H259" s="88">
        <f>IF(E259="","",INDEX(LevelLabels,MATCH(E259,LevelValues,1)))</f>
        <v/>
      </c>
      <c r="I259" s="40">
        <f>IF(OR(B259="",A259=""),"",B259&amp;"|"&amp;A259)</f>
        <v/>
      </c>
      <c r="J259" s="40">
        <f>IF(AND(B259&lt;&gt;"",B259=Prof_ID),COUNTIF($B$6:B259,Prof_ID),"")</f>
        <v/>
      </c>
    </row>
    <row r="260">
      <c r="A260" s="5" t="n"/>
      <c r="B260" s="6" t="n"/>
      <c r="C260" s="103">
        <f>IF(B260="","",IFERROR(INDEX(Stu_Name,MATCH(B260,Stu_ID,0)),"رقم غير موجود"))</f>
        <v/>
      </c>
      <c r="D260" s="88">
        <f>IF(B260="","",IFERROR(INDEX(Stu_Class,MATCH(B260,Stu_ID,0)),""))</f>
        <v/>
      </c>
      <c r="E260" s="88">
        <f>IF(OR(B260="",A260=""),"",IFERROR(COUNTIFS(INDEX(CHOOSE(INDEX(Stu_C,MATCH(B260,Stu_ID,0)),'KG1-1'!$AD$9:$IM$38,'KG1-2'!$AD$9:$IM$38,'KG1-3'!$AD$9:$IM$38,'KG1-4'!$AD$9:$IM$38,'KG1-5'!$AD$9:$IM$38,'KG1-6'!$AD$9:$IM$38,'KG1-7'!$AD$9:$IM$38),INDEX(Stu_I,MATCH(B260,Stu_ID,0)),0),"غياب بدون عذر",CHOOSE(INDEX(Stu_C,MATCH(B260,Stu_ID,0)),'KG1-1'!$AD$7:$IM$7,'KG1-2'!$AD$7:$IM$7,'KG1-3'!$AD$7:$IM$7,'KG1-4'!$AD$7:$IM$7,'KG1-5'!$AD$7:$IM$7,'KG1-6'!$AD$7:$IM$7,'KG1-7'!$AD$7:$IM$7),"✓",'KG1-1'!$AD$5:$IM$5,"&lt;="&amp;A260),""))</f>
        <v/>
      </c>
      <c r="F260" s="6" t="n"/>
      <c r="G260" s="108" t="n"/>
      <c r="H260" s="88">
        <f>IF(E260="","",INDEX(LevelLabels,MATCH(E260,LevelValues,1)))</f>
        <v/>
      </c>
      <c r="I260" s="40">
        <f>IF(OR(B260="",A260=""),"",B260&amp;"|"&amp;A260)</f>
        <v/>
      </c>
      <c r="J260" s="40">
        <f>IF(AND(B260&lt;&gt;"",B260=Prof_ID),COUNTIF($B$6:B260,Prof_ID),"")</f>
        <v/>
      </c>
    </row>
    <row r="261">
      <c r="A261" s="5" t="n"/>
      <c r="B261" s="6" t="n"/>
      <c r="C261" s="103">
        <f>IF(B261="","",IFERROR(INDEX(Stu_Name,MATCH(B261,Stu_ID,0)),"رقم غير موجود"))</f>
        <v/>
      </c>
      <c r="D261" s="88">
        <f>IF(B261="","",IFERROR(INDEX(Stu_Class,MATCH(B261,Stu_ID,0)),""))</f>
        <v/>
      </c>
      <c r="E261" s="88">
        <f>IF(OR(B261="",A261=""),"",IFERROR(COUNTIFS(INDEX(CHOOSE(INDEX(Stu_C,MATCH(B261,Stu_ID,0)),'KG1-1'!$AD$9:$IM$38,'KG1-2'!$AD$9:$IM$38,'KG1-3'!$AD$9:$IM$38,'KG1-4'!$AD$9:$IM$38,'KG1-5'!$AD$9:$IM$38,'KG1-6'!$AD$9:$IM$38,'KG1-7'!$AD$9:$IM$38),INDEX(Stu_I,MATCH(B261,Stu_ID,0)),0),"غياب بدون عذر",CHOOSE(INDEX(Stu_C,MATCH(B261,Stu_ID,0)),'KG1-1'!$AD$7:$IM$7,'KG1-2'!$AD$7:$IM$7,'KG1-3'!$AD$7:$IM$7,'KG1-4'!$AD$7:$IM$7,'KG1-5'!$AD$7:$IM$7,'KG1-6'!$AD$7:$IM$7,'KG1-7'!$AD$7:$IM$7),"✓",'KG1-1'!$AD$5:$IM$5,"&lt;="&amp;A261),""))</f>
        <v/>
      </c>
      <c r="F261" s="6" t="n"/>
      <c r="G261" s="108" t="n"/>
      <c r="H261" s="88">
        <f>IF(E261="","",INDEX(LevelLabels,MATCH(E261,LevelValues,1)))</f>
        <v/>
      </c>
      <c r="I261" s="40">
        <f>IF(OR(B261="",A261=""),"",B261&amp;"|"&amp;A261)</f>
        <v/>
      </c>
      <c r="J261" s="40">
        <f>IF(AND(B261&lt;&gt;"",B261=Prof_ID),COUNTIF($B$6:B261,Prof_ID),"")</f>
        <v/>
      </c>
    </row>
    <row r="262">
      <c r="A262" s="5" t="n"/>
      <c r="B262" s="6" t="n"/>
      <c r="C262" s="103">
        <f>IF(B262="","",IFERROR(INDEX(Stu_Name,MATCH(B262,Stu_ID,0)),"رقم غير موجود"))</f>
        <v/>
      </c>
      <c r="D262" s="88">
        <f>IF(B262="","",IFERROR(INDEX(Stu_Class,MATCH(B262,Stu_ID,0)),""))</f>
        <v/>
      </c>
      <c r="E262" s="88">
        <f>IF(OR(B262="",A262=""),"",IFERROR(COUNTIFS(INDEX(CHOOSE(INDEX(Stu_C,MATCH(B262,Stu_ID,0)),'KG1-1'!$AD$9:$IM$38,'KG1-2'!$AD$9:$IM$38,'KG1-3'!$AD$9:$IM$38,'KG1-4'!$AD$9:$IM$38,'KG1-5'!$AD$9:$IM$38,'KG1-6'!$AD$9:$IM$38,'KG1-7'!$AD$9:$IM$38),INDEX(Stu_I,MATCH(B262,Stu_ID,0)),0),"غياب بدون عذر",CHOOSE(INDEX(Stu_C,MATCH(B262,Stu_ID,0)),'KG1-1'!$AD$7:$IM$7,'KG1-2'!$AD$7:$IM$7,'KG1-3'!$AD$7:$IM$7,'KG1-4'!$AD$7:$IM$7,'KG1-5'!$AD$7:$IM$7,'KG1-6'!$AD$7:$IM$7,'KG1-7'!$AD$7:$IM$7),"✓",'KG1-1'!$AD$5:$IM$5,"&lt;="&amp;A262),""))</f>
        <v/>
      </c>
      <c r="F262" s="6" t="n"/>
      <c r="G262" s="108" t="n"/>
      <c r="H262" s="88">
        <f>IF(E262="","",INDEX(LevelLabels,MATCH(E262,LevelValues,1)))</f>
        <v/>
      </c>
      <c r="I262" s="40">
        <f>IF(OR(B262="",A262=""),"",B262&amp;"|"&amp;A262)</f>
        <v/>
      </c>
      <c r="J262" s="40">
        <f>IF(AND(B262&lt;&gt;"",B262=Prof_ID),COUNTIF($B$6:B262,Prof_ID),"")</f>
        <v/>
      </c>
    </row>
    <row r="263">
      <c r="A263" s="5" t="n"/>
      <c r="B263" s="6" t="n"/>
      <c r="C263" s="103">
        <f>IF(B263="","",IFERROR(INDEX(Stu_Name,MATCH(B263,Stu_ID,0)),"رقم غير موجود"))</f>
        <v/>
      </c>
      <c r="D263" s="88">
        <f>IF(B263="","",IFERROR(INDEX(Stu_Class,MATCH(B263,Stu_ID,0)),""))</f>
        <v/>
      </c>
      <c r="E263" s="88">
        <f>IF(OR(B263="",A263=""),"",IFERROR(COUNTIFS(INDEX(CHOOSE(INDEX(Stu_C,MATCH(B263,Stu_ID,0)),'KG1-1'!$AD$9:$IM$38,'KG1-2'!$AD$9:$IM$38,'KG1-3'!$AD$9:$IM$38,'KG1-4'!$AD$9:$IM$38,'KG1-5'!$AD$9:$IM$38,'KG1-6'!$AD$9:$IM$38,'KG1-7'!$AD$9:$IM$38),INDEX(Stu_I,MATCH(B263,Stu_ID,0)),0),"غياب بدون عذر",CHOOSE(INDEX(Stu_C,MATCH(B263,Stu_ID,0)),'KG1-1'!$AD$7:$IM$7,'KG1-2'!$AD$7:$IM$7,'KG1-3'!$AD$7:$IM$7,'KG1-4'!$AD$7:$IM$7,'KG1-5'!$AD$7:$IM$7,'KG1-6'!$AD$7:$IM$7,'KG1-7'!$AD$7:$IM$7),"✓",'KG1-1'!$AD$5:$IM$5,"&lt;="&amp;A263),""))</f>
        <v/>
      </c>
      <c r="F263" s="6" t="n"/>
      <c r="G263" s="108" t="n"/>
      <c r="H263" s="88">
        <f>IF(E263="","",INDEX(LevelLabels,MATCH(E263,LevelValues,1)))</f>
        <v/>
      </c>
      <c r="I263" s="40">
        <f>IF(OR(B263="",A263=""),"",B263&amp;"|"&amp;A263)</f>
        <v/>
      </c>
      <c r="J263" s="40">
        <f>IF(AND(B263&lt;&gt;"",B263=Prof_ID),COUNTIF($B$6:B263,Prof_ID),"")</f>
        <v/>
      </c>
    </row>
    <row r="264">
      <c r="A264" s="5" t="n"/>
      <c r="B264" s="6" t="n"/>
      <c r="C264" s="103">
        <f>IF(B264="","",IFERROR(INDEX(Stu_Name,MATCH(B264,Stu_ID,0)),"رقم غير موجود"))</f>
        <v/>
      </c>
      <c r="D264" s="88">
        <f>IF(B264="","",IFERROR(INDEX(Stu_Class,MATCH(B264,Stu_ID,0)),""))</f>
        <v/>
      </c>
      <c r="E264" s="88">
        <f>IF(OR(B264="",A264=""),"",IFERROR(COUNTIFS(INDEX(CHOOSE(INDEX(Stu_C,MATCH(B264,Stu_ID,0)),'KG1-1'!$AD$9:$IM$38,'KG1-2'!$AD$9:$IM$38,'KG1-3'!$AD$9:$IM$38,'KG1-4'!$AD$9:$IM$38,'KG1-5'!$AD$9:$IM$38,'KG1-6'!$AD$9:$IM$38,'KG1-7'!$AD$9:$IM$38),INDEX(Stu_I,MATCH(B264,Stu_ID,0)),0),"غياب بدون عذر",CHOOSE(INDEX(Stu_C,MATCH(B264,Stu_ID,0)),'KG1-1'!$AD$7:$IM$7,'KG1-2'!$AD$7:$IM$7,'KG1-3'!$AD$7:$IM$7,'KG1-4'!$AD$7:$IM$7,'KG1-5'!$AD$7:$IM$7,'KG1-6'!$AD$7:$IM$7,'KG1-7'!$AD$7:$IM$7),"✓",'KG1-1'!$AD$5:$IM$5,"&lt;="&amp;A264),""))</f>
        <v/>
      </c>
      <c r="F264" s="6" t="n"/>
      <c r="G264" s="108" t="n"/>
      <c r="H264" s="88">
        <f>IF(E264="","",INDEX(LevelLabels,MATCH(E264,LevelValues,1)))</f>
        <v/>
      </c>
      <c r="I264" s="40">
        <f>IF(OR(B264="",A264=""),"",B264&amp;"|"&amp;A264)</f>
        <v/>
      </c>
      <c r="J264" s="40">
        <f>IF(AND(B264&lt;&gt;"",B264=Prof_ID),COUNTIF($B$6:B264,Prof_ID),"")</f>
        <v/>
      </c>
    </row>
    <row r="265">
      <c r="A265" s="5" t="n"/>
      <c r="B265" s="6" t="n"/>
      <c r="C265" s="103">
        <f>IF(B265="","",IFERROR(INDEX(Stu_Name,MATCH(B265,Stu_ID,0)),"رقم غير موجود"))</f>
        <v/>
      </c>
      <c r="D265" s="88">
        <f>IF(B265="","",IFERROR(INDEX(Stu_Class,MATCH(B265,Stu_ID,0)),""))</f>
        <v/>
      </c>
      <c r="E265" s="88">
        <f>IF(OR(B265="",A265=""),"",IFERROR(COUNTIFS(INDEX(CHOOSE(INDEX(Stu_C,MATCH(B265,Stu_ID,0)),'KG1-1'!$AD$9:$IM$38,'KG1-2'!$AD$9:$IM$38,'KG1-3'!$AD$9:$IM$38,'KG1-4'!$AD$9:$IM$38,'KG1-5'!$AD$9:$IM$38,'KG1-6'!$AD$9:$IM$38,'KG1-7'!$AD$9:$IM$38),INDEX(Stu_I,MATCH(B265,Stu_ID,0)),0),"غياب بدون عذر",CHOOSE(INDEX(Stu_C,MATCH(B265,Stu_ID,0)),'KG1-1'!$AD$7:$IM$7,'KG1-2'!$AD$7:$IM$7,'KG1-3'!$AD$7:$IM$7,'KG1-4'!$AD$7:$IM$7,'KG1-5'!$AD$7:$IM$7,'KG1-6'!$AD$7:$IM$7,'KG1-7'!$AD$7:$IM$7),"✓",'KG1-1'!$AD$5:$IM$5,"&lt;="&amp;A265),""))</f>
        <v/>
      </c>
      <c r="F265" s="6" t="n"/>
      <c r="G265" s="108" t="n"/>
      <c r="H265" s="88">
        <f>IF(E265="","",INDEX(LevelLabels,MATCH(E265,LevelValues,1)))</f>
        <v/>
      </c>
      <c r="I265" s="40">
        <f>IF(OR(B265="",A265=""),"",B265&amp;"|"&amp;A265)</f>
        <v/>
      </c>
      <c r="J265" s="40">
        <f>IF(AND(B265&lt;&gt;"",B265=Prof_ID),COUNTIF($B$6:B265,Prof_ID),"")</f>
        <v/>
      </c>
    </row>
    <row r="266">
      <c r="A266" s="5" t="n"/>
      <c r="B266" s="6" t="n"/>
      <c r="C266" s="103">
        <f>IF(B266="","",IFERROR(INDEX(Stu_Name,MATCH(B266,Stu_ID,0)),"رقم غير موجود"))</f>
        <v/>
      </c>
      <c r="D266" s="88">
        <f>IF(B266="","",IFERROR(INDEX(Stu_Class,MATCH(B266,Stu_ID,0)),""))</f>
        <v/>
      </c>
      <c r="E266" s="88">
        <f>IF(OR(B266="",A266=""),"",IFERROR(COUNTIFS(INDEX(CHOOSE(INDEX(Stu_C,MATCH(B266,Stu_ID,0)),'KG1-1'!$AD$9:$IM$38,'KG1-2'!$AD$9:$IM$38,'KG1-3'!$AD$9:$IM$38,'KG1-4'!$AD$9:$IM$38,'KG1-5'!$AD$9:$IM$38,'KG1-6'!$AD$9:$IM$38,'KG1-7'!$AD$9:$IM$38),INDEX(Stu_I,MATCH(B266,Stu_ID,0)),0),"غياب بدون عذر",CHOOSE(INDEX(Stu_C,MATCH(B266,Stu_ID,0)),'KG1-1'!$AD$7:$IM$7,'KG1-2'!$AD$7:$IM$7,'KG1-3'!$AD$7:$IM$7,'KG1-4'!$AD$7:$IM$7,'KG1-5'!$AD$7:$IM$7,'KG1-6'!$AD$7:$IM$7,'KG1-7'!$AD$7:$IM$7),"✓",'KG1-1'!$AD$5:$IM$5,"&lt;="&amp;A266),""))</f>
        <v/>
      </c>
      <c r="F266" s="6" t="n"/>
      <c r="G266" s="108" t="n"/>
      <c r="H266" s="88">
        <f>IF(E266="","",INDEX(LevelLabels,MATCH(E266,LevelValues,1)))</f>
        <v/>
      </c>
      <c r="I266" s="40">
        <f>IF(OR(B266="",A266=""),"",B266&amp;"|"&amp;A266)</f>
        <v/>
      </c>
      <c r="J266" s="40">
        <f>IF(AND(B266&lt;&gt;"",B266=Prof_ID),COUNTIF($B$6:B266,Prof_ID),"")</f>
        <v/>
      </c>
    </row>
    <row r="267">
      <c r="A267" s="5" t="n"/>
      <c r="B267" s="6" t="n"/>
      <c r="C267" s="103">
        <f>IF(B267="","",IFERROR(INDEX(Stu_Name,MATCH(B267,Stu_ID,0)),"رقم غير موجود"))</f>
        <v/>
      </c>
      <c r="D267" s="88">
        <f>IF(B267="","",IFERROR(INDEX(Stu_Class,MATCH(B267,Stu_ID,0)),""))</f>
        <v/>
      </c>
      <c r="E267" s="88">
        <f>IF(OR(B267="",A267=""),"",IFERROR(COUNTIFS(INDEX(CHOOSE(INDEX(Stu_C,MATCH(B267,Stu_ID,0)),'KG1-1'!$AD$9:$IM$38,'KG1-2'!$AD$9:$IM$38,'KG1-3'!$AD$9:$IM$38,'KG1-4'!$AD$9:$IM$38,'KG1-5'!$AD$9:$IM$38,'KG1-6'!$AD$9:$IM$38,'KG1-7'!$AD$9:$IM$38),INDEX(Stu_I,MATCH(B267,Stu_ID,0)),0),"غياب بدون عذر",CHOOSE(INDEX(Stu_C,MATCH(B267,Stu_ID,0)),'KG1-1'!$AD$7:$IM$7,'KG1-2'!$AD$7:$IM$7,'KG1-3'!$AD$7:$IM$7,'KG1-4'!$AD$7:$IM$7,'KG1-5'!$AD$7:$IM$7,'KG1-6'!$AD$7:$IM$7,'KG1-7'!$AD$7:$IM$7),"✓",'KG1-1'!$AD$5:$IM$5,"&lt;="&amp;A267),""))</f>
        <v/>
      </c>
      <c r="F267" s="6" t="n"/>
      <c r="G267" s="108" t="n"/>
      <c r="H267" s="88">
        <f>IF(E267="","",INDEX(LevelLabels,MATCH(E267,LevelValues,1)))</f>
        <v/>
      </c>
      <c r="I267" s="40">
        <f>IF(OR(B267="",A267=""),"",B267&amp;"|"&amp;A267)</f>
        <v/>
      </c>
      <c r="J267" s="40">
        <f>IF(AND(B267&lt;&gt;"",B267=Prof_ID),COUNTIF($B$6:B267,Prof_ID),"")</f>
        <v/>
      </c>
    </row>
    <row r="268">
      <c r="A268" s="5" t="n"/>
      <c r="B268" s="6" t="n"/>
      <c r="C268" s="103">
        <f>IF(B268="","",IFERROR(INDEX(Stu_Name,MATCH(B268,Stu_ID,0)),"رقم غير موجود"))</f>
        <v/>
      </c>
      <c r="D268" s="88">
        <f>IF(B268="","",IFERROR(INDEX(Stu_Class,MATCH(B268,Stu_ID,0)),""))</f>
        <v/>
      </c>
      <c r="E268" s="88">
        <f>IF(OR(B268="",A268=""),"",IFERROR(COUNTIFS(INDEX(CHOOSE(INDEX(Stu_C,MATCH(B268,Stu_ID,0)),'KG1-1'!$AD$9:$IM$38,'KG1-2'!$AD$9:$IM$38,'KG1-3'!$AD$9:$IM$38,'KG1-4'!$AD$9:$IM$38,'KG1-5'!$AD$9:$IM$38,'KG1-6'!$AD$9:$IM$38,'KG1-7'!$AD$9:$IM$38),INDEX(Stu_I,MATCH(B268,Stu_ID,0)),0),"غياب بدون عذر",CHOOSE(INDEX(Stu_C,MATCH(B268,Stu_ID,0)),'KG1-1'!$AD$7:$IM$7,'KG1-2'!$AD$7:$IM$7,'KG1-3'!$AD$7:$IM$7,'KG1-4'!$AD$7:$IM$7,'KG1-5'!$AD$7:$IM$7,'KG1-6'!$AD$7:$IM$7,'KG1-7'!$AD$7:$IM$7),"✓",'KG1-1'!$AD$5:$IM$5,"&lt;="&amp;A268),""))</f>
        <v/>
      </c>
      <c r="F268" s="6" t="n"/>
      <c r="G268" s="108" t="n"/>
      <c r="H268" s="88">
        <f>IF(E268="","",INDEX(LevelLabels,MATCH(E268,LevelValues,1)))</f>
        <v/>
      </c>
      <c r="I268" s="40">
        <f>IF(OR(B268="",A268=""),"",B268&amp;"|"&amp;A268)</f>
        <v/>
      </c>
      <c r="J268" s="40">
        <f>IF(AND(B268&lt;&gt;"",B268=Prof_ID),COUNTIF($B$6:B268,Prof_ID),"")</f>
        <v/>
      </c>
    </row>
    <row r="269">
      <c r="A269" s="5" t="n"/>
      <c r="B269" s="6" t="n"/>
      <c r="C269" s="103">
        <f>IF(B269="","",IFERROR(INDEX(Stu_Name,MATCH(B269,Stu_ID,0)),"رقم غير موجود"))</f>
        <v/>
      </c>
      <c r="D269" s="88">
        <f>IF(B269="","",IFERROR(INDEX(Stu_Class,MATCH(B269,Stu_ID,0)),""))</f>
        <v/>
      </c>
      <c r="E269" s="88">
        <f>IF(OR(B269="",A269=""),"",IFERROR(COUNTIFS(INDEX(CHOOSE(INDEX(Stu_C,MATCH(B269,Stu_ID,0)),'KG1-1'!$AD$9:$IM$38,'KG1-2'!$AD$9:$IM$38,'KG1-3'!$AD$9:$IM$38,'KG1-4'!$AD$9:$IM$38,'KG1-5'!$AD$9:$IM$38,'KG1-6'!$AD$9:$IM$38,'KG1-7'!$AD$9:$IM$38),INDEX(Stu_I,MATCH(B269,Stu_ID,0)),0),"غياب بدون عذر",CHOOSE(INDEX(Stu_C,MATCH(B269,Stu_ID,0)),'KG1-1'!$AD$7:$IM$7,'KG1-2'!$AD$7:$IM$7,'KG1-3'!$AD$7:$IM$7,'KG1-4'!$AD$7:$IM$7,'KG1-5'!$AD$7:$IM$7,'KG1-6'!$AD$7:$IM$7,'KG1-7'!$AD$7:$IM$7),"✓",'KG1-1'!$AD$5:$IM$5,"&lt;="&amp;A269),""))</f>
        <v/>
      </c>
      <c r="F269" s="6" t="n"/>
      <c r="G269" s="108" t="n"/>
      <c r="H269" s="88">
        <f>IF(E269="","",INDEX(LevelLabels,MATCH(E269,LevelValues,1)))</f>
        <v/>
      </c>
      <c r="I269" s="40">
        <f>IF(OR(B269="",A269=""),"",B269&amp;"|"&amp;A269)</f>
        <v/>
      </c>
      <c r="J269" s="40">
        <f>IF(AND(B269&lt;&gt;"",B269=Prof_ID),COUNTIF($B$6:B269,Prof_ID),"")</f>
        <v/>
      </c>
    </row>
    <row r="270">
      <c r="A270" s="5" t="n"/>
      <c r="B270" s="6" t="n"/>
      <c r="C270" s="103">
        <f>IF(B270="","",IFERROR(INDEX(Stu_Name,MATCH(B270,Stu_ID,0)),"رقم غير موجود"))</f>
        <v/>
      </c>
      <c r="D270" s="88">
        <f>IF(B270="","",IFERROR(INDEX(Stu_Class,MATCH(B270,Stu_ID,0)),""))</f>
        <v/>
      </c>
      <c r="E270" s="88">
        <f>IF(OR(B270="",A270=""),"",IFERROR(COUNTIFS(INDEX(CHOOSE(INDEX(Stu_C,MATCH(B270,Stu_ID,0)),'KG1-1'!$AD$9:$IM$38,'KG1-2'!$AD$9:$IM$38,'KG1-3'!$AD$9:$IM$38,'KG1-4'!$AD$9:$IM$38,'KG1-5'!$AD$9:$IM$38,'KG1-6'!$AD$9:$IM$38,'KG1-7'!$AD$9:$IM$38),INDEX(Stu_I,MATCH(B270,Stu_ID,0)),0),"غياب بدون عذر",CHOOSE(INDEX(Stu_C,MATCH(B270,Stu_ID,0)),'KG1-1'!$AD$7:$IM$7,'KG1-2'!$AD$7:$IM$7,'KG1-3'!$AD$7:$IM$7,'KG1-4'!$AD$7:$IM$7,'KG1-5'!$AD$7:$IM$7,'KG1-6'!$AD$7:$IM$7,'KG1-7'!$AD$7:$IM$7),"✓",'KG1-1'!$AD$5:$IM$5,"&lt;="&amp;A270),""))</f>
        <v/>
      </c>
      <c r="F270" s="6" t="n"/>
      <c r="G270" s="108" t="n"/>
      <c r="H270" s="88">
        <f>IF(E270="","",INDEX(LevelLabels,MATCH(E270,LevelValues,1)))</f>
        <v/>
      </c>
      <c r="I270" s="40">
        <f>IF(OR(B270="",A270=""),"",B270&amp;"|"&amp;A270)</f>
        <v/>
      </c>
      <c r="J270" s="40">
        <f>IF(AND(B270&lt;&gt;"",B270=Prof_ID),COUNTIF($B$6:B270,Prof_ID),"")</f>
        <v/>
      </c>
    </row>
    <row r="271">
      <c r="A271" s="5" t="n"/>
      <c r="B271" s="6" t="n"/>
      <c r="C271" s="103">
        <f>IF(B271="","",IFERROR(INDEX(Stu_Name,MATCH(B271,Stu_ID,0)),"رقم غير موجود"))</f>
        <v/>
      </c>
      <c r="D271" s="88">
        <f>IF(B271="","",IFERROR(INDEX(Stu_Class,MATCH(B271,Stu_ID,0)),""))</f>
        <v/>
      </c>
      <c r="E271" s="88">
        <f>IF(OR(B271="",A271=""),"",IFERROR(COUNTIFS(INDEX(CHOOSE(INDEX(Stu_C,MATCH(B271,Stu_ID,0)),'KG1-1'!$AD$9:$IM$38,'KG1-2'!$AD$9:$IM$38,'KG1-3'!$AD$9:$IM$38,'KG1-4'!$AD$9:$IM$38,'KG1-5'!$AD$9:$IM$38,'KG1-6'!$AD$9:$IM$38,'KG1-7'!$AD$9:$IM$38),INDEX(Stu_I,MATCH(B271,Stu_ID,0)),0),"غياب بدون عذر",CHOOSE(INDEX(Stu_C,MATCH(B271,Stu_ID,0)),'KG1-1'!$AD$7:$IM$7,'KG1-2'!$AD$7:$IM$7,'KG1-3'!$AD$7:$IM$7,'KG1-4'!$AD$7:$IM$7,'KG1-5'!$AD$7:$IM$7,'KG1-6'!$AD$7:$IM$7,'KG1-7'!$AD$7:$IM$7),"✓",'KG1-1'!$AD$5:$IM$5,"&lt;="&amp;A271),""))</f>
        <v/>
      </c>
      <c r="F271" s="6" t="n"/>
      <c r="G271" s="108" t="n"/>
      <c r="H271" s="88">
        <f>IF(E271="","",INDEX(LevelLabels,MATCH(E271,LevelValues,1)))</f>
        <v/>
      </c>
      <c r="I271" s="40">
        <f>IF(OR(B271="",A271=""),"",B271&amp;"|"&amp;A271)</f>
        <v/>
      </c>
      <c r="J271" s="40">
        <f>IF(AND(B271&lt;&gt;"",B271=Prof_ID),COUNTIF($B$6:B271,Prof_ID),"")</f>
        <v/>
      </c>
    </row>
    <row r="272">
      <c r="A272" s="5" t="n"/>
      <c r="B272" s="6" t="n"/>
      <c r="C272" s="103">
        <f>IF(B272="","",IFERROR(INDEX(Stu_Name,MATCH(B272,Stu_ID,0)),"رقم غير موجود"))</f>
        <v/>
      </c>
      <c r="D272" s="88">
        <f>IF(B272="","",IFERROR(INDEX(Stu_Class,MATCH(B272,Stu_ID,0)),""))</f>
        <v/>
      </c>
      <c r="E272" s="88">
        <f>IF(OR(B272="",A272=""),"",IFERROR(COUNTIFS(INDEX(CHOOSE(INDEX(Stu_C,MATCH(B272,Stu_ID,0)),'KG1-1'!$AD$9:$IM$38,'KG1-2'!$AD$9:$IM$38,'KG1-3'!$AD$9:$IM$38,'KG1-4'!$AD$9:$IM$38,'KG1-5'!$AD$9:$IM$38,'KG1-6'!$AD$9:$IM$38,'KG1-7'!$AD$9:$IM$38),INDEX(Stu_I,MATCH(B272,Stu_ID,0)),0),"غياب بدون عذر",CHOOSE(INDEX(Stu_C,MATCH(B272,Stu_ID,0)),'KG1-1'!$AD$7:$IM$7,'KG1-2'!$AD$7:$IM$7,'KG1-3'!$AD$7:$IM$7,'KG1-4'!$AD$7:$IM$7,'KG1-5'!$AD$7:$IM$7,'KG1-6'!$AD$7:$IM$7,'KG1-7'!$AD$7:$IM$7),"✓",'KG1-1'!$AD$5:$IM$5,"&lt;="&amp;A272),""))</f>
        <v/>
      </c>
      <c r="F272" s="6" t="n"/>
      <c r="G272" s="108" t="n"/>
      <c r="H272" s="88">
        <f>IF(E272="","",INDEX(LevelLabels,MATCH(E272,LevelValues,1)))</f>
        <v/>
      </c>
      <c r="I272" s="40">
        <f>IF(OR(B272="",A272=""),"",B272&amp;"|"&amp;A272)</f>
        <v/>
      </c>
      <c r="J272" s="40">
        <f>IF(AND(B272&lt;&gt;"",B272=Prof_ID),COUNTIF($B$6:B272,Prof_ID),"")</f>
        <v/>
      </c>
    </row>
    <row r="273">
      <c r="A273" s="5" t="n"/>
      <c r="B273" s="6" t="n"/>
      <c r="C273" s="103">
        <f>IF(B273="","",IFERROR(INDEX(Stu_Name,MATCH(B273,Stu_ID,0)),"رقم غير موجود"))</f>
        <v/>
      </c>
      <c r="D273" s="88">
        <f>IF(B273="","",IFERROR(INDEX(Stu_Class,MATCH(B273,Stu_ID,0)),""))</f>
        <v/>
      </c>
      <c r="E273" s="88">
        <f>IF(OR(B273="",A273=""),"",IFERROR(COUNTIFS(INDEX(CHOOSE(INDEX(Stu_C,MATCH(B273,Stu_ID,0)),'KG1-1'!$AD$9:$IM$38,'KG1-2'!$AD$9:$IM$38,'KG1-3'!$AD$9:$IM$38,'KG1-4'!$AD$9:$IM$38,'KG1-5'!$AD$9:$IM$38,'KG1-6'!$AD$9:$IM$38,'KG1-7'!$AD$9:$IM$38),INDEX(Stu_I,MATCH(B273,Stu_ID,0)),0),"غياب بدون عذر",CHOOSE(INDEX(Stu_C,MATCH(B273,Stu_ID,0)),'KG1-1'!$AD$7:$IM$7,'KG1-2'!$AD$7:$IM$7,'KG1-3'!$AD$7:$IM$7,'KG1-4'!$AD$7:$IM$7,'KG1-5'!$AD$7:$IM$7,'KG1-6'!$AD$7:$IM$7,'KG1-7'!$AD$7:$IM$7),"✓",'KG1-1'!$AD$5:$IM$5,"&lt;="&amp;A273),""))</f>
        <v/>
      </c>
      <c r="F273" s="6" t="n"/>
      <c r="G273" s="108" t="n"/>
      <c r="H273" s="88">
        <f>IF(E273="","",INDEX(LevelLabels,MATCH(E273,LevelValues,1)))</f>
        <v/>
      </c>
      <c r="I273" s="40">
        <f>IF(OR(B273="",A273=""),"",B273&amp;"|"&amp;A273)</f>
        <v/>
      </c>
      <c r="J273" s="40">
        <f>IF(AND(B273&lt;&gt;"",B273=Prof_ID),COUNTIF($B$6:B273,Prof_ID),"")</f>
        <v/>
      </c>
    </row>
    <row r="274">
      <c r="A274" s="5" t="n"/>
      <c r="B274" s="6" t="n"/>
      <c r="C274" s="103">
        <f>IF(B274="","",IFERROR(INDEX(Stu_Name,MATCH(B274,Stu_ID,0)),"رقم غير موجود"))</f>
        <v/>
      </c>
      <c r="D274" s="88">
        <f>IF(B274="","",IFERROR(INDEX(Stu_Class,MATCH(B274,Stu_ID,0)),""))</f>
        <v/>
      </c>
      <c r="E274" s="88">
        <f>IF(OR(B274="",A274=""),"",IFERROR(COUNTIFS(INDEX(CHOOSE(INDEX(Stu_C,MATCH(B274,Stu_ID,0)),'KG1-1'!$AD$9:$IM$38,'KG1-2'!$AD$9:$IM$38,'KG1-3'!$AD$9:$IM$38,'KG1-4'!$AD$9:$IM$38,'KG1-5'!$AD$9:$IM$38,'KG1-6'!$AD$9:$IM$38,'KG1-7'!$AD$9:$IM$38),INDEX(Stu_I,MATCH(B274,Stu_ID,0)),0),"غياب بدون عذر",CHOOSE(INDEX(Stu_C,MATCH(B274,Stu_ID,0)),'KG1-1'!$AD$7:$IM$7,'KG1-2'!$AD$7:$IM$7,'KG1-3'!$AD$7:$IM$7,'KG1-4'!$AD$7:$IM$7,'KG1-5'!$AD$7:$IM$7,'KG1-6'!$AD$7:$IM$7,'KG1-7'!$AD$7:$IM$7),"✓",'KG1-1'!$AD$5:$IM$5,"&lt;="&amp;A274),""))</f>
        <v/>
      </c>
      <c r="F274" s="6" t="n"/>
      <c r="G274" s="108" t="n"/>
      <c r="H274" s="88">
        <f>IF(E274="","",INDEX(LevelLabels,MATCH(E274,LevelValues,1)))</f>
        <v/>
      </c>
      <c r="I274" s="40">
        <f>IF(OR(B274="",A274=""),"",B274&amp;"|"&amp;A274)</f>
        <v/>
      </c>
      <c r="J274" s="40">
        <f>IF(AND(B274&lt;&gt;"",B274=Prof_ID),COUNTIF($B$6:B274,Prof_ID),"")</f>
        <v/>
      </c>
    </row>
    <row r="275">
      <c r="A275" s="5" t="n"/>
      <c r="B275" s="6" t="n"/>
      <c r="C275" s="103">
        <f>IF(B275="","",IFERROR(INDEX(Stu_Name,MATCH(B275,Stu_ID,0)),"رقم غير موجود"))</f>
        <v/>
      </c>
      <c r="D275" s="88">
        <f>IF(B275="","",IFERROR(INDEX(Stu_Class,MATCH(B275,Stu_ID,0)),""))</f>
        <v/>
      </c>
      <c r="E275" s="88">
        <f>IF(OR(B275="",A275=""),"",IFERROR(COUNTIFS(INDEX(CHOOSE(INDEX(Stu_C,MATCH(B275,Stu_ID,0)),'KG1-1'!$AD$9:$IM$38,'KG1-2'!$AD$9:$IM$38,'KG1-3'!$AD$9:$IM$38,'KG1-4'!$AD$9:$IM$38,'KG1-5'!$AD$9:$IM$38,'KG1-6'!$AD$9:$IM$38,'KG1-7'!$AD$9:$IM$38),INDEX(Stu_I,MATCH(B275,Stu_ID,0)),0),"غياب بدون عذر",CHOOSE(INDEX(Stu_C,MATCH(B275,Stu_ID,0)),'KG1-1'!$AD$7:$IM$7,'KG1-2'!$AD$7:$IM$7,'KG1-3'!$AD$7:$IM$7,'KG1-4'!$AD$7:$IM$7,'KG1-5'!$AD$7:$IM$7,'KG1-6'!$AD$7:$IM$7,'KG1-7'!$AD$7:$IM$7),"✓",'KG1-1'!$AD$5:$IM$5,"&lt;="&amp;A275),""))</f>
        <v/>
      </c>
      <c r="F275" s="6" t="n"/>
      <c r="G275" s="108" t="n"/>
      <c r="H275" s="88">
        <f>IF(E275="","",INDEX(LevelLabels,MATCH(E275,LevelValues,1)))</f>
        <v/>
      </c>
      <c r="I275" s="40">
        <f>IF(OR(B275="",A275=""),"",B275&amp;"|"&amp;A275)</f>
        <v/>
      </c>
      <c r="J275" s="40">
        <f>IF(AND(B275&lt;&gt;"",B275=Prof_ID),COUNTIF($B$6:B275,Prof_ID),"")</f>
        <v/>
      </c>
    </row>
    <row r="276">
      <c r="A276" s="5" t="n"/>
      <c r="B276" s="6" t="n"/>
      <c r="C276" s="103">
        <f>IF(B276="","",IFERROR(INDEX(Stu_Name,MATCH(B276,Stu_ID,0)),"رقم غير موجود"))</f>
        <v/>
      </c>
      <c r="D276" s="88">
        <f>IF(B276="","",IFERROR(INDEX(Stu_Class,MATCH(B276,Stu_ID,0)),""))</f>
        <v/>
      </c>
      <c r="E276" s="88">
        <f>IF(OR(B276="",A276=""),"",IFERROR(COUNTIFS(INDEX(CHOOSE(INDEX(Stu_C,MATCH(B276,Stu_ID,0)),'KG1-1'!$AD$9:$IM$38,'KG1-2'!$AD$9:$IM$38,'KG1-3'!$AD$9:$IM$38,'KG1-4'!$AD$9:$IM$38,'KG1-5'!$AD$9:$IM$38,'KG1-6'!$AD$9:$IM$38,'KG1-7'!$AD$9:$IM$38),INDEX(Stu_I,MATCH(B276,Stu_ID,0)),0),"غياب بدون عذر",CHOOSE(INDEX(Stu_C,MATCH(B276,Stu_ID,0)),'KG1-1'!$AD$7:$IM$7,'KG1-2'!$AD$7:$IM$7,'KG1-3'!$AD$7:$IM$7,'KG1-4'!$AD$7:$IM$7,'KG1-5'!$AD$7:$IM$7,'KG1-6'!$AD$7:$IM$7,'KG1-7'!$AD$7:$IM$7),"✓",'KG1-1'!$AD$5:$IM$5,"&lt;="&amp;A276),""))</f>
        <v/>
      </c>
      <c r="F276" s="6" t="n"/>
      <c r="G276" s="108" t="n"/>
      <c r="H276" s="88">
        <f>IF(E276="","",INDEX(LevelLabels,MATCH(E276,LevelValues,1)))</f>
        <v/>
      </c>
      <c r="I276" s="40">
        <f>IF(OR(B276="",A276=""),"",B276&amp;"|"&amp;A276)</f>
        <v/>
      </c>
      <c r="J276" s="40">
        <f>IF(AND(B276&lt;&gt;"",B276=Prof_ID),COUNTIF($B$6:B276,Prof_ID),"")</f>
        <v/>
      </c>
    </row>
    <row r="277">
      <c r="A277" s="5" t="n"/>
      <c r="B277" s="6" t="n"/>
      <c r="C277" s="103">
        <f>IF(B277="","",IFERROR(INDEX(Stu_Name,MATCH(B277,Stu_ID,0)),"رقم غير موجود"))</f>
        <v/>
      </c>
      <c r="D277" s="88">
        <f>IF(B277="","",IFERROR(INDEX(Stu_Class,MATCH(B277,Stu_ID,0)),""))</f>
        <v/>
      </c>
      <c r="E277" s="88">
        <f>IF(OR(B277="",A277=""),"",IFERROR(COUNTIFS(INDEX(CHOOSE(INDEX(Stu_C,MATCH(B277,Stu_ID,0)),'KG1-1'!$AD$9:$IM$38,'KG1-2'!$AD$9:$IM$38,'KG1-3'!$AD$9:$IM$38,'KG1-4'!$AD$9:$IM$38,'KG1-5'!$AD$9:$IM$38,'KG1-6'!$AD$9:$IM$38,'KG1-7'!$AD$9:$IM$38),INDEX(Stu_I,MATCH(B277,Stu_ID,0)),0),"غياب بدون عذر",CHOOSE(INDEX(Stu_C,MATCH(B277,Stu_ID,0)),'KG1-1'!$AD$7:$IM$7,'KG1-2'!$AD$7:$IM$7,'KG1-3'!$AD$7:$IM$7,'KG1-4'!$AD$7:$IM$7,'KG1-5'!$AD$7:$IM$7,'KG1-6'!$AD$7:$IM$7,'KG1-7'!$AD$7:$IM$7),"✓",'KG1-1'!$AD$5:$IM$5,"&lt;="&amp;A277),""))</f>
        <v/>
      </c>
      <c r="F277" s="6" t="n"/>
      <c r="G277" s="108" t="n"/>
      <c r="H277" s="88">
        <f>IF(E277="","",INDEX(LevelLabels,MATCH(E277,LevelValues,1)))</f>
        <v/>
      </c>
      <c r="I277" s="40">
        <f>IF(OR(B277="",A277=""),"",B277&amp;"|"&amp;A277)</f>
        <v/>
      </c>
      <c r="J277" s="40">
        <f>IF(AND(B277&lt;&gt;"",B277=Prof_ID),COUNTIF($B$6:B277,Prof_ID),"")</f>
        <v/>
      </c>
    </row>
    <row r="278">
      <c r="A278" s="5" t="n"/>
      <c r="B278" s="6" t="n"/>
      <c r="C278" s="103">
        <f>IF(B278="","",IFERROR(INDEX(Stu_Name,MATCH(B278,Stu_ID,0)),"رقم غير موجود"))</f>
        <v/>
      </c>
      <c r="D278" s="88">
        <f>IF(B278="","",IFERROR(INDEX(Stu_Class,MATCH(B278,Stu_ID,0)),""))</f>
        <v/>
      </c>
      <c r="E278" s="88">
        <f>IF(OR(B278="",A278=""),"",IFERROR(COUNTIFS(INDEX(CHOOSE(INDEX(Stu_C,MATCH(B278,Stu_ID,0)),'KG1-1'!$AD$9:$IM$38,'KG1-2'!$AD$9:$IM$38,'KG1-3'!$AD$9:$IM$38,'KG1-4'!$AD$9:$IM$38,'KG1-5'!$AD$9:$IM$38,'KG1-6'!$AD$9:$IM$38,'KG1-7'!$AD$9:$IM$38),INDEX(Stu_I,MATCH(B278,Stu_ID,0)),0),"غياب بدون عذر",CHOOSE(INDEX(Stu_C,MATCH(B278,Stu_ID,0)),'KG1-1'!$AD$7:$IM$7,'KG1-2'!$AD$7:$IM$7,'KG1-3'!$AD$7:$IM$7,'KG1-4'!$AD$7:$IM$7,'KG1-5'!$AD$7:$IM$7,'KG1-6'!$AD$7:$IM$7,'KG1-7'!$AD$7:$IM$7),"✓",'KG1-1'!$AD$5:$IM$5,"&lt;="&amp;A278),""))</f>
        <v/>
      </c>
      <c r="F278" s="6" t="n"/>
      <c r="G278" s="108" t="n"/>
      <c r="H278" s="88">
        <f>IF(E278="","",INDEX(LevelLabels,MATCH(E278,LevelValues,1)))</f>
        <v/>
      </c>
      <c r="I278" s="40">
        <f>IF(OR(B278="",A278=""),"",B278&amp;"|"&amp;A278)</f>
        <v/>
      </c>
      <c r="J278" s="40">
        <f>IF(AND(B278&lt;&gt;"",B278=Prof_ID),COUNTIF($B$6:B278,Prof_ID),"")</f>
        <v/>
      </c>
    </row>
    <row r="279">
      <c r="A279" s="5" t="n"/>
      <c r="B279" s="6" t="n"/>
      <c r="C279" s="103">
        <f>IF(B279="","",IFERROR(INDEX(Stu_Name,MATCH(B279,Stu_ID,0)),"رقم غير موجود"))</f>
        <v/>
      </c>
      <c r="D279" s="88">
        <f>IF(B279="","",IFERROR(INDEX(Stu_Class,MATCH(B279,Stu_ID,0)),""))</f>
        <v/>
      </c>
      <c r="E279" s="88">
        <f>IF(OR(B279="",A279=""),"",IFERROR(COUNTIFS(INDEX(CHOOSE(INDEX(Stu_C,MATCH(B279,Stu_ID,0)),'KG1-1'!$AD$9:$IM$38,'KG1-2'!$AD$9:$IM$38,'KG1-3'!$AD$9:$IM$38,'KG1-4'!$AD$9:$IM$38,'KG1-5'!$AD$9:$IM$38,'KG1-6'!$AD$9:$IM$38,'KG1-7'!$AD$9:$IM$38),INDEX(Stu_I,MATCH(B279,Stu_ID,0)),0),"غياب بدون عذر",CHOOSE(INDEX(Stu_C,MATCH(B279,Stu_ID,0)),'KG1-1'!$AD$7:$IM$7,'KG1-2'!$AD$7:$IM$7,'KG1-3'!$AD$7:$IM$7,'KG1-4'!$AD$7:$IM$7,'KG1-5'!$AD$7:$IM$7,'KG1-6'!$AD$7:$IM$7,'KG1-7'!$AD$7:$IM$7),"✓",'KG1-1'!$AD$5:$IM$5,"&lt;="&amp;A279),""))</f>
        <v/>
      </c>
      <c r="F279" s="6" t="n"/>
      <c r="G279" s="108" t="n"/>
      <c r="H279" s="88">
        <f>IF(E279="","",INDEX(LevelLabels,MATCH(E279,LevelValues,1)))</f>
        <v/>
      </c>
      <c r="I279" s="40">
        <f>IF(OR(B279="",A279=""),"",B279&amp;"|"&amp;A279)</f>
        <v/>
      </c>
      <c r="J279" s="40">
        <f>IF(AND(B279&lt;&gt;"",B279=Prof_ID),COUNTIF($B$6:B279,Prof_ID),"")</f>
        <v/>
      </c>
    </row>
    <row r="280">
      <c r="A280" s="5" t="n"/>
      <c r="B280" s="6" t="n"/>
      <c r="C280" s="103">
        <f>IF(B280="","",IFERROR(INDEX(Stu_Name,MATCH(B280,Stu_ID,0)),"رقم غير موجود"))</f>
        <v/>
      </c>
      <c r="D280" s="88">
        <f>IF(B280="","",IFERROR(INDEX(Stu_Class,MATCH(B280,Stu_ID,0)),""))</f>
        <v/>
      </c>
      <c r="E280" s="88">
        <f>IF(OR(B280="",A280=""),"",IFERROR(COUNTIFS(INDEX(CHOOSE(INDEX(Stu_C,MATCH(B280,Stu_ID,0)),'KG1-1'!$AD$9:$IM$38,'KG1-2'!$AD$9:$IM$38,'KG1-3'!$AD$9:$IM$38,'KG1-4'!$AD$9:$IM$38,'KG1-5'!$AD$9:$IM$38,'KG1-6'!$AD$9:$IM$38,'KG1-7'!$AD$9:$IM$38),INDEX(Stu_I,MATCH(B280,Stu_ID,0)),0),"غياب بدون عذر",CHOOSE(INDEX(Stu_C,MATCH(B280,Stu_ID,0)),'KG1-1'!$AD$7:$IM$7,'KG1-2'!$AD$7:$IM$7,'KG1-3'!$AD$7:$IM$7,'KG1-4'!$AD$7:$IM$7,'KG1-5'!$AD$7:$IM$7,'KG1-6'!$AD$7:$IM$7,'KG1-7'!$AD$7:$IM$7),"✓",'KG1-1'!$AD$5:$IM$5,"&lt;="&amp;A280),""))</f>
        <v/>
      </c>
      <c r="F280" s="6" t="n"/>
      <c r="G280" s="108" t="n"/>
      <c r="H280" s="88">
        <f>IF(E280="","",INDEX(LevelLabels,MATCH(E280,LevelValues,1)))</f>
        <v/>
      </c>
      <c r="I280" s="40">
        <f>IF(OR(B280="",A280=""),"",B280&amp;"|"&amp;A280)</f>
        <v/>
      </c>
      <c r="J280" s="40">
        <f>IF(AND(B280&lt;&gt;"",B280=Prof_ID),COUNTIF($B$6:B280,Prof_ID),"")</f>
        <v/>
      </c>
    </row>
    <row r="281">
      <c r="A281" s="5" t="n"/>
      <c r="B281" s="6" t="n"/>
      <c r="C281" s="103">
        <f>IF(B281="","",IFERROR(INDEX(Stu_Name,MATCH(B281,Stu_ID,0)),"رقم غير موجود"))</f>
        <v/>
      </c>
      <c r="D281" s="88">
        <f>IF(B281="","",IFERROR(INDEX(Stu_Class,MATCH(B281,Stu_ID,0)),""))</f>
        <v/>
      </c>
      <c r="E281" s="88">
        <f>IF(OR(B281="",A281=""),"",IFERROR(COUNTIFS(INDEX(CHOOSE(INDEX(Stu_C,MATCH(B281,Stu_ID,0)),'KG1-1'!$AD$9:$IM$38,'KG1-2'!$AD$9:$IM$38,'KG1-3'!$AD$9:$IM$38,'KG1-4'!$AD$9:$IM$38,'KG1-5'!$AD$9:$IM$38,'KG1-6'!$AD$9:$IM$38,'KG1-7'!$AD$9:$IM$38),INDEX(Stu_I,MATCH(B281,Stu_ID,0)),0),"غياب بدون عذر",CHOOSE(INDEX(Stu_C,MATCH(B281,Stu_ID,0)),'KG1-1'!$AD$7:$IM$7,'KG1-2'!$AD$7:$IM$7,'KG1-3'!$AD$7:$IM$7,'KG1-4'!$AD$7:$IM$7,'KG1-5'!$AD$7:$IM$7,'KG1-6'!$AD$7:$IM$7,'KG1-7'!$AD$7:$IM$7),"✓",'KG1-1'!$AD$5:$IM$5,"&lt;="&amp;A281),""))</f>
        <v/>
      </c>
      <c r="F281" s="6" t="n"/>
      <c r="G281" s="108" t="n"/>
      <c r="H281" s="88">
        <f>IF(E281="","",INDEX(LevelLabels,MATCH(E281,LevelValues,1)))</f>
        <v/>
      </c>
      <c r="I281" s="40">
        <f>IF(OR(B281="",A281=""),"",B281&amp;"|"&amp;A281)</f>
        <v/>
      </c>
      <c r="J281" s="40">
        <f>IF(AND(B281&lt;&gt;"",B281=Prof_ID),COUNTIF($B$6:B281,Prof_ID),"")</f>
        <v/>
      </c>
    </row>
    <row r="282">
      <c r="A282" s="5" t="n"/>
      <c r="B282" s="6" t="n"/>
      <c r="C282" s="103">
        <f>IF(B282="","",IFERROR(INDEX(Stu_Name,MATCH(B282,Stu_ID,0)),"رقم غير موجود"))</f>
        <v/>
      </c>
      <c r="D282" s="88">
        <f>IF(B282="","",IFERROR(INDEX(Stu_Class,MATCH(B282,Stu_ID,0)),""))</f>
        <v/>
      </c>
      <c r="E282" s="88">
        <f>IF(OR(B282="",A282=""),"",IFERROR(COUNTIFS(INDEX(CHOOSE(INDEX(Stu_C,MATCH(B282,Stu_ID,0)),'KG1-1'!$AD$9:$IM$38,'KG1-2'!$AD$9:$IM$38,'KG1-3'!$AD$9:$IM$38,'KG1-4'!$AD$9:$IM$38,'KG1-5'!$AD$9:$IM$38,'KG1-6'!$AD$9:$IM$38,'KG1-7'!$AD$9:$IM$38),INDEX(Stu_I,MATCH(B282,Stu_ID,0)),0),"غياب بدون عذر",CHOOSE(INDEX(Stu_C,MATCH(B282,Stu_ID,0)),'KG1-1'!$AD$7:$IM$7,'KG1-2'!$AD$7:$IM$7,'KG1-3'!$AD$7:$IM$7,'KG1-4'!$AD$7:$IM$7,'KG1-5'!$AD$7:$IM$7,'KG1-6'!$AD$7:$IM$7,'KG1-7'!$AD$7:$IM$7),"✓",'KG1-1'!$AD$5:$IM$5,"&lt;="&amp;A282),""))</f>
        <v/>
      </c>
      <c r="F282" s="6" t="n"/>
      <c r="G282" s="108" t="n"/>
      <c r="H282" s="88">
        <f>IF(E282="","",INDEX(LevelLabels,MATCH(E282,LevelValues,1)))</f>
        <v/>
      </c>
      <c r="I282" s="40">
        <f>IF(OR(B282="",A282=""),"",B282&amp;"|"&amp;A282)</f>
        <v/>
      </c>
      <c r="J282" s="40">
        <f>IF(AND(B282&lt;&gt;"",B282=Prof_ID),COUNTIF($B$6:B282,Prof_ID),"")</f>
        <v/>
      </c>
    </row>
    <row r="283">
      <c r="A283" s="5" t="n"/>
      <c r="B283" s="6" t="n"/>
      <c r="C283" s="103">
        <f>IF(B283="","",IFERROR(INDEX(Stu_Name,MATCH(B283,Stu_ID,0)),"رقم غير موجود"))</f>
        <v/>
      </c>
      <c r="D283" s="88">
        <f>IF(B283="","",IFERROR(INDEX(Stu_Class,MATCH(B283,Stu_ID,0)),""))</f>
        <v/>
      </c>
      <c r="E283" s="88">
        <f>IF(OR(B283="",A283=""),"",IFERROR(COUNTIFS(INDEX(CHOOSE(INDEX(Stu_C,MATCH(B283,Stu_ID,0)),'KG1-1'!$AD$9:$IM$38,'KG1-2'!$AD$9:$IM$38,'KG1-3'!$AD$9:$IM$38,'KG1-4'!$AD$9:$IM$38,'KG1-5'!$AD$9:$IM$38,'KG1-6'!$AD$9:$IM$38,'KG1-7'!$AD$9:$IM$38),INDEX(Stu_I,MATCH(B283,Stu_ID,0)),0),"غياب بدون عذر",CHOOSE(INDEX(Stu_C,MATCH(B283,Stu_ID,0)),'KG1-1'!$AD$7:$IM$7,'KG1-2'!$AD$7:$IM$7,'KG1-3'!$AD$7:$IM$7,'KG1-4'!$AD$7:$IM$7,'KG1-5'!$AD$7:$IM$7,'KG1-6'!$AD$7:$IM$7,'KG1-7'!$AD$7:$IM$7),"✓",'KG1-1'!$AD$5:$IM$5,"&lt;="&amp;A283),""))</f>
        <v/>
      </c>
      <c r="F283" s="6" t="n"/>
      <c r="G283" s="108" t="n"/>
      <c r="H283" s="88">
        <f>IF(E283="","",INDEX(LevelLabels,MATCH(E283,LevelValues,1)))</f>
        <v/>
      </c>
      <c r="I283" s="40">
        <f>IF(OR(B283="",A283=""),"",B283&amp;"|"&amp;A283)</f>
        <v/>
      </c>
      <c r="J283" s="40">
        <f>IF(AND(B283&lt;&gt;"",B283=Prof_ID),COUNTIF($B$6:B283,Prof_ID),"")</f>
        <v/>
      </c>
    </row>
    <row r="284">
      <c r="A284" s="5" t="n"/>
      <c r="B284" s="6" t="n"/>
      <c r="C284" s="103">
        <f>IF(B284="","",IFERROR(INDEX(Stu_Name,MATCH(B284,Stu_ID,0)),"رقم غير موجود"))</f>
        <v/>
      </c>
      <c r="D284" s="88">
        <f>IF(B284="","",IFERROR(INDEX(Stu_Class,MATCH(B284,Stu_ID,0)),""))</f>
        <v/>
      </c>
      <c r="E284" s="88">
        <f>IF(OR(B284="",A284=""),"",IFERROR(COUNTIFS(INDEX(CHOOSE(INDEX(Stu_C,MATCH(B284,Stu_ID,0)),'KG1-1'!$AD$9:$IM$38,'KG1-2'!$AD$9:$IM$38,'KG1-3'!$AD$9:$IM$38,'KG1-4'!$AD$9:$IM$38,'KG1-5'!$AD$9:$IM$38,'KG1-6'!$AD$9:$IM$38,'KG1-7'!$AD$9:$IM$38),INDEX(Stu_I,MATCH(B284,Stu_ID,0)),0),"غياب بدون عذر",CHOOSE(INDEX(Stu_C,MATCH(B284,Stu_ID,0)),'KG1-1'!$AD$7:$IM$7,'KG1-2'!$AD$7:$IM$7,'KG1-3'!$AD$7:$IM$7,'KG1-4'!$AD$7:$IM$7,'KG1-5'!$AD$7:$IM$7,'KG1-6'!$AD$7:$IM$7,'KG1-7'!$AD$7:$IM$7),"✓",'KG1-1'!$AD$5:$IM$5,"&lt;="&amp;A284),""))</f>
        <v/>
      </c>
      <c r="F284" s="6" t="n"/>
      <c r="G284" s="108" t="n"/>
      <c r="H284" s="88">
        <f>IF(E284="","",INDEX(LevelLabels,MATCH(E284,LevelValues,1)))</f>
        <v/>
      </c>
      <c r="I284" s="40">
        <f>IF(OR(B284="",A284=""),"",B284&amp;"|"&amp;A284)</f>
        <v/>
      </c>
      <c r="J284" s="40">
        <f>IF(AND(B284&lt;&gt;"",B284=Prof_ID),COUNTIF($B$6:B284,Prof_ID),"")</f>
        <v/>
      </c>
    </row>
    <row r="285">
      <c r="A285" s="5" t="n"/>
      <c r="B285" s="6" t="n"/>
      <c r="C285" s="103">
        <f>IF(B285="","",IFERROR(INDEX(Stu_Name,MATCH(B285,Stu_ID,0)),"رقم غير موجود"))</f>
        <v/>
      </c>
      <c r="D285" s="88">
        <f>IF(B285="","",IFERROR(INDEX(Stu_Class,MATCH(B285,Stu_ID,0)),""))</f>
        <v/>
      </c>
      <c r="E285" s="88">
        <f>IF(OR(B285="",A285=""),"",IFERROR(COUNTIFS(INDEX(CHOOSE(INDEX(Stu_C,MATCH(B285,Stu_ID,0)),'KG1-1'!$AD$9:$IM$38,'KG1-2'!$AD$9:$IM$38,'KG1-3'!$AD$9:$IM$38,'KG1-4'!$AD$9:$IM$38,'KG1-5'!$AD$9:$IM$38,'KG1-6'!$AD$9:$IM$38,'KG1-7'!$AD$9:$IM$38),INDEX(Stu_I,MATCH(B285,Stu_ID,0)),0),"غياب بدون عذر",CHOOSE(INDEX(Stu_C,MATCH(B285,Stu_ID,0)),'KG1-1'!$AD$7:$IM$7,'KG1-2'!$AD$7:$IM$7,'KG1-3'!$AD$7:$IM$7,'KG1-4'!$AD$7:$IM$7,'KG1-5'!$AD$7:$IM$7,'KG1-6'!$AD$7:$IM$7,'KG1-7'!$AD$7:$IM$7),"✓",'KG1-1'!$AD$5:$IM$5,"&lt;="&amp;A285),""))</f>
        <v/>
      </c>
      <c r="F285" s="6" t="n"/>
      <c r="G285" s="108" t="n"/>
      <c r="H285" s="88">
        <f>IF(E285="","",INDEX(LevelLabels,MATCH(E285,LevelValues,1)))</f>
        <v/>
      </c>
      <c r="I285" s="40">
        <f>IF(OR(B285="",A285=""),"",B285&amp;"|"&amp;A285)</f>
        <v/>
      </c>
      <c r="J285" s="40">
        <f>IF(AND(B285&lt;&gt;"",B285=Prof_ID),COUNTIF($B$6:B285,Prof_ID),"")</f>
        <v/>
      </c>
    </row>
    <row r="286">
      <c r="A286" s="5" t="n"/>
      <c r="B286" s="6" t="n"/>
      <c r="C286" s="103">
        <f>IF(B286="","",IFERROR(INDEX(Stu_Name,MATCH(B286,Stu_ID,0)),"رقم غير موجود"))</f>
        <v/>
      </c>
      <c r="D286" s="88">
        <f>IF(B286="","",IFERROR(INDEX(Stu_Class,MATCH(B286,Stu_ID,0)),""))</f>
        <v/>
      </c>
      <c r="E286" s="88">
        <f>IF(OR(B286="",A286=""),"",IFERROR(COUNTIFS(INDEX(CHOOSE(INDEX(Stu_C,MATCH(B286,Stu_ID,0)),'KG1-1'!$AD$9:$IM$38,'KG1-2'!$AD$9:$IM$38,'KG1-3'!$AD$9:$IM$38,'KG1-4'!$AD$9:$IM$38,'KG1-5'!$AD$9:$IM$38,'KG1-6'!$AD$9:$IM$38,'KG1-7'!$AD$9:$IM$38),INDEX(Stu_I,MATCH(B286,Stu_ID,0)),0),"غياب بدون عذر",CHOOSE(INDEX(Stu_C,MATCH(B286,Stu_ID,0)),'KG1-1'!$AD$7:$IM$7,'KG1-2'!$AD$7:$IM$7,'KG1-3'!$AD$7:$IM$7,'KG1-4'!$AD$7:$IM$7,'KG1-5'!$AD$7:$IM$7,'KG1-6'!$AD$7:$IM$7,'KG1-7'!$AD$7:$IM$7),"✓",'KG1-1'!$AD$5:$IM$5,"&lt;="&amp;A286),""))</f>
        <v/>
      </c>
      <c r="F286" s="6" t="n"/>
      <c r="G286" s="108" t="n"/>
      <c r="H286" s="88">
        <f>IF(E286="","",INDEX(LevelLabels,MATCH(E286,LevelValues,1)))</f>
        <v/>
      </c>
      <c r="I286" s="40">
        <f>IF(OR(B286="",A286=""),"",B286&amp;"|"&amp;A286)</f>
        <v/>
      </c>
      <c r="J286" s="40">
        <f>IF(AND(B286&lt;&gt;"",B286=Prof_ID),COUNTIF($B$6:B286,Prof_ID),"")</f>
        <v/>
      </c>
    </row>
    <row r="287">
      <c r="A287" s="5" t="n"/>
      <c r="B287" s="6" t="n"/>
      <c r="C287" s="103">
        <f>IF(B287="","",IFERROR(INDEX(Stu_Name,MATCH(B287,Stu_ID,0)),"رقم غير موجود"))</f>
        <v/>
      </c>
      <c r="D287" s="88">
        <f>IF(B287="","",IFERROR(INDEX(Stu_Class,MATCH(B287,Stu_ID,0)),""))</f>
        <v/>
      </c>
      <c r="E287" s="88">
        <f>IF(OR(B287="",A287=""),"",IFERROR(COUNTIFS(INDEX(CHOOSE(INDEX(Stu_C,MATCH(B287,Stu_ID,0)),'KG1-1'!$AD$9:$IM$38,'KG1-2'!$AD$9:$IM$38,'KG1-3'!$AD$9:$IM$38,'KG1-4'!$AD$9:$IM$38,'KG1-5'!$AD$9:$IM$38,'KG1-6'!$AD$9:$IM$38,'KG1-7'!$AD$9:$IM$38),INDEX(Stu_I,MATCH(B287,Stu_ID,0)),0),"غياب بدون عذر",CHOOSE(INDEX(Stu_C,MATCH(B287,Stu_ID,0)),'KG1-1'!$AD$7:$IM$7,'KG1-2'!$AD$7:$IM$7,'KG1-3'!$AD$7:$IM$7,'KG1-4'!$AD$7:$IM$7,'KG1-5'!$AD$7:$IM$7,'KG1-6'!$AD$7:$IM$7,'KG1-7'!$AD$7:$IM$7),"✓",'KG1-1'!$AD$5:$IM$5,"&lt;="&amp;A287),""))</f>
        <v/>
      </c>
      <c r="F287" s="6" t="n"/>
      <c r="G287" s="108" t="n"/>
      <c r="H287" s="88">
        <f>IF(E287="","",INDEX(LevelLabels,MATCH(E287,LevelValues,1)))</f>
        <v/>
      </c>
      <c r="I287" s="40">
        <f>IF(OR(B287="",A287=""),"",B287&amp;"|"&amp;A287)</f>
        <v/>
      </c>
      <c r="J287" s="40">
        <f>IF(AND(B287&lt;&gt;"",B287=Prof_ID),COUNTIF($B$6:B287,Prof_ID),"")</f>
        <v/>
      </c>
    </row>
    <row r="288">
      <c r="A288" s="5" t="n"/>
      <c r="B288" s="6" t="n"/>
      <c r="C288" s="103">
        <f>IF(B288="","",IFERROR(INDEX(Stu_Name,MATCH(B288,Stu_ID,0)),"رقم غير موجود"))</f>
        <v/>
      </c>
      <c r="D288" s="88">
        <f>IF(B288="","",IFERROR(INDEX(Stu_Class,MATCH(B288,Stu_ID,0)),""))</f>
        <v/>
      </c>
      <c r="E288" s="88">
        <f>IF(OR(B288="",A288=""),"",IFERROR(COUNTIFS(INDEX(CHOOSE(INDEX(Stu_C,MATCH(B288,Stu_ID,0)),'KG1-1'!$AD$9:$IM$38,'KG1-2'!$AD$9:$IM$38,'KG1-3'!$AD$9:$IM$38,'KG1-4'!$AD$9:$IM$38,'KG1-5'!$AD$9:$IM$38,'KG1-6'!$AD$9:$IM$38,'KG1-7'!$AD$9:$IM$38),INDEX(Stu_I,MATCH(B288,Stu_ID,0)),0),"غياب بدون عذر",CHOOSE(INDEX(Stu_C,MATCH(B288,Stu_ID,0)),'KG1-1'!$AD$7:$IM$7,'KG1-2'!$AD$7:$IM$7,'KG1-3'!$AD$7:$IM$7,'KG1-4'!$AD$7:$IM$7,'KG1-5'!$AD$7:$IM$7,'KG1-6'!$AD$7:$IM$7,'KG1-7'!$AD$7:$IM$7),"✓",'KG1-1'!$AD$5:$IM$5,"&lt;="&amp;A288),""))</f>
        <v/>
      </c>
      <c r="F288" s="6" t="n"/>
      <c r="G288" s="108" t="n"/>
      <c r="H288" s="88">
        <f>IF(E288="","",INDEX(LevelLabels,MATCH(E288,LevelValues,1)))</f>
        <v/>
      </c>
      <c r="I288" s="40">
        <f>IF(OR(B288="",A288=""),"",B288&amp;"|"&amp;A288)</f>
        <v/>
      </c>
      <c r="J288" s="40">
        <f>IF(AND(B288&lt;&gt;"",B288=Prof_ID),COUNTIF($B$6:B288,Prof_ID),"")</f>
        <v/>
      </c>
    </row>
    <row r="289">
      <c r="A289" s="5" t="n"/>
      <c r="B289" s="6" t="n"/>
      <c r="C289" s="103">
        <f>IF(B289="","",IFERROR(INDEX(Stu_Name,MATCH(B289,Stu_ID,0)),"رقم غير موجود"))</f>
        <v/>
      </c>
      <c r="D289" s="88">
        <f>IF(B289="","",IFERROR(INDEX(Stu_Class,MATCH(B289,Stu_ID,0)),""))</f>
        <v/>
      </c>
      <c r="E289" s="88">
        <f>IF(OR(B289="",A289=""),"",IFERROR(COUNTIFS(INDEX(CHOOSE(INDEX(Stu_C,MATCH(B289,Stu_ID,0)),'KG1-1'!$AD$9:$IM$38,'KG1-2'!$AD$9:$IM$38,'KG1-3'!$AD$9:$IM$38,'KG1-4'!$AD$9:$IM$38,'KG1-5'!$AD$9:$IM$38,'KG1-6'!$AD$9:$IM$38,'KG1-7'!$AD$9:$IM$38),INDEX(Stu_I,MATCH(B289,Stu_ID,0)),0),"غياب بدون عذر",CHOOSE(INDEX(Stu_C,MATCH(B289,Stu_ID,0)),'KG1-1'!$AD$7:$IM$7,'KG1-2'!$AD$7:$IM$7,'KG1-3'!$AD$7:$IM$7,'KG1-4'!$AD$7:$IM$7,'KG1-5'!$AD$7:$IM$7,'KG1-6'!$AD$7:$IM$7,'KG1-7'!$AD$7:$IM$7),"✓",'KG1-1'!$AD$5:$IM$5,"&lt;="&amp;A289),""))</f>
        <v/>
      </c>
      <c r="F289" s="6" t="n"/>
      <c r="G289" s="108" t="n"/>
      <c r="H289" s="88">
        <f>IF(E289="","",INDEX(LevelLabels,MATCH(E289,LevelValues,1)))</f>
        <v/>
      </c>
      <c r="I289" s="40">
        <f>IF(OR(B289="",A289=""),"",B289&amp;"|"&amp;A289)</f>
        <v/>
      </c>
      <c r="J289" s="40">
        <f>IF(AND(B289&lt;&gt;"",B289=Prof_ID),COUNTIF($B$6:B289,Prof_ID),"")</f>
        <v/>
      </c>
    </row>
    <row r="290">
      <c r="A290" s="5" t="n"/>
      <c r="B290" s="6" t="n"/>
      <c r="C290" s="103">
        <f>IF(B290="","",IFERROR(INDEX(Stu_Name,MATCH(B290,Stu_ID,0)),"رقم غير موجود"))</f>
        <v/>
      </c>
      <c r="D290" s="88">
        <f>IF(B290="","",IFERROR(INDEX(Stu_Class,MATCH(B290,Stu_ID,0)),""))</f>
        <v/>
      </c>
      <c r="E290" s="88">
        <f>IF(OR(B290="",A290=""),"",IFERROR(COUNTIFS(INDEX(CHOOSE(INDEX(Stu_C,MATCH(B290,Stu_ID,0)),'KG1-1'!$AD$9:$IM$38,'KG1-2'!$AD$9:$IM$38,'KG1-3'!$AD$9:$IM$38,'KG1-4'!$AD$9:$IM$38,'KG1-5'!$AD$9:$IM$38,'KG1-6'!$AD$9:$IM$38,'KG1-7'!$AD$9:$IM$38),INDEX(Stu_I,MATCH(B290,Stu_ID,0)),0),"غياب بدون عذر",CHOOSE(INDEX(Stu_C,MATCH(B290,Stu_ID,0)),'KG1-1'!$AD$7:$IM$7,'KG1-2'!$AD$7:$IM$7,'KG1-3'!$AD$7:$IM$7,'KG1-4'!$AD$7:$IM$7,'KG1-5'!$AD$7:$IM$7,'KG1-6'!$AD$7:$IM$7,'KG1-7'!$AD$7:$IM$7),"✓",'KG1-1'!$AD$5:$IM$5,"&lt;="&amp;A290),""))</f>
        <v/>
      </c>
      <c r="F290" s="6" t="n"/>
      <c r="G290" s="108" t="n"/>
      <c r="H290" s="88">
        <f>IF(E290="","",INDEX(LevelLabels,MATCH(E290,LevelValues,1)))</f>
        <v/>
      </c>
      <c r="I290" s="40">
        <f>IF(OR(B290="",A290=""),"",B290&amp;"|"&amp;A290)</f>
        <v/>
      </c>
      <c r="J290" s="40">
        <f>IF(AND(B290&lt;&gt;"",B290=Prof_ID),COUNTIF($B$6:B290,Prof_ID),"")</f>
        <v/>
      </c>
    </row>
    <row r="291">
      <c r="A291" s="5" t="n"/>
      <c r="B291" s="6" t="n"/>
      <c r="C291" s="103">
        <f>IF(B291="","",IFERROR(INDEX(Stu_Name,MATCH(B291,Stu_ID,0)),"رقم غير موجود"))</f>
        <v/>
      </c>
      <c r="D291" s="88">
        <f>IF(B291="","",IFERROR(INDEX(Stu_Class,MATCH(B291,Stu_ID,0)),""))</f>
        <v/>
      </c>
      <c r="E291" s="88">
        <f>IF(OR(B291="",A291=""),"",IFERROR(COUNTIFS(INDEX(CHOOSE(INDEX(Stu_C,MATCH(B291,Stu_ID,0)),'KG1-1'!$AD$9:$IM$38,'KG1-2'!$AD$9:$IM$38,'KG1-3'!$AD$9:$IM$38,'KG1-4'!$AD$9:$IM$38,'KG1-5'!$AD$9:$IM$38,'KG1-6'!$AD$9:$IM$38,'KG1-7'!$AD$9:$IM$38),INDEX(Stu_I,MATCH(B291,Stu_ID,0)),0),"غياب بدون عذر",CHOOSE(INDEX(Stu_C,MATCH(B291,Stu_ID,0)),'KG1-1'!$AD$7:$IM$7,'KG1-2'!$AD$7:$IM$7,'KG1-3'!$AD$7:$IM$7,'KG1-4'!$AD$7:$IM$7,'KG1-5'!$AD$7:$IM$7,'KG1-6'!$AD$7:$IM$7,'KG1-7'!$AD$7:$IM$7),"✓",'KG1-1'!$AD$5:$IM$5,"&lt;="&amp;A291),""))</f>
        <v/>
      </c>
      <c r="F291" s="6" t="n"/>
      <c r="G291" s="108" t="n"/>
      <c r="H291" s="88">
        <f>IF(E291="","",INDEX(LevelLabels,MATCH(E291,LevelValues,1)))</f>
        <v/>
      </c>
      <c r="I291" s="40">
        <f>IF(OR(B291="",A291=""),"",B291&amp;"|"&amp;A291)</f>
        <v/>
      </c>
      <c r="J291" s="40">
        <f>IF(AND(B291&lt;&gt;"",B291=Prof_ID),COUNTIF($B$6:B291,Prof_ID),"")</f>
        <v/>
      </c>
    </row>
    <row r="292">
      <c r="A292" s="5" t="n"/>
      <c r="B292" s="6" t="n"/>
      <c r="C292" s="103">
        <f>IF(B292="","",IFERROR(INDEX(Stu_Name,MATCH(B292,Stu_ID,0)),"رقم غير موجود"))</f>
        <v/>
      </c>
      <c r="D292" s="88">
        <f>IF(B292="","",IFERROR(INDEX(Stu_Class,MATCH(B292,Stu_ID,0)),""))</f>
        <v/>
      </c>
      <c r="E292" s="88">
        <f>IF(OR(B292="",A292=""),"",IFERROR(COUNTIFS(INDEX(CHOOSE(INDEX(Stu_C,MATCH(B292,Stu_ID,0)),'KG1-1'!$AD$9:$IM$38,'KG1-2'!$AD$9:$IM$38,'KG1-3'!$AD$9:$IM$38,'KG1-4'!$AD$9:$IM$38,'KG1-5'!$AD$9:$IM$38,'KG1-6'!$AD$9:$IM$38,'KG1-7'!$AD$9:$IM$38),INDEX(Stu_I,MATCH(B292,Stu_ID,0)),0),"غياب بدون عذر",CHOOSE(INDEX(Stu_C,MATCH(B292,Stu_ID,0)),'KG1-1'!$AD$7:$IM$7,'KG1-2'!$AD$7:$IM$7,'KG1-3'!$AD$7:$IM$7,'KG1-4'!$AD$7:$IM$7,'KG1-5'!$AD$7:$IM$7,'KG1-6'!$AD$7:$IM$7,'KG1-7'!$AD$7:$IM$7),"✓",'KG1-1'!$AD$5:$IM$5,"&lt;="&amp;A292),""))</f>
        <v/>
      </c>
      <c r="F292" s="6" t="n"/>
      <c r="G292" s="108" t="n"/>
      <c r="H292" s="88">
        <f>IF(E292="","",INDEX(LevelLabels,MATCH(E292,LevelValues,1)))</f>
        <v/>
      </c>
      <c r="I292" s="40">
        <f>IF(OR(B292="",A292=""),"",B292&amp;"|"&amp;A292)</f>
        <v/>
      </c>
      <c r="J292" s="40">
        <f>IF(AND(B292&lt;&gt;"",B292=Prof_ID),COUNTIF($B$6:B292,Prof_ID),"")</f>
        <v/>
      </c>
    </row>
    <row r="293">
      <c r="A293" s="5" t="n"/>
      <c r="B293" s="6" t="n"/>
      <c r="C293" s="103">
        <f>IF(B293="","",IFERROR(INDEX(Stu_Name,MATCH(B293,Stu_ID,0)),"رقم غير موجود"))</f>
        <v/>
      </c>
      <c r="D293" s="88">
        <f>IF(B293="","",IFERROR(INDEX(Stu_Class,MATCH(B293,Stu_ID,0)),""))</f>
        <v/>
      </c>
      <c r="E293" s="88">
        <f>IF(OR(B293="",A293=""),"",IFERROR(COUNTIFS(INDEX(CHOOSE(INDEX(Stu_C,MATCH(B293,Stu_ID,0)),'KG1-1'!$AD$9:$IM$38,'KG1-2'!$AD$9:$IM$38,'KG1-3'!$AD$9:$IM$38,'KG1-4'!$AD$9:$IM$38,'KG1-5'!$AD$9:$IM$38,'KG1-6'!$AD$9:$IM$38,'KG1-7'!$AD$9:$IM$38),INDEX(Stu_I,MATCH(B293,Stu_ID,0)),0),"غياب بدون عذر",CHOOSE(INDEX(Stu_C,MATCH(B293,Stu_ID,0)),'KG1-1'!$AD$7:$IM$7,'KG1-2'!$AD$7:$IM$7,'KG1-3'!$AD$7:$IM$7,'KG1-4'!$AD$7:$IM$7,'KG1-5'!$AD$7:$IM$7,'KG1-6'!$AD$7:$IM$7,'KG1-7'!$AD$7:$IM$7),"✓",'KG1-1'!$AD$5:$IM$5,"&lt;="&amp;A293),""))</f>
        <v/>
      </c>
      <c r="F293" s="6" t="n"/>
      <c r="G293" s="108" t="n"/>
      <c r="H293" s="88">
        <f>IF(E293="","",INDEX(LevelLabels,MATCH(E293,LevelValues,1)))</f>
        <v/>
      </c>
      <c r="I293" s="40">
        <f>IF(OR(B293="",A293=""),"",B293&amp;"|"&amp;A293)</f>
        <v/>
      </c>
      <c r="J293" s="40">
        <f>IF(AND(B293&lt;&gt;"",B293=Prof_ID),COUNTIF($B$6:B293,Prof_ID),"")</f>
        <v/>
      </c>
    </row>
    <row r="294">
      <c r="A294" s="5" t="n"/>
      <c r="B294" s="6" t="n"/>
      <c r="C294" s="103">
        <f>IF(B294="","",IFERROR(INDEX(Stu_Name,MATCH(B294,Stu_ID,0)),"رقم غير موجود"))</f>
        <v/>
      </c>
      <c r="D294" s="88">
        <f>IF(B294="","",IFERROR(INDEX(Stu_Class,MATCH(B294,Stu_ID,0)),""))</f>
        <v/>
      </c>
      <c r="E294" s="88">
        <f>IF(OR(B294="",A294=""),"",IFERROR(COUNTIFS(INDEX(CHOOSE(INDEX(Stu_C,MATCH(B294,Stu_ID,0)),'KG1-1'!$AD$9:$IM$38,'KG1-2'!$AD$9:$IM$38,'KG1-3'!$AD$9:$IM$38,'KG1-4'!$AD$9:$IM$38,'KG1-5'!$AD$9:$IM$38,'KG1-6'!$AD$9:$IM$38,'KG1-7'!$AD$9:$IM$38),INDEX(Stu_I,MATCH(B294,Stu_ID,0)),0),"غياب بدون عذر",CHOOSE(INDEX(Stu_C,MATCH(B294,Stu_ID,0)),'KG1-1'!$AD$7:$IM$7,'KG1-2'!$AD$7:$IM$7,'KG1-3'!$AD$7:$IM$7,'KG1-4'!$AD$7:$IM$7,'KG1-5'!$AD$7:$IM$7,'KG1-6'!$AD$7:$IM$7,'KG1-7'!$AD$7:$IM$7),"✓",'KG1-1'!$AD$5:$IM$5,"&lt;="&amp;A294),""))</f>
        <v/>
      </c>
      <c r="F294" s="6" t="n"/>
      <c r="G294" s="108" t="n"/>
      <c r="H294" s="88">
        <f>IF(E294="","",INDEX(LevelLabels,MATCH(E294,LevelValues,1)))</f>
        <v/>
      </c>
      <c r="I294" s="40">
        <f>IF(OR(B294="",A294=""),"",B294&amp;"|"&amp;A294)</f>
        <v/>
      </c>
      <c r="J294" s="40">
        <f>IF(AND(B294&lt;&gt;"",B294=Prof_ID),COUNTIF($B$6:B294,Prof_ID),"")</f>
        <v/>
      </c>
    </row>
    <row r="295">
      <c r="A295" s="5" t="n"/>
      <c r="B295" s="6" t="n"/>
      <c r="C295" s="103">
        <f>IF(B295="","",IFERROR(INDEX(Stu_Name,MATCH(B295,Stu_ID,0)),"رقم غير موجود"))</f>
        <v/>
      </c>
      <c r="D295" s="88">
        <f>IF(B295="","",IFERROR(INDEX(Stu_Class,MATCH(B295,Stu_ID,0)),""))</f>
        <v/>
      </c>
      <c r="E295" s="88">
        <f>IF(OR(B295="",A295=""),"",IFERROR(COUNTIFS(INDEX(CHOOSE(INDEX(Stu_C,MATCH(B295,Stu_ID,0)),'KG1-1'!$AD$9:$IM$38,'KG1-2'!$AD$9:$IM$38,'KG1-3'!$AD$9:$IM$38,'KG1-4'!$AD$9:$IM$38,'KG1-5'!$AD$9:$IM$38,'KG1-6'!$AD$9:$IM$38,'KG1-7'!$AD$9:$IM$38),INDEX(Stu_I,MATCH(B295,Stu_ID,0)),0),"غياب بدون عذر",CHOOSE(INDEX(Stu_C,MATCH(B295,Stu_ID,0)),'KG1-1'!$AD$7:$IM$7,'KG1-2'!$AD$7:$IM$7,'KG1-3'!$AD$7:$IM$7,'KG1-4'!$AD$7:$IM$7,'KG1-5'!$AD$7:$IM$7,'KG1-6'!$AD$7:$IM$7,'KG1-7'!$AD$7:$IM$7),"✓",'KG1-1'!$AD$5:$IM$5,"&lt;="&amp;A295),""))</f>
        <v/>
      </c>
      <c r="F295" s="6" t="n"/>
      <c r="G295" s="108" t="n"/>
      <c r="H295" s="88">
        <f>IF(E295="","",INDEX(LevelLabels,MATCH(E295,LevelValues,1)))</f>
        <v/>
      </c>
      <c r="I295" s="40">
        <f>IF(OR(B295="",A295=""),"",B295&amp;"|"&amp;A295)</f>
        <v/>
      </c>
      <c r="J295" s="40">
        <f>IF(AND(B295&lt;&gt;"",B295=Prof_ID),COUNTIF($B$6:B295,Prof_ID),"")</f>
        <v/>
      </c>
    </row>
    <row r="296">
      <c r="A296" s="5" t="n"/>
      <c r="B296" s="6" t="n"/>
      <c r="C296" s="103">
        <f>IF(B296="","",IFERROR(INDEX(Stu_Name,MATCH(B296,Stu_ID,0)),"رقم غير موجود"))</f>
        <v/>
      </c>
      <c r="D296" s="88">
        <f>IF(B296="","",IFERROR(INDEX(Stu_Class,MATCH(B296,Stu_ID,0)),""))</f>
        <v/>
      </c>
      <c r="E296" s="88">
        <f>IF(OR(B296="",A296=""),"",IFERROR(COUNTIFS(INDEX(CHOOSE(INDEX(Stu_C,MATCH(B296,Stu_ID,0)),'KG1-1'!$AD$9:$IM$38,'KG1-2'!$AD$9:$IM$38,'KG1-3'!$AD$9:$IM$38,'KG1-4'!$AD$9:$IM$38,'KG1-5'!$AD$9:$IM$38,'KG1-6'!$AD$9:$IM$38,'KG1-7'!$AD$9:$IM$38),INDEX(Stu_I,MATCH(B296,Stu_ID,0)),0),"غياب بدون عذر",CHOOSE(INDEX(Stu_C,MATCH(B296,Stu_ID,0)),'KG1-1'!$AD$7:$IM$7,'KG1-2'!$AD$7:$IM$7,'KG1-3'!$AD$7:$IM$7,'KG1-4'!$AD$7:$IM$7,'KG1-5'!$AD$7:$IM$7,'KG1-6'!$AD$7:$IM$7,'KG1-7'!$AD$7:$IM$7),"✓",'KG1-1'!$AD$5:$IM$5,"&lt;="&amp;A296),""))</f>
        <v/>
      </c>
      <c r="F296" s="6" t="n"/>
      <c r="G296" s="108" t="n"/>
      <c r="H296" s="88">
        <f>IF(E296="","",INDEX(LevelLabels,MATCH(E296,LevelValues,1)))</f>
        <v/>
      </c>
      <c r="I296" s="40">
        <f>IF(OR(B296="",A296=""),"",B296&amp;"|"&amp;A296)</f>
        <v/>
      </c>
      <c r="J296" s="40">
        <f>IF(AND(B296&lt;&gt;"",B296=Prof_ID),COUNTIF($B$6:B296,Prof_ID),"")</f>
        <v/>
      </c>
    </row>
    <row r="297">
      <c r="A297" s="5" t="n"/>
      <c r="B297" s="6" t="n"/>
      <c r="C297" s="103">
        <f>IF(B297="","",IFERROR(INDEX(Stu_Name,MATCH(B297,Stu_ID,0)),"رقم غير موجود"))</f>
        <v/>
      </c>
      <c r="D297" s="88">
        <f>IF(B297="","",IFERROR(INDEX(Stu_Class,MATCH(B297,Stu_ID,0)),""))</f>
        <v/>
      </c>
      <c r="E297" s="88">
        <f>IF(OR(B297="",A297=""),"",IFERROR(COUNTIFS(INDEX(CHOOSE(INDEX(Stu_C,MATCH(B297,Stu_ID,0)),'KG1-1'!$AD$9:$IM$38,'KG1-2'!$AD$9:$IM$38,'KG1-3'!$AD$9:$IM$38,'KG1-4'!$AD$9:$IM$38,'KG1-5'!$AD$9:$IM$38,'KG1-6'!$AD$9:$IM$38,'KG1-7'!$AD$9:$IM$38),INDEX(Stu_I,MATCH(B297,Stu_ID,0)),0),"غياب بدون عذر",CHOOSE(INDEX(Stu_C,MATCH(B297,Stu_ID,0)),'KG1-1'!$AD$7:$IM$7,'KG1-2'!$AD$7:$IM$7,'KG1-3'!$AD$7:$IM$7,'KG1-4'!$AD$7:$IM$7,'KG1-5'!$AD$7:$IM$7,'KG1-6'!$AD$7:$IM$7,'KG1-7'!$AD$7:$IM$7),"✓",'KG1-1'!$AD$5:$IM$5,"&lt;="&amp;A297),""))</f>
        <v/>
      </c>
      <c r="F297" s="6" t="n"/>
      <c r="G297" s="108" t="n"/>
      <c r="H297" s="88">
        <f>IF(E297="","",INDEX(LevelLabels,MATCH(E297,LevelValues,1)))</f>
        <v/>
      </c>
      <c r="I297" s="40">
        <f>IF(OR(B297="",A297=""),"",B297&amp;"|"&amp;A297)</f>
        <v/>
      </c>
      <c r="J297" s="40">
        <f>IF(AND(B297&lt;&gt;"",B297=Prof_ID),COUNTIF($B$6:B297,Prof_ID),"")</f>
        <v/>
      </c>
    </row>
    <row r="298">
      <c r="A298" s="5" t="n"/>
      <c r="B298" s="6" t="n"/>
      <c r="C298" s="103">
        <f>IF(B298="","",IFERROR(INDEX(Stu_Name,MATCH(B298,Stu_ID,0)),"رقم غير موجود"))</f>
        <v/>
      </c>
      <c r="D298" s="88">
        <f>IF(B298="","",IFERROR(INDEX(Stu_Class,MATCH(B298,Stu_ID,0)),""))</f>
        <v/>
      </c>
      <c r="E298" s="88">
        <f>IF(OR(B298="",A298=""),"",IFERROR(COUNTIFS(INDEX(CHOOSE(INDEX(Stu_C,MATCH(B298,Stu_ID,0)),'KG1-1'!$AD$9:$IM$38,'KG1-2'!$AD$9:$IM$38,'KG1-3'!$AD$9:$IM$38,'KG1-4'!$AD$9:$IM$38,'KG1-5'!$AD$9:$IM$38,'KG1-6'!$AD$9:$IM$38,'KG1-7'!$AD$9:$IM$38),INDEX(Stu_I,MATCH(B298,Stu_ID,0)),0),"غياب بدون عذر",CHOOSE(INDEX(Stu_C,MATCH(B298,Stu_ID,0)),'KG1-1'!$AD$7:$IM$7,'KG1-2'!$AD$7:$IM$7,'KG1-3'!$AD$7:$IM$7,'KG1-4'!$AD$7:$IM$7,'KG1-5'!$AD$7:$IM$7,'KG1-6'!$AD$7:$IM$7,'KG1-7'!$AD$7:$IM$7),"✓",'KG1-1'!$AD$5:$IM$5,"&lt;="&amp;A298),""))</f>
        <v/>
      </c>
      <c r="F298" s="6" t="n"/>
      <c r="G298" s="108" t="n"/>
      <c r="H298" s="88">
        <f>IF(E298="","",INDEX(LevelLabels,MATCH(E298,LevelValues,1)))</f>
        <v/>
      </c>
      <c r="I298" s="40">
        <f>IF(OR(B298="",A298=""),"",B298&amp;"|"&amp;A298)</f>
        <v/>
      </c>
      <c r="J298" s="40">
        <f>IF(AND(B298&lt;&gt;"",B298=Prof_ID),COUNTIF($B$6:B298,Prof_ID),"")</f>
        <v/>
      </c>
    </row>
    <row r="299">
      <c r="A299" s="5" t="n"/>
      <c r="B299" s="6" t="n"/>
      <c r="C299" s="103">
        <f>IF(B299="","",IFERROR(INDEX(Stu_Name,MATCH(B299,Stu_ID,0)),"رقم غير موجود"))</f>
        <v/>
      </c>
      <c r="D299" s="88">
        <f>IF(B299="","",IFERROR(INDEX(Stu_Class,MATCH(B299,Stu_ID,0)),""))</f>
        <v/>
      </c>
      <c r="E299" s="88">
        <f>IF(OR(B299="",A299=""),"",IFERROR(COUNTIFS(INDEX(CHOOSE(INDEX(Stu_C,MATCH(B299,Stu_ID,0)),'KG1-1'!$AD$9:$IM$38,'KG1-2'!$AD$9:$IM$38,'KG1-3'!$AD$9:$IM$38,'KG1-4'!$AD$9:$IM$38,'KG1-5'!$AD$9:$IM$38,'KG1-6'!$AD$9:$IM$38,'KG1-7'!$AD$9:$IM$38),INDEX(Stu_I,MATCH(B299,Stu_ID,0)),0),"غياب بدون عذر",CHOOSE(INDEX(Stu_C,MATCH(B299,Stu_ID,0)),'KG1-1'!$AD$7:$IM$7,'KG1-2'!$AD$7:$IM$7,'KG1-3'!$AD$7:$IM$7,'KG1-4'!$AD$7:$IM$7,'KG1-5'!$AD$7:$IM$7,'KG1-6'!$AD$7:$IM$7,'KG1-7'!$AD$7:$IM$7),"✓",'KG1-1'!$AD$5:$IM$5,"&lt;="&amp;A299),""))</f>
        <v/>
      </c>
      <c r="F299" s="6" t="n"/>
      <c r="G299" s="108" t="n"/>
      <c r="H299" s="88">
        <f>IF(E299="","",INDEX(LevelLabels,MATCH(E299,LevelValues,1)))</f>
        <v/>
      </c>
      <c r="I299" s="40">
        <f>IF(OR(B299="",A299=""),"",B299&amp;"|"&amp;A299)</f>
        <v/>
      </c>
      <c r="J299" s="40">
        <f>IF(AND(B299&lt;&gt;"",B299=Prof_ID),COUNTIF($B$6:B299,Prof_ID),"")</f>
        <v/>
      </c>
    </row>
    <row r="300">
      <c r="A300" s="5" t="n"/>
      <c r="B300" s="6" t="n"/>
      <c r="C300" s="103">
        <f>IF(B300="","",IFERROR(INDEX(Stu_Name,MATCH(B300,Stu_ID,0)),"رقم غير موجود"))</f>
        <v/>
      </c>
      <c r="D300" s="88">
        <f>IF(B300="","",IFERROR(INDEX(Stu_Class,MATCH(B300,Stu_ID,0)),""))</f>
        <v/>
      </c>
      <c r="E300" s="88">
        <f>IF(OR(B300="",A300=""),"",IFERROR(COUNTIFS(INDEX(CHOOSE(INDEX(Stu_C,MATCH(B300,Stu_ID,0)),'KG1-1'!$AD$9:$IM$38,'KG1-2'!$AD$9:$IM$38,'KG1-3'!$AD$9:$IM$38,'KG1-4'!$AD$9:$IM$38,'KG1-5'!$AD$9:$IM$38,'KG1-6'!$AD$9:$IM$38,'KG1-7'!$AD$9:$IM$38),INDEX(Stu_I,MATCH(B300,Stu_ID,0)),0),"غياب بدون عذر",CHOOSE(INDEX(Stu_C,MATCH(B300,Stu_ID,0)),'KG1-1'!$AD$7:$IM$7,'KG1-2'!$AD$7:$IM$7,'KG1-3'!$AD$7:$IM$7,'KG1-4'!$AD$7:$IM$7,'KG1-5'!$AD$7:$IM$7,'KG1-6'!$AD$7:$IM$7,'KG1-7'!$AD$7:$IM$7),"✓",'KG1-1'!$AD$5:$IM$5,"&lt;="&amp;A300),""))</f>
        <v/>
      </c>
      <c r="F300" s="6" t="n"/>
      <c r="G300" s="108" t="n"/>
      <c r="H300" s="88">
        <f>IF(E300="","",INDEX(LevelLabels,MATCH(E300,LevelValues,1)))</f>
        <v/>
      </c>
      <c r="I300" s="40">
        <f>IF(OR(B300="",A300=""),"",B300&amp;"|"&amp;A300)</f>
        <v/>
      </c>
      <c r="J300" s="40">
        <f>IF(AND(B300&lt;&gt;"",B300=Prof_ID),COUNTIF($B$6:B300,Prof_ID),"")</f>
        <v/>
      </c>
    </row>
    <row r="301">
      <c r="A301" s="5" t="n"/>
      <c r="B301" s="6" t="n"/>
      <c r="C301" s="103">
        <f>IF(B301="","",IFERROR(INDEX(Stu_Name,MATCH(B301,Stu_ID,0)),"رقم غير موجود"))</f>
        <v/>
      </c>
      <c r="D301" s="88">
        <f>IF(B301="","",IFERROR(INDEX(Stu_Class,MATCH(B301,Stu_ID,0)),""))</f>
        <v/>
      </c>
      <c r="E301" s="88">
        <f>IF(OR(B301="",A301=""),"",IFERROR(COUNTIFS(INDEX(CHOOSE(INDEX(Stu_C,MATCH(B301,Stu_ID,0)),'KG1-1'!$AD$9:$IM$38,'KG1-2'!$AD$9:$IM$38,'KG1-3'!$AD$9:$IM$38,'KG1-4'!$AD$9:$IM$38,'KG1-5'!$AD$9:$IM$38,'KG1-6'!$AD$9:$IM$38,'KG1-7'!$AD$9:$IM$38),INDEX(Stu_I,MATCH(B301,Stu_ID,0)),0),"غياب بدون عذر",CHOOSE(INDEX(Stu_C,MATCH(B301,Stu_ID,0)),'KG1-1'!$AD$7:$IM$7,'KG1-2'!$AD$7:$IM$7,'KG1-3'!$AD$7:$IM$7,'KG1-4'!$AD$7:$IM$7,'KG1-5'!$AD$7:$IM$7,'KG1-6'!$AD$7:$IM$7,'KG1-7'!$AD$7:$IM$7),"✓",'KG1-1'!$AD$5:$IM$5,"&lt;="&amp;A301),""))</f>
        <v/>
      </c>
      <c r="F301" s="6" t="n"/>
      <c r="G301" s="108" t="n"/>
      <c r="H301" s="88">
        <f>IF(E301="","",INDEX(LevelLabels,MATCH(E301,LevelValues,1)))</f>
        <v/>
      </c>
      <c r="I301" s="40">
        <f>IF(OR(B301="",A301=""),"",B301&amp;"|"&amp;A301)</f>
        <v/>
      </c>
      <c r="J301" s="40">
        <f>IF(AND(B301&lt;&gt;"",B301=Prof_ID),COUNTIF($B$6:B301,Prof_ID),"")</f>
        <v/>
      </c>
    </row>
    <row r="302">
      <c r="A302" s="5" t="n"/>
      <c r="B302" s="6" t="n"/>
      <c r="C302" s="103">
        <f>IF(B302="","",IFERROR(INDEX(Stu_Name,MATCH(B302,Stu_ID,0)),"رقم غير موجود"))</f>
        <v/>
      </c>
      <c r="D302" s="88">
        <f>IF(B302="","",IFERROR(INDEX(Stu_Class,MATCH(B302,Stu_ID,0)),""))</f>
        <v/>
      </c>
      <c r="E302" s="88">
        <f>IF(OR(B302="",A302=""),"",IFERROR(COUNTIFS(INDEX(CHOOSE(INDEX(Stu_C,MATCH(B302,Stu_ID,0)),'KG1-1'!$AD$9:$IM$38,'KG1-2'!$AD$9:$IM$38,'KG1-3'!$AD$9:$IM$38,'KG1-4'!$AD$9:$IM$38,'KG1-5'!$AD$9:$IM$38,'KG1-6'!$AD$9:$IM$38,'KG1-7'!$AD$9:$IM$38),INDEX(Stu_I,MATCH(B302,Stu_ID,0)),0),"غياب بدون عذر",CHOOSE(INDEX(Stu_C,MATCH(B302,Stu_ID,0)),'KG1-1'!$AD$7:$IM$7,'KG1-2'!$AD$7:$IM$7,'KG1-3'!$AD$7:$IM$7,'KG1-4'!$AD$7:$IM$7,'KG1-5'!$AD$7:$IM$7,'KG1-6'!$AD$7:$IM$7,'KG1-7'!$AD$7:$IM$7),"✓",'KG1-1'!$AD$5:$IM$5,"&lt;="&amp;A302),""))</f>
        <v/>
      </c>
      <c r="F302" s="6" t="n"/>
      <c r="G302" s="108" t="n"/>
      <c r="H302" s="88">
        <f>IF(E302="","",INDEX(LevelLabels,MATCH(E302,LevelValues,1)))</f>
        <v/>
      </c>
      <c r="I302" s="40">
        <f>IF(OR(B302="",A302=""),"",B302&amp;"|"&amp;A302)</f>
        <v/>
      </c>
      <c r="J302" s="40">
        <f>IF(AND(B302&lt;&gt;"",B302=Prof_ID),COUNTIF($B$6:B302,Prof_ID),"")</f>
        <v/>
      </c>
    </row>
    <row r="303">
      <c r="A303" s="5" t="n"/>
      <c r="B303" s="6" t="n"/>
      <c r="C303" s="103">
        <f>IF(B303="","",IFERROR(INDEX(Stu_Name,MATCH(B303,Stu_ID,0)),"رقم غير موجود"))</f>
        <v/>
      </c>
      <c r="D303" s="88">
        <f>IF(B303="","",IFERROR(INDEX(Stu_Class,MATCH(B303,Stu_ID,0)),""))</f>
        <v/>
      </c>
      <c r="E303" s="88">
        <f>IF(OR(B303="",A303=""),"",IFERROR(COUNTIFS(INDEX(CHOOSE(INDEX(Stu_C,MATCH(B303,Stu_ID,0)),'KG1-1'!$AD$9:$IM$38,'KG1-2'!$AD$9:$IM$38,'KG1-3'!$AD$9:$IM$38,'KG1-4'!$AD$9:$IM$38,'KG1-5'!$AD$9:$IM$38,'KG1-6'!$AD$9:$IM$38,'KG1-7'!$AD$9:$IM$38),INDEX(Stu_I,MATCH(B303,Stu_ID,0)),0),"غياب بدون عذر",CHOOSE(INDEX(Stu_C,MATCH(B303,Stu_ID,0)),'KG1-1'!$AD$7:$IM$7,'KG1-2'!$AD$7:$IM$7,'KG1-3'!$AD$7:$IM$7,'KG1-4'!$AD$7:$IM$7,'KG1-5'!$AD$7:$IM$7,'KG1-6'!$AD$7:$IM$7,'KG1-7'!$AD$7:$IM$7),"✓",'KG1-1'!$AD$5:$IM$5,"&lt;="&amp;A303),""))</f>
        <v/>
      </c>
      <c r="F303" s="6" t="n"/>
      <c r="G303" s="108" t="n"/>
      <c r="H303" s="88">
        <f>IF(E303="","",INDEX(LevelLabels,MATCH(E303,LevelValues,1)))</f>
        <v/>
      </c>
      <c r="I303" s="40">
        <f>IF(OR(B303="",A303=""),"",B303&amp;"|"&amp;A303)</f>
        <v/>
      </c>
      <c r="J303" s="40">
        <f>IF(AND(B303&lt;&gt;"",B303=Prof_ID),COUNTIF($B$6:B303,Prof_ID),"")</f>
        <v/>
      </c>
    </row>
    <row r="304">
      <c r="A304" s="5" t="n"/>
      <c r="B304" s="6" t="n"/>
      <c r="C304" s="103">
        <f>IF(B304="","",IFERROR(INDEX(Stu_Name,MATCH(B304,Stu_ID,0)),"رقم غير موجود"))</f>
        <v/>
      </c>
      <c r="D304" s="88">
        <f>IF(B304="","",IFERROR(INDEX(Stu_Class,MATCH(B304,Stu_ID,0)),""))</f>
        <v/>
      </c>
      <c r="E304" s="88">
        <f>IF(OR(B304="",A304=""),"",IFERROR(COUNTIFS(INDEX(CHOOSE(INDEX(Stu_C,MATCH(B304,Stu_ID,0)),'KG1-1'!$AD$9:$IM$38,'KG1-2'!$AD$9:$IM$38,'KG1-3'!$AD$9:$IM$38,'KG1-4'!$AD$9:$IM$38,'KG1-5'!$AD$9:$IM$38,'KG1-6'!$AD$9:$IM$38,'KG1-7'!$AD$9:$IM$38),INDEX(Stu_I,MATCH(B304,Stu_ID,0)),0),"غياب بدون عذر",CHOOSE(INDEX(Stu_C,MATCH(B304,Stu_ID,0)),'KG1-1'!$AD$7:$IM$7,'KG1-2'!$AD$7:$IM$7,'KG1-3'!$AD$7:$IM$7,'KG1-4'!$AD$7:$IM$7,'KG1-5'!$AD$7:$IM$7,'KG1-6'!$AD$7:$IM$7,'KG1-7'!$AD$7:$IM$7),"✓",'KG1-1'!$AD$5:$IM$5,"&lt;="&amp;A304),""))</f>
        <v/>
      </c>
      <c r="F304" s="6" t="n"/>
      <c r="G304" s="108" t="n"/>
      <c r="H304" s="88">
        <f>IF(E304="","",INDEX(LevelLabels,MATCH(E304,LevelValues,1)))</f>
        <v/>
      </c>
      <c r="I304" s="40">
        <f>IF(OR(B304="",A304=""),"",B304&amp;"|"&amp;A304)</f>
        <v/>
      </c>
      <c r="J304" s="40">
        <f>IF(AND(B304&lt;&gt;"",B304=Prof_ID),COUNTIF($B$6:B304,Prof_ID),"")</f>
        <v/>
      </c>
    </row>
    <row r="305">
      <c r="A305" s="5" t="n"/>
      <c r="B305" s="6" t="n"/>
      <c r="C305" s="103">
        <f>IF(B305="","",IFERROR(INDEX(Stu_Name,MATCH(B305,Stu_ID,0)),"رقم غير موجود"))</f>
        <v/>
      </c>
      <c r="D305" s="88">
        <f>IF(B305="","",IFERROR(INDEX(Stu_Class,MATCH(B305,Stu_ID,0)),""))</f>
        <v/>
      </c>
      <c r="E305" s="88">
        <f>IF(OR(B305="",A305=""),"",IFERROR(COUNTIFS(INDEX(CHOOSE(INDEX(Stu_C,MATCH(B305,Stu_ID,0)),'KG1-1'!$AD$9:$IM$38,'KG1-2'!$AD$9:$IM$38,'KG1-3'!$AD$9:$IM$38,'KG1-4'!$AD$9:$IM$38,'KG1-5'!$AD$9:$IM$38,'KG1-6'!$AD$9:$IM$38,'KG1-7'!$AD$9:$IM$38),INDEX(Stu_I,MATCH(B305,Stu_ID,0)),0),"غياب بدون عذر",CHOOSE(INDEX(Stu_C,MATCH(B305,Stu_ID,0)),'KG1-1'!$AD$7:$IM$7,'KG1-2'!$AD$7:$IM$7,'KG1-3'!$AD$7:$IM$7,'KG1-4'!$AD$7:$IM$7,'KG1-5'!$AD$7:$IM$7,'KG1-6'!$AD$7:$IM$7,'KG1-7'!$AD$7:$IM$7),"✓",'KG1-1'!$AD$5:$IM$5,"&lt;="&amp;A305),""))</f>
        <v/>
      </c>
      <c r="F305" s="6" t="n"/>
      <c r="G305" s="108" t="n"/>
      <c r="H305" s="88">
        <f>IF(E305="","",INDEX(LevelLabels,MATCH(E305,LevelValues,1)))</f>
        <v/>
      </c>
      <c r="I305" s="40">
        <f>IF(OR(B305="",A305=""),"",B305&amp;"|"&amp;A305)</f>
        <v/>
      </c>
      <c r="J305" s="40">
        <f>IF(AND(B305&lt;&gt;"",B305=Prof_ID),COUNTIF($B$6:B305,Prof_ID),"")</f>
        <v/>
      </c>
    </row>
  </sheetData>
  <sheetProtection selectLockedCells="0" selectUnlockedCells="0" sheet="1" objects="0" insertRows="1" insertHyperlinks="1" autoFilter="0" scenarios="0" formatColumns="0" deleteColumns="1" insertColumns="1" pivotTables="1" deleteRows="1" formatCells="1" formatRows="0" sort="0"/>
  <conditionalFormatting sqref="C6:C305">
    <cfRule type="expression" priority="1" dxfId="8">
      <formula>$C6="رقم غير موجود"</formula>
    </cfRule>
  </conditionalFormatting>
  <conditionalFormatting sqref="A6:H305">
    <cfRule type="expression" priority="2" dxfId="26">
      <formula>AND($B6&lt;&gt;"",OR($A6="",$F6=""))</formula>
    </cfRule>
  </conditionalFormatting>
  <dataValidations count="3">
    <dataValidation sqref="A6:A305" showDropDown="0" showInputMessage="1" showErrorMessage="1" allowBlank="1" errorTitle="تاريخ غير صحيح" error="أدخلي تاريخًا صحيحًا" type="date" operator="between">
      <formula1>'الإعدادات'!$B$11</formula1>
      <formula2>DATE(2040,12,31)</formula2>
    </dataValidation>
    <dataValidation sqref="B6:B305" showDropDown="0" showInputMessage="1" showErrorMessage="1" allowBlank="1" errorTitle="رقم غير معروف" error="الرقم الطلابي غير موجود في أوراق الصفوف" promptTitle="الرقم الطلابي" prompt="اكتبي الرقم الطلابي كما هو في ورقة الصف" type="custom">
      <formula1>COUNTIF(Stu_ID,B6)&gt;0</formula1>
    </dataValidation>
    <dataValidation sqref="F6:F305" showDropDown="0" showInputMessage="1" showErrorMessage="1" allowBlank="1" errorTitle="قيمة غير صحيحة" error="اختاري طريقة من القائمة" type="list">
      <formula1>'الإعدادات'!$A$52:$A$56</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2A7F8E"/>
    <outlinePr summaryBelow="1" summaryRight="1"/>
    <pageSetUpPr/>
  </sheetPr>
  <dimension ref="A1:HK62"/>
  <sheetViews>
    <sheetView showGridLines="0" rightToLeft="1" zoomScale="100" workbookViewId="0">
      <pane ySplit="5" topLeftCell="A6" activePane="bottomLeft" state="frozen"/>
      <selection pane="bottomLeft" activeCell="A1" sqref="A1"/>
    </sheetView>
  </sheetViews>
  <sheetFormatPr baseColWidth="8" defaultRowHeight="15"/>
  <cols>
    <col width="1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s>
  <sheetData>
    <row r="1" ht="30" customHeight="1">
      <c r="A1" s="68" t="inlineStr">
        <is>
          <t>ملف حضور الطفل</t>
        </is>
      </c>
    </row>
    <row r="2">
      <c r="A2" s="69" t="inlineStr">
        <is>
          <t>اختاري اسم الطفل لعرض ملفه الكامل: الإحصائيات، تواريخ الغياب، سجل التواصل، وتقويم الحضور الشهري</t>
        </is>
      </c>
    </row>
    <row r="3">
      <c r="A3" s="32" t="inlineStr">
        <is>
          <t>Student Attendance Profile</t>
        </is>
      </c>
    </row>
    <row r="4">
      <c r="A4" s="62" t="inlineStr">
        <is>
          <t>اسم الطفل</t>
        </is>
      </c>
      <c r="B4" s="108" t="inlineStr">
        <is>
          <t>دانة سعيد الحوسني</t>
        </is>
      </c>
      <c r="C4" s="109" t="n"/>
      <c r="D4" s="109" t="n"/>
      <c r="E4" s="109" t="n"/>
      <c r="F4" s="109" t="n"/>
      <c r="G4" s="109" t="n"/>
      <c r="H4" s="110" t="n"/>
      <c r="AC4" s="40">
        <f>IF(Prof_Row="","",INDEX(Stu_I,Prof_Row))</f>
        <v/>
      </c>
      <c r="AD4" s="40">
        <f>IFERROR(MATCH($B$4,Stu_Name,0),"")</f>
        <v/>
      </c>
      <c r="AE4" s="40">
        <f>IF(Prof_Row="","",INDEX(Stu_ID,Prof_Row))</f>
        <v/>
      </c>
      <c r="AF4" s="40">
        <f>IF(Prof_Row="","",INDEX(Stu_C,Prof_Row))</f>
        <v/>
      </c>
    </row>
    <row r="5">
      <c r="A5" s="111">
        <f>IF($B$4="","⬆ اختاري اسم الطفل من القائمة المنسدلة",IF(Prof_Row="","⚠ الاسم غير موجود في قائمة الأطفال",""))</f>
        <v/>
      </c>
    </row>
    <row r="7">
      <c r="A7" s="48" t="inlineStr">
        <is>
          <t>الرقم الطلابي</t>
        </is>
      </c>
      <c r="B7" s="112">
        <f>IF(Prof_Row="","",INDEX(Stu_ID,Prof_Row))</f>
        <v/>
      </c>
      <c r="C7" s="113" t="n"/>
      <c r="D7" s="113" t="n"/>
      <c r="E7" s="113" t="n"/>
      <c r="F7" s="113" t="n"/>
      <c r="G7" s="113" t="n"/>
      <c r="H7" s="113" t="n"/>
      <c r="J7" s="114" t="inlineStr">
        <is>
          <t>أيام الدوام</t>
        </is>
      </c>
      <c r="K7" s="113" t="n"/>
      <c r="L7" s="113" t="n"/>
      <c r="M7" s="113" t="n"/>
      <c r="N7" s="115">
        <f>IF(Prof_Row="","",INDEX(Stu_Days,Prof_Row))</f>
        <v/>
      </c>
      <c r="O7" s="113" t="n"/>
      <c r="P7" s="113" t="n"/>
    </row>
    <row r="8">
      <c r="A8" s="48" t="inlineStr">
        <is>
          <t>الصف</t>
        </is>
      </c>
      <c r="B8" s="112">
        <f>IF(Prof_Row="","",INDEX(Stu_Class,Prof_Row))</f>
        <v/>
      </c>
      <c r="C8" s="113" t="n"/>
      <c r="D8" s="113" t="n"/>
      <c r="E8" s="113" t="n"/>
      <c r="F8" s="113" t="n"/>
      <c r="G8" s="113" t="n"/>
      <c r="H8" s="113" t="n"/>
      <c r="J8" s="114" t="inlineStr">
        <is>
          <t>الحضور</t>
        </is>
      </c>
      <c r="K8" s="113" t="n"/>
      <c r="L8" s="113" t="n"/>
      <c r="M8" s="113" t="n"/>
      <c r="N8" s="115">
        <f>IF(Prof_Row="","",INDEX(Stu_Pres,Prof_Row))</f>
        <v/>
      </c>
      <c r="O8" s="113" t="n"/>
      <c r="P8" s="113" t="n"/>
    </row>
    <row r="9">
      <c r="A9" s="48" t="inlineStr">
        <is>
          <t>الحالة الدراسية</t>
        </is>
      </c>
      <c r="B9" s="112">
        <f>IF(Prof_Row="","",INDEX(Stu_StStatus,Prof_Row))</f>
        <v/>
      </c>
      <c r="C9" s="113" t="n"/>
      <c r="D9" s="113" t="n"/>
      <c r="E9" s="113" t="n"/>
      <c r="F9" s="113" t="n"/>
      <c r="G9" s="113" t="n"/>
      <c r="H9" s="113" t="n"/>
      <c r="J9" s="114" t="inlineStr">
        <is>
          <t>الغياب</t>
        </is>
      </c>
      <c r="K9" s="113" t="n"/>
      <c r="L9" s="113" t="n"/>
      <c r="M9" s="113" t="n"/>
      <c r="N9" s="115">
        <f>IF(Prof_Row="","",INDEX(Stu_Abs,Prof_Row))</f>
        <v/>
      </c>
      <c r="O9" s="113" t="n"/>
      <c r="P9" s="113" t="n"/>
    </row>
    <row r="10">
      <c r="A10" s="48" t="inlineStr">
        <is>
          <t>تاريخ الالتحاق</t>
        </is>
      </c>
      <c r="B10" s="116">
        <f>IF(Prof_Row="","",IF(INDEX(Stu_Join,Prof_Row)="","بداية العام",INDEX(Stu_Join,Prof_Row)))</f>
        <v/>
      </c>
      <c r="C10" s="113" t="n"/>
      <c r="D10" s="113" t="n"/>
      <c r="E10" s="113" t="n"/>
      <c r="F10" s="113" t="n"/>
      <c r="G10" s="113" t="n"/>
      <c r="H10" s="113" t="n"/>
      <c r="J10" s="114" t="inlineStr">
        <is>
          <t>غياب بعذر</t>
        </is>
      </c>
      <c r="K10" s="113" t="n"/>
      <c r="L10" s="113" t="n"/>
      <c r="M10" s="113" t="n"/>
      <c r="N10" s="115">
        <f>IF(Prof_Row="","",INDEX(Stu_Exc,Prof_Row))</f>
        <v/>
      </c>
      <c r="O10" s="113" t="n"/>
      <c r="P10" s="113" t="n"/>
    </row>
    <row r="11">
      <c r="A11" s="48" t="inlineStr">
        <is>
          <t>ولي الأمر</t>
        </is>
      </c>
      <c r="B11" s="112">
        <f>IF(Prof_Row="","",INDEX(Stu_Guardian,Prof_Row))</f>
        <v/>
      </c>
      <c r="C11" s="113" t="n"/>
      <c r="D11" s="113" t="n"/>
      <c r="E11" s="113" t="n"/>
      <c r="F11" s="113" t="n"/>
      <c r="G11" s="113" t="n"/>
      <c r="H11" s="113" t="n"/>
      <c r="J11" s="114" t="inlineStr">
        <is>
          <t>التأخير</t>
        </is>
      </c>
      <c r="K11" s="113" t="n"/>
      <c r="L11" s="113" t="n"/>
      <c r="M11" s="113" t="n"/>
      <c r="N11" s="115">
        <f>IF(Prof_Row="","",INDEX(Stu_Late,Prof_Row))</f>
        <v/>
      </c>
      <c r="O11" s="113" t="n"/>
      <c r="P11" s="113" t="n"/>
    </row>
    <row r="12">
      <c r="A12" s="48" t="inlineStr">
        <is>
          <t>رقم التواصل</t>
        </is>
      </c>
      <c r="B12" s="112">
        <f>IF(Prof_Row="","",INDEX(Stu_Phone,Prof_Row))</f>
        <v/>
      </c>
      <c r="C12" s="113" t="n"/>
      <c r="D12" s="113" t="n"/>
      <c r="E12" s="113" t="n"/>
      <c r="F12" s="113" t="n"/>
      <c r="G12" s="113" t="n"/>
      <c r="H12" s="113" t="n"/>
      <c r="J12" s="114" t="inlineStr">
        <is>
          <t>نسبة الحضور</t>
        </is>
      </c>
      <c r="K12" s="113" t="n"/>
      <c r="L12" s="113" t="n"/>
      <c r="M12" s="113" t="n"/>
      <c r="N12" s="117">
        <f>IF(Prof_Row="","",IF(INDEX(Stu_Rate,Prof_Row)="","—",INDEX(Stu_Rate,Prof_Row)))</f>
        <v/>
      </c>
      <c r="O12" s="113" t="n"/>
      <c r="P12" s="113" t="n"/>
    </row>
    <row r="13">
      <c r="A13" s="48" t="inlineStr">
        <is>
          <t>الإجراء المطلوب</t>
        </is>
      </c>
      <c r="B13" s="118">
        <f>IF(Prof_Row="","",INDEX(Stu_Action,Prof_Row))</f>
        <v/>
      </c>
      <c r="C13" s="113" t="n"/>
      <c r="D13" s="113" t="n"/>
      <c r="E13" s="113" t="n"/>
      <c r="F13" s="113" t="n"/>
      <c r="G13" s="113" t="n"/>
      <c r="H13" s="113" t="n"/>
      <c r="J13" s="114" t="inlineStr">
        <is>
          <t>مستوى المتابعة</t>
        </is>
      </c>
      <c r="K13" s="113" t="n"/>
      <c r="L13" s="113" t="n"/>
      <c r="M13" s="113" t="n"/>
      <c r="N13" s="115">
        <f>IF(Prof_Row="","",INDEX(Stu_Status,Prof_Row))</f>
        <v/>
      </c>
      <c r="O13" s="113" t="n"/>
      <c r="P13" s="113" t="n"/>
    </row>
    <row r="14">
      <c r="A14" s="48" t="inlineStr">
        <is>
          <t>التواصل مع ولي الأمر</t>
        </is>
      </c>
      <c r="B14" s="118">
        <f>IF(Prof_Row="","",INDEX(Stu_ContactReq,Prof_Row))</f>
        <v/>
      </c>
      <c r="C14" s="113" t="n"/>
      <c r="D14" s="113" t="n"/>
      <c r="E14" s="113" t="n"/>
      <c r="F14" s="113" t="n"/>
      <c r="G14" s="113" t="n"/>
      <c r="H14" s="113" t="n"/>
      <c r="J14" s="114" t="inlineStr">
        <is>
          <t>فئة الحضور</t>
        </is>
      </c>
      <c r="K14" s="113" t="n"/>
      <c r="L14" s="113" t="n"/>
      <c r="M14" s="113" t="n"/>
      <c r="N14" s="115">
        <f>IF(Prof_Row="","",INDEX(Stu_Cat,Prof_Row))</f>
        <v/>
      </c>
      <c r="O14" s="113" t="n"/>
      <c r="P14" s="113" t="n"/>
    </row>
    <row r="17">
      <c r="A17" s="21" t="inlineStr">
        <is>
          <t>تواريخ الغياب (بدون عذر)   |   Absence dates</t>
        </is>
      </c>
      <c r="B17" s="22" t="n"/>
      <c r="C17" s="22" t="n"/>
      <c r="D17" s="22" t="n"/>
      <c r="E17" s="22" t="n"/>
      <c r="F17" s="22" t="n"/>
      <c r="G17" s="22" t="n"/>
      <c r="H17" s="22" t="n"/>
      <c r="J17" s="21" t="inlineStr">
        <is>
          <t>سجل التواصل مع ولي الأمر   |   Parent contact history</t>
        </is>
      </c>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row>
    <row r="18" ht="24" customHeight="1">
      <c r="A18" s="119" t="inlineStr">
        <is>
          <t>#</t>
        </is>
      </c>
      <c r="B18" s="119" t="inlineStr">
        <is>
          <t>التاريخ</t>
        </is>
      </c>
      <c r="C18" s="120" t="n"/>
      <c r="D18" s="120" t="n"/>
      <c r="E18" s="121" t="n"/>
      <c r="F18" s="119" t="inlineStr">
        <is>
          <t>اليوم</t>
        </is>
      </c>
      <c r="G18" s="120" t="n"/>
      <c r="H18" s="121" t="n"/>
      <c r="J18" s="119" t="inlineStr">
        <is>
          <t>التاريخ</t>
        </is>
      </c>
      <c r="K18" s="120" t="n"/>
      <c r="L18" s="120" t="n"/>
      <c r="M18" s="121" t="n"/>
      <c r="N18" s="119" t="inlineStr">
        <is>
          <t>الطريقة</t>
        </is>
      </c>
      <c r="O18" s="120" t="n"/>
      <c r="P18" s="121" t="n"/>
      <c r="Q18" s="119" t="inlineStr">
        <is>
          <t>الغيابات حينها</t>
        </is>
      </c>
      <c r="R18" s="121" t="n"/>
      <c r="S18" s="119" t="inlineStr">
        <is>
          <t>النتيجة / ملاحظات</t>
        </is>
      </c>
      <c r="T18" s="120" t="n"/>
      <c r="U18" s="120" t="n"/>
      <c r="V18" s="120" t="n"/>
      <c r="W18" s="120" t="n"/>
      <c r="X18" s="120" t="n"/>
      <c r="Y18" s="120" t="n"/>
      <c r="Z18" s="120" t="n"/>
      <c r="AA18" s="120" t="n"/>
      <c r="AB18" s="120" t="n"/>
      <c r="AC18" s="120" t="n"/>
      <c r="AD18" s="120" t="n"/>
      <c r="AE18" s="120" t="n"/>
      <c r="AF18" s="121" t="n"/>
    </row>
    <row r="19">
      <c r="A19" s="53">
        <f>IF(B19="","",1)</f>
        <v/>
      </c>
      <c r="B19" s="52">
        <f t="array" ref="B19">IF(Prof_Row="","",IFERROR(SMALL(IF((Prof_Statuses="غياب بدون عذر")*(Prof_Counted="✓"),Prof_Dates),1),""))</f>
        <v/>
      </c>
      <c r="C19" s="113" t="n"/>
      <c r="D19" s="113" t="n"/>
      <c r="E19" s="113" t="n"/>
      <c r="F19" s="53">
        <f>IF(B19="","",INDEX(Cal_Day,MATCH(B19,Cal_Date,0)))</f>
        <v/>
      </c>
      <c r="G19" s="113" t="n"/>
      <c r="H19" s="113" t="n"/>
      <c r="J19" s="52">
        <f>IF(Prof_Row="","",IFERROR(INDEX(Log_Date,MATCH(1,Log_Seq,0)),""))</f>
        <v/>
      </c>
      <c r="K19" s="113" t="n"/>
      <c r="L19" s="113" t="n"/>
      <c r="M19" s="113" t="n"/>
      <c r="N19" s="53">
        <f>IF(Prof_Row="","",IFERROR(INDEX(Log_Method,MATCH(1,Log_Seq,0)),""))</f>
        <v/>
      </c>
      <c r="O19" s="113" t="n"/>
      <c r="P19" s="113" t="n"/>
      <c r="Q19" s="53">
        <f>IF(Prof_Row="","",IFERROR(INDEX(Log_Count,MATCH(1,Log_Seq,0)),""))</f>
        <v/>
      </c>
      <c r="R19" s="113" t="n"/>
      <c r="S19" s="39">
        <f>IF(Prof_Row="","",IFERROR(INDEX(Log_Notes,MATCH(1,Log_Seq,0)),""))</f>
        <v/>
      </c>
      <c r="T19" s="113" t="n"/>
      <c r="U19" s="113" t="n"/>
      <c r="V19" s="113" t="n"/>
      <c r="W19" s="113" t="n"/>
      <c r="X19" s="113" t="n"/>
      <c r="Y19" s="113" t="n"/>
      <c r="Z19" s="113" t="n"/>
      <c r="AA19" s="113" t="n"/>
      <c r="AB19" s="113" t="n"/>
      <c r="AC19" s="113" t="n"/>
      <c r="AD19" s="113" t="n"/>
      <c r="AE19" s="113" t="n"/>
      <c r="AF19" s="113" t="n"/>
    </row>
    <row r="20">
      <c r="A20" s="53">
        <f>IF(B20="","",2)</f>
        <v/>
      </c>
      <c r="B20" s="52">
        <f t="array" ref="B20">IF(Prof_Row="","",IFERROR(SMALL(IF((Prof_Statuses="غياب بدون عذر")*(Prof_Counted="✓"),Prof_Dates),2),""))</f>
        <v/>
      </c>
      <c r="C20" s="113" t="n"/>
      <c r="D20" s="113" t="n"/>
      <c r="E20" s="113" t="n"/>
      <c r="F20" s="53">
        <f>IF(B20="","",INDEX(Cal_Day,MATCH(B20,Cal_Date,0)))</f>
        <v/>
      </c>
      <c r="G20" s="113" t="n"/>
      <c r="H20" s="113" t="n"/>
      <c r="J20" s="52">
        <f>IF(Prof_Row="","",IFERROR(INDEX(Log_Date,MATCH(2,Log_Seq,0)),""))</f>
        <v/>
      </c>
      <c r="K20" s="113" t="n"/>
      <c r="L20" s="113" t="n"/>
      <c r="M20" s="113" t="n"/>
      <c r="N20" s="53">
        <f>IF(Prof_Row="","",IFERROR(INDEX(Log_Method,MATCH(2,Log_Seq,0)),""))</f>
        <v/>
      </c>
      <c r="O20" s="113" t="n"/>
      <c r="P20" s="113" t="n"/>
      <c r="Q20" s="53">
        <f>IF(Prof_Row="","",IFERROR(INDEX(Log_Count,MATCH(2,Log_Seq,0)),""))</f>
        <v/>
      </c>
      <c r="R20" s="113" t="n"/>
      <c r="S20" s="39">
        <f>IF(Prof_Row="","",IFERROR(INDEX(Log_Notes,MATCH(2,Log_Seq,0)),""))</f>
        <v/>
      </c>
      <c r="T20" s="113" t="n"/>
      <c r="U20" s="113" t="n"/>
      <c r="V20" s="113" t="n"/>
      <c r="W20" s="113" t="n"/>
      <c r="X20" s="113" t="n"/>
      <c r="Y20" s="113" t="n"/>
      <c r="Z20" s="113" t="n"/>
      <c r="AA20" s="113" t="n"/>
      <c r="AB20" s="113" t="n"/>
      <c r="AC20" s="113" t="n"/>
      <c r="AD20" s="113" t="n"/>
      <c r="AE20" s="113" t="n"/>
      <c r="AF20" s="113" t="n"/>
    </row>
    <row r="21">
      <c r="A21" s="53">
        <f>IF(B21="","",3)</f>
        <v/>
      </c>
      <c r="B21" s="52">
        <f t="array" ref="B21">IF(Prof_Row="","",IFERROR(SMALL(IF((Prof_Statuses="غياب بدون عذر")*(Prof_Counted="✓"),Prof_Dates),3),""))</f>
        <v/>
      </c>
      <c r="C21" s="113" t="n"/>
      <c r="D21" s="113" t="n"/>
      <c r="E21" s="113" t="n"/>
      <c r="F21" s="53">
        <f>IF(B21="","",INDEX(Cal_Day,MATCH(B21,Cal_Date,0)))</f>
        <v/>
      </c>
      <c r="G21" s="113" t="n"/>
      <c r="H21" s="113" t="n"/>
      <c r="J21" s="52">
        <f>IF(Prof_Row="","",IFERROR(INDEX(Log_Date,MATCH(3,Log_Seq,0)),""))</f>
        <v/>
      </c>
      <c r="K21" s="113" t="n"/>
      <c r="L21" s="113" t="n"/>
      <c r="M21" s="113" t="n"/>
      <c r="N21" s="53">
        <f>IF(Prof_Row="","",IFERROR(INDEX(Log_Method,MATCH(3,Log_Seq,0)),""))</f>
        <v/>
      </c>
      <c r="O21" s="113" t="n"/>
      <c r="P21" s="113" t="n"/>
      <c r="Q21" s="53">
        <f>IF(Prof_Row="","",IFERROR(INDEX(Log_Count,MATCH(3,Log_Seq,0)),""))</f>
        <v/>
      </c>
      <c r="R21" s="113" t="n"/>
      <c r="S21" s="39">
        <f>IF(Prof_Row="","",IFERROR(INDEX(Log_Notes,MATCH(3,Log_Seq,0)),""))</f>
        <v/>
      </c>
      <c r="T21" s="113" t="n"/>
      <c r="U21" s="113" t="n"/>
      <c r="V21" s="113" t="n"/>
      <c r="W21" s="113" t="n"/>
      <c r="X21" s="113" t="n"/>
      <c r="Y21" s="113" t="n"/>
      <c r="Z21" s="113" t="n"/>
      <c r="AA21" s="113" t="n"/>
      <c r="AB21" s="113" t="n"/>
      <c r="AC21" s="113" t="n"/>
      <c r="AD21" s="113" t="n"/>
      <c r="AE21" s="113" t="n"/>
      <c r="AF21" s="113" t="n"/>
    </row>
    <row r="22">
      <c r="A22" s="53">
        <f>IF(B22="","",4)</f>
        <v/>
      </c>
      <c r="B22" s="52">
        <f t="array" ref="B22">IF(Prof_Row="","",IFERROR(SMALL(IF((Prof_Statuses="غياب بدون عذر")*(Prof_Counted="✓"),Prof_Dates),4),""))</f>
        <v/>
      </c>
      <c r="C22" s="113" t="n"/>
      <c r="D22" s="113" t="n"/>
      <c r="E22" s="113" t="n"/>
      <c r="F22" s="53">
        <f>IF(B22="","",INDEX(Cal_Day,MATCH(B22,Cal_Date,0)))</f>
        <v/>
      </c>
      <c r="G22" s="113" t="n"/>
      <c r="H22" s="113" t="n"/>
      <c r="J22" s="52">
        <f>IF(Prof_Row="","",IFERROR(INDEX(Log_Date,MATCH(4,Log_Seq,0)),""))</f>
        <v/>
      </c>
      <c r="K22" s="113" t="n"/>
      <c r="L22" s="113" t="n"/>
      <c r="M22" s="113" t="n"/>
      <c r="N22" s="53">
        <f>IF(Prof_Row="","",IFERROR(INDEX(Log_Method,MATCH(4,Log_Seq,0)),""))</f>
        <v/>
      </c>
      <c r="O22" s="113" t="n"/>
      <c r="P22" s="113" t="n"/>
      <c r="Q22" s="53">
        <f>IF(Prof_Row="","",IFERROR(INDEX(Log_Count,MATCH(4,Log_Seq,0)),""))</f>
        <v/>
      </c>
      <c r="R22" s="113" t="n"/>
      <c r="S22" s="39">
        <f>IF(Prof_Row="","",IFERROR(INDEX(Log_Notes,MATCH(4,Log_Seq,0)),""))</f>
        <v/>
      </c>
      <c r="T22" s="113" t="n"/>
      <c r="U22" s="113" t="n"/>
      <c r="V22" s="113" t="n"/>
      <c r="W22" s="113" t="n"/>
      <c r="X22" s="113" t="n"/>
      <c r="Y22" s="113" t="n"/>
      <c r="Z22" s="113" t="n"/>
      <c r="AA22" s="113" t="n"/>
      <c r="AB22" s="113" t="n"/>
      <c r="AC22" s="113" t="n"/>
      <c r="AD22" s="113" t="n"/>
      <c r="AE22" s="113" t="n"/>
      <c r="AF22" s="113" t="n"/>
    </row>
    <row r="23">
      <c r="A23" s="53">
        <f>IF(B23="","",5)</f>
        <v/>
      </c>
      <c r="B23" s="52">
        <f t="array" ref="B23">IF(Prof_Row="","",IFERROR(SMALL(IF((Prof_Statuses="غياب بدون عذر")*(Prof_Counted="✓"),Prof_Dates),5),""))</f>
        <v/>
      </c>
      <c r="C23" s="113" t="n"/>
      <c r="D23" s="113" t="n"/>
      <c r="E23" s="113" t="n"/>
      <c r="F23" s="53">
        <f>IF(B23="","",INDEX(Cal_Day,MATCH(B23,Cal_Date,0)))</f>
        <v/>
      </c>
      <c r="G23" s="113" t="n"/>
      <c r="H23" s="113" t="n"/>
      <c r="J23" s="52">
        <f>IF(Prof_Row="","",IFERROR(INDEX(Log_Date,MATCH(5,Log_Seq,0)),""))</f>
        <v/>
      </c>
      <c r="K23" s="113" t="n"/>
      <c r="L23" s="113" t="n"/>
      <c r="M23" s="113" t="n"/>
      <c r="N23" s="53">
        <f>IF(Prof_Row="","",IFERROR(INDEX(Log_Method,MATCH(5,Log_Seq,0)),""))</f>
        <v/>
      </c>
      <c r="O23" s="113" t="n"/>
      <c r="P23" s="113" t="n"/>
      <c r="Q23" s="53">
        <f>IF(Prof_Row="","",IFERROR(INDEX(Log_Count,MATCH(5,Log_Seq,0)),""))</f>
        <v/>
      </c>
      <c r="R23" s="113" t="n"/>
      <c r="S23" s="39">
        <f>IF(Prof_Row="","",IFERROR(INDEX(Log_Notes,MATCH(5,Log_Seq,0)),""))</f>
        <v/>
      </c>
      <c r="T23" s="113" t="n"/>
      <c r="U23" s="113" t="n"/>
      <c r="V23" s="113" t="n"/>
      <c r="W23" s="113" t="n"/>
      <c r="X23" s="113" t="n"/>
      <c r="Y23" s="113" t="n"/>
      <c r="Z23" s="113" t="n"/>
      <c r="AA23" s="113" t="n"/>
      <c r="AB23" s="113" t="n"/>
      <c r="AC23" s="113" t="n"/>
      <c r="AD23" s="113" t="n"/>
      <c r="AE23" s="113" t="n"/>
      <c r="AF23" s="113" t="n"/>
    </row>
    <row r="24">
      <c r="A24" s="53">
        <f>IF(B24="","",6)</f>
        <v/>
      </c>
      <c r="B24" s="52">
        <f t="array" ref="B24">IF(Prof_Row="","",IFERROR(SMALL(IF((Prof_Statuses="غياب بدون عذر")*(Prof_Counted="✓"),Prof_Dates),6),""))</f>
        <v/>
      </c>
      <c r="C24" s="113" t="n"/>
      <c r="D24" s="113" t="n"/>
      <c r="E24" s="113" t="n"/>
      <c r="F24" s="53">
        <f>IF(B24="","",INDEX(Cal_Day,MATCH(B24,Cal_Date,0)))</f>
        <v/>
      </c>
      <c r="G24" s="113" t="n"/>
      <c r="H24" s="113" t="n"/>
      <c r="J24" s="52">
        <f>IF(Prof_Row="","",IFERROR(INDEX(Log_Date,MATCH(6,Log_Seq,0)),""))</f>
        <v/>
      </c>
      <c r="K24" s="113" t="n"/>
      <c r="L24" s="113" t="n"/>
      <c r="M24" s="113" t="n"/>
      <c r="N24" s="53">
        <f>IF(Prof_Row="","",IFERROR(INDEX(Log_Method,MATCH(6,Log_Seq,0)),""))</f>
        <v/>
      </c>
      <c r="O24" s="113" t="n"/>
      <c r="P24" s="113" t="n"/>
      <c r="Q24" s="53">
        <f>IF(Prof_Row="","",IFERROR(INDEX(Log_Count,MATCH(6,Log_Seq,0)),""))</f>
        <v/>
      </c>
      <c r="R24" s="113" t="n"/>
      <c r="S24" s="39">
        <f>IF(Prof_Row="","",IFERROR(INDEX(Log_Notes,MATCH(6,Log_Seq,0)),""))</f>
        <v/>
      </c>
      <c r="T24" s="113" t="n"/>
      <c r="U24" s="113" t="n"/>
      <c r="V24" s="113" t="n"/>
      <c r="W24" s="113" t="n"/>
      <c r="X24" s="113" t="n"/>
      <c r="Y24" s="113" t="n"/>
      <c r="Z24" s="113" t="n"/>
      <c r="AA24" s="113" t="n"/>
      <c r="AB24" s="113" t="n"/>
      <c r="AC24" s="113" t="n"/>
      <c r="AD24" s="113" t="n"/>
      <c r="AE24" s="113" t="n"/>
      <c r="AF24" s="113" t="n"/>
    </row>
    <row r="25">
      <c r="A25" s="53">
        <f>IF(B25="","",7)</f>
        <v/>
      </c>
      <c r="B25" s="52">
        <f t="array" ref="B25">IF(Prof_Row="","",IFERROR(SMALL(IF((Prof_Statuses="غياب بدون عذر")*(Prof_Counted="✓"),Prof_Dates),7),""))</f>
        <v/>
      </c>
      <c r="C25" s="113" t="n"/>
      <c r="D25" s="113" t="n"/>
      <c r="E25" s="113" t="n"/>
      <c r="F25" s="53">
        <f>IF(B25="","",INDEX(Cal_Day,MATCH(B25,Cal_Date,0)))</f>
        <v/>
      </c>
      <c r="G25" s="113" t="n"/>
      <c r="H25" s="113" t="n"/>
      <c r="J25" s="52">
        <f>IF(Prof_Row="","",IFERROR(INDEX(Log_Date,MATCH(7,Log_Seq,0)),""))</f>
        <v/>
      </c>
      <c r="K25" s="113" t="n"/>
      <c r="L25" s="113" t="n"/>
      <c r="M25" s="113" t="n"/>
      <c r="N25" s="53">
        <f>IF(Prof_Row="","",IFERROR(INDEX(Log_Method,MATCH(7,Log_Seq,0)),""))</f>
        <v/>
      </c>
      <c r="O25" s="113" t="n"/>
      <c r="P25" s="113" t="n"/>
      <c r="Q25" s="53">
        <f>IF(Prof_Row="","",IFERROR(INDEX(Log_Count,MATCH(7,Log_Seq,0)),""))</f>
        <v/>
      </c>
      <c r="R25" s="113" t="n"/>
      <c r="S25" s="39">
        <f>IF(Prof_Row="","",IFERROR(INDEX(Log_Notes,MATCH(7,Log_Seq,0)),""))</f>
        <v/>
      </c>
      <c r="T25" s="113" t="n"/>
      <c r="U25" s="113" t="n"/>
      <c r="V25" s="113" t="n"/>
      <c r="W25" s="113" t="n"/>
      <c r="X25" s="113" t="n"/>
      <c r="Y25" s="113" t="n"/>
      <c r="Z25" s="113" t="n"/>
      <c r="AA25" s="113" t="n"/>
      <c r="AB25" s="113" t="n"/>
      <c r="AC25" s="113" t="n"/>
      <c r="AD25" s="113" t="n"/>
      <c r="AE25" s="113" t="n"/>
      <c r="AF25" s="113" t="n"/>
    </row>
    <row r="26">
      <c r="A26" s="53">
        <f>IF(B26="","",8)</f>
        <v/>
      </c>
      <c r="B26" s="52">
        <f t="array" ref="B26">IF(Prof_Row="","",IFERROR(SMALL(IF((Prof_Statuses="غياب بدون عذر")*(Prof_Counted="✓"),Prof_Dates),8),""))</f>
        <v/>
      </c>
      <c r="C26" s="113" t="n"/>
      <c r="D26" s="113" t="n"/>
      <c r="E26" s="113" t="n"/>
      <c r="F26" s="53">
        <f>IF(B26="","",INDEX(Cal_Day,MATCH(B26,Cal_Date,0)))</f>
        <v/>
      </c>
      <c r="G26" s="113" t="n"/>
      <c r="H26" s="113" t="n"/>
      <c r="J26" s="52">
        <f>IF(Prof_Row="","",IFERROR(INDEX(Log_Date,MATCH(8,Log_Seq,0)),""))</f>
        <v/>
      </c>
      <c r="K26" s="113" t="n"/>
      <c r="L26" s="113" t="n"/>
      <c r="M26" s="113" t="n"/>
      <c r="N26" s="53">
        <f>IF(Prof_Row="","",IFERROR(INDEX(Log_Method,MATCH(8,Log_Seq,0)),""))</f>
        <v/>
      </c>
      <c r="O26" s="113" t="n"/>
      <c r="P26" s="113" t="n"/>
      <c r="Q26" s="53">
        <f>IF(Prof_Row="","",IFERROR(INDEX(Log_Count,MATCH(8,Log_Seq,0)),""))</f>
        <v/>
      </c>
      <c r="R26" s="113" t="n"/>
      <c r="S26" s="39">
        <f>IF(Prof_Row="","",IFERROR(INDEX(Log_Notes,MATCH(8,Log_Seq,0)),""))</f>
        <v/>
      </c>
      <c r="T26" s="113" t="n"/>
      <c r="U26" s="113" t="n"/>
      <c r="V26" s="113" t="n"/>
      <c r="W26" s="113" t="n"/>
      <c r="X26" s="113" t="n"/>
      <c r="Y26" s="113" t="n"/>
      <c r="Z26" s="113" t="n"/>
      <c r="AA26" s="113" t="n"/>
      <c r="AB26" s="113" t="n"/>
      <c r="AC26" s="113" t="n"/>
      <c r="AD26" s="113" t="n"/>
      <c r="AE26" s="113" t="n"/>
      <c r="AF26" s="113" t="n"/>
    </row>
    <row r="27">
      <c r="A27" s="53">
        <f>IF(B27="","",9)</f>
        <v/>
      </c>
      <c r="B27" s="52">
        <f t="array" ref="B27">IF(Prof_Row="","",IFERROR(SMALL(IF((Prof_Statuses="غياب بدون عذر")*(Prof_Counted="✓"),Prof_Dates),9),""))</f>
        <v/>
      </c>
      <c r="C27" s="113" t="n"/>
      <c r="D27" s="113" t="n"/>
      <c r="E27" s="113" t="n"/>
      <c r="F27" s="53">
        <f>IF(B27="","",INDEX(Cal_Day,MATCH(B27,Cal_Date,0)))</f>
        <v/>
      </c>
      <c r="G27" s="113" t="n"/>
      <c r="H27" s="113" t="n"/>
      <c r="J27" s="52">
        <f>IF(Prof_Row="","",IFERROR(INDEX(Log_Date,MATCH(9,Log_Seq,0)),""))</f>
        <v/>
      </c>
      <c r="K27" s="113" t="n"/>
      <c r="L27" s="113" t="n"/>
      <c r="M27" s="113" t="n"/>
      <c r="N27" s="53">
        <f>IF(Prof_Row="","",IFERROR(INDEX(Log_Method,MATCH(9,Log_Seq,0)),""))</f>
        <v/>
      </c>
      <c r="O27" s="113" t="n"/>
      <c r="P27" s="113" t="n"/>
      <c r="Q27" s="53">
        <f>IF(Prof_Row="","",IFERROR(INDEX(Log_Count,MATCH(9,Log_Seq,0)),""))</f>
        <v/>
      </c>
      <c r="R27" s="113" t="n"/>
      <c r="S27" s="39">
        <f>IF(Prof_Row="","",IFERROR(INDEX(Log_Notes,MATCH(9,Log_Seq,0)),""))</f>
        <v/>
      </c>
      <c r="T27" s="113" t="n"/>
      <c r="U27" s="113" t="n"/>
      <c r="V27" s="113" t="n"/>
      <c r="W27" s="113" t="n"/>
      <c r="X27" s="113" t="n"/>
      <c r="Y27" s="113" t="n"/>
      <c r="Z27" s="113" t="n"/>
      <c r="AA27" s="113" t="n"/>
      <c r="AB27" s="113" t="n"/>
      <c r="AC27" s="113" t="n"/>
      <c r="AD27" s="113" t="n"/>
      <c r="AE27" s="113" t="n"/>
      <c r="AF27" s="113" t="n"/>
    </row>
    <row r="28">
      <c r="A28" s="53">
        <f>IF(B28="","",10)</f>
        <v/>
      </c>
      <c r="B28" s="52">
        <f t="array" ref="B28">IF(Prof_Row="","",IFERROR(SMALL(IF((Prof_Statuses="غياب بدون عذر")*(Prof_Counted="✓"),Prof_Dates),10),""))</f>
        <v/>
      </c>
      <c r="C28" s="113" t="n"/>
      <c r="D28" s="113" t="n"/>
      <c r="E28" s="113" t="n"/>
      <c r="F28" s="53">
        <f>IF(B28="","",INDEX(Cal_Day,MATCH(B28,Cal_Date,0)))</f>
        <v/>
      </c>
      <c r="G28" s="113" t="n"/>
      <c r="H28" s="113" t="n"/>
      <c r="J28" s="52">
        <f>IF(Prof_Row="","",IFERROR(INDEX(Log_Date,MATCH(10,Log_Seq,0)),""))</f>
        <v/>
      </c>
      <c r="K28" s="113" t="n"/>
      <c r="L28" s="113" t="n"/>
      <c r="M28" s="113" t="n"/>
      <c r="N28" s="53">
        <f>IF(Prof_Row="","",IFERROR(INDEX(Log_Method,MATCH(10,Log_Seq,0)),""))</f>
        <v/>
      </c>
      <c r="O28" s="113" t="n"/>
      <c r="P28" s="113" t="n"/>
      <c r="Q28" s="53">
        <f>IF(Prof_Row="","",IFERROR(INDEX(Log_Count,MATCH(10,Log_Seq,0)),""))</f>
        <v/>
      </c>
      <c r="R28" s="113" t="n"/>
      <c r="S28" s="39">
        <f>IF(Prof_Row="","",IFERROR(INDEX(Log_Notes,MATCH(10,Log_Seq,0)),""))</f>
        <v/>
      </c>
      <c r="T28" s="113" t="n"/>
      <c r="U28" s="113" t="n"/>
      <c r="V28" s="113" t="n"/>
      <c r="W28" s="113" t="n"/>
      <c r="X28" s="113" t="n"/>
      <c r="Y28" s="113" t="n"/>
      <c r="Z28" s="113" t="n"/>
      <c r="AA28" s="113" t="n"/>
      <c r="AB28" s="113" t="n"/>
      <c r="AC28" s="113" t="n"/>
      <c r="AD28" s="113" t="n"/>
      <c r="AE28" s="113" t="n"/>
      <c r="AF28" s="113" t="n"/>
    </row>
    <row r="29">
      <c r="A29" s="53">
        <f>IF(B29="","",11)</f>
        <v/>
      </c>
      <c r="B29" s="52">
        <f t="array" ref="B29">IF(Prof_Row="","",IFERROR(SMALL(IF((Prof_Statuses="غياب بدون عذر")*(Prof_Counted="✓"),Prof_Dates),11),""))</f>
        <v/>
      </c>
      <c r="C29" s="113" t="n"/>
      <c r="D29" s="113" t="n"/>
      <c r="E29" s="113" t="n"/>
      <c r="F29" s="53">
        <f>IF(B29="","",INDEX(Cal_Day,MATCH(B29,Cal_Date,0)))</f>
        <v/>
      </c>
      <c r="G29" s="113" t="n"/>
      <c r="H29" s="113" t="n"/>
    </row>
    <row r="30">
      <c r="A30" s="53">
        <f>IF(B30="","",12)</f>
        <v/>
      </c>
      <c r="B30" s="52">
        <f t="array" ref="B30">IF(Prof_Row="","",IFERROR(SMALL(IF((Prof_Statuses="غياب بدون عذر")*(Prof_Counted="✓"),Prof_Dates),12),""))</f>
        <v/>
      </c>
      <c r="C30" s="113" t="n"/>
      <c r="D30" s="113" t="n"/>
      <c r="E30" s="113" t="n"/>
      <c r="F30" s="53">
        <f>IF(B30="","",INDEX(Cal_Day,MATCH(B30,Cal_Date,0)))</f>
        <v/>
      </c>
      <c r="G30" s="113" t="n"/>
      <c r="H30" s="113" t="n"/>
    </row>
    <row r="31">
      <c r="A31" s="53">
        <f>IF(B31="","",13)</f>
        <v/>
      </c>
      <c r="B31" s="52">
        <f t="array" ref="B31">IF(Prof_Row="","",IFERROR(SMALL(IF((Prof_Statuses="غياب بدون عذر")*(Prof_Counted="✓"),Prof_Dates),13),""))</f>
        <v/>
      </c>
      <c r="C31" s="113" t="n"/>
      <c r="D31" s="113" t="n"/>
      <c r="E31" s="113" t="n"/>
      <c r="F31" s="53">
        <f>IF(B31="","",INDEX(Cal_Day,MATCH(B31,Cal_Date,0)))</f>
        <v/>
      </c>
      <c r="G31" s="113" t="n"/>
      <c r="H31" s="113" t="n"/>
    </row>
    <row r="32">
      <c r="A32" s="53">
        <f>IF(B32="","",14)</f>
        <v/>
      </c>
      <c r="B32" s="52">
        <f t="array" ref="B32">IF(Prof_Row="","",IFERROR(SMALL(IF((Prof_Statuses="غياب بدون عذر")*(Prof_Counted="✓"),Prof_Dates),14),""))</f>
        <v/>
      </c>
      <c r="C32" s="113" t="n"/>
      <c r="D32" s="113" t="n"/>
      <c r="E32" s="113" t="n"/>
      <c r="F32" s="53">
        <f>IF(B32="","",INDEX(Cal_Day,MATCH(B32,Cal_Date,0)))</f>
        <v/>
      </c>
      <c r="G32" s="113" t="n"/>
      <c r="H32" s="113" t="n"/>
    </row>
    <row r="33">
      <c r="A33" s="53">
        <f>IF(B33="","",15)</f>
        <v/>
      </c>
      <c r="B33" s="52">
        <f t="array" ref="B33">IF(Prof_Row="","",IFERROR(SMALL(IF((Prof_Statuses="غياب بدون عذر")*(Prof_Counted="✓"),Prof_Dates),15),""))</f>
        <v/>
      </c>
      <c r="C33" s="113" t="n"/>
      <c r="D33" s="113" t="n"/>
      <c r="E33" s="113" t="n"/>
      <c r="F33" s="53">
        <f>IF(B33="","",INDEX(Cal_Day,MATCH(B33,Cal_Date,0)))</f>
        <v/>
      </c>
      <c r="G33" s="113" t="n"/>
      <c r="H33" s="113" t="n"/>
    </row>
    <row r="34">
      <c r="A34" s="53">
        <f>IF(B34="","",16)</f>
        <v/>
      </c>
      <c r="B34" s="52">
        <f t="array" ref="B34">IF(Prof_Row="","",IFERROR(SMALL(IF((Prof_Statuses="غياب بدون عذر")*(Prof_Counted="✓"),Prof_Dates),16),""))</f>
        <v/>
      </c>
      <c r="C34" s="113" t="n"/>
      <c r="D34" s="113" t="n"/>
      <c r="E34" s="113" t="n"/>
      <c r="F34" s="53">
        <f>IF(B34="","",INDEX(Cal_Day,MATCH(B34,Cal_Date,0)))</f>
        <v/>
      </c>
      <c r="G34" s="113" t="n"/>
      <c r="H34" s="113" t="n"/>
    </row>
    <row r="35">
      <c r="A35" s="53">
        <f>IF(B35="","",17)</f>
        <v/>
      </c>
      <c r="B35" s="52">
        <f t="array" ref="B35">IF(Prof_Row="","",IFERROR(SMALL(IF((Prof_Statuses="غياب بدون عذر")*(Prof_Counted="✓"),Prof_Dates),17),""))</f>
        <v/>
      </c>
      <c r="C35" s="113" t="n"/>
      <c r="D35" s="113" t="n"/>
      <c r="E35" s="113" t="n"/>
      <c r="F35" s="53">
        <f>IF(B35="","",INDEX(Cal_Day,MATCH(B35,Cal_Date,0)))</f>
        <v/>
      </c>
      <c r="G35" s="113" t="n"/>
      <c r="H35" s="113" t="n"/>
    </row>
    <row r="36">
      <c r="A36" s="53">
        <f>IF(B36="","",18)</f>
        <v/>
      </c>
      <c r="B36" s="52">
        <f t="array" ref="B36">IF(Prof_Row="","",IFERROR(SMALL(IF((Prof_Statuses="غياب بدون عذر")*(Prof_Counted="✓"),Prof_Dates),18),""))</f>
        <v/>
      </c>
      <c r="C36" s="113" t="n"/>
      <c r="D36" s="113" t="n"/>
      <c r="E36" s="113" t="n"/>
      <c r="F36" s="53">
        <f>IF(B36="","",INDEX(Cal_Day,MATCH(B36,Cal_Date,0)))</f>
        <v/>
      </c>
      <c r="G36" s="113" t="n"/>
      <c r="H36" s="113" t="n"/>
    </row>
    <row r="37">
      <c r="A37" s="53">
        <f>IF(B37="","",19)</f>
        <v/>
      </c>
      <c r="B37" s="52">
        <f t="array" ref="B37">IF(Prof_Row="","",IFERROR(SMALL(IF((Prof_Statuses="غياب بدون عذر")*(Prof_Counted="✓"),Prof_Dates),19),""))</f>
        <v/>
      </c>
      <c r="C37" s="113" t="n"/>
      <c r="D37" s="113" t="n"/>
      <c r="E37" s="113" t="n"/>
      <c r="F37" s="53">
        <f>IF(B37="","",INDEX(Cal_Day,MATCH(B37,Cal_Date,0)))</f>
        <v/>
      </c>
      <c r="G37" s="113" t="n"/>
      <c r="H37" s="113" t="n"/>
    </row>
    <row r="38">
      <c r="A38" s="53">
        <f>IF(B38="","",20)</f>
        <v/>
      </c>
      <c r="B38" s="52">
        <f t="array" ref="B38">IF(Prof_Row="","",IFERROR(SMALL(IF((Prof_Statuses="غياب بدون عذر")*(Prof_Counted="✓"),Prof_Dates),20),""))</f>
        <v/>
      </c>
      <c r="C38" s="113" t="n"/>
      <c r="D38" s="113" t="n"/>
      <c r="E38" s="113" t="n"/>
      <c r="F38" s="53">
        <f>IF(B38="","",INDEX(Cal_Day,MATCH(B38,Cal_Date,0)))</f>
        <v/>
      </c>
      <c r="G38" s="113" t="n"/>
      <c r="H38" s="113" t="n"/>
    </row>
    <row r="39">
      <c r="A39" s="46" t="inlineStr">
        <is>
          <t>يُلوَّن الغياب الذي بلغ حد التنبيه بلون المستوى. تُعرض أول 20 حالة غياب وأحدث 10 تواصلات.</t>
        </is>
      </c>
    </row>
    <row r="41">
      <c r="A41" s="21" t="inlineStr">
        <is>
          <t>تقويم الحضور الشهري   |   Monthly attendance calendar  (✓ حاضر · ✕ غائب · ○ بعذر · م متأخر)</t>
        </is>
      </c>
      <c r="B41" s="22" t="n"/>
      <c r="C41" s="22" t="n"/>
      <c r="D41" s="22" t="n"/>
      <c r="E41" s="22" t="n"/>
      <c r="F41" s="22" t="n"/>
      <c r="G41" s="22" t="n"/>
      <c r="H41" s="22" t="n"/>
      <c r="I41" s="22" t="n"/>
      <c r="J41" s="22" t="n"/>
    </row>
    <row r="42">
      <c r="A42" s="122" t="inlineStr">
        <is>
          <t>الشهر</t>
        </is>
      </c>
      <c r="B42" s="87" t="n">
        <v>1</v>
      </c>
      <c r="C42" s="87" t="n">
        <v>2</v>
      </c>
      <c r="D42" s="87" t="n">
        <v>3</v>
      </c>
      <c r="E42" s="87" t="n">
        <v>4</v>
      </c>
      <c r="F42" s="87" t="n">
        <v>5</v>
      </c>
      <c r="G42" s="87" t="n">
        <v>6</v>
      </c>
      <c r="H42" s="87" t="n">
        <v>7</v>
      </c>
      <c r="I42" s="87" t="n">
        <v>8</v>
      </c>
      <c r="J42" s="87" t="n">
        <v>9</v>
      </c>
      <c r="K42" s="87" t="n">
        <v>10</v>
      </c>
      <c r="L42" s="87" t="n">
        <v>11</v>
      </c>
      <c r="M42" s="87" t="n">
        <v>12</v>
      </c>
      <c r="N42" s="87" t="n">
        <v>13</v>
      </c>
      <c r="O42" s="87" t="n">
        <v>14</v>
      </c>
      <c r="P42" s="87" t="n">
        <v>15</v>
      </c>
      <c r="Q42" s="87" t="n">
        <v>16</v>
      </c>
      <c r="R42" s="87" t="n">
        <v>17</v>
      </c>
      <c r="S42" s="87" t="n">
        <v>18</v>
      </c>
      <c r="T42" s="87" t="n">
        <v>19</v>
      </c>
      <c r="U42" s="87" t="n">
        <v>20</v>
      </c>
      <c r="V42" s="87" t="n">
        <v>21</v>
      </c>
      <c r="W42" s="87" t="n">
        <v>22</v>
      </c>
      <c r="X42" s="87" t="n">
        <v>23</v>
      </c>
      <c r="Y42" s="87" t="n">
        <v>24</v>
      </c>
      <c r="Z42" s="87" t="n">
        <v>25</v>
      </c>
      <c r="AA42" s="87" t="n">
        <v>26</v>
      </c>
      <c r="AB42" s="87" t="n">
        <v>27</v>
      </c>
      <c r="AC42" s="87" t="n">
        <v>28</v>
      </c>
      <c r="AD42" s="87" t="n">
        <v>29</v>
      </c>
      <c r="AE42" s="87" t="n">
        <v>30</v>
      </c>
      <c r="AF42" s="87" t="n">
        <v>31</v>
      </c>
    </row>
    <row r="43" ht="18" customHeight="1">
      <c r="A43" s="123" t="inlineStr">
        <is>
          <t>أغسطس 2026</t>
        </is>
      </c>
      <c r="B43" s="124">
        <f>IF(Prof_Row="","",IFERROR(IF(DAY(DATE(2026,8,1))&lt;&gt;1,"",IF(INDEX(Prof_Counted,MATCH(DATE(2026,8,1),Prof_Dates,0))&lt;&gt;"✓","",IF(INDEX(Prof_Statuses,MATCH(DATE(2026,8,1),Prof_Dates,0))="","✓",INDEX(StatusSymbols,MATCH(INDEX(Prof_Statuses,MATCH(DATE(2026,8,1),Prof_Dates,0)),StatusLabels,0))))),""))</f>
        <v/>
      </c>
      <c r="C43" s="124">
        <f>IF(Prof_Row="","",IFERROR(IF(DAY(DATE(2026,8,2))&lt;&gt;2,"",IF(INDEX(Prof_Counted,MATCH(DATE(2026,8,2),Prof_Dates,0))&lt;&gt;"✓","",IF(INDEX(Prof_Statuses,MATCH(DATE(2026,8,2),Prof_Dates,0))="","✓",INDEX(StatusSymbols,MATCH(INDEX(Prof_Statuses,MATCH(DATE(2026,8,2),Prof_Dates,0)),StatusLabels,0))))),""))</f>
        <v/>
      </c>
      <c r="D43" s="124">
        <f>IF(Prof_Row="","",IFERROR(IF(DAY(DATE(2026,8,3))&lt;&gt;3,"",IF(INDEX(Prof_Counted,MATCH(DATE(2026,8,3),Prof_Dates,0))&lt;&gt;"✓","",IF(INDEX(Prof_Statuses,MATCH(DATE(2026,8,3),Prof_Dates,0))="","✓",INDEX(StatusSymbols,MATCH(INDEX(Prof_Statuses,MATCH(DATE(2026,8,3),Prof_Dates,0)),StatusLabels,0))))),""))</f>
        <v/>
      </c>
      <c r="E43" s="124">
        <f>IF(Prof_Row="","",IFERROR(IF(DAY(DATE(2026,8,4))&lt;&gt;4,"",IF(INDEX(Prof_Counted,MATCH(DATE(2026,8,4),Prof_Dates,0))&lt;&gt;"✓","",IF(INDEX(Prof_Statuses,MATCH(DATE(2026,8,4),Prof_Dates,0))="","✓",INDEX(StatusSymbols,MATCH(INDEX(Prof_Statuses,MATCH(DATE(2026,8,4),Prof_Dates,0)),StatusLabels,0))))),""))</f>
        <v/>
      </c>
      <c r="F43" s="124">
        <f>IF(Prof_Row="","",IFERROR(IF(DAY(DATE(2026,8,5))&lt;&gt;5,"",IF(INDEX(Prof_Counted,MATCH(DATE(2026,8,5),Prof_Dates,0))&lt;&gt;"✓","",IF(INDEX(Prof_Statuses,MATCH(DATE(2026,8,5),Prof_Dates,0))="","✓",INDEX(StatusSymbols,MATCH(INDEX(Prof_Statuses,MATCH(DATE(2026,8,5),Prof_Dates,0)),StatusLabels,0))))),""))</f>
        <v/>
      </c>
      <c r="G43" s="124">
        <f>IF(Prof_Row="","",IFERROR(IF(DAY(DATE(2026,8,6))&lt;&gt;6,"",IF(INDEX(Prof_Counted,MATCH(DATE(2026,8,6),Prof_Dates,0))&lt;&gt;"✓","",IF(INDEX(Prof_Statuses,MATCH(DATE(2026,8,6),Prof_Dates,0))="","✓",INDEX(StatusSymbols,MATCH(INDEX(Prof_Statuses,MATCH(DATE(2026,8,6),Prof_Dates,0)),StatusLabels,0))))),""))</f>
        <v/>
      </c>
      <c r="H43" s="124">
        <f>IF(Prof_Row="","",IFERROR(IF(DAY(DATE(2026,8,7))&lt;&gt;7,"",IF(INDEX(Prof_Counted,MATCH(DATE(2026,8,7),Prof_Dates,0))&lt;&gt;"✓","",IF(INDEX(Prof_Statuses,MATCH(DATE(2026,8,7),Prof_Dates,0))="","✓",INDEX(StatusSymbols,MATCH(INDEX(Prof_Statuses,MATCH(DATE(2026,8,7),Prof_Dates,0)),StatusLabels,0))))),""))</f>
        <v/>
      </c>
      <c r="I43" s="124">
        <f>IF(Prof_Row="","",IFERROR(IF(DAY(DATE(2026,8,8))&lt;&gt;8,"",IF(INDEX(Prof_Counted,MATCH(DATE(2026,8,8),Prof_Dates,0))&lt;&gt;"✓","",IF(INDEX(Prof_Statuses,MATCH(DATE(2026,8,8),Prof_Dates,0))="","✓",INDEX(StatusSymbols,MATCH(INDEX(Prof_Statuses,MATCH(DATE(2026,8,8),Prof_Dates,0)),StatusLabels,0))))),""))</f>
        <v/>
      </c>
      <c r="J43" s="124">
        <f>IF(Prof_Row="","",IFERROR(IF(DAY(DATE(2026,8,9))&lt;&gt;9,"",IF(INDEX(Prof_Counted,MATCH(DATE(2026,8,9),Prof_Dates,0))&lt;&gt;"✓","",IF(INDEX(Prof_Statuses,MATCH(DATE(2026,8,9),Prof_Dates,0))="","✓",INDEX(StatusSymbols,MATCH(INDEX(Prof_Statuses,MATCH(DATE(2026,8,9),Prof_Dates,0)),StatusLabels,0))))),""))</f>
        <v/>
      </c>
      <c r="K43" s="124">
        <f>IF(Prof_Row="","",IFERROR(IF(DAY(DATE(2026,8,10))&lt;&gt;10,"",IF(INDEX(Prof_Counted,MATCH(DATE(2026,8,10),Prof_Dates,0))&lt;&gt;"✓","",IF(INDEX(Prof_Statuses,MATCH(DATE(2026,8,10),Prof_Dates,0))="","✓",INDEX(StatusSymbols,MATCH(INDEX(Prof_Statuses,MATCH(DATE(2026,8,10),Prof_Dates,0)),StatusLabels,0))))),""))</f>
        <v/>
      </c>
      <c r="L43" s="124">
        <f>IF(Prof_Row="","",IFERROR(IF(DAY(DATE(2026,8,11))&lt;&gt;11,"",IF(INDEX(Prof_Counted,MATCH(DATE(2026,8,11),Prof_Dates,0))&lt;&gt;"✓","",IF(INDEX(Prof_Statuses,MATCH(DATE(2026,8,11),Prof_Dates,0))="","✓",INDEX(StatusSymbols,MATCH(INDEX(Prof_Statuses,MATCH(DATE(2026,8,11),Prof_Dates,0)),StatusLabels,0))))),""))</f>
        <v/>
      </c>
      <c r="M43" s="124">
        <f>IF(Prof_Row="","",IFERROR(IF(DAY(DATE(2026,8,12))&lt;&gt;12,"",IF(INDEX(Prof_Counted,MATCH(DATE(2026,8,12),Prof_Dates,0))&lt;&gt;"✓","",IF(INDEX(Prof_Statuses,MATCH(DATE(2026,8,12),Prof_Dates,0))="","✓",INDEX(StatusSymbols,MATCH(INDEX(Prof_Statuses,MATCH(DATE(2026,8,12),Prof_Dates,0)),StatusLabels,0))))),""))</f>
        <v/>
      </c>
      <c r="N43" s="124">
        <f>IF(Prof_Row="","",IFERROR(IF(DAY(DATE(2026,8,13))&lt;&gt;13,"",IF(INDEX(Prof_Counted,MATCH(DATE(2026,8,13),Prof_Dates,0))&lt;&gt;"✓","",IF(INDEX(Prof_Statuses,MATCH(DATE(2026,8,13),Prof_Dates,0))="","✓",INDEX(StatusSymbols,MATCH(INDEX(Prof_Statuses,MATCH(DATE(2026,8,13),Prof_Dates,0)),StatusLabels,0))))),""))</f>
        <v/>
      </c>
      <c r="O43" s="124">
        <f>IF(Prof_Row="","",IFERROR(IF(DAY(DATE(2026,8,14))&lt;&gt;14,"",IF(INDEX(Prof_Counted,MATCH(DATE(2026,8,14),Prof_Dates,0))&lt;&gt;"✓","",IF(INDEX(Prof_Statuses,MATCH(DATE(2026,8,14),Prof_Dates,0))="","✓",INDEX(StatusSymbols,MATCH(INDEX(Prof_Statuses,MATCH(DATE(2026,8,14),Prof_Dates,0)),StatusLabels,0))))),""))</f>
        <v/>
      </c>
      <c r="P43" s="124">
        <f>IF(Prof_Row="","",IFERROR(IF(DAY(DATE(2026,8,15))&lt;&gt;15,"",IF(INDEX(Prof_Counted,MATCH(DATE(2026,8,15),Prof_Dates,0))&lt;&gt;"✓","",IF(INDEX(Prof_Statuses,MATCH(DATE(2026,8,15),Prof_Dates,0))="","✓",INDEX(StatusSymbols,MATCH(INDEX(Prof_Statuses,MATCH(DATE(2026,8,15),Prof_Dates,0)),StatusLabels,0))))),""))</f>
        <v/>
      </c>
      <c r="Q43" s="124">
        <f>IF(Prof_Row="","",IFERROR(IF(DAY(DATE(2026,8,16))&lt;&gt;16,"",IF(INDEX(Prof_Counted,MATCH(DATE(2026,8,16),Prof_Dates,0))&lt;&gt;"✓","",IF(INDEX(Prof_Statuses,MATCH(DATE(2026,8,16),Prof_Dates,0))="","✓",INDEX(StatusSymbols,MATCH(INDEX(Prof_Statuses,MATCH(DATE(2026,8,16),Prof_Dates,0)),StatusLabels,0))))),""))</f>
        <v/>
      </c>
      <c r="R43" s="124">
        <f>IF(Prof_Row="","",IFERROR(IF(DAY(DATE(2026,8,17))&lt;&gt;17,"",IF(INDEX(Prof_Counted,MATCH(DATE(2026,8,17),Prof_Dates,0))&lt;&gt;"✓","",IF(INDEX(Prof_Statuses,MATCH(DATE(2026,8,17),Prof_Dates,0))="","✓",INDEX(StatusSymbols,MATCH(INDEX(Prof_Statuses,MATCH(DATE(2026,8,17),Prof_Dates,0)),StatusLabels,0))))),""))</f>
        <v/>
      </c>
      <c r="S43" s="124">
        <f>IF(Prof_Row="","",IFERROR(IF(DAY(DATE(2026,8,18))&lt;&gt;18,"",IF(INDEX(Prof_Counted,MATCH(DATE(2026,8,18),Prof_Dates,0))&lt;&gt;"✓","",IF(INDEX(Prof_Statuses,MATCH(DATE(2026,8,18),Prof_Dates,0))="","✓",INDEX(StatusSymbols,MATCH(INDEX(Prof_Statuses,MATCH(DATE(2026,8,18),Prof_Dates,0)),StatusLabels,0))))),""))</f>
        <v/>
      </c>
      <c r="T43" s="124">
        <f>IF(Prof_Row="","",IFERROR(IF(DAY(DATE(2026,8,19))&lt;&gt;19,"",IF(INDEX(Prof_Counted,MATCH(DATE(2026,8,19),Prof_Dates,0))&lt;&gt;"✓","",IF(INDEX(Prof_Statuses,MATCH(DATE(2026,8,19),Prof_Dates,0))="","✓",INDEX(StatusSymbols,MATCH(INDEX(Prof_Statuses,MATCH(DATE(2026,8,19),Prof_Dates,0)),StatusLabels,0))))),""))</f>
        <v/>
      </c>
      <c r="U43" s="124">
        <f>IF(Prof_Row="","",IFERROR(IF(DAY(DATE(2026,8,20))&lt;&gt;20,"",IF(INDEX(Prof_Counted,MATCH(DATE(2026,8,20),Prof_Dates,0))&lt;&gt;"✓","",IF(INDEX(Prof_Statuses,MATCH(DATE(2026,8,20),Prof_Dates,0))="","✓",INDEX(StatusSymbols,MATCH(INDEX(Prof_Statuses,MATCH(DATE(2026,8,20),Prof_Dates,0)),StatusLabels,0))))),""))</f>
        <v/>
      </c>
      <c r="V43" s="124">
        <f>IF(Prof_Row="","",IFERROR(IF(DAY(DATE(2026,8,21))&lt;&gt;21,"",IF(INDEX(Prof_Counted,MATCH(DATE(2026,8,21),Prof_Dates,0))&lt;&gt;"✓","",IF(INDEX(Prof_Statuses,MATCH(DATE(2026,8,21),Prof_Dates,0))="","✓",INDEX(StatusSymbols,MATCH(INDEX(Prof_Statuses,MATCH(DATE(2026,8,21),Prof_Dates,0)),StatusLabels,0))))),""))</f>
        <v/>
      </c>
      <c r="W43" s="124">
        <f>IF(Prof_Row="","",IFERROR(IF(DAY(DATE(2026,8,22))&lt;&gt;22,"",IF(INDEX(Prof_Counted,MATCH(DATE(2026,8,22),Prof_Dates,0))&lt;&gt;"✓","",IF(INDEX(Prof_Statuses,MATCH(DATE(2026,8,22),Prof_Dates,0))="","✓",INDEX(StatusSymbols,MATCH(INDEX(Prof_Statuses,MATCH(DATE(2026,8,22),Prof_Dates,0)),StatusLabels,0))))),""))</f>
        <v/>
      </c>
      <c r="X43" s="124">
        <f>IF(Prof_Row="","",IFERROR(IF(DAY(DATE(2026,8,23))&lt;&gt;23,"",IF(INDEX(Prof_Counted,MATCH(DATE(2026,8,23),Prof_Dates,0))&lt;&gt;"✓","",IF(INDEX(Prof_Statuses,MATCH(DATE(2026,8,23),Prof_Dates,0))="","✓",INDEX(StatusSymbols,MATCH(INDEX(Prof_Statuses,MATCH(DATE(2026,8,23),Prof_Dates,0)),StatusLabels,0))))),""))</f>
        <v/>
      </c>
      <c r="Y43" s="124">
        <f>IF(Prof_Row="","",IFERROR(IF(DAY(DATE(2026,8,24))&lt;&gt;24,"",IF(INDEX(Prof_Counted,MATCH(DATE(2026,8,24),Prof_Dates,0))&lt;&gt;"✓","",IF(INDEX(Prof_Statuses,MATCH(DATE(2026,8,24),Prof_Dates,0))="","✓",INDEX(StatusSymbols,MATCH(INDEX(Prof_Statuses,MATCH(DATE(2026,8,24),Prof_Dates,0)),StatusLabels,0))))),""))</f>
        <v/>
      </c>
      <c r="Z43" s="124">
        <f>IF(Prof_Row="","",IFERROR(IF(DAY(DATE(2026,8,25))&lt;&gt;25,"",IF(INDEX(Prof_Counted,MATCH(DATE(2026,8,25),Prof_Dates,0))&lt;&gt;"✓","",IF(INDEX(Prof_Statuses,MATCH(DATE(2026,8,25),Prof_Dates,0))="","✓",INDEX(StatusSymbols,MATCH(INDEX(Prof_Statuses,MATCH(DATE(2026,8,25),Prof_Dates,0)),StatusLabels,0))))),""))</f>
        <v/>
      </c>
      <c r="AA43" s="124">
        <f>IF(Prof_Row="","",IFERROR(IF(DAY(DATE(2026,8,26))&lt;&gt;26,"",IF(INDEX(Prof_Counted,MATCH(DATE(2026,8,26),Prof_Dates,0))&lt;&gt;"✓","",IF(INDEX(Prof_Statuses,MATCH(DATE(2026,8,26),Prof_Dates,0))="","✓",INDEX(StatusSymbols,MATCH(INDEX(Prof_Statuses,MATCH(DATE(2026,8,26),Prof_Dates,0)),StatusLabels,0))))),""))</f>
        <v/>
      </c>
      <c r="AB43" s="124">
        <f>IF(Prof_Row="","",IFERROR(IF(DAY(DATE(2026,8,27))&lt;&gt;27,"",IF(INDEX(Prof_Counted,MATCH(DATE(2026,8,27),Prof_Dates,0))&lt;&gt;"✓","",IF(INDEX(Prof_Statuses,MATCH(DATE(2026,8,27),Prof_Dates,0))="","✓",INDEX(StatusSymbols,MATCH(INDEX(Prof_Statuses,MATCH(DATE(2026,8,27),Prof_Dates,0)),StatusLabels,0))))),""))</f>
        <v/>
      </c>
      <c r="AC43" s="124">
        <f>IF(Prof_Row="","",IFERROR(IF(DAY(DATE(2026,8,28))&lt;&gt;28,"",IF(INDEX(Prof_Counted,MATCH(DATE(2026,8,28),Prof_Dates,0))&lt;&gt;"✓","",IF(INDEX(Prof_Statuses,MATCH(DATE(2026,8,28),Prof_Dates,0))="","✓",INDEX(StatusSymbols,MATCH(INDEX(Prof_Statuses,MATCH(DATE(2026,8,28),Prof_Dates,0)),StatusLabels,0))))),""))</f>
        <v/>
      </c>
      <c r="AD43" s="124">
        <f>IF(Prof_Row="","",IFERROR(IF(DAY(DATE(2026,8,29))&lt;&gt;29,"",IF(INDEX(Prof_Counted,MATCH(DATE(2026,8,29),Prof_Dates,0))&lt;&gt;"✓","",IF(INDEX(Prof_Statuses,MATCH(DATE(2026,8,29),Prof_Dates,0))="","✓",INDEX(StatusSymbols,MATCH(INDEX(Prof_Statuses,MATCH(DATE(2026,8,29),Prof_Dates,0)),StatusLabels,0))))),""))</f>
        <v/>
      </c>
      <c r="AE43" s="124">
        <f>IF(Prof_Row="","",IFERROR(IF(DAY(DATE(2026,8,30))&lt;&gt;30,"",IF(INDEX(Prof_Counted,MATCH(DATE(2026,8,30),Prof_Dates,0))&lt;&gt;"✓","",IF(INDEX(Prof_Statuses,MATCH(DATE(2026,8,30),Prof_Dates,0))="","✓",INDEX(StatusSymbols,MATCH(INDEX(Prof_Statuses,MATCH(DATE(2026,8,30),Prof_Dates,0)),StatusLabels,0))))),""))</f>
        <v/>
      </c>
      <c r="AF43" s="124">
        <f>IF(Prof_Row="","",IFERROR(IF(DAY(DATE(2026,8,31))&lt;&gt;31,"",IF(INDEX(Prof_Counted,MATCH(DATE(2026,8,31),Prof_Dates,0))&lt;&gt;"✓","",IF(INDEX(Prof_Statuses,MATCH(DATE(2026,8,31),Prof_Dates,0))="","✓",INDEX(StatusSymbols,MATCH(INDEX(Prof_Statuses,MATCH(DATE(2026,8,31),Prof_Dates,0)),StatusLabels,0))))),""))</f>
        <v/>
      </c>
    </row>
    <row r="44" ht="18" customHeight="1">
      <c r="A44" s="123" t="inlineStr">
        <is>
          <t>سبتمبر 2026</t>
        </is>
      </c>
      <c r="B44" s="124">
        <f>IF(Prof_Row="","",IFERROR(IF(DAY(DATE(2026,9,1))&lt;&gt;1,"",IF(INDEX(Prof_Counted,MATCH(DATE(2026,9,1),Prof_Dates,0))&lt;&gt;"✓","",IF(INDEX(Prof_Statuses,MATCH(DATE(2026,9,1),Prof_Dates,0))="","✓",INDEX(StatusSymbols,MATCH(INDEX(Prof_Statuses,MATCH(DATE(2026,9,1),Prof_Dates,0)),StatusLabels,0))))),""))</f>
        <v/>
      </c>
      <c r="C44" s="124">
        <f>IF(Prof_Row="","",IFERROR(IF(DAY(DATE(2026,9,2))&lt;&gt;2,"",IF(INDEX(Prof_Counted,MATCH(DATE(2026,9,2),Prof_Dates,0))&lt;&gt;"✓","",IF(INDEX(Prof_Statuses,MATCH(DATE(2026,9,2),Prof_Dates,0))="","✓",INDEX(StatusSymbols,MATCH(INDEX(Prof_Statuses,MATCH(DATE(2026,9,2),Prof_Dates,0)),StatusLabels,0))))),""))</f>
        <v/>
      </c>
      <c r="D44" s="124">
        <f>IF(Prof_Row="","",IFERROR(IF(DAY(DATE(2026,9,3))&lt;&gt;3,"",IF(INDEX(Prof_Counted,MATCH(DATE(2026,9,3),Prof_Dates,0))&lt;&gt;"✓","",IF(INDEX(Prof_Statuses,MATCH(DATE(2026,9,3),Prof_Dates,0))="","✓",INDEX(StatusSymbols,MATCH(INDEX(Prof_Statuses,MATCH(DATE(2026,9,3),Prof_Dates,0)),StatusLabels,0))))),""))</f>
        <v/>
      </c>
      <c r="E44" s="124">
        <f>IF(Prof_Row="","",IFERROR(IF(DAY(DATE(2026,9,4))&lt;&gt;4,"",IF(INDEX(Prof_Counted,MATCH(DATE(2026,9,4),Prof_Dates,0))&lt;&gt;"✓","",IF(INDEX(Prof_Statuses,MATCH(DATE(2026,9,4),Prof_Dates,0))="","✓",INDEX(StatusSymbols,MATCH(INDEX(Prof_Statuses,MATCH(DATE(2026,9,4),Prof_Dates,0)),StatusLabels,0))))),""))</f>
        <v/>
      </c>
      <c r="F44" s="124">
        <f>IF(Prof_Row="","",IFERROR(IF(DAY(DATE(2026,9,5))&lt;&gt;5,"",IF(INDEX(Prof_Counted,MATCH(DATE(2026,9,5),Prof_Dates,0))&lt;&gt;"✓","",IF(INDEX(Prof_Statuses,MATCH(DATE(2026,9,5),Prof_Dates,0))="","✓",INDEX(StatusSymbols,MATCH(INDEX(Prof_Statuses,MATCH(DATE(2026,9,5),Prof_Dates,0)),StatusLabels,0))))),""))</f>
        <v/>
      </c>
      <c r="G44" s="124">
        <f>IF(Prof_Row="","",IFERROR(IF(DAY(DATE(2026,9,6))&lt;&gt;6,"",IF(INDEX(Prof_Counted,MATCH(DATE(2026,9,6),Prof_Dates,0))&lt;&gt;"✓","",IF(INDEX(Prof_Statuses,MATCH(DATE(2026,9,6),Prof_Dates,0))="","✓",INDEX(StatusSymbols,MATCH(INDEX(Prof_Statuses,MATCH(DATE(2026,9,6),Prof_Dates,0)),StatusLabels,0))))),""))</f>
        <v/>
      </c>
      <c r="H44" s="124">
        <f>IF(Prof_Row="","",IFERROR(IF(DAY(DATE(2026,9,7))&lt;&gt;7,"",IF(INDEX(Prof_Counted,MATCH(DATE(2026,9,7),Prof_Dates,0))&lt;&gt;"✓","",IF(INDEX(Prof_Statuses,MATCH(DATE(2026,9,7),Prof_Dates,0))="","✓",INDEX(StatusSymbols,MATCH(INDEX(Prof_Statuses,MATCH(DATE(2026,9,7),Prof_Dates,0)),StatusLabels,0))))),""))</f>
        <v/>
      </c>
      <c r="I44" s="124">
        <f>IF(Prof_Row="","",IFERROR(IF(DAY(DATE(2026,9,8))&lt;&gt;8,"",IF(INDEX(Prof_Counted,MATCH(DATE(2026,9,8),Prof_Dates,0))&lt;&gt;"✓","",IF(INDEX(Prof_Statuses,MATCH(DATE(2026,9,8),Prof_Dates,0))="","✓",INDEX(StatusSymbols,MATCH(INDEX(Prof_Statuses,MATCH(DATE(2026,9,8),Prof_Dates,0)),StatusLabels,0))))),""))</f>
        <v/>
      </c>
      <c r="J44" s="124">
        <f>IF(Prof_Row="","",IFERROR(IF(DAY(DATE(2026,9,9))&lt;&gt;9,"",IF(INDEX(Prof_Counted,MATCH(DATE(2026,9,9),Prof_Dates,0))&lt;&gt;"✓","",IF(INDEX(Prof_Statuses,MATCH(DATE(2026,9,9),Prof_Dates,0))="","✓",INDEX(StatusSymbols,MATCH(INDEX(Prof_Statuses,MATCH(DATE(2026,9,9),Prof_Dates,0)),StatusLabels,0))))),""))</f>
        <v/>
      </c>
      <c r="K44" s="124">
        <f>IF(Prof_Row="","",IFERROR(IF(DAY(DATE(2026,9,10))&lt;&gt;10,"",IF(INDEX(Prof_Counted,MATCH(DATE(2026,9,10),Prof_Dates,0))&lt;&gt;"✓","",IF(INDEX(Prof_Statuses,MATCH(DATE(2026,9,10),Prof_Dates,0))="","✓",INDEX(StatusSymbols,MATCH(INDEX(Prof_Statuses,MATCH(DATE(2026,9,10),Prof_Dates,0)),StatusLabels,0))))),""))</f>
        <v/>
      </c>
      <c r="L44" s="124">
        <f>IF(Prof_Row="","",IFERROR(IF(DAY(DATE(2026,9,11))&lt;&gt;11,"",IF(INDEX(Prof_Counted,MATCH(DATE(2026,9,11),Prof_Dates,0))&lt;&gt;"✓","",IF(INDEX(Prof_Statuses,MATCH(DATE(2026,9,11),Prof_Dates,0))="","✓",INDEX(StatusSymbols,MATCH(INDEX(Prof_Statuses,MATCH(DATE(2026,9,11),Prof_Dates,0)),StatusLabels,0))))),""))</f>
        <v/>
      </c>
      <c r="M44" s="124">
        <f>IF(Prof_Row="","",IFERROR(IF(DAY(DATE(2026,9,12))&lt;&gt;12,"",IF(INDEX(Prof_Counted,MATCH(DATE(2026,9,12),Prof_Dates,0))&lt;&gt;"✓","",IF(INDEX(Prof_Statuses,MATCH(DATE(2026,9,12),Prof_Dates,0))="","✓",INDEX(StatusSymbols,MATCH(INDEX(Prof_Statuses,MATCH(DATE(2026,9,12),Prof_Dates,0)),StatusLabels,0))))),""))</f>
        <v/>
      </c>
      <c r="N44" s="124">
        <f>IF(Prof_Row="","",IFERROR(IF(DAY(DATE(2026,9,13))&lt;&gt;13,"",IF(INDEX(Prof_Counted,MATCH(DATE(2026,9,13),Prof_Dates,0))&lt;&gt;"✓","",IF(INDEX(Prof_Statuses,MATCH(DATE(2026,9,13),Prof_Dates,0))="","✓",INDEX(StatusSymbols,MATCH(INDEX(Prof_Statuses,MATCH(DATE(2026,9,13),Prof_Dates,0)),StatusLabels,0))))),""))</f>
        <v/>
      </c>
      <c r="O44" s="124">
        <f>IF(Prof_Row="","",IFERROR(IF(DAY(DATE(2026,9,14))&lt;&gt;14,"",IF(INDEX(Prof_Counted,MATCH(DATE(2026,9,14),Prof_Dates,0))&lt;&gt;"✓","",IF(INDEX(Prof_Statuses,MATCH(DATE(2026,9,14),Prof_Dates,0))="","✓",INDEX(StatusSymbols,MATCH(INDEX(Prof_Statuses,MATCH(DATE(2026,9,14),Prof_Dates,0)),StatusLabels,0))))),""))</f>
        <v/>
      </c>
      <c r="P44" s="124">
        <f>IF(Prof_Row="","",IFERROR(IF(DAY(DATE(2026,9,15))&lt;&gt;15,"",IF(INDEX(Prof_Counted,MATCH(DATE(2026,9,15),Prof_Dates,0))&lt;&gt;"✓","",IF(INDEX(Prof_Statuses,MATCH(DATE(2026,9,15),Prof_Dates,0))="","✓",INDEX(StatusSymbols,MATCH(INDEX(Prof_Statuses,MATCH(DATE(2026,9,15),Prof_Dates,0)),StatusLabels,0))))),""))</f>
        <v/>
      </c>
      <c r="Q44" s="124">
        <f>IF(Prof_Row="","",IFERROR(IF(DAY(DATE(2026,9,16))&lt;&gt;16,"",IF(INDEX(Prof_Counted,MATCH(DATE(2026,9,16),Prof_Dates,0))&lt;&gt;"✓","",IF(INDEX(Prof_Statuses,MATCH(DATE(2026,9,16),Prof_Dates,0))="","✓",INDEX(StatusSymbols,MATCH(INDEX(Prof_Statuses,MATCH(DATE(2026,9,16),Prof_Dates,0)),StatusLabels,0))))),""))</f>
        <v/>
      </c>
      <c r="R44" s="124">
        <f>IF(Prof_Row="","",IFERROR(IF(DAY(DATE(2026,9,17))&lt;&gt;17,"",IF(INDEX(Prof_Counted,MATCH(DATE(2026,9,17),Prof_Dates,0))&lt;&gt;"✓","",IF(INDEX(Prof_Statuses,MATCH(DATE(2026,9,17),Prof_Dates,0))="","✓",INDEX(StatusSymbols,MATCH(INDEX(Prof_Statuses,MATCH(DATE(2026,9,17),Prof_Dates,0)),StatusLabels,0))))),""))</f>
        <v/>
      </c>
      <c r="S44" s="124">
        <f>IF(Prof_Row="","",IFERROR(IF(DAY(DATE(2026,9,18))&lt;&gt;18,"",IF(INDEX(Prof_Counted,MATCH(DATE(2026,9,18),Prof_Dates,0))&lt;&gt;"✓","",IF(INDEX(Prof_Statuses,MATCH(DATE(2026,9,18),Prof_Dates,0))="","✓",INDEX(StatusSymbols,MATCH(INDEX(Prof_Statuses,MATCH(DATE(2026,9,18),Prof_Dates,0)),StatusLabels,0))))),""))</f>
        <v/>
      </c>
      <c r="T44" s="124">
        <f>IF(Prof_Row="","",IFERROR(IF(DAY(DATE(2026,9,19))&lt;&gt;19,"",IF(INDEX(Prof_Counted,MATCH(DATE(2026,9,19),Prof_Dates,0))&lt;&gt;"✓","",IF(INDEX(Prof_Statuses,MATCH(DATE(2026,9,19),Prof_Dates,0))="","✓",INDEX(StatusSymbols,MATCH(INDEX(Prof_Statuses,MATCH(DATE(2026,9,19),Prof_Dates,0)),StatusLabels,0))))),""))</f>
        <v/>
      </c>
      <c r="U44" s="124">
        <f>IF(Prof_Row="","",IFERROR(IF(DAY(DATE(2026,9,20))&lt;&gt;20,"",IF(INDEX(Prof_Counted,MATCH(DATE(2026,9,20),Prof_Dates,0))&lt;&gt;"✓","",IF(INDEX(Prof_Statuses,MATCH(DATE(2026,9,20),Prof_Dates,0))="","✓",INDEX(StatusSymbols,MATCH(INDEX(Prof_Statuses,MATCH(DATE(2026,9,20),Prof_Dates,0)),StatusLabels,0))))),""))</f>
        <v/>
      </c>
      <c r="V44" s="124">
        <f>IF(Prof_Row="","",IFERROR(IF(DAY(DATE(2026,9,21))&lt;&gt;21,"",IF(INDEX(Prof_Counted,MATCH(DATE(2026,9,21),Prof_Dates,0))&lt;&gt;"✓","",IF(INDEX(Prof_Statuses,MATCH(DATE(2026,9,21),Prof_Dates,0))="","✓",INDEX(StatusSymbols,MATCH(INDEX(Prof_Statuses,MATCH(DATE(2026,9,21),Prof_Dates,0)),StatusLabels,0))))),""))</f>
        <v/>
      </c>
      <c r="W44" s="124">
        <f>IF(Prof_Row="","",IFERROR(IF(DAY(DATE(2026,9,22))&lt;&gt;22,"",IF(INDEX(Prof_Counted,MATCH(DATE(2026,9,22),Prof_Dates,0))&lt;&gt;"✓","",IF(INDEX(Prof_Statuses,MATCH(DATE(2026,9,22),Prof_Dates,0))="","✓",INDEX(StatusSymbols,MATCH(INDEX(Prof_Statuses,MATCH(DATE(2026,9,22),Prof_Dates,0)),StatusLabels,0))))),""))</f>
        <v/>
      </c>
      <c r="X44" s="124">
        <f>IF(Prof_Row="","",IFERROR(IF(DAY(DATE(2026,9,23))&lt;&gt;23,"",IF(INDEX(Prof_Counted,MATCH(DATE(2026,9,23),Prof_Dates,0))&lt;&gt;"✓","",IF(INDEX(Prof_Statuses,MATCH(DATE(2026,9,23),Prof_Dates,0))="","✓",INDEX(StatusSymbols,MATCH(INDEX(Prof_Statuses,MATCH(DATE(2026,9,23),Prof_Dates,0)),StatusLabels,0))))),""))</f>
        <v/>
      </c>
      <c r="Y44" s="124">
        <f>IF(Prof_Row="","",IFERROR(IF(DAY(DATE(2026,9,24))&lt;&gt;24,"",IF(INDEX(Prof_Counted,MATCH(DATE(2026,9,24),Prof_Dates,0))&lt;&gt;"✓","",IF(INDEX(Prof_Statuses,MATCH(DATE(2026,9,24),Prof_Dates,0))="","✓",INDEX(StatusSymbols,MATCH(INDEX(Prof_Statuses,MATCH(DATE(2026,9,24),Prof_Dates,0)),StatusLabels,0))))),""))</f>
        <v/>
      </c>
      <c r="Z44" s="124">
        <f>IF(Prof_Row="","",IFERROR(IF(DAY(DATE(2026,9,25))&lt;&gt;25,"",IF(INDEX(Prof_Counted,MATCH(DATE(2026,9,25),Prof_Dates,0))&lt;&gt;"✓","",IF(INDEX(Prof_Statuses,MATCH(DATE(2026,9,25),Prof_Dates,0))="","✓",INDEX(StatusSymbols,MATCH(INDEX(Prof_Statuses,MATCH(DATE(2026,9,25),Prof_Dates,0)),StatusLabels,0))))),""))</f>
        <v/>
      </c>
      <c r="AA44" s="124">
        <f>IF(Prof_Row="","",IFERROR(IF(DAY(DATE(2026,9,26))&lt;&gt;26,"",IF(INDEX(Prof_Counted,MATCH(DATE(2026,9,26),Prof_Dates,0))&lt;&gt;"✓","",IF(INDEX(Prof_Statuses,MATCH(DATE(2026,9,26),Prof_Dates,0))="","✓",INDEX(StatusSymbols,MATCH(INDEX(Prof_Statuses,MATCH(DATE(2026,9,26),Prof_Dates,0)),StatusLabels,0))))),""))</f>
        <v/>
      </c>
      <c r="AB44" s="124">
        <f>IF(Prof_Row="","",IFERROR(IF(DAY(DATE(2026,9,27))&lt;&gt;27,"",IF(INDEX(Prof_Counted,MATCH(DATE(2026,9,27),Prof_Dates,0))&lt;&gt;"✓","",IF(INDEX(Prof_Statuses,MATCH(DATE(2026,9,27),Prof_Dates,0))="","✓",INDEX(StatusSymbols,MATCH(INDEX(Prof_Statuses,MATCH(DATE(2026,9,27),Prof_Dates,0)),StatusLabels,0))))),""))</f>
        <v/>
      </c>
      <c r="AC44" s="124">
        <f>IF(Prof_Row="","",IFERROR(IF(DAY(DATE(2026,9,28))&lt;&gt;28,"",IF(INDEX(Prof_Counted,MATCH(DATE(2026,9,28),Prof_Dates,0))&lt;&gt;"✓","",IF(INDEX(Prof_Statuses,MATCH(DATE(2026,9,28),Prof_Dates,0))="","✓",INDEX(StatusSymbols,MATCH(INDEX(Prof_Statuses,MATCH(DATE(2026,9,28),Prof_Dates,0)),StatusLabels,0))))),""))</f>
        <v/>
      </c>
      <c r="AD44" s="124">
        <f>IF(Prof_Row="","",IFERROR(IF(DAY(DATE(2026,9,29))&lt;&gt;29,"",IF(INDEX(Prof_Counted,MATCH(DATE(2026,9,29),Prof_Dates,0))&lt;&gt;"✓","",IF(INDEX(Prof_Statuses,MATCH(DATE(2026,9,29),Prof_Dates,0))="","✓",INDEX(StatusSymbols,MATCH(INDEX(Prof_Statuses,MATCH(DATE(2026,9,29),Prof_Dates,0)),StatusLabels,0))))),""))</f>
        <v/>
      </c>
      <c r="AE44" s="124">
        <f>IF(Prof_Row="","",IFERROR(IF(DAY(DATE(2026,9,30))&lt;&gt;30,"",IF(INDEX(Prof_Counted,MATCH(DATE(2026,9,30),Prof_Dates,0))&lt;&gt;"✓","",IF(INDEX(Prof_Statuses,MATCH(DATE(2026,9,30),Prof_Dates,0))="","✓",INDEX(StatusSymbols,MATCH(INDEX(Prof_Statuses,MATCH(DATE(2026,9,30),Prof_Dates,0)),StatusLabels,0))))),""))</f>
        <v/>
      </c>
      <c r="AF44" s="124">
        <f>IF(Prof_Row="","",IFERROR(IF(DAY(DATE(2026,9,31))&lt;&gt;31,"",IF(INDEX(Prof_Counted,MATCH(DATE(2026,9,31),Prof_Dates,0))&lt;&gt;"✓","",IF(INDEX(Prof_Statuses,MATCH(DATE(2026,9,31),Prof_Dates,0))="","✓",INDEX(StatusSymbols,MATCH(INDEX(Prof_Statuses,MATCH(DATE(2026,9,31),Prof_Dates,0)),StatusLabels,0))))),""))</f>
        <v/>
      </c>
    </row>
    <row r="45" ht="18" customHeight="1">
      <c r="A45" s="123" t="inlineStr">
        <is>
          <t>أكتوبر 2026</t>
        </is>
      </c>
      <c r="B45" s="124">
        <f>IF(Prof_Row="","",IFERROR(IF(DAY(DATE(2026,10,1))&lt;&gt;1,"",IF(INDEX(Prof_Counted,MATCH(DATE(2026,10,1),Prof_Dates,0))&lt;&gt;"✓","",IF(INDEX(Prof_Statuses,MATCH(DATE(2026,10,1),Prof_Dates,0))="","✓",INDEX(StatusSymbols,MATCH(INDEX(Prof_Statuses,MATCH(DATE(2026,10,1),Prof_Dates,0)),StatusLabels,0))))),""))</f>
        <v/>
      </c>
      <c r="C45" s="124">
        <f>IF(Prof_Row="","",IFERROR(IF(DAY(DATE(2026,10,2))&lt;&gt;2,"",IF(INDEX(Prof_Counted,MATCH(DATE(2026,10,2),Prof_Dates,0))&lt;&gt;"✓","",IF(INDEX(Prof_Statuses,MATCH(DATE(2026,10,2),Prof_Dates,0))="","✓",INDEX(StatusSymbols,MATCH(INDEX(Prof_Statuses,MATCH(DATE(2026,10,2),Prof_Dates,0)),StatusLabels,0))))),""))</f>
        <v/>
      </c>
      <c r="D45" s="124">
        <f>IF(Prof_Row="","",IFERROR(IF(DAY(DATE(2026,10,3))&lt;&gt;3,"",IF(INDEX(Prof_Counted,MATCH(DATE(2026,10,3),Prof_Dates,0))&lt;&gt;"✓","",IF(INDEX(Prof_Statuses,MATCH(DATE(2026,10,3),Prof_Dates,0))="","✓",INDEX(StatusSymbols,MATCH(INDEX(Prof_Statuses,MATCH(DATE(2026,10,3),Prof_Dates,0)),StatusLabels,0))))),""))</f>
        <v/>
      </c>
      <c r="E45" s="124">
        <f>IF(Prof_Row="","",IFERROR(IF(DAY(DATE(2026,10,4))&lt;&gt;4,"",IF(INDEX(Prof_Counted,MATCH(DATE(2026,10,4),Prof_Dates,0))&lt;&gt;"✓","",IF(INDEX(Prof_Statuses,MATCH(DATE(2026,10,4),Prof_Dates,0))="","✓",INDEX(StatusSymbols,MATCH(INDEX(Prof_Statuses,MATCH(DATE(2026,10,4),Prof_Dates,0)),StatusLabels,0))))),""))</f>
        <v/>
      </c>
      <c r="F45" s="124">
        <f>IF(Prof_Row="","",IFERROR(IF(DAY(DATE(2026,10,5))&lt;&gt;5,"",IF(INDEX(Prof_Counted,MATCH(DATE(2026,10,5),Prof_Dates,0))&lt;&gt;"✓","",IF(INDEX(Prof_Statuses,MATCH(DATE(2026,10,5),Prof_Dates,0))="","✓",INDEX(StatusSymbols,MATCH(INDEX(Prof_Statuses,MATCH(DATE(2026,10,5),Prof_Dates,0)),StatusLabels,0))))),""))</f>
        <v/>
      </c>
      <c r="G45" s="124">
        <f>IF(Prof_Row="","",IFERROR(IF(DAY(DATE(2026,10,6))&lt;&gt;6,"",IF(INDEX(Prof_Counted,MATCH(DATE(2026,10,6),Prof_Dates,0))&lt;&gt;"✓","",IF(INDEX(Prof_Statuses,MATCH(DATE(2026,10,6),Prof_Dates,0))="","✓",INDEX(StatusSymbols,MATCH(INDEX(Prof_Statuses,MATCH(DATE(2026,10,6),Prof_Dates,0)),StatusLabels,0))))),""))</f>
        <v/>
      </c>
      <c r="H45" s="124">
        <f>IF(Prof_Row="","",IFERROR(IF(DAY(DATE(2026,10,7))&lt;&gt;7,"",IF(INDEX(Prof_Counted,MATCH(DATE(2026,10,7),Prof_Dates,0))&lt;&gt;"✓","",IF(INDEX(Prof_Statuses,MATCH(DATE(2026,10,7),Prof_Dates,0))="","✓",INDEX(StatusSymbols,MATCH(INDEX(Prof_Statuses,MATCH(DATE(2026,10,7),Prof_Dates,0)),StatusLabels,0))))),""))</f>
        <v/>
      </c>
      <c r="I45" s="124">
        <f>IF(Prof_Row="","",IFERROR(IF(DAY(DATE(2026,10,8))&lt;&gt;8,"",IF(INDEX(Prof_Counted,MATCH(DATE(2026,10,8),Prof_Dates,0))&lt;&gt;"✓","",IF(INDEX(Prof_Statuses,MATCH(DATE(2026,10,8),Prof_Dates,0))="","✓",INDEX(StatusSymbols,MATCH(INDEX(Prof_Statuses,MATCH(DATE(2026,10,8),Prof_Dates,0)),StatusLabels,0))))),""))</f>
        <v/>
      </c>
      <c r="J45" s="124">
        <f>IF(Prof_Row="","",IFERROR(IF(DAY(DATE(2026,10,9))&lt;&gt;9,"",IF(INDEX(Prof_Counted,MATCH(DATE(2026,10,9),Prof_Dates,0))&lt;&gt;"✓","",IF(INDEX(Prof_Statuses,MATCH(DATE(2026,10,9),Prof_Dates,0))="","✓",INDEX(StatusSymbols,MATCH(INDEX(Prof_Statuses,MATCH(DATE(2026,10,9),Prof_Dates,0)),StatusLabels,0))))),""))</f>
        <v/>
      </c>
      <c r="K45" s="124">
        <f>IF(Prof_Row="","",IFERROR(IF(DAY(DATE(2026,10,10))&lt;&gt;10,"",IF(INDEX(Prof_Counted,MATCH(DATE(2026,10,10),Prof_Dates,0))&lt;&gt;"✓","",IF(INDEX(Prof_Statuses,MATCH(DATE(2026,10,10),Prof_Dates,0))="","✓",INDEX(StatusSymbols,MATCH(INDEX(Prof_Statuses,MATCH(DATE(2026,10,10),Prof_Dates,0)),StatusLabels,0))))),""))</f>
        <v/>
      </c>
      <c r="L45" s="124">
        <f>IF(Prof_Row="","",IFERROR(IF(DAY(DATE(2026,10,11))&lt;&gt;11,"",IF(INDEX(Prof_Counted,MATCH(DATE(2026,10,11),Prof_Dates,0))&lt;&gt;"✓","",IF(INDEX(Prof_Statuses,MATCH(DATE(2026,10,11),Prof_Dates,0))="","✓",INDEX(StatusSymbols,MATCH(INDEX(Prof_Statuses,MATCH(DATE(2026,10,11),Prof_Dates,0)),StatusLabels,0))))),""))</f>
        <v/>
      </c>
      <c r="M45" s="124">
        <f>IF(Prof_Row="","",IFERROR(IF(DAY(DATE(2026,10,12))&lt;&gt;12,"",IF(INDEX(Prof_Counted,MATCH(DATE(2026,10,12),Prof_Dates,0))&lt;&gt;"✓","",IF(INDEX(Prof_Statuses,MATCH(DATE(2026,10,12),Prof_Dates,0))="","✓",INDEX(StatusSymbols,MATCH(INDEX(Prof_Statuses,MATCH(DATE(2026,10,12),Prof_Dates,0)),StatusLabels,0))))),""))</f>
        <v/>
      </c>
      <c r="N45" s="124">
        <f>IF(Prof_Row="","",IFERROR(IF(DAY(DATE(2026,10,13))&lt;&gt;13,"",IF(INDEX(Prof_Counted,MATCH(DATE(2026,10,13),Prof_Dates,0))&lt;&gt;"✓","",IF(INDEX(Prof_Statuses,MATCH(DATE(2026,10,13),Prof_Dates,0))="","✓",INDEX(StatusSymbols,MATCH(INDEX(Prof_Statuses,MATCH(DATE(2026,10,13),Prof_Dates,0)),StatusLabels,0))))),""))</f>
        <v/>
      </c>
      <c r="O45" s="124">
        <f>IF(Prof_Row="","",IFERROR(IF(DAY(DATE(2026,10,14))&lt;&gt;14,"",IF(INDEX(Prof_Counted,MATCH(DATE(2026,10,14),Prof_Dates,0))&lt;&gt;"✓","",IF(INDEX(Prof_Statuses,MATCH(DATE(2026,10,14),Prof_Dates,0))="","✓",INDEX(StatusSymbols,MATCH(INDEX(Prof_Statuses,MATCH(DATE(2026,10,14),Prof_Dates,0)),StatusLabels,0))))),""))</f>
        <v/>
      </c>
      <c r="P45" s="124">
        <f>IF(Prof_Row="","",IFERROR(IF(DAY(DATE(2026,10,15))&lt;&gt;15,"",IF(INDEX(Prof_Counted,MATCH(DATE(2026,10,15),Prof_Dates,0))&lt;&gt;"✓","",IF(INDEX(Prof_Statuses,MATCH(DATE(2026,10,15),Prof_Dates,0))="","✓",INDEX(StatusSymbols,MATCH(INDEX(Prof_Statuses,MATCH(DATE(2026,10,15),Prof_Dates,0)),StatusLabels,0))))),""))</f>
        <v/>
      </c>
      <c r="Q45" s="124">
        <f>IF(Prof_Row="","",IFERROR(IF(DAY(DATE(2026,10,16))&lt;&gt;16,"",IF(INDEX(Prof_Counted,MATCH(DATE(2026,10,16),Prof_Dates,0))&lt;&gt;"✓","",IF(INDEX(Prof_Statuses,MATCH(DATE(2026,10,16),Prof_Dates,0))="","✓",INDEX(StatusSymbols,MATCH(INDEX(Prof_Statuses,MATCH(DATE(2026,10,16),Prof_Dates,0)),StatusLabels,0))))),""))</f>
        <v/>
      </c>
      <c r="R45" s="124">
        <f>IF(Prof_Row="","",IFERROR(IF(DAY(DATE(2026,10,17))&lt;&gt;17,"",IF(INDEX(Prof_Counted,MATCH(DATE(2026,10,17),Prof_Dates,0))&lt;&gt;"✓","",IF(INDEX(Prof_Statuses,MATCH(DATE(2026,10,17),Prof_Dates,0))="","✓",INDEX(StatusSymbols,MATCH(INDEX(Prof_Statuses,MATCH(DATE(2026,10,17),Prof_Dates,0)),StatusLabels,0))))),""))</f>
        <v/>
      </c>
      <c r="S45" s="124">
        <f>IF(Prof_Row="","",IFERROR(IF(DAY(DATE(2026,10,18))&lt;&gt;18,"",IF(INDEX(Prof_Counted,MATCH(DATE(2026,10,18),Prof_Dates,0))&lt;&gt;"✓","",IF(INDEX(Prof_Statuses,MATCH(DATE(2026,10,18),Prof_Dates,0))="","✓",INDEX(StatusSymbols,MATCH(INDEX(Prof_Statuses,MATCH(DATE(2026,10,18),Prof_Dates,0)),StatusLabels,0))))),""))</f>
        <v/>
      </c>
      <c r="T45" s="124">
        <f>IF(Prof_Row="","",IFERROR(IF(DAY(DATE(2026,10,19))&lt;&gt;19,"",IF(INDEX(Prof_Counted,MATCH(DATE(2026,10,19),Prof_Dates,0))&lt;&gt;"✓","",IF(INDEX(Prof_Statuses,MATCH(DATE(2026,10,19),Prof_Dates,0))="","✓",INDEX(StatusSymbols,MATCH(INDEX(Prof_Statuses,MATCH(DATE(2026,10,19),Prof_Dates,0)),StatusLabels,0))))),""))</f>
        <v/>
      </c>
      <c r="U45" s="124">
        <f>IF(Prof_Row="","",IFERROR(IF(DAY(DATE(2026,10,20))&lt;&gt;20,"",IF(INDEX(Prof_Counted,MATCH(DATE(2026,10,20),Prof_Dates,0))&lt;&gt;"✓","",IF(INDEX(Prof_Statuses,MATCH(DATE(2026,10,20),Prof_Dates,0))="","✓",INDEX(StatusSymbols,MATCH(INDEX(Prof_Statuses,MATCH(DATE(2026,10,20),Prof_Dates,0)),StatusLabels,0))))),""))</f>
        <v/>
      </c>
      <c r="V45" s="124">
        <f>IF(Prof_Row="","",IFERROR(IF(DAY(DATE(2026,10,21))&lt;&gt;21,"",IF(INDEX(Prof_Counted,MATCH(DATE(2026,10,21),Prof_Dates,0))&lt;&gt;"✓","",IF(INDEX(Prof_Statuses,MATCH(DATE(2026,10,21),Prof_Dates,0))="","✓",INDEX(StatusSymbols,MATCH(INDEX(Prof_Statuses,MATCH(DATE(2026,10,21),Prof_Dates,0)),StatusLabels,0))))),""))</f>
        <v/>
      </c>
      <c r="W45" s="124">
        <f>IF(Prof_Row="","",IFERROR(IF(DAY(DATE(2026,10,22))&lt;&gt;22,"",IF(INDEX(Prof_Counted,MATCH(DATE(2026,10,22),Prof_Dates,0))&lt;&gt;"✓","",IF(INDEX(Prof_Statuses,MATCH(DATE(2026,10,22),Prof_Dates,0))="","✓",INDEX(StatusSymbols,MATCH(INDEX(Prof_Statuses,MATCH(DATE(2026,10,22),Prof_Dates,0)),StatusLabels,0))))),""))</f>
        <v/>
      </c>
      <c r="X45" s="124">
        <f>IF(Prof_Row="","",IFERROR(IF(DAY(DATE(2026,10,23))&lt;&gt;23,"",IF(INDEX(Prof_Counted,MATCH(DATE(2026,10,23),Prof_Dates,0))&lt;&gt;"✓","",IF(INDEX(Prof_Statuses,MATCH(DATE(2026,10,23),Prof_Dates,0))="","✓",INDEX(StatusSymbols,MATCH(INDEX(Prof_Statuses,MATCH(DATE(2026,10,23),Prof_Dates,0)),StatusLabels,0))))),""))</f>
        <v/>
      </c>
      <c r="Y45" s="124">
        <f>IF(Prof_Row="","",IFERROR(IF(DAY(DATE(2026,10,24))&lt;&gt;24,"",IF(INDEX(Prof_Counted,MATCH(DATE(2026,10,24),Prof_Dates,0))&lt;&gt;"✓","",IF(INDEX(Prof_Statuses,MATCH(DATE(2026,10,24),Prof_Dates,0))="","✓",INDEX(StatusSymbols,MATCH(INDEX(Prof_Statuses,MATCH(DATE(2026,10,24),Prof_Dates,0)),StatusLabels,0))))),""))</f>
        <v/>
      </c>
      <c r="Z45" s="124">
        <f>IF(Prof_Row="","",IFERROR(IF(DAY(DATE(2026,10,25))&lt;&gt;25,"",IF(INDEX(Prof_Counted,MATCH(DATE(2026,10,25),Prof_Dates,0))&lt;&gt;"✓","",IF(INDEX(Prof_Statuses,MATCH(DATE(2026,10,25),Prof_Dates,0))="","✓",INDEX(StatusSymbols,MATCH(INDEX(Prof_Statuses,MATCH(DATE(2026,10,25),Prof_Dates,0)),StatusLabels,0))))),""))</f>
        <v/>
      </c>
      <c r="AA45" s="124">
        <f>IF(Prof_Row="","",IFERROR(IF(DAY(DATE(2026,10,26))&lt;&gt;26,"",IF(INDEX(Prof_Counted,MATCH(DATE(2026,10,26),Prof_Dates,0))&lt;&gt;"✓","",IF(INDEX(Prof_Statuses,MATCH(DATE(2026,10,26),Prof_Dates,0))="","✓",INDEX(StatusSymbols,MATCH(INDEX(Prof_Statuses,MATCH(DATE(2026,10,26),Prof_Dates,0)),StatusLabels,0))))),""))</f>
        <v/>
      </c>
      <c r="AB45" s="124">
        <f>IF(Prof_Row="","",IFERROR(IF(DAY(DATE(2026,10,27))&lt;&gt;27,"",IF(INDEX(Prof_Counted,MATCH(DATE(2026,10,27),Prof_Dates,0))&lt;&gt;"✓","",IF(INDEX(Prof_Statuses,MATCH(DATE(2026,10,27),Prof_Dates,0))="","✓",INDEX(StatusSymbols,MATCH(INDEX(Prof_Statuses,MATCH(DATE(2026,10,27),Prof_Dates,0)),StatusLabels,0))))),""))</f>
        <v/>
      </c>
      <c r="AC45" s="124">
        <f>IF(Prof_Row="","",IFERROR(IF(DAY(DATE(2026,10,28))&lt;&gt;28,"",IF(INDEX(Prof_Counted,MATCH(DATE(2026,10,28),Prof_Dates,0))&lt;&gt;"✓","",IF(INDEX(Prof_Statuses,MATCH(DATE(2026,10,28),Prof_Dates,0))="","✓",INDEX(StatusSymbols,MATCH(INDEX(Prof_Statuses,MATCH(DATE(2026,10,28),Prof_Dates,0)),StatusLabels,0))))),""))</f>
        <v/>
      </c>
      <c r="AD45" s="124">
        <f>IF(Prof_Row="","",IFERROR(IF(DAY(DATE(2026,10,29))&lt;&gt;29,"",IF(INDEX(Prof_Counted,MATCH(DATE(2026,10,29),Prof_Dates,0))&lt;&gt;"✓","",IF(INDEX(Prof_Statuses,MATCH(DATE(2026,10,29),Prof_Dates,0))="","✓",INDEX(StatusSymbols,MATCH(INDEX(Prof_Statuses,MATCH(DATE(2026,10,29),Prof_Dates,0)),StatusLabels,0))))),""))</f>
        <v/>
      </c>
      <c r="AE45" s="124">
        <f>IF(Prof_Row="","",IFERROR(IF(DAY(DATE(2026,10,30))&lt;&gt;30,"",IF(INDEX(Prof_Counted,MATCH(DATE(2026,10,30),Prof_Dates,0))&lt;&gt;"✓","",IF(INDEX(Prof_Statuses,MATCH(DATE(2026,10,30),Prof_Dates,0))="","✓",INDEX(StatusSymbols,MATCH(INDEX(Prof_Statuses,MATCH(DATE(2026,10,30),Prof_Dates,0)),StatusLabels,0))))),""))</f>
        <v/>
      </c>
      <c r="AF45" s="124">
        <f>IF(Prof_Row="","",IFERROR(IF(DAY(DATE(2026,10,31))&lt;&gt;31,"",IF(INDEX(Prof_Counted,MATCH(DATE(2026,10,31),Prof_Dates,0))&lt;&gt;"✓","",IF(INDEX(Prof_Statuses,MATCH(DATE(2026,10,31),Prof_Dates,0))="","✓",INDEX(StatusSymbols,MATCH(INDEX(Prof_Statuses,MATCH(DATE(2026,10,31),Prof_Dates,0)),StatusLabels,0))))),""))</f>
        <v/>
      </c>
    </row>
    <row r="46" ht="18" customHeight="1">
      <c r="A46" s="123" t="inlineStr">
        <is>
          <t>نوفمبر 2026</t>
        </is>
      </c>
      <c r="B46" s="124">
        <f>IF(Prof_Row="","",IFERROR(IF(DAY(DATE(2026,11,1))&lt;&gt;1,"",IF(INDEX(Prof_Counted,MATCH(DATE(2026,11,1),Prof_Dates,0))&lt;&gt;"✓","",IF(INDEX(Prof_Statuses,MATCH(DATE(2026,11,1),Prof_Dates,0))="","✓",INDEX(StatusSymbols,MATCH(INDEX(Prof_Statuses,MATCH(DATE(2026,11,1),Prof_Dates,0)),StatusLabels,0))))),""))</f>
        <v/>
      </c>
      <c r="C46" s="124">
        <f>IF(Prof_Row="","",IFERROR(IF(DAY(DATE(2026,11,2))&lt;&gt;2,"",IF(INDEX(Prof_Counted,MATCH(DATE(2026,11,2),Prof_Dates,0))&lt;&gt;"✓","",IF(INDEX(Prof_Statuses,MATCH(DATE(2026,11,2),Prof_Dates,0))="","✓",INDEX(StatusSymbols,MATCH(INDEX(Prof_Statuses,MATCH(DATE(2026,11,2),Prof_Dates,0)),StatusLabels,0))))),""))</f>
        <v/>
      </c>
      <c r="D46" s="124">
        <f>IF(Prof_Row="","",IFERROR(IF(DAY(DATE(2026,11,3))&lt;&gt;3,"",IF(INDEX(Prof_Counted,MATCH(DATE(2026,11,3),Prof_Dates,0))&lt;&gt;"✓","",IF(INDEX(Prof_Statuses,MATCH(DATE(2026,11,3),Prof_Dates,0))="","✓",INDEX(StatusSymbols,MATCH(INDEX(Prof_Statuses,MATCH(DATE(2026,11,3),Prof_Dates,0)),StatusLabels,0))))),""))</f>
        <v/>
      </c>
      <c r="E46" s="124">
        <f>IF(Prof_Row="","",IFERROR(IF(DAY(DATE(2026,11,4))&lt;&gt;4,"",IF(INDEX(Prof_Counted,MATCH(DATE(2026,11,4),Prof_Dates,0))&lt;&gt;"✓","",IF(INDEX(Prof_Statuses,MATCH(DATE(2026,11,4),Prof_Dates,0))="","✓",INDEX(StatusSymbols,MATCH(INDEX(Prof_Statuses,MATCH(DATE(2026,11,4),Prof_Dates,0)),StatusLabels,0))))),""))</f>
        <v/>
      </c>
      <c r="F46" s="124">
        <f>IF(Prof_Row="","",IFERROR(IF(DAY(DATE(2026,11,5))&lt;&gt;5,"",IF(INDEX(Prof_Counted,MATCH(DATE(2026,11,5),Prof_Dates,0))&lt;&gt;"✓","",IF(INDEX(Prof_Statuses,MATCH(DATE(2026,11,5),Prof_Dates,0))="","✓",INDEX(StatusSymbols,MATCH(INDEX(Prof_Statuses,MATCH(DATE(2026,11,5),Prof_Dates,0)),StatusLabels,0))))),""))</f>
        <v/>
      </c>
      <c r="G46" s="124">
        <f>IF(Prof_Row="","",IFERROR(IF(DAY(DATE(2026,11,6))&lt;&gt;6,"",IF(INDEX(Prof_Counted,MATCH(DATE(2026,11,6),Prof_Dates,0))&lt;&gt;"✓","",IF(INDEX(Prof_Statuses,MATCH(DATE(2026,11,6),Prof_Dates,0))="","✓",INDEX(StatusSymbols,MATCH(INDEX(Prof_Statuses,MATCH(DATE(2026,11,6),Prof_Dates,0)),StatusLabels,0))))),""))</f>
        <v/>
      </c>
      <c r="H46" s="124">
        <f>IF(Prof_Row="","",IFERROR(IF(DAY(DATE(2026,11,7))&lt;&gt;7,"",IF(INDEX(Prof_Counted,MATCH(DATE(2026,11,7),Prof_Dates,0))&lt;&gt;"✓","",IF(INDEX(Prof_Statuses,MATCH(DATE(2026,11,7),Prof_Dates,0))="","✓",INDEX(StatusSymbols,MATCH(INDEX(Prof_Statuses,MATCH(DATE(2026,11,7),Prof_Dates,0)),StatusLabels,0))))),""))</f>
        <v/>
      </c>
      <c r="I46" s="124">
        <f>IF(Prof_Row="","",IFERROR(IF(DAY(DATE(2026,11,8))&lt;&gt;8,"",IF(INDEX(Prof_Counted,MATCH(DATE(2026,11,8),Prof_Dates,0))&lt;&gt;"✓","",IF(INDEX(Prof_Statuses,MATCH(DATE(2026,11,8),Prof_Dates,0))="","✓",INDEX(StatusSymbols,MATCH(INDEX(Prof_Statuses,MATCH(DATE(2026,11,8),Prof_Dates,0)),StatusLabels,0))))),""))</f>
        <v/>
      </c>
      <c r="J46" s="124">
        <f>IF(Prof_Row="","",IFERROR(IF(DAY(DATE(2026,11,9))&lt;&gt;9,"",IF(INDEX(Prof_Counted,MATCH(DATE(2026,11,9),Prof_Dates,0))&lt;&gt;"✓","",IF(INDEX(Prof_Statuses,MATCH(DATE(2026,11,9),Prof_Dates,0))="","✓",INDEX(StatusSymbols,MATCH(INDEX(Prof_Statuses,MATCH(DATE(2026,11,9),Prof_Dates,0)),StatusLabels,0))))),""))</f>
        <v/>
      </c>
      <c r="K46" s="124">
        <f>IF(Prof_Row="","",IFERROR(IF(DAY(DATE(2026,11,10))&lt;&gt;10,"",IF(INDEX(Prof_Counted,MATCH(DATE(2026,11,10),Prof_Dates,0))&lt;&gt;"✓","",IF(INDEX(Prof_Statuses,MATCH(DATE(2026,11,10),Prof_Dates,0))="","✓",INDEX(StatusSymbols,MATCH(INDEX(Prof_Statuses,MATCH(DATE(2026,11,10),Prof_Dates,0)),StatusLabels,0))))),""))</f>
        <v/>
      </c>
      <c r="L46" s="124">
        <f>IF(Prof_Row="","",IFERROR(IF(DAY(DATE(2026,11,11))&lt;&gt;11,"",IF(INDEX(Prof_Counted,MATCH(DATE(2026,11,11),Prof_Dates,0))&lt;&gt;"✓","",IF(INDEX(Prof_Statuses,MATCH(DATE(2026,11,11),Prof_Dates,0))="","✓",INDEX(StatusSymbols,MATCH(INDEX(Prof_Statuses,MATCH(DATE(2026,11,11),Prof_Dates,0)),StatusLabels,0))))),""))</f>
        <v/>
      </c>
      <c r="M46" s="124">
        <f>IF(Prof_Row="","",IFERROR(IF(DAY(DATE(2026,11,12))&lt;&gt;12,"",IF(INDEX(Prof_Counted,MATCH(DATE(2026,11,12),Prof_Dates,0))&lt;&gt;"✓","",IF(INDEX(Prof_Statuses,MATCH(DATE(2026,11,12),Prof_Dates,0))="","✓",INDEX(StatusSymbols,MATCH(INDEX(Prof_Statuses,MATCH(DATE(2026,11,12),Prof_Dates,0)),StatusLabels,0))))),""))</f>
        <v/>
      </c>
      <c r="N46" s="124">
        <f>IF(Prof_Row="","",IFERROR(IF(DAY(DATE(2026,11,13))&lt;&gt;13,"",IF(INDEX(Prof_Counted,MATCH(DATE(2026,11,13),Prof_Dates,0))&lt;&gt;"✓","",IF(INDEX(Prof_Statuses,MATCH(DATE(2026,11,13),Prof_Dates,0))="","✓",INDEX(StatusSymbols,MATCH(INDEX(Prof_Statuses,MATCH(DATE(2026,11,13),Prof_Dates,0)),StatusLabels,0))))),""))</f>
        <v/>
      </c>
      <c r="O46" s="124">
        <f>IF(Prof_Row="","",IFERROR(IF(DAY(DATE(2026,11,14))&lt;&gt;14,"",IF(INDEX(Prof_Counted,MATCH(DATE(2026,11,14),Prof_Dates,0))&lt;&gt;"✓","",IF(INDEX(Prof_Statuses,MATCH(DATE(2026,11,14),Prof_Dates,0))="","✓",INDEX(StatusSymbols,MATCH(INDEX(Prof_Statuses,MATCH(DATE(2026,11,14),Prof_Dates,0)),StatusLabels,0))))),""))</f>
        <v/>
      </c>
      <c r="P46" s="124">
        <f>IF(Prof_Row="","",IFERROR(IF(DAY(DATE(2026,11,15))&lt;&gt;15,"",IF(INDEX(Prof_Counted,MATCH(DATE(2026,11,15),Prof_Dates,0))&lt;&gt;"✓","",IF(INDEX(Prof_Statuses,MATCH(DATE(2026,11,15),Prof_Dates,0))="","✓",INDEX(StatusSymbols,MATCH(INDEX(Prof_Statuses,MATCH(DATE(2026,11,15),Prof_Dates,0)),StatusLabels,0))))),""))</f>
        <v/>
      </c>
      <c r="Q46" s="124">
        <f>IF(Prof_Row="","",IFERROR(IF(DAY(DATE(2026,11,16))&lt;&gt;16,"",IF(INDEX(Prof_Counted,MATCH(DATE(2026,11,16),Prof_Dates,0))&lt;&gt;"✓","",IF(INDEX(Prof_Statuses,MATCH(DATE(2026,11,16),Prof_Dates,0))="","✓",INDEX(StatusSymbols,MATCH(INDEX(Prof_Statuses,MATCH(DATE(2026,11,16),Prof_Dates,0)),StatusLabels,0))))),""))</f>
        <v/>
      </c>
      <c r="R46" s="124">
        <f>IF(Prof_Row="","",IFERROR(IF(DAY(DATE(2026,11,17))&lt;&gt;17,"",IF(INDEX(Prof_Counted,MATCH(DATE(2026,11,17),Prof_Dates,0))&lt;&gt;"✓","",IF(INDEX(Prof_Statuses,MATCH(DATE(2026,11,17),Prof_Dates,0))="","✓",INDEX(StatusSymbols,MATCH(INDEX(Prof_Statuses,MATCH(DATE(2026,11,17),Prof_Dates,0)),StatusLabels,0))))),""))</f>
        <v/>
      </c>
      <c r="S46" s="124">
        <f>IF(Prof_Row="","",IFERROR(IF(DAY(DATE(2026,11,18))&lt;&gt;18,"",IF(INDEX(Prof_Counted,MATCH(DATE(2026,11,18),Prof_Dates,0))&lt;&gt;"✓","",IF(INDEX(Prof_Statuses,MATCH(DATE(2026,11,18),Prof_Dates,0))="","✓",INDEX(StatusSymbols,MATCH(INDEX(Prof_Statuses,MATCH(DATE(2026,11,18),Prof_Dates,0)),StatusLabels,0))))),""))</f>
        <v/>
      </c>
      <c r="T46" s="124">
        <f>IF(Prof_Row="","",IFERROR(IF(DAY(DATE(2026,11,19))&lt;&gt;19,"",IF(INDEX(Prof_Counted,MATCH(DATE(2026,11,19),Prof_Dates,0))&lt;&gt;"✓","",IF(INDEX(Prof_Statuses,MATCH(DATE(2026,11,19),Prof_Dates,0))="","✓",INDEX(StatusSymbols,MATCH(INDEX(Prof_Statuses,MATCH(DATE(2026,11,19),Prof_Dates,0)),StatusLabels,0))))),""))</f>
        <v/>
      </c>
      <c r="U46" s="124">
        <f>IF(Prof_Row="","",IFERROR(IF(DAY(DATE(2026,11,20))&lt;&gt;20,"",IF(INDEX(Prof_Counted,MATCH(DATE(2026,11,20),Prof_Dates,0))&lt;&gt;"✓","",IF(INDEX(Prof_Statuses,MATCH(DATE(2026,11,20),Prof_Dates,0))="","✓",INDEX(StatusSymbols,MATCH(INDEX(Prof_Statuses,MATCH(DATE(2026,11,20),Prof_Dates,0)),StatusLabels,0))))),""))</f>
        <v/>
      </c>
      <c r="V46" s="124">
        <f>IF(Prof_Row="","",IFERROR(IF(DAY(DATE(2026,11,21))&lt;&gt;21,"",IF(INDEX(Prof_Counted,MATCH(DATE(2026,11,21),Prof_Dates,0))&lt;&gt;"✓","",IF(INDEX(Prof_Statuses,MATCH(DATE(2026,11,21),Prof_Dates,0))="","✓",INDEX(StatusSymbols,MATCH(INDEX(Prof_Statuses,MATCH(DATE(2026,11,21),Prof_Dates,0)),StatusLabels,0))))),""))</f>
        <v/>
      </c>
      <c r="W46" s="124">
        <f>IF(Prof_Row="","",IFERROR(IF(DAY(DATE(2026,11,22))&lt;&gt;22,"",IF(INDEX(Prof_Counted,MATCH(DATE(2026,11,22),Prof_Dates,0))&lt;&gt;"✓","",IF(INDEX(Prof_Statuses,MATCH(DATE(2026,11,22),Prof_Dates,0))="","✓",INDEX(StatusSymbols,MATCH(INDEX(Prof_Statuses,MATCH(DATE(2026,11,22),Prof_Dates,0)),StatusLabels,0))))),""))</f>
        <v/>
      </c>
      <c r="X46" s="124">
        <f>IF(Prof_Row="","",IFERROR(IF(DAY(DATE(2026,11,23))&lt;&gt;23,"",IF(INDEX(Prof_Counted,MATCH(DATE(2026,11,23),Prof_Dates,0))&lt;&gt;"✓","",IF(INDEX(Prof_Statuses,MATCH(DATE(2026,11,23),Prof_Dates,0))="","✓",INDEX(StatusSymbols,MATCH(INDEX(Prof_Statuses,MATCH(DATE(2026,11,23),Prof_Dates,0)),StatusLabels,0))))),""))</f>
        <v/>
      </c>
      <c r="Y46" s="124">
        <f>IF(Prof_Row="","",IFERROR(IF(DAY(DATE(2026,11,24))&lt;&gt;24,"",IF(INDEX(Prof_Counted,MATCH(DATE(2026,11,24),Prof_Dates,0))&lt;&gt;"✓","",IF(INDEX(Prof_Statuses,MATCH(DATE(2026,11,24),Prof_Dates,0))="","✓",INDEX(StatusSymbols,MATCH(INDEX(Prof_Statuses,MATCH(DATE(2026,11,24),Prof_Dates,0)),StatusLabels,0))))),""))</f>
        <v/>
      </c>
      <c r="Z46" s="124">
        <f>IF(Prof_Row="","",IFERROR(IF(DAY(DATE(2026,11,25))&lt;&gt;25,"",IF(INDEX(Prof_Counted,MATCH(DATE(2026,11,25),Prof_Dates,0))&lt;&gt;"✓","",IF(INDEX(Prof_Statuses,MATCH(DATE(2026,11,25),Prof_Dates,0))="","✓",INDEX(StatusSymbols,MATCH(INDEX(Prof_Statuses,MATCH(DATE(2026,11,25),Prof_Dates,0)),StatusLabels,0))))),""))</f>
        <v/>
      </c>
      <c r="AA46" s="124">
        <f>IF(Prof_Row="","",IFERROR(IF(DAY(DATE(2026,11,26))&lt;&gt;26,"",IF(INDEX(Prof_Counted,MATCH(DATE(2026,11,26),Prof_Dates,0))&lt;&gt;"✓","",IF(INDEX(Prof_Statuses,MATCH(DATE(2026,11,26),Prof_Dates,0))="","✓",INDEX(StatusSymbols,MATCH(INDEX(Prof_Statuses,MATCH(DATE(2026,11,26),Prof_Dates,0)),StatusLabels,0))))),""))</f>
        <v/>
      </c>
      <c r="AB46" s="124">
        <f>IF(Prof_Row="","",IFERROR(IF(DAY(DATE(2026,11,27))&lt;&gt;27,"",IF(INDEX(Prof_Counted,MATCH(DATE(2026,11,27),Prof_Dates,0))&lt;&gt;"✓","",IF(INDEX(Prof_Statuses,MATCH(DATE(2026,11,27),Prof_Dates,0))="","✓",INDEX(StatusSymbols,MATCH(INDEX(Prof_Statuses,MATCH(DATE(2026,11,27),Prof_Dates,0)),StatusLabels,0))))),""))</f>
        <v/>
      </c>
      <c r="AC46" s="124">
        <f>IF(Prof_Row="","",IFERROR(IF(DAY(DATE(2026,11,28))&lt;&gt;28,"",IF(INDEX(Prof_Counted,MATCH(DATE(2026,11,28),Prof_Dates,0))&lt;&gt;"✓","",IF(INDEX(Prof_Statuses,MATCH(DATE(2026,11,28),Prof_Dates,0))="","✓",INDEX(StatusSymbols,MATCH(INDEX(Prof_Statuses,MATCH(DATE(2026,11,28),Prof_Dates,0)),StatusLabels,0))))),""))</f>
        <v/>
      </c>
      <c r="AD46" s="124">
        <f>IF(Prof_Row="","",IFERROR(IF(DAY(DATE(2026,11,29))&lt;&gt;29,"",IF(INDEX(Prof_Counted,MATCH(DATE(2026,11,29),Prof_Dates,0))&lt;&gt;"✓","",IF(INDEX(Prof_Statuses,MATCH(DATE(2026,11,29),Prof_Dates,0))="","✓",INDEX(StatusSymbols,MATCH(INDEX(Prof_Statuses,MATCH(DATE(2026,11,29),Prof_Dates,0)),StatusLabels,0))))),""))</f>
        <v/>
      </c>
      <c r="AE46" s="124">
        <f>IF(Prof_Row="","",IFERROR(IF(DAY(DATE(2026,11,30))&lt;&gt;30,"",IF(INDEX(Prof_Counted,MATCH(DATE(2026,11,30),Prof_Dates,0))&lt;&gt;"✓","",IF(INDEX(Prof_Statuses,MATCH(DATE(2026,11,30),Prof_Dates,0))="","✓",INDEX(StatusSymbols,MATCH(INDEX(Prof_Statuses,MATCH(DATE(2026,11,30),Prof_Dates,0)),StatusLabels,0))))),""))</f>
        <v/>
      </c>
      <c r="AF46" s="124">
        <f>IF(Prof_Row="","",IFERROR(IF(DAY(DATE(2026,11,31))&lt;&gt;31,"",IF(INDEX(Prof_Counted,MATCH(DATE(2026,11,31),Prof_Dates,0))&lt;&gt;"✓","",IF(INDEX(Prof_Statuses,MATCH(DATE(2026,11,31),Prof_Dates,0))="","✓",INDEX(StatusSymbols,MATCH(INDEX(Prof_Statuses,MATCH(DATE(2026,11,31),Prof_Dates,0)),StatusLabels,0))))),""))</f>
        <v/>
      </c>
    </row>
    <row r="47" ht="18" customHeight="1">
      <c r="A47" s="123" t="inlineStr">
        <is>
          <t>ديسمبر 2026</t>
        </is>
      </c>
      <c r="B47" s="124">
        <f>IF(Prof_Row="","",IFERROR(IF(DAY(DATE(2026,12,1))&lt;&gt;1,"",IF(INDEX(Prof_Counted,MATCH(DATE(2026,12,1),Prof_Dates,0))&lt;&gt;"✓","",IF(INDEX(Prof_Statuses,MATCH(DATE(2026,12,1),Prof_Dates,0))="","✓",INDEX(StatusSymbols,MATCH(INDEX(Prof_Statuses,MATCH(DATE(2026,12,1),Prof_Dates,0)),StatusLabels,0))))),""))</f>
        <v/>
      </c>
      <c r="C47" s="124">
        <f>IF(Prof_Row="","",IFERROR(IF(DAY(DATE(2026,12,2))&lt;&gt;2,"",IF(INDEX(Prof_Counted,MATCH(DATE(2026,12,2),Prof_Dates,0))&lt;&gt;"✓","",IF(INDEX(Prof_Statuses,MATCH(DATE(2026,12,2),Prof_Dates,0))="","✓",INDEX(StatusSymbols,MATCH(INDEX(Prof_Statuses,MATCH(DATE(2026,12,2),Prof_Dates,0)),StatusLabels,0))))),""))</f>
        <v/>
      </c>
      <c r="D47" s="124">
        <f>IF(Prof_Row="","",IFERROR(IF(DAY(DATE(2026,12,3))&lt;&gt;3,"",IF(INDEX(Prof_Counted,MATCH(DATE(2026,12,3),Prof_Dates,0))&lt;&gt;"✓","",IF(INDEX(Prof_Statuses,MATCH(DATE(2026,12,3),Prof_Dates,0))="","✓",INDEX(StatusSymbols,MATCH(INDEX(Prof_Statuses,MATCH(DATE(2026,12,3),Prof_Dates,0)),StatusLabels,0))))),""))</f>
        <v/>
      </c>
      <c r="E47" s="124">
        <f>IF(Prof_Row="","",IFERROR(IF(DAY(DATE(2026,12,4))&lt;&gt;4,"",IF(INDEX(Prof_Counted,MATCH(DATE(2026,12,4),Prof_Dates,0))&lt;&gt;"✓","",IF(INDEX(Prof_Statuses,MATCH(DATE(2026,12,4),Prof_Dates,0))="","✓",INDEX(StatusSymbols,MATCH(INDEX(Prof_Statuses,MATCH(DATE(2026,12,4),Prof_Dates,0)),StatusLabels,0))))),""))</f>
        <v/>
      </c>
      <c r="F47" s="124">
        <f>IF(Prof_Row="","",IFERROR(IF(DAY(DATE(2026,12,5))&lt;&gt;5,"",IF(INDEX(Prof_Counted,MATCH(DATE(2026,12,5),Prof_Dates,0))&lt;&gt;"✓","",IF(INDEX(Prof_Statuses,MATCH(DATE(2026,12,5),Prof_Dates,0))="","✓",INDEX(StatusSymbols,MATCH(INDEX(Prof_Statuses,MATCH(DATE(2026,12,5),Prof_Dates,0)),StatusLabels,0))))),""))</f>
        <v/>
      </c>
      <c r="G47" s="124">
        <f>IF(Prof_Row="","",IFERROR(IF(DAY(DATE(2026,12,6))&lt;&gt;6,"",IF(INDEX(Prof_Counted,MATCH(DATE(2026,12,6),Prof_Dates,0))&lt;&gt;"✓","",IF(INDEX(Prof_Statuses,MATCH(DATE(2026,12,6),Prof_Dates,0))="","✓",INDEX(StatusSymbols,MATCH(INDEX(Prof_Statuses,MATCH(DATE(2026,12,6),Prof_Dates,0)),StatusLabels,0))))),""))</f>
        <v/>
      </c>
      <c r="H47" s="124">
        <f>IF(Prof_Row="","",IFERROR(IF(DAY(DATE(2026,12,7))&lt;&gt;7,"",IF(INDEX(Prof_Counted,MATCH(DATE(2026,12,7),Prof_Dates,0))&lt;&gt;"✓","",IF(INDEX(Prof_Statuses,MATCH(DATE(2026,12,7),Prof_Dates,0))="","✓",INDEX(StatusSymbols,MATCH(INDEX(Prof_Statuses,MATCH(DATE(2026,12,7),Prof_Dates,0)),StatusLabels,0))))),""))</f>
        <v/>
      </c>
      <c r="I47" s="124">
        <f>IF(Prof_Row="","",IFERROR(IF(DAY(DATE(2026,12,8))&lt;&gt;8,"",IF(INDEX(Prof_Counted,MATCH(DATE(2026,12,8),Prof_Dates,0))&lt;&gt;"✓","",IF(INDEX(Prof_Statuses,MATCH(DATE(2026,12,8),Prof_Dates,0))="","✓",INDEX(StatusSymbols,MATCH(INDEX(Prof_Statuses,MATCH(DATE(2026,12,8),Prof_Dates,0)),StatusLabels,0))))),""))</f>
        <v/>
      </c>
      <c r="J47" s="124">
        <f>IF(Prof_Row="","",IFERROR(IF(DAY(DATE(2026,12,9))&lt;&gt;9,"",IF(INDEX(Prof_Counted,MATCH(DATE(2026,12,9),Prof_Dates,0))&lt;&gt;"✓","",IF(INDEX(Prof_Statuses,MATCH(DATE(2026,12,9),Prof_Dates,0))="","✓",INDEX(StatusSymbols,MATCH(INDEX(Prof_Statuses,MATCH(DATE(2026,12,9),Prof_Dates,0)),StatusLabels,0))))),""))</f>
        <v/>
      </c>
      <c r="K47" s="124">
        <f>IF(Prof_Row="","",IFERROR(IF(DAY(DATE(2026,12,10))&lt;&gt;10,"",IF(INDEX(Prof_Counted,MATCH(DATE(2026,12,10),Prof_Dates,0))&lt;&gt;"✓","",IF(INDEX(Prof_Statuses,MATCH(DATE(2026,12,10),Prof_Dates,0))="","✓",INDEX(StatusSymbols,MATCH(INDEX(Prof_Statuses,MATCH(DATE(2026,12,10),Prof_Dates,0)),StatusLabels,0))))),""))</f>
        <v/>
      </c>
      <c r="L47" s="124">
        <f>IF(Prof_Row="","",IFERROR(IF(DAY(DATE(2026,12,11))&lt;&gt;11,"",IF(INDEX(Prof_Counted,MATCH(DATE(2026,12,11),Prof_Dates,0))&lt;&gt;"✓","",IF(INDEX(Prof_Statuses,MATCH(DATE(2026,12,11),Prof_Dates,0))="","✓",INDEX(StatusSymbols,MATCH(INDEX(Prof_Statuses,MATCH(DATE(2026,12,11),Prof_Dates,0)),StatusLabels,0))))),""))</f>
        <v/>
      </c>
      <c r="M47" s="124">
        <f>IF(Prof_Row="","",IFERROR(IF(DAY(DATE(2026,12,12))&lt;&gt;12,"",IF(INDEX(Prof_Counted,MATCH(DATE(2026,12,12),Prof_Dates,0))&lt;&gt;"✓","",IF(INDEX(Prof_Statuses,MATCH(DATE(2026,12,12),Prof_Dates,0))="","✓",INDEX(StatusSymbols,MATCH(INDEX(Prof_Statuses,MATCH(DATE(2026,12,12),Prof_Dates,0)),StatusLabels,0))))),""))</f>
        <v/>
      </c>
      <c r="N47" s="124">
        <f>IF(Prof_Row="","",IFERROR(IF(DAY(DATE(2026,12,13))&lt;&gt;13,"",IF(INDEX(Prof_Counted,MATCH(DATE(2026,12,13),Prof_Dates,0))&lt;&gt;"✓","",IF(INDEX(Prof_Statuses,MATCH(DATE(2026,12,13),Prof_Dates,0))="","✓",INDEX(StatusSymbols,MATCH(INDEX(Prof_Statuses,MATCH(DATE(2026,12,13),Prof_Dates,0)),StatusLabels,0))))),""))</f>
        <v/>
      </c>
      <c r="O47" s="124">
        <f>IF(Prof_Row="","",IFERROR(IF(DAY(DATE(2026,12,14))&lt;&gt;14,"",IF(INDEX(Prof_Counted,MATCH(DATE(2026,12,14),Prof_Dates,0))&lt;&gt;"✓","",IF(INDEX(Prof_Statuses,MATCH(DATE(2026,12,14),Prof_Dates,0))="","✓",INDEX(StatusSymbols,MATCH(INDEX(Prof_Statuses,MATCH(DATE(2026,12,14),Prof_Dates,0)),StatusLabels,0))))),""))</f>
        <v/>
      </c>
      <c r="P47" s="124">
        <f>IF(Prof_Row="","",IFERROR(IF(DAY(DATE(2026,12,15))&lt;&gt;15,"",IF(INDEX(Prof_Counted,MATCH(DATE(2026,12,15),Prof_Dates,0))&lt;&gt;"✓","",IF(INDEX(Prof_Statuses,MATCH(DATE(2026,12,15),Prof_Dates,0))="","✓",INDEX(StatusSymbols,MATCH(INDEX(Prof_Statuses,MATCH(DATE(2026,12,15),Prof_Dates,0)),StatusLabels,0))))),""))</f>
        <v/>
      </c>
      <c r="Q47" s="124">
        <f>IF(Prof_Row="","",IFERROR(IF(DAY(DATE(2026,12,16))&lt;&gt;16,"",IF(INDEX(Prof_Counted,MATCH(DATE(2026,12,16),Prof_Dates,0))&lt;&gt;"✓","",IF(INDEX(Prof_Statuses,MATCH(DATE(2026,12,16),Prof_Dates,0))="","✓",INDEX(StatusSymbols,MATCH(INDEX(Prof_Statuses,MATCH(DATE(2026,12,16),Prof_Dates,0)),StatusLabels,0))))),""))</f>
        <v/>
      </c>
      <c r="R47" s="124">
        <f>IF(Prof_Row="","",IFERROR(IF(DAY(DATE(2026,12,17))&lt;&gt;17,"",IF(INDEX(Prof_Counted,MATCH(DATE(2026,12,17),Prof_Dates,0))&lt;&gt;"✓","",IF(INDEX(Prof_Statuses,MATCH(DATE(2026,12,17),Prof_Dates,0))="","✓",INDEX(StatusSymbols,MATCH(INDEX(Prof_Statuses,MATCH(DATE(2026,12,17),Prof_Dates,0)),StatusLabels,0))))),""))</f>
        <v/>
      </c>
      <c r="S47" s="124">
        <f>IF(Prof_Row="","",IFERROR(IF(DAY(DATE(2026,12,18))&lt;&gt;18,"",IF(INDEX(Prof_Counted,MATCH(DATE(2026,12,18),Prof_Dates,0))&lt;&gt;"✓","",IF(INDEX(Prof_Statuses,MATCH(DATE(2026,12,18),Prof_Dates,0))="","✓",INDEX(StatusSymbols,MATCH(INDEX(Prof_Statuses,MATCH(DATE(2026,12,18),Prof_Dates,0)),StatusLabels,0))))),""))</f>
        <v/>
      </c>
      <c r="T47" s="124">
        <f>IF(Prof_Row="","",IFERROR(IF(DAY(DATE(2026,12,19))&lt;&gt;19,"",IF(INDEX(Prof_Counted,MATCH(DATE(2026,12,19),Prof_Dates,0))&lt;&gt;"✓","",IF(INDEX(Prof_Statuses,MATCH(DATE(2026,12,19),Prof_Dates,0))="","✓",INDEX(StatusSymbols,MATCH(INDEX(Prof_Statuses,MATCH(DATE(2026,12,19),Prof_Dates,0)),StatusLabels,0))))),""))</f>
        <v/>
      </c>
      <c r="U47" s="124">
        <f>IF(Prof_Row="","",IFERROR(IF(DAY(DATE(2026,12,20))&lt;&gt;20,"",IF(INDEX(Prof_Counted,MATCH(DATE(2026,12,20),Prof_Dates,0))&lt;&gt;"✓","",IF(INDEX(Prof_Statuses,MATCH(DATE(2026,12,20),Prof_Dates,0))="","✓",INDEX(StatusSymbols,MATCH(INDEX(Prof_Statuses,MATCH(DATE(2026,12,20),Prof_Dates,0)),StatusLabels,0))))),""))</f>
        <v/>
      </c>
      <c r="V47" s="124">
        <f>IF(Prof_Row="","",IFERROR(IF(DAY(DATE(2026,12,21))&lt;&gt;21,"",IF(INDEX(Prof_Counted,MATCH(DATE(2026,12,21),Prof_Dates,0))&lt;&gt;"✓","",IF(INDEX(Prof_Statuses,MATCH(DATE(2026,12,21),Prof_Dates,0))="","✓",INDEX(StatusSymbols,MATCH(INDEX(Prof_Statuses,MATCH(DATE(2026,12,21),Prof_Dates,0)),StatusLabels,0))))),""))</f>
        <v/>
      </c>
      <c r="W47" s="124">
        <f>IF(Prof_Row="","",IFERROR(IF(DAY(DATE(2026,12,22))&lt;&gt;22,"",IF(INDEX(Prof_Counted,MATCH(DATE(2026,12,22),Prof_Dates,0))&lt;&gt;"✓","",IF(INDEX(Prof_Statuses,MATCH(DATE(2026,12,22),Prof_Dates,0))="","✓",INDEX(StatusSymbols,MATCH(INDEX(Prof_Statuses,MATCH(DATE(2026,12,22),Prof_Dates,0)),StatusLabels,0))))),""))</f>
        <v/>
      </c>
      <c r="X47" s="124">
        <f>IF(Prof_Row="","",IFERROR(IF(DAY(DATE(2026,12,23))&lt;&gt;23,"",IF(INDEX(Prof_Counted,MATCH(DATE(2026,12,23),Prof_Dates,0))&lt;&gt;"✓","",IF(INDEX(Prof_Statuses,MATCH(DATE(2026,12,23),Prof_Dates,0))="","✓",INDEX(StatusSymbols,MATCH(INDEX(Prof_Statuses,MATCH(DATE(2026,12,23),Prof_Dates,0)),StatusLabels,0))))),""))</f>
        <v/>
      </c>
      <c r="Y47" s="124">
        <f>IF(Prof_Row="","",IFERROR(IF(DAY(DATE(2026,12,24))&lt;&gt;24,"",IF(INDEX(Prof_Counted,MATCH(DATE(2026,12,24),Prof_Dates,0))&lt;&gt;"✓","",IF(INDEX(Prof_Statuses,MATCH(DATE(2026,12,24),Prof_Dates,0))="","✓",INDEX(StatusSymbols,MATCH(INDEX(Prof_Statuses,MATCH(DATE(2026,12,24),Prof_Dates,0)),StatusLabels,0))))),""))</f>
        <v/>
      </c>
      <c r="Z47" s="124">
        <f>IF(Prof_Row="","",IFERROR(IF(DAY(DATE(2026,12,25))&lt;&gt;25,"",IF(INDEX(Prof_Counted,MATCH(DATE(2026,12,25),Prof_Dates,0))&lt;&gt;"✓","",IF(INDEX(Prof_Statuses,MATCH(DATE(2026,12,25),Prof_Dates,0))="","✓",INDEX(StatusSymbols,MATCH(INDEX(Prof_Statuses,MATCH(DATE(2026,12,25),Prof_Dates,0)),StatusLabels,0))))),""))</f>
        <v/>
      </c>
      <c r="AA47" s="124">
        <f>IF(Prof_Row="","",IFERROR(IF(DAY(DATE(2026,12,26))&lt;&gt;26,"",IF(INDEX(Prof_Counted,MATCH(DATE(2026,12,26),Prof_Dates,0))&lt;&gt;"✓","",IF(INDEX(Prof_Statuses,MATCH(DATE(2026,12,26),Prof_Dates,0))="","✓",INDEX(StatusSymbols,MATCH(INDEX(Prof_Statuses,MATCH(DATE(2026,12,26),Prof_Dates,0)),StatusLabels,0))))),""))</f>
        <v/>
      </c>
      <c r="AB47" s="124">
        <f>IF(Prof_Row="","",IFERROR(IF(DAY(DATE(2026,12,27))&lt;&gt;27,"",IF(INDEX(Prof_Counted,MATCH(DATE(2026,12,27),Prof_Dates,0))&lt;&gt;"✓","",IF(INDEX(Prof_Statuses,MATCH(DATE(2026,12,27),Prof_Dates,0))="","✓",INDEX(StatusSymbols,MATCH(INDEX(Prof_Statuses,MATCH(DATE(2026,12,27),Prof_Dates,0)),StatusLabels,0))))),""))</f>
        <v/>
      </c>
      <c r="AC47" s="124">
        <f>IF(Prof_Row="","",IFERROR(IF(DAY(DATE(2026,12,28))&lt;&gt;28,"",IF(INDEX(Prof_Counted,MATCH(DATE(2026,12,28),Prof_Dates,0))&lt;&gt;"✓","",IF(INDEX(Prof_Statuses,MATCH(DATE(2026,12,28),Prof_Dates,0))="","✓",INDEX(StatusSymbols,MATCH(INDEX(Prof_Statuses,MATCH(DATE(2026,12,28),Prof_Dates,0)),StatusLabels,0))))),""))</f>
        <v/>
      </c>
      <c r="AD47" s="124">
        <f>IF(Prof_Row="","",IFERROR(IF(DAY(DATE(2026,12,29))&lt;&gt;29,"",IF(INDEX(Prof_Counted,MATCH(DATE(2026,12,29),Prof_Dates,0))&lt;&gt;"✓","",IF(INDEX(Prof_Statuses,MATCH(DATE(2026,12,29),Prof_Dates,0))="","✓",INDEX(StatusSymbols,MATCH(INDEX(Prof_Statuses,MATCH(DATE(2026,12,29),Prof_Dates,0)),StatusLabels,0))))),""))</f>
        <v/>
      </c>
      <c r="AE47" s="124">
        <f>IF(Prof_Row="","",IFERROR(IF(DAY(DATE(2026,12,30))&lt;&gt;30,"",IF(INDEX(Prof_Counted,MATCH(DATE(2026,12,30),Prof_Dates,0))&lt;&gt;"✓","",IF(INDEX(Prof_Statuses,MATCH(DATE(2026,12,30),Prof_Dates,0))="","✓",INDEX(StatusSymbols,MATCH(INDEX(Prof_Statuses,MATCH(DATE(2026,12,30),Prof_Dates,0)),StatusLabels,0))))),""))</f>
        <v/>
      </c>
      <c r="AF47" s="124">
        <f>IF(Prof_Row="","",IFERROR(IF(DAY(DATE(2026,12,31))&lt;&gt;31,"",IF(INDEX(Prof_Counted,MATCH(DATE(2026,12,31),Prof_Dates,0))&lt;&gt;"✓","",IF(INDEX(Prof_Statuses,MATCH(DATE(2026,12,31),Prof_Dates,0))="","✓",INDEX(StatusSymbols,MATCH(INDEX(Prof_Statuses,MATCH(DATE(2026,12,31),Prof_Dates,0)),StatusLabels,0))))),""))</f>
        <v/>
      </c>
    </row>
    <row r="48" ht="18" customHeight="1">
      <c r="A48" s="123" t="inlineStr">
        <is>
          <t>يناير 2027</t>
        </is>
      </c>
      <c r="B48" s="124">
        <f>IF(Prof_Row="","",IFERROR(IF(DAY(DATE(2027,1,1))&lt;&gt;1,"",IF(INDEX(Prof_Counted,MATCH(DATE(2027,1,1),Prof_Dates,0))&lt;&gt;"✓","",IF(INDEX(Prof_Statuses,MATCH(DATE(2027,1,1),Prof_Dates,0))="","✓",INDEX(StatusSymbols,MATCH(INDEX(Prof_Statuses,MATCH(DATE(2027,1,1),Prof_Dates,0)),StatusLabels,0))))),""))</f>
        <v/>
      </c>
      <c r="C48" s="124">
        <f>IF(Prof_Row="","",IFERROR(IF(DAY(DATE(2027,1,2))&lt;&gt;2,"",IF(INDEX(Prof_Counted,MATCH(DATE(2027,1,2),Prof_Dates,0))&lt;&gt;"✓","",IF(INDEX(Prof_Statuses,MATCH(DATE(2027,1,2),Prof_Dates,0))="","✓",INDEX(StatusSymbols,MATCH(INDEX(Prof_Statuses,MATCH(DATE(2027,1,2),Prof_Dates,0)),StatusLabels,0))))),""))</f>
        <v/>
      </c>
      <c r="D48" s="124">
        <f>IF(Prof_Row="","",IFERROR(IF(DAY(DATE(2027,1,3))&lt;&gt;3,"",IF(INDEX(Prof_Counted,MATCH(DATE(2027,1,3),Prof_Dates,0))&lt;&gt;"✓","",IF(INDEX(Prof_Statuses,MATCH(DATE(2027,1,3),Prof_Dates,0))="","✓",INDEX(StatusSymbols,MATCH(INDEX(Prof_Statuses,MATCH(DATE(2027,1,3),Prof_Dates,0)),StatusLabels,0))))),""))</f>
        <v/>
      </c>
      <c r="E48" s="124">
        <f>IF(Prof_Row="","",IFERROR(IF(DAY(DATE(2027,1,4))&lt;&gt;4,"",IF(INDEX(Prof_Counted,MATCH(DATE(2027,1,4),Prof_Dates,0))&lt;&gt;"✓","",IF(INDEX(Prof_Statuses,MATCH(DATE(2027,1,4),Prof_Dates,0))="","✓",INDEX(StatusSymbols,MATCH(INDEX(Prof_Statuses,MATCH(DATE(2027,1,4),Prof_Dates,0)),StatusLabels,0))))),""))</f>
        <v/>
      </c>
      <c r="F48" s="124">
        <f>IF(Prof_Row="","",IFERROR(IF(DAY(DATE(2027,1,5))&lt;&gt;5,"",IF(INDEX(Prof_Counted,MATCH(DATE(2027,1,5),Prof_Dates,0))&lt;&gt;"✓","",IF(INDEX(Prof_Statuses,MATCH(DATE(2027,1,5),Prof_Dates,0))="","✓",INDEX(StatusSymbols,MATCH(INDEX(Prof_Statuses,MATCH(DATE(2027,1,5),Prof_Dates,0)),StatusLabels,0))))),""))</f>
        <v/>
      </c>
      <c r="G48" s="124">
        <f>IF(Prof_Row="","",IFERROR(IF(DAY(DATE(2027,1,6))&lt;&gt;6,"",IF(INDEX(Prof_Counted,MATCH(DATE(2027,1,6),Prof_Dates,0))&lt;&gt;"✓","",IF(INDEX(Prof_Statuses,MATCH(DATE(2027,1,6),Prof_Dates,0))="","✓",INDEX(StatusSymbols,MATCH(INDEX(Prof_Statuses,MATCH(DATE(2027,1,6),Prof_Dates,0)),StatusLabels,0))))),""))</f>
        <v/>
      </c>
      <c r="H48" s="124">
        <f>IF(Prof_Row="","",IFERROR(IF(DAY(DATE(2027,1,7))&lt;&gt;7,"",IF(INDEX(Prof_Counted,MATCH(DATE(2027,1,7),Prof_Dates,0))&lt;&gt;"✓","",IF(INDEX(Prof_Statuses,MATCH(DATE(2027,1,7),Prof_Dates,0))="","✓",INDEX(StatusSymbols,MATCH(INDEX(Prof_Statuses,MATCH(DATE(2027,1,7),Prof_Dates,0)),StatusLabels,0))))),""))</f>
        <v/>
      </c>
      <c r="I48" s="124">
        <f>IF(Prof_Row="","",IFERROR(IF(DAY(DATE(2027,1,8))&lt;&gt;8,"",IF(INDEX(Prof_Counted,MATCH(DATE(2027,1,8),Prof_Dates,0))&lt;&gt;"✓","",IF(INDEX(Prof_Statuses,MATCH(DATE(2027,1,8),Prof_Dates,0))="","✓",INDEX(StatusSymbols,MATCH(INDEX(Prof_Statuses,MATCH(DATE(2027,1,8),Prof_Dates,0)),StatusLabels,0))))),""))</f>
        <v/>
      </c>
      <c r="J48" s="124">
        <f>IF(Prof_Row="","",IFERROR(IF(DAY(DATE(2027,1,9))&lt;&gt;9,"",IF(INDEX(Prof_Counted,MATCH(DATE(2027,1,9),Prof_Dates,0))&lt;&gt;"✓","",IF(INDEX(Prof_Statuses,MATCH(DATE(2027,1,9),Prof_Dates,0))="","✓",INDEX(StatusSymbols,MATCH(INDEX(Prof_Statuses,MATCH(DATE(2027,1,9),Prof_Dates,0)),StatusLabels,0))))),""))</f>
        <v/>
      </c>
      <c r="K48" s="124">
        <f>IF(Prof_Row="","",IFERROR(IF(DAY(DATE(2027,1,10))&lt;&gt;10,"",IF(INDEX(Prof_Counted,MATCH(DATE(2027,1,10),Prof_Dates,0))&lt;&gt;"✓","",IF(INDEX(Prof_Statuses,MATCH(DATE(2027,1,10),Prof_Dates,0))="","✓",INDEX(StatusSymbols,MATCH(INDEX(Prof_Statuses,MATCH(DATE(2027,1,10),Prof_Dates,0)),StatusLabels,0))))),""))</f>
        <v/>
      </c>
      <c r="L48" s="124">
        <f>IF(Prof_Row="","",IFERROR(IF(DAY(DATE(2027,1,11))&lt;&gt;11,"",IF(INDEX(Prof_Counted,MATCH(DATE(2027,1,11),Prof_Dates,0))&lt;&gt;"✓","",IF(INDEX(Prof_Statuses,MATCH(DATE(2027,1,11),Prof_Dates,0))="","✓",INDEX(StatusSymbols,MATCH(INDEX(Prof_Statuses,MATCH(DATE(2027,1,11),Prof_Dates,0)),StatusLabels,0))))),""))</f>
        <v/>
      </c>
      <c r="M48" s="124">
        <f>IF(Prof_Row="","",IFERROR(IF(DAY(DATE(2027,1,12))&lt;&gt;12,"",IF(INDEX(Prof_Counted,MATCH(DATE(2027,1,12),Prof_Dates,0))&lt;&gt;"✓","",IF(INDEX(Prof_Statuses,MATCH(DATE(2027,1,12),Prof_Dates,0))="","✓",INDEX(StatusSymbols,MATCH(INDEX(Prof_Statuses,MATCH(DATE(2027,1,12),Prof_Dates,0)),StatusLabels,0))))),""))</f>
        <v/>
      </c>
      <c r="N48" s="124">
        <f>IF(Prof_Row="","",IFERROR(IF(DAY(DATE(2027,1,13))&lt;&gt;13,"",IF(INDEX(Prof_Counted,MATCH(DATE(2027,1,13),Prof_Dates,0))&lt;&gt;"✓","",IF(INDEX(Prof_Statuses,MATCH(DATE(2027,1,13),Prof_Dates,0))="","✓",INDEX(StatusSymbols,MATCH(INDEX(Prof_Statuses,MATCH(DATE(2027,1,13),Prof_Dates,0)),StatusLabels,0))))),""))</f>
        <v/>
      </c>
      <c r="O48" s="124">
        <f>IF(Prof_Row="","",IFERROR(IF(DAY(DATE(2027,1,14))&lt;&gt;14,"",IF(INDEX(Prof_Counted,MATCH(DATE(2027,1,14),Prof_Dates,0))&lt;&gt;"✓","",IF(INDEX(Prof_Statuses,MATCH(DATE(2027,1,14),Prof_Dates,0))="","✓",INDEX(StatusSymbols,MATCH(INDEX(Prof_Statuses,MATCH(DATE(2027,1,14),Prof_Dates,0)),StatusLabels,0))))),""))</f>
        <v/>
      </c>
      <c r="P48" s="124">
        <f>IF(Prof_Row="","",IFERROR(IF(DAY(DATE(2027,1,15))&lt;&gt;15,"",IF(INDEX(Prof_Counted,MATCH(DATE(2027,1,15),Prof_Dates,0))&lt;&gt;"✓","",IF(INDEX(Prof_Statuses,MATCH(DATE(2027,1,15),Prof_Dates,0))="","✓",INDEX(StatusSymbols,MATCH(INDEX(Prof_Statuses,MATCH(DATE(2027,1,15),Prof_Dates,0)),StatusLabels,0))))),""))</f>
        <v/>
      </c>
      <c r="Q48" s="124">
        <f>IF(Prof_Row="","",IFERROR(IF(DAY(DATE(2027,1,16))&lt;&gt;16,"",IF(INDEX(Prof_Counted,MATCH(DATE(2027,1,16),Prof_Dates,0))&lt;&gt;"✓","",IF(INDEX(Prof_Statuses,MATCH(DATE(2027,1,16),Prof_Dates,0))="","✓",INDEX(StatusSymbols,MATCH(INDEX(Prof_Statuses,MATCH(DATE(2027,1,16),Prof_Dates,0)),StatusLabels,0))))),""))</f>
        <v/>
      </c>
      <c r="R48" s="124">
        <f>IF(Prof_Row="","",IFERROR(IF(DAY(DATE(2027,1,17))&lt;&gt;17,"",IF(INDEX(Prof_Counted,MATCH(DATE(2027,1,17),Prof_Dates,0))&lt;&gt;"✓","",IF(INDEX(Prof_Statuses,MATCH(DATE(2027,1,17),Prof_Dates,0))="","✓",INDEX(StatusSymbols,MATCH(INDEX(Prof_Statuses,MATCH(DATE(2027,1,17),Prof_Dates,0)),StatusLabels,0))))),""))</f>
        <v/>
      </c>
      <c r="S48" s="124">
        <f>IF(Prof_Row="","",IFERROR(IF(DAY(DATE(2027,1,18))&lt;&gt;18,"",IF(INDEX(Prof_Counted,MATCH(DATE(2027,1,18),Prof_Dates,0))&lt;&gt;"✓","",IF(INDEX(Prof_Statuses,MATCH(DATE(2027,1,18),Prof_Dates,0))="","✓",INDEX(StatusSymbols,MATCH(INDEX(Prof_Statuses,MATCH(DATE(2027,1,18),Prof_Dates,0)),StatusLabels,0))))),""))</f>
        <v/>
      </c>
      <c r="T48" s="124">
        <f>IF(Prof_Row="","",IFERROR(IF(DAY(DATE(2027,1,19))&lt;&gt;19,"",IF(INDEX(Prof_Counted,MATCH(DATE(2027,1,19),Prof_Dates,0))&lt;&gt;"✓","",IF(INDEX(Prof_Statuses,MATCH(DATE(2027,1,19),Prof_Dates,0))="","✓",INDEX(StatusSymbols,MATCH(INDEX(Prof_Statuses,MATCH(DATE(2027,1,19),Prof_Dates,0)),StatusLabels,0))))),""))</f>
        <v/>
      </c>
      <c r="U48" s="124">
        <f>IF(Prof_Row="","",IFERROR(IF(DAY(DATE(2027,1,20))&lt;&gt;20,"",IF(INDEX(Prof_Counted,MATCH(DATE(2027,1,20),Prof_Dates,0))&lt;&gt;"✓","",IF(INDEX(Prof_Statuses,MATCH(DATE(2027,1,20),Prof_Dates,0))="","✓",INDEX(StatusSymbols,MATCH(INDEX(Prof_Statuses,MATCH(DATE(2027,1,20),Prof_Dates,0)),StatusLabels,0))))),""))</f>
        <v/>
      </c>
      <c r="V48" s="124">
        <f>IF(Prof_Row="","",IFERROR(IF(DAY(DATE(2027,1,21))&lt;&gt;21,"",IF(INDEX(Prof_Counted,MATCH(DATE(2027,1,21),Prof_Dates,0))&lt;&gt;"✓","",IF(INDEX(Prof_Statuses,MATCH(DATE(2027,1,21),Prof_Dates,0))="","✓",INDEX(StatusSymbols,MATCH(INDEX(Prof_Statuses,MATCH(DATE(2027,1,21),Prof_Dates,0)),StatusLabels,0))))),""))</f>
        <v/>
      </c>
      <c r="W48" s="124">
        <f>IF(Prof_Row="","",IFERROR(IF(DAY(DATE(2027,1,22))&lt;&gt;22,"",IF(INDEX(Prof_Counted,MATCH(DATE(2027,1,22),Prof_Dates,0))&lt;&gt;"✓","",IF(INDEX(Prof_Statuses,MATCH(DATE(2027,1,22),Prof_Dates,0))="","✓",INDEX(StatusSymbols,MATCH(INDEX(Prof_Statuses,MATCH(DATE(2027,1,22),Prof_Dates,0)),StatusLabels,0))))),""))</f>
        <v/>
      </c>
      <c r="X48" s="124">
        <f>IF(Prof_Row="","",IFERROR(IF(DAY(DATE(2027,1,23))&lt;&gt;23,"",IF(INDEX(Prof_Counted,MATCH(DATE(2027,1,23),Prof_Dates,0))&lt;&gt;"✓","",IF(INDEX(Prof_Statuses,MATCH(DATE(2027,1,23),Prof_Dates,0))="","✓",INDEX(StatusSymbols,MATCH(INDEX(Prof_Statuses,MATCH(DATE(2027,1,23),Prof_Dates,0)),StatusLabels,0))))),""))</f>
        <v/>
      </c>
      <c r="Y48" s="124">
        <f>IF(Prof_Row="","",IFERROR(IF(DAY(DATE(2027,1,24))&lt;&gt;24,"",IF(INDEX(Prof_Counted,MATCH(DATE(2027,1,24),Prof_Dates,0))&lt;&gt;"✓","",IF(INDEX(Prof_Statuses,MATCH(DATE(2027,1,24),Prof_Dates,0))="","✓",INDEX(StatusSymbols,MATCH(INDEX(Prof_Statuses,MATCH(DATE(2027,1,24),Prof_Dates,0)),StatusLabels,0))))),""))</f>
        <v/>
      </c>
      <c r="Z48" s="124">
        <f>IF(Prof_Row="","",IFERROR(IF(DAY(DATE(2027,1,25))&lt;&gt;25,"",IF(INDEX(Prof_Counted,MATCH(DATE(2027,1,25),Prof_Dates,0))&lt;&gt;"✓","",IF(INDEX(Prof_Statuses,MATCH(DATE(2027,1,25),Prof_Dates,0))="","✓",INDEX(StatusSymbols,MATCH(INDEX(Prof_Statuses,MATCH(DATE(2027,1,25),Prof_Dates,0)),StatusLabels,0))))),""))</f>
        <v/>
      </c>
      <c r="AA48" s="124">
        <f>IF(Prof_Row="","",IFERROR(IF(DAY(DATE(2027,1,26))&lt;&gt;26,"",IF(INDEX(Prof_Counted,MATCH(DATE(2027,1,26),Prof_Dates,0))&lt;&gt;"✓","",IF(INDEX(Prof_Statuses,MATCH(DATE(2027,1,26),Prof_Dates,0))="","✓",INDEX(StatusSymbols,MATCH(INDEX(Prof_Statuses,MATCH(DATE(2027,1,26),Prof_Dates,0)),StatusLabels,0))))),""))</f>
        <v/>
      </c>
      <c r="AB48" s="124">
        <f>IF(Prof_Row="","",IFERROR(IF(DAY(DATE(2027,1,27))&lt;&gt;27,"",IF(INDEX(Prof_Counted,MATCH(DATE(2027,1,27),Prof_Dates,0))&lt;&gt;"✓","",IF(INDEX(Prof_Statuses,MATCH(DATE(2027,1,27),Prof_Dates,0))="","✓",INDEX(StatusSymbols,MATCH(INDEX(Prof_Statuses,MATCH(DATE(2027,1,27),Prof_Dates,0)),StatusLabels,0))))),""))</f>
        <v/>
      </c>
      <c r="AC48" s="124">
        <f>IF(Prof_Row="","",IFERROR(IF(DAY(DATE(2027,1,28))&lt;&gt;28,"",IF(INDEX(Prof_Counted,MATCH(DATE(2027,1,28),Prof_Dates,0))&lt;&gt;"✓","",IF(INDEX(Prof_Statuses,MATCH(DATE(2027,1,28),Prof_Dates,0))="","✓",INDEX(StatusSymbols,MATCH(INDEX(Prof_Statuses,MATCH(DATE(2027,1,28),Prof_Dates,0)),StatusLabels,0))))),""))</f>
        <v/>
      </c>
      <c r="AD48" s="124">
        <f>IF(Prof_Row="","",IFERROR(IF(DAY(DATE(2027,1,29))&lt;&gt;29,"",IF(INDEX(Prof_Counted,MATCH(DATE(2027,1,29),Prof_Dates,0))&lt;&gt;"✓","",IF(INDEX(Prof_Statuses,MATCH(DATE(2027,1,29),Prof_Dates,0))="","✓",INDEX(StatusSymbols,MATCH(INDEX(Prof_Statuses,MATCH(DATE(2027,1,29),Prof_Dates,0)),StatusLabels,0))))),""))</f>
        <v/>
      </c>
      <c r="AE48" s="124">
        <f>IF(Prof_Row="","",IFERROR(IF(DAY(DATE(2027,1,30))&lt;&gt;30,"",IF(INDEX(Prof_Counted,MATCH(DATE(2027,1,30),Prof_Dates,0))&lt;&gt;"✓","",IF(INDEX(Prof_Statuses,MATCH(DATE(2027,1,30),Prof_Dates,0))="","✓",INDEX(StatusSymbols,MATCH(INDEX(Prof_Statuses,MATCH(DATE(2027,1,30),Prof_Dates,0)),StatusLabels,0))))),""))</f>
        <v/>
      </c>
      <c r="AF48" s="124">
        <f>IF(Prof_Row="","",IFERROR(IF(DAY(DATE(2027,1,31))&lt;&gt;31,"",IF(INDEX(Prof_Counted,MATCH(DATE(2027,1,31),Prof_Dates,0))&lt;&gt;"✓","",IF(INDEX(Prof_Statuses,MATCH(DATE(2027,1,31),Prof_Dates,0))="","✓",INDEX(StatusSymbols,MATCH(INDEX(Prof_Statuses,MATCH(DATE(2027,1,31),Prof_Dates,0)),StatusLabels,0))))),""))</f>
        <v/>
      </c>
    </row>
    <row r="49" ht="18" customHeight="1">
      <c r="A49" s="123" t="inlineStr">
        <is>
          <t>فبراير 2027</t>
        </is>
      </c>
      <c r="B49" s="124">
        <f>IF(Prof_Row="","",IFERROR(IF(DAY(DATE(2027,2,1))&lt;&gt;1,"",IF(INDEX(Prof_Counted,MATCH(DATE(2027,2,1),Prof_Dates,0))&lt;&gt;"✓","",IF(INDEX(Prof_Statuses,MATCH(DATE(2027,2,1),Prof_Dates,0))="","✓",INDEX(StatusSymbols,MATCH(INDEX(Prof_Statuses,MATCH(DATE(2027,2,1),Prof_Dates,0)),StatusLabels,0))))),""))</f>
        <v/>
      </c>
      <c r="C49" s="124">
        <f>IF(Prof_Row="","",IFERROR(IF(DAY(DATE(2027,2,2))&lt;&gt;2,"",IF(INDEX(Prof_Counted,MATCH(DATE(2027,2,2),Prof_Dates,0))&lt;&gt;"✓","",IF(INDEX(Prof_Statuses,MATCH(DATE(2027,2,2),Prof_Dates,0))="","✓",INDEX(StatusSymbols,MATCH(INDEX(Prof_Statuses,MATCH(DATE(2027,2,2),Prof_Dates,0)),StatusLabels,0))))),""))</f>
        <v/>
      </c>
      <c r="D49" s="124">
        <f>IF(Prof_Row="","",IFERROR(IF(DAY(DATE(2027,2,3))&lt;&gt;3,"",IF(INDEX(Prof_Counted,MATCH(DATE(2027,2,3),Prof_Dates,0))&lt;&gt;"✓","",IF(INDEX(Prof_Statuses,MATCH(DATE(2027,2,3),Prof_Dates,0))="","✓",INDEX(StatusSymbols,MATCH(INDEX(Prof_Statuses,MATCH(DATE(2027,2,3),Prof_Dates,0)),StatusLabels,0))))),""))</f>
        <v/>
      </c>
      <c r="E49" s="124">
        <f>IF(Prof_Row="","",IFERROR(IF(DAY(DATE(2027,2,4))&lt;&gt;4,"",IF(INDEX(Prof_Counted,MATCH(DATE(2027,2,4),Prof_Dates,0))&lt;&gt;"✓","",IF(INDEX(Prof_Statuses,MATCH(DATE(2027,2,4),Prof_Dates,0))="","✓",INDEX(StatusSymbols,MATCH(INDEX(Prof_Statuses,MATCH(DATE(2027,2,4),Prof_Dates,0)),StatusLabels,0))))),""))</f>
        <v/>
      </c>
      <c r="F49" s="124">
        <f>IF(Prof_Row="","",IFERROR(IF(DAY(DATE(2027,2,5))&lt;&gt;5,"",IF(INDEX(Prof_Counted,MATCH(DATE(2027,2,5),Prof_Dates,0))&lt;&gt;"✓","",IF(INDEX(Prof_Statuses,MATCH(DATE(2027,2,5),Prof_Dates,0))="","✓",INDEX(StatusSymbols,MATCH(INDEX(Prof_Statuses,MATCH(DATE(2027,2,5),Prof_Dates,0)),StatusLabels,0))))),""))</f>
        <v/>
      </c>
      <c r="G49" s="124">
        <f>IF(Prof_Row="","",IFERROR(IF(DAY(DATE(2027,2,6))&lt;&gt;6,"",IF(INDEX(Prof_Counted,MATCH(DATE(2027,2,6),Prof_Dates,0))&lt;&gt;"✓","",IF(INDEX(Prof_Statuses,MATCH(DATE(2027,2,6),Prof_Dates,0))="","✓",INDEX(StatusSymbols,MATCH(INDEX(Prof_Statuses,MATCH(DATE(2027,2,6),Prof_Dates,0)),StatusLabels,0))))),""))</f>
        <v/>
      </c>
      <c r="H49" s="124">
        <f>IF(Prof_Row="","",IFERROR(IF(DAY(DATE(2027,2,7))&lt;&gt;7,"",IF(INDEX(Prof_Counted,MATCH(DATE(2027,2,7),Prof_Dates,0))&lt;&gt;"✓","",IF(INDEX(Prof_Statuses,MATCH(DATE(2027,2,7),Prof_Dates,0))="","✓",INDEX(StatusSymbols,MATCH(INDEX(Prof_Statuses,MATCH(DATE(2027,2,7),Prof_Dates,0)),StatusLabels,0))))),""))</f>
        <v/>
      </c>
      <c r="I49" s="124">
        <f>IF(Prof_Row="","",IFERROR(IF(DAY(DATE(2027,2,8))&lt;&gt;8,"",IF(INDEX(Prof_Counted,MATCH(DATE(2027,2,8),Prof_Dates,0))&lt;&gt;"✓","",IF(INDEX(Prof_Statuses,MATCH(DATE(2027,2,8),Prof_Dates,0))="","✓",INDEX(StatusSymbols,MATCH(INDEX(Prof_Statuses,MATCH(DATE(2027,2,8),Prof_Dates,0)),StatusLabels,0))))),""))</f>
        <v/>
      </c>
      <c r="J49" s="124">
        <f>IF(Prof_Row="","",IFERROR(IF(DAY(DATE(2027,2,9))&lt;&gt;9,"",IF(INDEX(Prof_Counted,MATCH(DATE(2027,2,9),Prof_Dates,0))&lt;&gt;"✓","",IF(INDEX(Prof_Statuses,MATCH(DATE(2027,2,9),Prof_Dates,0))="","✓",INDEX(StatusSymbols,MATCH(INDEX(Prof_Statuses,MATCH(DATE(2027,2,9),Prof_Dates,0)),StatusLabels,0))))),""))</f>
        <v/>
      </c>
      <c r="K49" s="124">
        <f>IF(Prof_Row="","",IFERROR(IF(DAY(DATE(2027,2,10))&lt;&gt;10,"",IF(INDEX(Prof_Counted,MATCH(DATE(2027,2,10),Prof_Dates,0))&lt;&gt;"✓","",IF(INDEX(Prof_Statuses,MATCH(DATE(2027,2,10),Prof_Dates,0))="","✓",INDEX(StatusSymbols,MATCH(INDEX(Prof_Statuses,MATCH(DATE(2027,2,10),Prof_Dates,0)),StatusLabels,0))))),""))</f>
        <v/>
      </c>
      <c r="L49" s="124">
        <f>IF(Prof_Row="","",IFERROR(IF(DAY(DATE(2027,2,11))&lt;&gt;11,"",IF(INDEX(Prof_Counted,MATCH(DATE(2027,2,11),Prof_Dates,0))&lt;&gt;"✓","",IF(INDEX(Prof_Statuses,MATCH(DATE(2027,2,11),Prof_Dates,0))="","✓",INDEX(StatusSymbols,MATCH(INDEX(Prof_Statuses,MATCH(DATE(2027,2,11),Prof_Dates,0)),StatusLabels,0))))),""))</f>
        <v/>
      </c>
      <c r="M49" s="124">
        <f>IF(Prof_Row="","",IFERROR(IF(DAY(DATE(2027,2,12))&lt;&gt;12,"",IF(INDEX(Prof_Counted,MATCH(DATE(2027,2,12),Prof_Dates,0))&lt;&gt;"✓","",IF(INDEX(Prof_Statuses,MATCH(DATE(2027,2,12),Prof_Dates,0))="","✓",INDEX(StatusSymbols,MATCH(INDEX(Prof_Statuses,MATCH(DATE(2027,2,12),Prof_Dates,0)),StatusLabels,0))))),""))</f>
        <v/>
      </c>
      <c r="N49" s="124">
        <f>IF(Prof_Row="","",IFERROR(IF(DAY(DATE(2027,2,13))&lt;&gt;13,"",IF(INDEX(Prof_Counted,MATCH(DATE(2027,2,13),Prof_Dates,0))&lt;&gt;"✓","",IF(INDEX(Prof_Statuses,MATCH(DATE(2027,2,13),Prof_Dates,0))="","✓",INDEX(StatusSymbols,MATCH(INDEX(Prof_Statuses,MATCH(DATE(2027,2,13),Prof_Dates,0)),StatusLabels,0))))),""))</f>
        <v/>
      </c>
      <c r="O49" s="124">
        <f>IF(Prof_Row="","",IFERROR(IF(DAY(DATE(2027,2,14))&lt;&gt;14,"",IF(INDEX(Prof_Counted,MATCH(DATE(2027,2,14),Prof_Dates,0))&lt;&gt;"✓","",IF(INDEX(Prof_Statuses,MATCH(DATE(2027,2,14),Prof_Dates,0))="","✓",INDEX(StatusSymbols,MATCH(INDEX(Prof_Statuses,MATCH(DATE(2027,2,14),Prof_Dates,0)),StatusLabels,0))))),""))</f>
        <v/>
      </c>
      <c r="P49" s="124">
        <f>IF(Prof_Row="","",IFERROR(IF(DAY(DATE(2027,2,15))&lt;&gt;15,"",IF(INDEX(Prof_Counted,MATCH(DATE(2027,2,15),Prof_Dates,0))&lt;&gt;"✓","",IF(INDEX(Prof_Statuses,MATCH(DATE(2027,2,15),Prof_Dates,0))="","✓",INDEX(StatusSymbols,MATCH(INDEX(Prof_Statuses,MATCH(DATE(2027,2,15),Prof_Dates,0)),StatusLabels,0))))),""))</f>
        <v/>
      </c>
      <c r="Q49" s="124">
        <f>IF(Prof_Row="","",IFERROR(IF(DAY(DATE(2027,2,16))&lt;&gt;16,"",IF(INDEX(Prof_Counted,MATCH(DATE(2027,2,16),Prof_Dates,0))&lt;&gt;"✓","",IF(INDEX(Prof_Statuses,MATCH(DATE(2027,2,16),Prof_Dates,0))="","✓",INDEX(StatusSymbols,MATCH(INDEX(Prof_Statuses,MATCH(DATE(2027,2,16),Prof_Dates,0)),StatusLabels,0))))),""))</f>
        <v/>
      </c>
      <c r="R49" s="124">
        <f>IF(Prof_Row="","",IFERROR(IF(DAY(DATE(2027,2,17))&lt;&gt;17,"",IF(INDEX(Prof_Counted,MATCH(DATE(2027,2,17),Prof_Dates,0))&lt;&gt;"✓","",IF(INDEX(Prof_Statuses,MATCH(DATE(2027,2,17),Prof_Dates,0))="","✓",INDEX(StatusSymbols,MATCH(INDEX(Prof_Statuses,MATCH(DATE(2027,2,17),Prof_Dates,0)),StatusLabels,0))))),""))</f>
        <v/>
      </c>
      <c r="S49" s="124">
        <f>IF(Prof_Row="","",IFERROR(IF(DAY(DATE(2027,2,18))&lt;&gt;18,"",IF(INDEX(Prof_Counted,MATCH(DATE(2027,2,18),Prof_Dates,0))&lt;&gt;"✓","",IF(INDEX(Prof_Statuses,MATCH(DATE(2027,2,18),Prof_Dates,0))="","✓",INDEX(StatusSymbols,MATCH(INDEX(Prof_Statuses,MATCH(DATE(2027,2,18),Prof_Dates,0)),StatusLabels,0))))),""))</f>
        <v/>
      </c>
      <c r="T49" s="124">
        <f>IF(Prof_Row="","",IFERROR(IF(DAY(DATE(2027,2,19))&lt;&gt;19,"",IF(INDEX(Prof_Counted,MATCH(DATE(2027,2,19),Prof_Dates,0))&lt;&gt;"✓","",IF(INDEX(Prof_Statuses,MATCH(DATE(2027,2,19),Prof_Dates,0))="","✓",INDEX(StatusSymbols,MATCH(INDEX(Prof_Statuses,MATCH(DATE(2027,2,19),Prof_Dates,0)),StatusLabels,0))))),""))</f>
        <v/>
      </c>
      <c r="U49" s="124">
        <f>IF(Prof_Row="","",IFERROR(IF(DAY(DATE(2027,2,20))&lt;&gt;20,"",IF(INDEX(Prof_Counted,MATCH(DATE(2027,2,20),Prof_Dates,0))&lt;&gt;"✓","",IF(INDEX(Prof_Statuses,MATCH(DATE(2027,2,20),Prof_Dates,0))="","✓",INDEX(StatusSymbols,MATCH(INDEX(Prof_Statuses,MATCH(DATE(2027,2,20),Prof_Dates,0)),StatusLabels,0))))),""))</f>
        <v/>
      </c>
      <c r="V49" s="124">
        <f>IF(Prof_Row="","",IFERROR(IF(DAY(DATE(2027,2,21))&lt;&gt;21,"",IF(INDEX(Prof_Counted,MATCH(DATE(2027,2,21),Prof_Dates,0))&lt;&gt;"✓","",IF(INDEX(Prof_Statuses,MATCH(DATE(2027,2,21),Prof_Dates,0))="","✓",INDEX(StatusSymbols,MATCH(INDEX(Prof_Statuses,MATCH(DATE(2027,2,21),Prof_Dates,0)),StatusLabels,0))))),""))</f>
        <v/>
      </c>
      <c r="W49" s="124">
        <f>IF(Prof_Row="","",IFERROR(IF(DAY(DATE(2027,2,22))&lt;&gt;22,"",IF(INDEX(Prof_Counted,MATCH(DATE(2027,2,22),Prof_Dates,0))&lt;&gt;"✓","",IF(INDEX(Prof_Statuses,MATCH(DATE(2027,2,22),Prof_Dates,0))="","✓",INDEX(StatusSymbols,MATCH(INDEX(Prof_Statuses,MATCH(DATE(2027,2,22),Prof_Dates,0)),StatusLabels,0))))),""))</f>
        <v/>
      </c>
      <c r="X49" s="124">
        <f>IF(Prof_Row="","",IFERROR(IF(DAY(DATE(2027,2,23))&lt;&gt;23,"",IF(INDEX(Prof_Counted,MATCH(DATE(2027,2,23),Prof_Dates,0))&lt;&gt;"✓","",IF(INDEX(Prof_Statuses,MATCH(DATE(2027,2,23),Prof_Dates,0))="","✓",INDEX(StatusSymbols,MATCH(INDEX(Prof_Statuses,MATCH(DATE(2027,2,23),Prof_Dates,0)),StatusLabels,0))))),""))</f>
        <v/>
      </c>
      <c r="Y49" s="124">
        <f>IF(Prof_Row="","",IFERROR(IF(DAY(DATE(2027,2,24))&lt;&gt;24,"",IF(INDEX(Prof_Counted,MATCH(DATE(2027,2,24),Prof_Dates,0))&lt;&gt;"✓","",IF(INDEX(Prof_Statuses,MATCH(DATE(2027,2,24),Prof_Dates,0))="","✓",INDEX(StatusSymbols,MATCH(INDEX(Prof_Statuses,MATCH(DATE(2027,2,24),Prof_Dates,0)),StatusLabels,0))))),""))</f>
        <v/>
      </c>
      <c r="Z49" s="124">
        <f>IF(Prof_Row="","",IFERROR(IF(DAY(DATE(2027,2,25))&lt;&gt;25,"",IF(INDEX(Prof_Counted,MATCH(DATE(2027,2,25),Prof_Dates,0))&lt;&gt;"✓","",IF(INDEX(Prof_Statuses,MATCH(DATE(2027,2,25),Prof_Dates,0))="","✓",INDEX(StatusSymbols,MATCH(INDEX(Prof_Statuses,MATCH(DATE(2027,2,25),Prof_Dates,0)),StatusLabels,0))))),""))</f>
        <v/>
      </c>
      <c r="AA49" s="124">
        <f>IF(Prof_Row="","",IFERROR(IF(DAY(DATE(2027,2,26))&lt;&gt;26,"",IF(INDEX(Prof_Counted,MATCH(DATE(2027,2,26),Prof_Dates,0))&lt;&gt;"✓","",IF(INDEX(Prof_Statuses,MATCH(DATE(2027,2,26),Prof_Dates,0))="","✓",INDEX(StatusSymbols,MATCH(INDEX(Prof_Statuses,MATCH(DATE(2027,2,26),Prof_Dates,0)),StatusLabels,0))))),""))</f>
        <v/>
      </c>
      <c r="AB49" s="124">
        <f>IF(Prof_Row="","",IFERROR(IF(DAY(DATE(2027,2,27))&lt;&gt;27,"",IF(INDEX(Prof_Counted,MATCH(DATE(2027,2,27),Prof_Dates,0))&lt;&gt;"✓","",IF(INDEX(Prof_Statuses,MATCH(DATE(2027,2,27),Prof_Dates,0))="","✓",INDEX(StatusSymbols,MATCH(INDEX(Prof_Statuses,MATCH(DATE(2027,2,27),Prof_Dates,0)),StatusLabels,0))))),""))</f>
        <v/>
      </c>
      <c r="AC49" s="124">
        <f>IF(Prof_Row="","",IFERROR(IF(DAY(DATE(2027,2,28))&lt;&gt;28,"",IF(INDEX(Prof_Counted,MATCH(DATE(2027,2,28),Prof_Dates,0))&lt;&gt;"✓","",IF(INDEX(Prof_Statuses,MATCH(DATE(2027,2,28),Prof_Dates,0))="","✓",INDEX(StatusSymbols,MATCH(INDEX(Prof_Statuses,MATCH(DATE(2027,2,28),Prof_Dates,0)),StatusLabels,0))))),""))</f>
        <v/>
      </c>
      <c r="AD49" s="124">
        <f>IF(Prof_Row="","",IFERROR(IF(DAY(DATE(2027,2,29))&lt;&gt;29,"",IF(INDEX(Prof_Counted,MATCH(DATE(2027,2,29),Prof_Dates,0))&lt;&gt;"✓","",IF(INDEX(Prof_Statuses,MATCH(DATE(2027,2,29),Prof_Dates,0))="","✓",INDEX(StatusSymbols,MATCH(INDEX(Prof_Statuses,MATCH(DATE(2027,2,29),Prof_Dates,0)),StatusLabels,0))))),""))</f>
        <v/>
      </c>
      <c r="AE49" s="124">
        <f>IF(Prof_Row="","",IFERROR(IF(DAY(DATE(2027,2,30))&lt;&gt;30,"",IF(INDEX(Prof_Counted,MATCH(DATE(2027,2,30),Prof_Dates,0))&lt;&gt;"✓","",IF(INDEX(Prof_Statuses,MATCH(DATE(2027,2,30),Prof_Dates,0))="","✓",INDEX(StatusSymbols,MATCH(INDEX(Prof_Statuses,MATCH(DATE(2027,2,30),Prof_Dates,0)),StatusLabels,0))))),""))</f>
        <v/>
      </c>
      <c r="AF49" s="124">
        <f>IF(Prof_Row="","",IFERROR(IF(DAY(DATE(2027,2,31))&lt;&gt;31,"",IF(INDEX(Prof_Counted,MATCH(DATE(2027,2,31),Prof_Dates,0))&lt;&gt;"✓","",IF(INDEX(Prof_Statuses,MATCH(DATE(2027,2,31),Prof_Dates,0))="","✓",INDEX(StatusSymbols,MATCH(INDEX(Prof_Statuses,MATCH(DATE(2027,2,31),Prof_Dates,0)),StatusLabels,0))))),""))</f>
        <v/>
      </c>
    </row>
    <row r="50" ht="18" customHeight="1">
      <c r="A50" s="123" t="inlineStr">
        <is>
          <t>مارس 2027</t>
        </is>
      </c>
      <c r="B50" s="124">
        <f>IF(Prof_Row="","",IFERROR(IF(DAY(DATE(2027,3,1))&lt;&gt;1,"",IF(INDEX(Prof_Counted,MATCH(DATE(2027,3,1),Prof_Dates,0))&lt;&gt;"✓","",IF(INDEX(Prof_Statuses,MATCH(DATE(2027,3,1),Prof_Dates,0))="","✓",INDEX(StatusSymbols,MATCH(INDEX(Prof_Statuses,MATCH(DATE(2027,3,1),Prof_Dates,0)),StatusLabels,0))))),""))</f>
        <v/>
      </c>
      <c r="C50" s="124">
        <f>IF(Prof_Row="","",IFERROR(IF(DAY(DATE(2027,3,2))&lt;&gt;2,"",IF(INDEX(Prof_Counted,MATCH(DATE(2027,3,2),Prof_Dates,0))&lt;&gt;"✓","",IF(INDEX(Prof_Statuses,MATCH(DATE(2027,3,2),Prof_Dates,0))="","✓",INDEX(StatusSymbols,MATCH(INDEX(Prof_Statuses,MATCH(DATE(2027,3,2),Prof_Dates,0)),StatusLabels,0))))),""))</f>
        <v/>
      </c>
      <c r="D50" s="124">
        <f>IF(Prof_Row="","",IFERROR(IF(DAY(DATE(2027,3,3))&lt;&gt;3,"",IF(INDEX(Prof_Counted,MATCH(DATE(2027,3,3),Prof_Dates,0))&lt;&gt;"✓","",IF(INDEX(Prof_Statuses,MATCH(DATE(2027,3,3),Prof_Dates,0))="","✓",INDEX(StatusSymbols,MATCH(INDEX(Prof_Statuses,MATCH(DATE(2027,3,3),Prof_Dates,0)),StatusLabels,0))))),""))</f>
        <v/>
      </c>
      <c r="E50" s="124">
        <f>IF(Prof_Row="","",IFERROR(IF(DAY(DATE(2027,3,4))&lt;&gt;4,"",IF(INDEX(Prof_Counted,MATCH(DATE(2027,3,4),Prof_Dates,0))&lt;&gt;"✓","",IF(INDEX(Prof_Statuses,MATCH(DATE(2027,3,4),Prof_Dates,0))="","✓",INDEX(StatusSymbols,MATCH(INDEX(Prof_Statuses,MATCH(DATE(2027,3,4),Prof_Dates,0)),StatusLabels,0))))),""))</f>
        <v/>
      </c>
      <c r="F50" s="124">
        <f>IF(Prof_Row="","",IFERROR(IF(DAY(DATE(2027,3,5))&lt;&gt;5,"",IF(INDEX(Prof_Counted,MATCH(DATE(2027,3,5),Prof_Dates,0))&lt;&gt;"✓","",IF(INDEX(Prof_Statuses,MATCH(DATE(2027,3,5),Prof_Dates,0))="","✓",INDEX(StatusSymbols,MATCH(INDEX(Prof_Statuses,MATCH(DATE(2027,3,5),Prof_Dates,0)),StatusLabels,0))))),""))</f>
        <v/>
      </c>
      <c r="G50" s="124">
        <f>IF(Prof_Row="","",IFERROR(IF(DAY(DATE(2027,3,6))&lt;&gt;6,"",IF(INDEX(Prof_Counted,MATCH(DATE(2027,3,6),Prof_Dates,0))&lt;&gt;"✓","",IF(INDEX(Prof_Statuses,MATCH(DATE(2027,3,6),Prof_Dates,0))="","✓",INDEX(StatusSymbols,MATCH(INDEX(Prof_Statuses,MATCH(DATE(2027,3,6),Prof_Dates,0)),StatusLabels,0))))),""))</f>
        <v/>
      </c>
      <c r="H50" s="124">
        <f>IF(Prof_Row="","",IFERROR(IF(DAY(DATE(2027,3,7))&lt;&gt;7,"",IF(INDEX(Prof_Counted,MATCH(DATE(2027,3,7),Prof_Dates,0))&lt;&gt;"✓","",IF(INDEX(Prof_Statuses,MATCH(DATE(2027,3,7),Prof_Dates,0))="","✓",INDEX(StatusSymbols,MATCH(INDEX(Prof_Statuses,MATCH(DATE(2027,3,7),Prof_Dates,0)),StatusLabels,0))))),""))</f>
        <v/>
      </c>
      <c r="I50" s="124">
        <f>IF(Prof_Row="","",IFERROR(IF(DAY(DATE(2027,3,8))&lt;&gt;8,"",IF(INDEX(Prof_Counted,MATCH(DATE(2027,3,8),Prof_Dates,0))&lt;&gt;"✓","",IF(INDEX(Prof_Statuses,MATCH(DATE(2027,3,8),Prof_Dates,0))="","✓",INDEX(StatusSymbols,MATCH(INDEX(Prof_Statuses,MATCH(DATE(2027,3,8),Prof_Dates,0)),StatusLabels,0))))),""))</f>
        <v/>
      </c>
      <c r="J50" s="124">
        <f>IF(Prof_Row="","",IFERROR(IF(DAY(DATE(2027,3,9))&lt;&gt;9,"",IF(INDEX(Prof_Counted,MATCH(DATE(2027,3,9),Prof_Dates,0))&lt;&gt;"✓","",IF(INDEX(Prof_Statuses,MATCH(DATE(2027,3,9),Prof_Dates,0))="","✓",INDEX(StatusSymbols,MATCH(INDEX(Prof_Statuses,MATCH(DATE(2027,3,9),Prof_Dates,0)),StatusLabels,0))))),""))</f>
        <v/>
      </c>
      <c r="K50" s="124">
        <f>IF(Prof_Row="","",IFERROR(IF(DAY(DATE(2027,3,10))&lt;&gt;10,"",IF(INDEX(Prof_Counted,MATCH(DATE(2027,3,10),Prof_Dates,0))&lt;&gt;"✓","",IF(INDEX(Prof_Statuses,MATCH(DATE(2027,3,10),Prof_Dates,0))="","✓",INDEX(StatusSymbols,MATCH(INDEX(Prof_Statuses,MATCH(DATE(2027,3,10),Prof_Dates,0)),StatusLabels,0))))),""))</f>
        <v/>
      </c>
      <c r="L50" s="124">
        <f>IF(Prof_Row="","",IFERROR(IF(DAY(DATE(2027,3,11))&lt;&gt;11,"",IF(INDEX(Prof_Counted,MATCH(DATE(2027,3,11),Prof_Dates,0))&lt;&gt;"✓","",IF(INDEX(Prof_Statuses,MATCH(DATE(2027,3,11),Prof_Dates,0))="","✓",INDEX(StatusSymbols,MATCH(INDEX(Prof_Statuses,MATCH(DATE(2027,3,11),Prof_Dates,0)),StatusLabels,0))))),""))</f>
        <v/>
      </c>
      <c r="M50" s="124">
        <f>IF(Prof_Row="","",IFERROR(IF(DAY(DATE(2027,3,12))&lt;&gt;12,"",IF(INDEX(Prof_Counted,MATCH(DATE(2027,3,12),Prof_Dates,0))&lt;&gt;"✓","",IF(INDEX(Prof_Statuses,MATCH(DATE(2027,3,12),Prof_Dates,0))="","✓",INDEX(StatusSymbols,MATCH(INDEX(Prof_Statuses,MATCH(DATE(2027,3,12),Prof_Dates,0)),StatusLabels,0))))),""))</f>
        <v/>
      </c>
      <c r="N50" s="124">
        <f>IF(Prof_Row="","",IFERROR(IF(DAY(DATE(2027,3,13))&lt;&gt;13,"",IF(INDEX(Prof_Counted,MATCH(DATE(2027,3,13),Prof_Dates,0))&lt;&gt;"✓","",IF(INDEX(Prof_Statuses,MATCH(DATE(2027,3,13),Prof_Dates,0))="","✓",INDEX(StatusSymbols,MATCH(INDEX(Prof_Statuses,MATCH(DATE(2027,3,13),Prof_Dates,0)),StatusLabels,0))))),""))</f>
        <v/>
      </c>
      <c r="O50" s="124">
        <f>IF(Prof_Row="","",IFERROR(IF(DAY(DATE(2027,3,14))&lt;&gt;14,"",IF(INDEX(Prof_Counted,MATCH(DATE(2027,3,14),Prof_Dates,0))&lt;&gt;"✓","",IF(INDEX(Prof_Statuses,MATCH(DATE(2027,3,14),Prof_Dates,0))="","✓",INDEX(StatusSymbols,MATCH(INDEX(Prof_Statuses,MATCH(DATE(2027,3,14),Prof_Dates,0)),StatusLabels,0))))),""))</f>
        <v/>
      </c>
      <c r="P50" s="124">
        <f>IF(Prof_Row="","",IFERROR(IF(DAY(DATE(2027,3,15))&lt;&gt;15,"",IF(INDEX(Prof_Counted,MATCH(DATE(2027,3,15),Prof_Dates,0))&lt;&gt;"✓","",IF(INDEX(Prof_Statuses,MATCH(DATE(2027,3,15),Prof_Dates,0))="","✓",INDEX(StatusSymbols,MATCH(INDEX(Prof_Statuses,MATCH(DATE(2027,3,15),Prof_Dates,0)),StatusLabels,0))))),""))</f>
        <v/>
      </c>
      <c r="Q50" s="124">
        <f>IF(Prof_Row="","",IFERROR(IF(DAY(DATE(2027,3,16))&lt;&gt;16,"",IF(INDEX(Prof_Counted,MATCH(DATE(2027,3,16),Prof_Dates,0))&lt;&gt;"✓","",IF(INDEX(Prof_Statuses,MATCH(DATE(2027,3,16),Prof_Dates,0))="","✓",INDEX(StatusSymbols,MATCH(INDEX(Prof_Statuses,MATCH(DATE(2027,3,16),Prof_Dates,0)),StatusLabels,0))))),""))</f>
        <v/>
      </c>
      <c r="R50" s="124">
        <f>IF(Prof_Row="","",IFERROR(IF(DAY(DATE(2027,3,17))&lt;&gt;17,"",IF(INDEX(Prof_Counted,MATCH(DATE(2027,3,17),Prof_Dates,0))&lt;&gt;"✓","",IF(INDEX(Prof_Statuses,MATCH(DATE(2027,3,17),Prof_Dates,0))="","✓",INDEX(StatusSymbols,MATCH(INDEX(Prof_Statuses,MATCH(DATE(2027,3,17),Prof_Dates,0)),StatusLabels,0))))),""))</f>
        <v/>
      </c>
      <c r="S50" s="124">
        <f>IF(Prof_Row="","",IFERROR(IF(DAY(DATE(2027,3,18))&lt;&gt;18,"",IF(INDEX(Prof_Counted,MATCH(DATE(2027,3,18),Prof_Dates,0))&lt;&gt;"✓","",IF(INDEX(Prof_Statuses,MATCH(DATE(2027,3,18),Prof_Dates,0))="","✓",INDEX(StatusSymbols,MATCH(INDEX(Prof_Statuses,MATCH(DATE(2027,3,18),Prof_Dates,0)),StatusLabels,0))))),""))</f>
        <v/>
      </c>
      <c r="T50" s="124">
        <f>IF(Prof_Row="","",IFERROR(IF(DAY(DATE(2027,3,19))&lt;&gt;19,"",IF(INDEX(Prof_Counted,MATCH(DATE(2027,3,19),Prof_Dates,0))&lt;&gt;"✓","",IF(INDEX(Prof_Statuses,MATCH(DATE(2027,3,19),Prof_Dates,0))="","✓",INDEX(StatusSymbols,MATCH(INDEX(Prof_Statuses,MATCH(DATE(2027,3,19),Prof_Dates,0)),StatusLabels,0))))),""))</f>
        <v/>
      </c>
      <c r="U50" s="124">
        <f>IF(Prof_Row="","",IFERROR(IF(DAY(DATE(2027,3,20))&lt;&gt;20,"",IF(INDEX(Prof_Counted,MATCH(DATE(2027,3,20),Prof_Dates,0))&lt;&gt;"✓","",IF(INDEX(Prof_Statuses,MATCH(DATE(2027,3,20),Prof_Dates,0))="","✓",INDEX(StatusSymbols,MATCH(INDEX(Prof_Statuses,MATCH(DATE(2027,3,20),Prof_Dates,0)),StatusLabels,0))))),""))</f>
        <v/>
      </c>
      <c r="V50" s="124">
        <f>IF(Prof_Row="","",IFERROR(IF(DAY(DATE(2027,3,21))&lt;&gt;21,"",IF(INDEX(Prof_Counted,MATCH(DATE(2027,3,21),Prof_Dates,0))&lt;&gt;"✓","",IF(INDEX(Prof_Statuses,MATCH(DATE(2027,3,21),Prof_Dates,0))="","✓",INDEX(StatusSymbols,MATCH(INDEX(Prof_Statuses,MATCH(DATE(2027,3,21),Prof_Dates,0)),StatusLabels,0))))),""))</f>
        <v/>
      </c>
      <c r="W50" s="124">
        <f>IF(Prof_Row="","",IFERROR(IF(DAY(DATE(2027,3,22))&lt;&gt;22,"",IF(INDEX(Prof_Counted,MATCH(DATE(2027,3,22),Prof_Dates,0))&lt;&gt;"✓","",IF(INDEX(Prof_Statuses,MATCH(DATE(2027,3,22),Prof_Dates,0))="","✓",INDEX(StatusSymbols,MATCH(INDEX(Prof_Statuses,MATCH(DATE(2027,3,22),Prof_Dates,0)),StatusLabels,0))))),""))</f>
        <v/>
      </c>
      <c r="X50" s="124">
        <f>IF(Prof_Row="","",IFERROR(IF(DAY(DATE(2027,3,23))&lt;&gt;23,"",IF(INDEX(Prof_Counted,MATCH(DATE(2027,3,23),Prof_Dates,0))&lt;&gt;"✓","",IF(INDEX(Prof_Statuses,MATCH(DATE(2027,3,23),Prof_Dates,0))="","✓",INDEX(StatusSymbols,MATCH(INDEX(Prof_Statuses,MATCH(DATE(2027,3,23),Prof_Dates,0)),StatusLabels,0))))),""))</f>
        <v/>
      </c>
      <c r="Y50" s="124">
        <f>IF(Prof_Row="","",IFERROR(IF(DAY(DATE(2027,3,24))&lt;&gt;24,"",IF(INDEX(Prof_Counted,MATCH(DATE(2027,3,24),Prof_Dates,0))&lt;&gt;"✓","",IF(INDEX(Prof_Statuses,MATCH(DATE(2027,3,24),Prof_Dates,0))="","✓",INDEX(StatusSymbols,MATCH(INDEX(Prof_Statuses,MATCH(DATE(2027,3,24),Prof_Dates,0)),StatusLabels,0))))),""))</f>
        <v/>
      </c>
      <c r="Z50" s="124">
        <f>IF(Prof_Row="","",IFERROR(IF(DAY(DATE(2027,3,25))&lt;&gt;25,"",IF(INDEX(Prof_Counted,MATCH(DATE(2027,3,25),Prof_Dates,0))&lt;&gt;"✓","",IF(INDEX(Prof_Statuses,MATCH(DATE(2027,3,25),Prof_Dates,0))="","✓",INDEX(StatusSymbols,MATCH(INDEX(Prof_Statuses,MATCH(DATE(2027,3,25),Prof_Dates,0)),StatusLabels,0))))),""))</f>
        <v/>
      </c>
      <c r="AA50" s="124">
        <f>IF(Prof_Row="","",IFERROR(IF(DAY(DATE(2027,3,26))&lt;&gt;26,"",IF(INDEX(Prof_Counted,MATCH(DATE(2027,3,26),Prof_Dates,0))&lt;&gt;"✓","",IF(INDEX(Prof_Statuses,MATCH(DATE(2027,3,26),Prof_Dates,0))="","✓",INDEX(StatusSymbols,MATCH(INDEX(Prof_Statuses,MATCH(DATE(2027,3,26),Prof_Dates,0)),StatusLabels,0))))),""))</f>
        <v/>
      </c>
      <c r="AB50" s="124">
        <f>IF(Prof_Row="","",IFERROR(IF(DAY(DATE(2027,3,27))&lt;&gt;27,"",IF(INDEX(Prof_Counted,MATCH(DATE(2027,3,27),Prof_Dates,0))&lt;&gt;"✓","",IF(INDEX(Prof_Statuses,MATCH(DATE(2027,3,27),Prof_Dates,0))="","✓",INDEX(StatusSymbols,MATCH(INDEX(Prof_Statuses,MATCH(DATE(2027,3,27),Prof_Dates,0)),StatusLabels,0))))),""))</f>
        <v/>
      </c>
      <c r="AC50" s="124">
        <f>IF(Prof_Row="","",IFERROR(IF(DAY(DATE(2027,3,28))&lt;&gt;28,"",IF(INDEX(Prof_Counted,MATCH(DATE(2027,3,28),Prof_Dates,0))&lt;&gt;"✓","",IF(INDEX(Prof_Statuses,MATCH(DATE(2027,3,28),Prof_Dates,0))="","✓",INDEX(StatusSymbols,MATCH(INDEX(Prof_Statuses,MATCH(DATE(2027,3,28),Prof_Dates,0)),StatusLabels,0))))),""))</f>
        <v/>
      </c>
      <c r="AD50" s="124">
        <f>IF(Prof_Row="","",IFERROR(IF(DAY(DATE(2027,3,29))&lt;&gt;29,"",IF(INDEX(Prof_Counted,MATCH(DATE(2027,3,29),Prof_Dates,0))&lt;&gt;"✓","",IF(INDEX(Prof_Statuses,MATCH(DATE(2027,3,29),Prof_Dates,0))="","✓",INDEX(StatusSymbols,MATCH(INDEX(Prof_Statuses,MATCH(DATE(2027,3,29),Prof_Dates,0)),StatusLabels,0))))),""))</f>
        <v/>
      </c>
      <c r="AE50" s="124">
        <f>IF(Prof_Row="","",IFERROR(IF(DAY(DATE(2027,3,30))&lt;&gt;30,"",IF(INDEX(Prof_Counted,MATCH(DATE(2027,3,30),Prof_Dates,0))&lt;&gt;"✓","",IF(INDEX(Prof_Statuses,MATCH(DATE(2027,3,30),Prof_Dates,0))="","✓",INDEX(StatusSymbols,MATCH(INDEX(Prof_Statuses,MATCH(DATE(2027,3,30),Prof_Dates,0)),StatusLabels,0))))),""))</f>
        <v/>
      </c>
      <c r="AF50" s="124">
        <f>IF(Prof_Row="","",IFERROR(IF(DAY(DATE(2027,3,31))&lt;&gt;31,"",IF(INDEX(Prof_Counted,MATCH(DATE(2027,3,31),Prof_Dates,0))&lt;&gt;"✓","",IF(INDEX(Prof_Statuses,MATCH(DATE(2027,3,31),Prof_Dates,0))="","✓",INDEX(StatusSymbols,MATCH(INDEX(Prof_Statuses,MATCH(DATE(2027,3,31),Prof_Dates,0)),StatusLabels,0))))),""))</f>
        <v/>
      </c>
    </row>
    <row r="51" ht="18" customHeight="1">
      <c r="A51" s="123" t="inlineStr">
        <is>
          <t>أبريل 2027</t>
        </is>
      </c>
      <c r="B51" s="124">
        <f>IF(Prof_Row="","",IFERROR(IF(DAY(DATE(2027,4,1))&lt;&gt;1,"",IF(INDEX(Prof_Counted,MATCH(DATE(2027,4,1),Prof_Dates,0))&lt;&gt;"✓","",IF(INDEX(Prof_Statuses,MATCH(DATE(2027,4,1),Prof_Dates,0))="","✓",INDEX(StatusSymbols,MATCH(INDEX(Prof_Statuses,MATCH(DATE(2027,4,1),Prof_Dates,0)),StatusLabels,0))))),""))</f>
        <v/>
      </c>
      <c r="C51" s="124">
        <f>IF(Prof_Row="","",IFERROR(IF(DAY(DATE(2027,4,2))&lt;&gt;2,"",IF(INDEX(Prof_Counted,MATCH(DATE(2027,4,2),Prof_Dates,0))&lt;&gt;"✓","",IF(INDEX(Prof_Statuses,MATCH(DATE(2027,4,2),Prof_Dates,0))="","✓",INDEX(StatusSymbols,MATCH(INDEX(Prof_Statuses,MATCH(DATE(2027,4,2),Prof_Dates,0)),StatusLabels,0))))),""))</f>
        <v/>
      </c>
      <c r="D51" s="124">
        <f>IF(Prof_Row="","",IFERROR(IF(DAY(DATE(2027,4,3))&lt;&gt;3,"",IF(INDEX(Prof_Counted,MATCH(DATE(2027,4,3),Prof_Dates,0))&lt;&gt;"✓","",IF(INDEX(Prof_Statuses,MATCH(DATE(2027,4,3),Prof_Dates,0))="","✓",INDEX(StatusSymbols,MATCH(INDEX(Prof_Statuses,MATCH(DATE(2027,4,3),Prof_Dates,0)),StatusLabels,0))))),""))</f>
        <v/>
      </c>
      <c r="E51" s="124">
        <f>IF(Prof_Row="","",IFERROR(IF(DAY(DATE(2027,4,4))&lt;&gt;4,"",IF(INDEX(Prof_Counted,MATCH(DATE(2027,4,4),Prof_Dates,0))&lt;&gt;"✓","",IF(INDEX(Prof_Statuses,MATCH(DATE(2027,4,4),Prof_Dates,0))="","✓",INDEX(StatusSymbols,MATCH(INDEX(Prof_Statuses,MATCH(DATE(2027,4,4),Prof_Dates,0)),StatusLabels,0))))),""))</f>
        <v/>
      </c>
      <c r="F51" s="124">
        <f>IF(Prof_Row="","",IFERROR(IF(DAY(DATE(2027,4,5))&lt;&gt;5,"",IF(INDEX(Prof_Counted,MATCH(DATE(2027,4,5),Prof_Dates,0))&lt;&gt;"✓","",IF(INDEX(Prof_Statuses,MATCH(DATE(2027,4,5),Prof_Dates,0))="","✓",INDEX(StatusSymbols,MATCH(INDEX(Prof_Statuses,MATCH(DATE(2027,4,5),Prof_Dates,0)),StatusLabels,0))))),""))</f>
        <v/>
      </c>
      <c r="G51" s="124">
        <f>IF(Prof_Row="","",IFERROR(IF(DAY(DATE(2027,4,6))&lt;&gt;6,"",IF(INDEX(Prof_Counted,MATCH(DATE(2027,4,6),Prof_Dates,0))&lt;&gt;"✓","",IF(INDEX(Prof_Statuses,MATCH(DATE(2027,4,6),Prof_Dates,0))="","✓",INDEX(StatusSymbols,MATCH(INDEX(Prof_Statuses,MATCH(DATE(2027,4,6),Prof_Dates,0)),StatusLabels,0))))),""))</f>
        <v/>
      </c>
      <c r="H51" s="124">
        <f>IF(Prof_Row="","",IFERROR(IF(DAY(DATE(2027,4,7))&lt;&gt;7,"",IF(INDEX(Prof_Counted,MATCH(DATE(2027,4,7),Prof_Dates,0))&lt;&gt;"✓","",IF(INDEX(Prof_Statuses,MATCH(DATE(2027,4,7),Prof_Dates,0))="","✓",INDEX(StatusSymbols,MATCH(INDEX(Prof_Statuses,MATCH(DATE(2027,4,7),Prof_Dates,0)),StatusLabels,0))))),""))</f>
        <v/>
      </c>
      <c r="I51" s="124">
        <f>IF(Prof_Row="","",IFERROR(IF(DAY(DATE(2027,4,8))&lt;&gt;8,"",IF(INDEX(Prof_Counted,MATCH(DATE(2027,4,8),Prof_Dates,0))&lt;&gt;"✓","",IF(INDEX(Prof_Statuses,MATCH(DATE(2027,4,8),Prof_Dates,0))="","✓",INDEX(StatusSymbols,MATCH(INDEX(Prof_Statuses,MATCH(DATE(2027,4,8),Prof_Dates,0)),StatusLabels,0))))),""))</f>
        <v/>
      </c>
      <c r="J51" s="124">
        <f>IF(Prof_Row="","",IFERROR(IF(DAY(DATE(2027,4,9))&lt;&gt;9,"",IF(INDEX(Prof_Counted,MATCH(DATE(2027,4,9),Prof_Dates,0))&lt;&gt;"✓","",IF(INDEX(Prof_Statuses,MATCH(DATE(2027,4,9),Prof_Dates,0))="","✓",INDEX(StatusSymbols,MATCH(INDEX(Prof_Statuses,MATCH(DATE(2027,4,9),Prof_Dates,0)),StatusLabels,0))))),""))</f>
        <v/>
      </c>
      <c r="K51" s="124">
        <f>IF(Prof_Row="","",IFERROR(IF(DAY(DATE(2027,4,10))&lt;&gt;10,"",IF(INDEX(Prof_Counted,MATCH(DATE(2027,4,10),Prof_Dates,0))&lt;&gt;"✓","",IF(INDEX(Prof_Statuses,MATCH(DATE(2027,4,10),Prof_Dates,0))="","✓",INDEX(StatusSymbols,MATCH(INDEX(Prof_Statuses,MATCH(DATE(2027,4,10),Prof_Dates,0)),StatusLabels,0))))),""))</f>
        <v/>
      </c>
      <c r="L51" s="124">
        <f>IF(Prof_Row="","",IFERROR(IF(DAY(DATE(2027,4,11))&lt;&gt;11,"",IF(INDEX(Prof_Counted,MATCH(DATE(2027,4,11),Prof_Dates,0))&lt;&gt;"✓","",IF(INDEX(Prof_Statuses,MATCH(DATE(2027,4,11),Prof_Dates,0))="","✓",INDEX(StatusSymbols,MATCH(INDEX(Prof_Statuses,MATCH(DATE(2027,4,11),Prof_Dates,0)),StatusLabels,0))))),""))</f>
        <v/>
      </c>
      <c r="M51" s="124">
        <f>IF(Prof_Row="","",IFERROR(IF(DAY(DATE(2027,4,12))&lt;&gt;12,"",IF(INDEX(Prof_Counted,MATCH(DATE(2027,4,12),Prof_Dates,0))&lt;&gt;"✓","",IF(INDEX(Prof_Statuses,MATCH(DATE(2027,4,12),Prof_Dates,0))="","✓",INDEX(StatusSymbols,MATCH(INDEX(Prof_Statuses,MATCH(DATE(2027,4,12),Prof_Dates,0)),StatusLabels,0))))),""))</f>
        <v/>
      </c>
      <c r="N51" s="124">
        <f>IF(Prof_Row="","",IFERROR(IF(DAY(DATE(2027,4,13))&lt;&gt;13,"",IF(INDEX(Prof_Counted,MATCH(DATE(2027,4,13),Prof_Dates,0))&lt;&gt;"✓","",IF(INDEX(Prof_Statuses,MATCH(DATE(2027,4,13),Prof_Dates,0))="","✓",INDEX(StatusSymbols,MATCH(INDEX(Prof_Statuses,MATCH(DATE(2027,4,13),Prof_Dates,0)),StatusLabels,0))))),""))</f>
        <v/>
      </c>
      <c r="O51" s="124">
        <f>IF(Prof_Row="","",IFERROR(IF(DAY(DATE(2027,4,14))&lt;&gt;14,"",IF(INDEX(Prof_Counted,MATCH(DATE(2027,4,14),Prof_Dates,0))&lt;&gt;"✓","",IF(INDEX(Prof_Statuses,MATCH(DATE(2027,4,14),Prof_Dates,0))="","✓",INDEX(StatusSymbols,MATCH(INDEX(Prof_Statuses,MATCH(DATE(2027,4,14),Prof_Dates,0)),StatusLabels,0))))),""))</f>
        <v/>
      </c>
      <c r="P51" s="124">
        <f>IF(Prof_Row="","",IFERROR(IF(DAY(DATE(2027,4,15))&lt;&gt;15,"",IF(INDEX(Prof_Counted,MATCH(DATE(2027,4,15),Prof_Dates,0))&lt;&gt;"✓","",IF(INDEX(Prof_Statuses,MATCH(DATE(2027,4,15),Prof_Dates,0))="","✓",INDEX(StatusSymbols,MATCH(INDEX(Prof_Statuses,MATCH(DATE(2027,4,15),Prof_Dates,0)),StatusLabels,0))))),""))</f>
        <v/>
      </c>
      <c r="Q51" s="124">
        <f>IF(Prof_Row="","",IFERROR(IF(DAY(DATE(2027,4,16))&lt;&gt;16,"",IF(INDEX(Prof_Counted,MATCH(DATE(2027,4,16),Prof_Dates,0))&lt;&gt;"✓","",IF(INDEX(Prof_Statuses,MATCH(DATE(2027,4,16),Prof_Dates,0))="","✓",INDEX(StatusSymbols,MATCH(INDEX(Prof_Statuses,MATCH(DATE(2027,4,16),Prof_Dates,0)),StatusLabels,0))))),""))</f>
        <v/>
      </c>
      <c r="R51" s="124">
        <f>IF(Prof_Row="","",IFERROR(IF(DAY(DATE(2027,4,17))&lt;&gt;17,"",IF(INDEX(Prof_Counted,MATCH(DATE(2027,4,17),Prof_Dates,0))&lt;&gt;"✓","",IF(INDEX(Prof_Statuses,MATCH(DATE(2027,4,17),Prof_Dates,0))="","✓",INDEX(StatusSymbols,MATCH(INDEX(Prof_Statuses,MATCH(DATE(2027,4,17),Prof_Dates,0)),StatusLabels,0))))),""))</f>
        <v/>
      </c>
      <c r="S51" s="124">
        <f>IF(Prof_Row="","",IFERROR(IF(DAY(DATE(2027,4,18))&lt;&gt;18,"",IF(INDEX(Prof_Counted,MATCH(DATE(2027,4,18),Prof_Dates,0))&lt;&gt;"✓","",IF(INDEX(Prof_Statuses,MATCH(DATE(2027,4,18),Prof_Dates,0))="","✓",INDEX(StatusSymbols,MATCH(INDEX(Prof_Statuses,MATCH(DATE(2027,4,18),Prof_Dates,0)),StatusLabels,0))))),""))</f>
        <v/>
      </c>
      <c r="T51" s="124">
        <f>IF(Prof_Row="","",IFERROR(IF(DAY(DATE(2027,4,19))&lt;&gt;19,"",IF(INDEX(Prof_Counted,MATCH(DATE(2027,4,19),Prof_Dates,0))&lt;&gt;"✓","",IF(INDEX(Prof_Statuses,MATCH(DATE(2027,4,19),Prof_Dates,0))="","✓",INDEX(StatusSymbols,MATCH(INDEX(Prof_Statuses,MATCH(DATE(2027,4,19),Prof_Dates,0)),StatusLabels,0))))),""))</f>
        <v/>
      </c>
      <c r="U51" s="124">
        <f>IF(Prof_Row="","",IFERROR(IF(DAY(DATE(2027,4,20))&lt;&gt;20,"",IF(INDEX(Prof_Counted,MATCH(DATE(2027,4,20),Prof_Dates,0))&lt;&gt;"✓","",IF(INDEX(Prof_Statuses,MATCH(DATE(2027,4,20),Prof_Dates,0))="","✓",INDEX(StatusSymbols,MATCH(INDEX(Prof_Statuses,MATCH(DATE(2027,4,20),Prof_Dates,0)),StatusLabels,0))))),""))</f>
        <v/>
      </c>
      <c r="V51" s="124">
        <f>IF(Prof_Row="","",IFERROR(IF(DAY(DATE(2027,4,21))&lt;&gt;21,"",IF(INDEX(Prof_Counted,MATCH(DATE(2027,4,21),Prof_Dates,0))&lt;&gt;"✓","",IF(INDEX(Prof_Statuses,MATCH(DATE(2027,4,21),Prof_Dates,0))="","✓",INDEX(StatusSymbols,MATCH(INDEX(Prof_Statuses,MATCH(DATE(2027,4,21),Prof_Dates,0)),StatusLabels,0))))),""))</f>
        <v/>
      </c>
      <c r="W51" s="124">
        <f>IF(Prof_Row="","",IFERROR(IF(DAY(DATE(2027,4,22))&lt;&gt;22,"",IF(INDEX(Prof_Counted,MATCH(DATE(2027,4,22),Prof_Dates,0))&lt;&gt;"✓","",IF(INDEX(Prof_Statuses,MATCH(DATE(2027,4,22),Prof_Dates,0))="","✓",INDEX(StatusSymbols,MATCH(INDEX(Prof_Statuses,MATCH(DATE(2027,4,22),Prof_Dates,0)),StatusLabels,0))))),""))</f>
        <v/>
      </c>
      <c r="X51" s="124">
        <f>IF(Prof_Row="","",IFERROR(IF(DAY(DATE(2027,4,23))&lt;&gt;23,"",IF(INDEX(Prof_Counted,MATCH(DATE(2027,4,23),Prof_Dates,0))&lt;&gt;"✓","",IF(INDEX(Prof_Statuses,MATCH(DATE(2027,4,23),Prof_Dates,0))="","✓",INDEX(StatusSymbols,MATCH(INDEX(Prof_Statuses,MATCH(DATE(2027,4,23),Prof_Dates,0)),StatusLabels,0))))),""))</f>
        <v/>
      </c>
      <c r="Y51" s="124">
        <f>IF(Prof_Row="","",IFERROR(IF(DAY(DATE(2027,4,24))&lt;&gt;24,"",IF(INDEX(Prof_Counted,MATCH(DATE(2027,4,24),Prof_Dates,0))&lt;&gt;"✓","",IF(INDEX(Prof_Statuses,MATCH(DATE(2027,4,24),Prof_Dates,0))="","✓",INDEX(StatusSymbols,MATCH(INDEX(Prof_Statuses,MATCH(DATE(2027,4,24),Prof_Dates,0)),StatusLabels,0))))),""))</f>
        <v/>
      </c>
      <c r="Z51" s="124">
        <f>IF(Prof_Row="","",IFERROR(IF(DAY(DATE(2027,4,25))&lt;&gt;25,"",IF(INDEX(Prof_Counted,MATCH(DATE(2027,4,25),Prof_Dates,0))&lt;&gt;"✓","",IF(INDEX(Prof_Statuses,MATCH(DATE(2027,4,25),Prof_Dates,0))="","✓",INDEX(StatusSymbols,MATCH(INDEX(Prof_Statuses,MATCH(DATE(2027,4,25),Prof_Dates,0)),StatusLabels,0))))),""))</f>
        <v/>
      </c>
      <c r="AA51" s="124">
        <f>IF(Prof_Row="","",IFERROR(IF(DAY(DATE(2027,4,26))&lt;&gt;26,"",IF(INDEX(Prof_Counted,MATCH(DATE(2027,4,26),Prof_Dates,0))&lt;&gt;"✓","",IF(INDEX(Prof_Statuses,MATCH(DATE(2027,4,26),Prof_Dates,0))="","✓",INDEX(StatusSymbols,MATCH(INDEX(Prof_Statuses,MATCH(DATE(2027,4,26),Prof_Dates,0)),StatusLabels,0))))),""))</f>
        <v/>
      </c>
      <c r="AB51" s="124">
        <f>IF(Prof_Row="","",IFERROR(IF(DAY(DATE(2027,4,27))&lt;&gt;27,"",IF(INDEX(Prof_Counted,MATCH(DATE(2027,4,27),Prof_Dates,0))&lt;&gt;"✓","",IF(INDEX(Prof_Statuses,MATCH(DATE(2027,4,27),Prof_Dates,0))="","✓",INDEX(StatusSymbols,MATCH(INDEX(Prof_Statuses,MATCH(DATE(2027,4,27),Prof_Dates,0)),StatusLabels,0))))),""))</f>
        <v/>
      </c>
      <c r="AC51" s="124">
        <f>IF(Prof_Row="","",IFERROR(IF(DAY(DATE(2027,4,28))&lt;&gt;28,"",IF(INDEX(Prof_Counted,MATCH(DATE(2027,4,28),Prof_Dates,0))&lt;&gt;"✓","",IF(INDEX(Prof_Statuses,MATCH(DATE(2027,4,28),Prof_Dates,0))="","✓",INDEX(StatusSymbols,MATCH(INDEX(Prof_Statuses,MATCH(DATE(2027,4,28),Prof_Dates,0)),StatusLabels,0))))),""))</f>
        <v/>
      </c>
      <c r="AD51" s="124">
        <f>IF(Prof_Row="","",IFERROR(IF(DAY(DATE(2027,4,29))&lt;&gt;29,"",IF(INDEX(Prof_Counted,MATCH(DATE(2027,4,29),Prof_Dates,0))&lt;&gt;"✓","",IF(INDEX(Prof_Statuses,MATCH(DATE(2027,4,29),Prof_Dates,0))="","✓",INDEX(StatusSymbols,MATCH(INDEX(Prof_Statuses,MATCH(DATE(2027,4,29),Prof_Dates,0)),StatusLabels,0))))),""))</f>
        <v/>
      </c>
      <c r="AE51" s="124">
        <f>IF(Prof_Row="","",IFERROR(IF(DAY(DATE(2027,4,30))&lt;&gt;30,"",IF(INDEX(Prof_Counted,MATCH(DATE(2027,4,30),Prof_Dates,0))&lt;&gt;"✓","",IF(INDEX(Prof_Statuses,MATCH(DATE(2027,4,30),Prof_Dates,0))="","✓",INDEX(StatusSymbols,MATCH(INDEX(Prof_Statuses,MATCH(DATE(2027,4,30),Prof_Dates,0)),StatusLabels,0))))),""))</f>
        <v/>
      </c>
      <c r="AF51" s="124">
        <f>IF(Prof_Row="","",IFERROR(IF(DAY(DATE(2027,4,31))&lt;&gt;31,"",IF(INDEX(Prof_Counted,MATCH(DATE(2027,4,31),Prof_Dates,0))&lt;&gt;"✓","",IF(INDEX(Prof_Statuses,MATCH(DATE(2027,4,31),Prof_Dates,0))="","✓",INDEX(StatusSymbols,MATCH(INDEX(Prof_Statuses,MATCH(DATE(2027,4,31),Prof_Dates,0)),StatusLabels,0))))),""))</f>
        <v/>
      </c>
    </row>
    <row r="52" ht="18" customHeight="1">
      <c r="A52" s="123" t="inlineStr">
        <is>
          <t>مايو 2027</t>
        </is>
      </c>
      <c r="B52" s="124">
        <f>IF(Prof_Row="","",IFERROR(IF(DAY(DATE(2027,5,1))&lt;&gt;1,"",IF(INDEX(Prof_Counted,MATCH(DATE(2027,5,1),Prof_Dates,0))&lt;&gt;"✓","",IF(INDEX(Prof_Statuses,MATCH(DATE(2027,5,1),Prof_Dates,0))="","✓",INDEX(StatusSymbols,MATCH(INDEX(Prof_Statuses,MATCH(DATE(2027,5,1),Prof_Dates,0)),StatusLabels,0))))),""))</f>
        <v/>
      </c>
      <c r="C52" s="124">
        <f>IF(Prof_Row="","",IFERROR(IF(DAY(DATE(2027,5,2))&lt;&gt;2,"",IF(INDEX(Prof_Counted,MATCH(DATE(2027,5,2),Prof_Dates,0))&lt;&gt;"✓","",IF(INDEX(Prof_Statuses,MATCH(DATE(2027,5,2),Prof_Dates,0))="","✓",INDEX(StatusSymbols,MATCH(INDEX(Prof_Statuses,MATCH(DATE(2027,5,2),Prof_Dates,0)),StatusLabels,0))))),""))</f>
        <v/>
      </c>
      <c r="D52" s="124">
        <f>IF(Prof_Row="","",IFERROR(IF(DAY(DATE(2027,5,3))&lt;&gt;3,"",IF(INDEX(Prof_Counted,MATCH(DATE(2027,5,3),Prof_Dates,0))&lt;&gt;"✓","",IF(INDEX(Prof_Statuses,MATCH(DATE(2027,5,3),Prof_Dates,0))="","✓",INDEX(StatusSymbols,MATCH(INDEX(Prof_Statuses,MATCH(DATE(2027,5,3),Prof_Dates,0)),StatusLabels,0))))),""))</f>
        <v/>
      </c>
      <c r="E52" s="124">
        <f>IF(Prof_Row="","",IFERROR(IF(DAY(DATE(2027,5,4))&lt;&gt;4,"",IF(INDEX(Prof_Counted,MATCH(DATE(2027,5,4),Prof_Dates,0))&lt;&gt;"✓","",IF(INDEX(Prof_Statuses,MATCH(DATE(2027,5,4),Prof_Dates,0))="","✓",INDEX(StatusSymbols,MATCH(INDEX(Prof_Statuses,MATCH(DATE(2027,5,4),Prof_Dates,0)),StatusLabels,0))))),""))</f>
        <v/>
      </c>
      <c r="F52" s="124">
        <f>IF(Prof_Row="","",IFERROR(IF(DAY(DATE(2027,5,5))&lt;&gt;5,"",IF(INDEX(Prof_Counted,MATCH(DATE(2027,5,5),Prof_Dates,0))&lt;&gt;"✓","",IF(INDEX(Prof_Statuses,MATCH(DATE(2027,5,5),Prof_Dates,0))="","✓",INDEX(StatusSymbols,MATCH(INDEX(Prof_Statuses,MATCH(DATE(2027,5,5),Prof_Dates,0)),StatusLabels,0))))),""))</f>
        <v/>
      </c>
      <c r="G52" s="124">
        <f>IF(Prof_Row="","",IFERROR(IF(DAY(DATE(2027,5,6))&lt;&gt;6,"",IF(INDEX(Prof_Counted,MATCH(DATE(2027,5,6),Prof_Dates,0))&lt;&gt;"✓","",IF(INDEX(Prof_Statuses,MATCH(DATE(2027,5,6),Prof_Dates,0))="","✓",INDEX(StatusSymbols,MATCH(INDEX(Prof_Statuses,MATCH(DATE(2027,5,6),Prof_Dates,0)),StatusLabels,0))))),""))</f>
        <v/>
      </c>
      <c r="H52" s="124">
        <f>IF(Prof_Row="","",IFERROR(IF(DAY(DATE(2027,5,7))&lt;&gt;7,"",IF(INDEX(Prof_Counted,MATCH(DATE(2027,5,7),Prof_Dates,0))&lt;&gt;"✓","",IF(INDEX(Prof_Statuses,MATCH(DATE(2027,5,7),Prof_Dates,0))="","✓",INDEX(StatusSymbols,MATCH(INDEX(Prof_Statuses,MATCH(DATE(2027,5,7),Prof_Dates,0)),StatusLabels,0))))),""))</f>
        <v/>
      </c>
      <c r="I52" s="124">
        <f>IF(Prof_Row="","",IFERROR(IF(DAY(DATE(2027,5,8))&lt;&gt;8,"",IF(INDEX(Prof_Counted,MATCH(DATE(2027,5,8),Prof_Dates,0))&lt;&gt;"✓","",IF(INDEX(Prof_Statuses,MATCH(DATE(2027,5,8),Prof_Dates,0))="","✓",INDEX(StatusSymbols,MATCH(INDEX(Prof_Statuses,MATCH(DATE(2027,5,8),Prof_Dates,0)),StatusLabels,0))))),""))</f>
        <v/>
      </c>
      <c r="J52" s="124">
        <f>IF(Prof_Row="","",IFERROR(IF(DAY(DATE(2027,5,9))&lt;&gt;9,"",IF(INDEX(Prof_Counted,MATCH(DATE(2027,5,9),Prof_Dates,0))&lt;&gt;"✓","",IF(INDEX(Prof_Statuses,MATCH(DATE(2027,5,9),Prof_Dates,0))="","✓",INDEX(StatusSymbols,MATCH(INDEX(Prof_Statuses,MATCH(DATE(2027,5,9),Prof_Dates,0)),StatusLabels,0))))),""))</f>
        <v/>
      </c>
      <c r="K52" s="124">
        <f>IF(Prof_Row="","",IFERROR(IF(DAY(DATE(2027,5,10))&lt;&gt;10,"",IF(INDEX(Prof_Counted,MATCH(DATE(2027,5,10),Prof_Dates,0))&lt;&gt;"✓","",IF(INDEX(Prof_Statuses,MATCH(DATE(2027,5,10),Prof_Dates,0))="","✓",INDEX(StatusSymbols,MATCH(INDEX(Prof_Statuses,MATCH(DATE(2027,5,10),Prof_Dates,0)),StatusLabels,0))))),""))</f>
        <v/>
      </c>
      <c r="L52" s="124">
        <f>IF(Prof_Row="","",IFERROR(IF(DAY(DATE(2027,5,11))&lt;&gt;11,"",IF(INDEX(Prof_Counted,MATCH(DATE(2027,5,11),Prof_Dates,0))&lt;&gt;"✓","",IF(INDEX(Prof_Statuses,MATCH(DATE(2027,5,11),Prof_Dates,0))="","✓",INDEX(StatusSymbols,MATCH(INDEX(Prof_Statuses,MATCH(DATE(2027,5,11),Prof_Dates,0)),StatusLabels,0))))),""))</f>
        <v/>
      </c>
      <c r="M52" s="124">
        <f>IF(Prof_Row="","",IFERROR(IF(DAY(DATE(2027,5,12))&lt;&gt;12,"",IF(INDEX(Prof_Counted,MATCH(DATE(2027,5,12),Prof_Dates,0))&lt;&gt;"✓","",IF(INDEX(Prof_Statuses,MATCH(DATE(2027,5,12),Prof_Dates,0))="","✓",INDEX(StatusSymbols,MATCH(INDEX(Prof_Statuses,MATCH(DATE(2027,5,12),Prof_Dates,0)),StatusLabels,0))))),""))</f>
        <v/>
      </c>
      <c r="N52" s="124">
        <f>IF(Prof_Row="","",IFERROR(IF(DAY(DATE(2027,5,13))&lt;&gt;13,"",IF(INDEX(Prof_Counted,MATCH(DATE(2027,5,13),Prof_Dates,0))&lt;&gt;"✓","",IF(INDEX(Prof_Statuses,MATCH(DATE(2027,5,13),Prof_Dates,0))="","✓",INDEX(StatusSymbols,MATCH(INDEX(Prof_Statuses,MATCH(DATE(2027,5,13),Prof_Dates,0)),StatusLabels,0))))),""))</f>
        <v/>
      </c>
      <c r="O52" s="124">
        <f>IF(Prof_Row="","",IFERROR(IF(DAY(DATE(2027,5,14))&lt;&gt;14,"",IF(INDEX(Prof_Counted,MATCH(DATE(2027,5,14),Prof_Dates,0))&lt;&gt;"✓","",IF(INDEX(Prof_Statuses,MATCH(DATE(2027,5,14),Prof_Dates,0))="","✓",INDEX(StatusSymbols,MATCH(INDEX(Prof_Statuses,MATCH(DATE(2027,5,14),Prof_Dates,0)),StatusLabels,0))))),""))</f>
        <v/>
      </c>
      <c r="P52" s="124">
        <f>IF(Prof_Row="","",IFERROR(IF(DAY(DATE(2027,5,15))&lt;&gt;15,"",IF(INDEX(Prof_Counted,MATCH(DATE(2027,5,15),Prof_Dates,0))&lt;&gt;"✓","",IF(INDEX(Prof_Statuses,MATCH(DATE(2027,5,15),Prof_Dates,0))="","✓",INDEX(StatusSymbols,MATCH(INDEX(Prof_Statuses,MATCH(DATE(2027,5,15),Prof_Dates,0)),StatusLabels,0))))),""))</f>
        <v/>
      </c>
      <c r="Q52" s="124">
        <f>IF(Prof_Row="","",IFERROR(IF(DAY(DATE(2027,5,16))&lt;&gt;16,"",IF(INDEX(Prof_Counted,MATCH(DATE(2027,5,16),Prof_Dates,0))&lt;&gt;"✓","",IF(INDEX(Prof_Statuses,MATCH(DATE(2027,5,16),Prof_Dates,0))="","✓",INDEX(StatusSymbols,MATCH(INDEX(Prof_Statuses,MATCH(DATE(2027,5,16),Prof_Dates,0)),StatusLabels,0))))),""))</f>
        <v/>
      </c>
      <c r="R52" s="124">
        <f>IF(Prof_Row="","",IFERROR(IF(DAY(DATE(2027,5,17))&lt;&gt;17,"",IF(INDEX(Prof_Counted,MATCH(DATE(2027,5,17),Prof_Dates,0))&lt;&gt;"✓","",IF(INDEX(Prof_Statuses,MATCH(DATE(2027,5,17),Prof_Dates,0))="","✓",INDEX(StatusSymbols,MATCH(INDEX(Prof_Statuses,MATCH(DATE(2027,5,17),Prof_Dates,0)),StatusLabels,0))))),""))</f>
        <v/>
      </c>
      <c r="S52" s="124">
        <f>IF(Prof_Row="","",IFERROR(IF(DAY(DATE(2027,5,18))&lt;&gt;18,"",IF(INDEX(Prof_Counted,MATCH(DATE(2027,5,18),Prof_Dates,0))&lt;&gt;"✓","",IF(INDEX(Prof_Statuses,MATCH(DATE(2027,5,18),Prof_Dates,0))="","✓",INDEX(StatusSymbols,MATCH(INDEX(Prof_Statuses,MATCH(DATE(2027,5,18),Prof_Dates,0)),StatusLabels,0))))),""))</f>
        <v/>
      </c>
      <c r="T52" s="124">
        <f>IF(Prof_Row="","",IFERROR(IF(DAY(DATE(2027,5,19))&lt;&gt;19,"",IF(INDEX(Prof_Counted,MATCH(DATE(2027,5,19),Prof_Dates,0))&lt;&gt;"✓","",IF(INDEX(Prof_Statuses,MATCH(DATE(2027,5,19),Prof_Dates,0))="","✓",INDEX(StatusSymbols,MATCH(INDEX(Prof_Statuses,MATCH(DATE(2027,5,19),Prof_Dates,0)),StatusLabels,0))))),""))</f>
        <v/>
      </c>
      <c r="U52" s="124">
        <f>IF(Prof_Row="","",IFERROR(IF(DAY(DATE(2027,5,20))&lt;&gt;20,"",IF(INDEX(Prof_Counted,MATCH(DATE(2027,5,20),Prof_Dates,0))&lt;&gt;"✓","",IF(INDEX(Prof_Statuses,MATCH(DATE(2027,5,20),Prof_Dates,0))="","✓",INDEX(StatusSymbols,MATCH(INDEX(Prof_Statuses,MATCH(DATE(2027,5,20),Prof_Dates,0)),StatusLabels,0))))),""))</f>
        <v/>
      </c>
      <c r="V52" s="124">
        <f>IF(Prof_Row="","",IFERROR(IF(DAY(DATE(2027,5,21))&lt;&gt;21,"",IF(INDEX(Prof_Counted,MATCH(DATE(2027,5,21),Prof_Dates,0))&lt;&gt;"✓","",IF(INDEX(Prof_Statuses,MATCH(DATE(2027,5,21),Prof_Dates,0))="","✓",INDEX(StatusSymbols,MATCH(INDEX(Prof_Statuses,MATCH(DATE(2027,5,21),Prof_Dates,0)),StatusLabels,0))))),""))</f>
        <v/>
      </c>
      <c r="W52" s="124">
        <f>IF(Prof_Row="","",IFERROR(IF(DAY(DATE(2027,5,22))&lt;&gt;22,"",IF(INDEX(Prof_Counted,MATCH(DATE(2027,5,22),Prof_Dates,0))&lt;&gt;"✓","",IF(INDEX(Prof_Statuses,MATCH(DATE(2027,5,22),Prof_Dates,0))="","✓",INDEX(StatusSymbols,MATCH(INDEX(Prof_Statuses,MATCH(DATE(2027,5,22),Prof_Dates,0)),StatusLabels,0))))),""))</f>
        <v/>
      </c>
      <c r="X52" s="124">
        <f>IF(Prof_Row="","",IFERROR(IF(DAY(DATE(2027,5,23))&lt;&gt;23,"",IF(INDEX(Prof_Counted,MATCH(DATE(2027,5,23),Prof_Dates,0))&lt;&gt;"✓","",IF(INDEX(Prof_Statuses,MATCH(DATE(2027,5,23),Prof_Dates,0))="","✓",INDEX(StatusSymbols,MATCH(INDEX(Prof_Statuses,MATCH(DATE(2027,5,23),Prof_Dates,0)),StatusLabels,0))))),""))</f>
        <v/>
      </c>
      <c r="Y52" s="124">
        <f>IF(Prof_Row="","",IFERROR(IF(DAY(DATE(2027,5,24))&lt;&gt;24,"",IF(INDEX(Prof_Counted,MATCH(DATE(2027,5,24),Prof_Dates,0))&lt;&gt;"✓","",IF(INDEX(Prof_Statuses,MATCH(DATE(2027,5,24),Prof_Dates,0))="","✓",INDEX(StatusSymbols,MATCH(INDEX(Prof_Statuses,MATCH(DATE(2027,5,24),Prof_Dates,0)),StatusLabels,0))))),""))</f>
        <v/>
      </c>
      <c r="Z52" s="124">
        <f>IF(Prof_Row="","",IFERROR(IF(DAY(DATE(2027,5,25))&lt;&gt;25,"",IF(INDEX(Prof_Counted,MATCH(DATE(2027,5,25),Prof_Dates,0))&lt;&gt;"✓","",IF(INDEX(Prof_Statuses,MATCH(DATE(2027,5,25),Prof_Dates,0))="","✓",INDEX(StatusSymbols,MATCH(INDEX(Prof_Statuses,MATCH(DATE(2027,5,25),Prof_Dates,0)),StatusLabels,0))))),""))</f>
        <v/>
      </c>
      <c r="AA52" s="124">
        <f>IF(Prof_Row="","",IFERROR(IF(DAY(DATE(2027,5,26))&lt;&gt;26,"",IF(INDEX(Prof_Counted,MATCH(DATE(2027,5,26),Prof_Dates,0))&lt;&gt;"✓","",IF(INDEX(Prof_Statuses,MATCH(DATE(2027,5,26),Prof_Dates,0))="","✓",INDEX(StatusSymbols,MATCH(INDEX(Prof_Statuses,MATCH(DATE(2027,5,26),Prof_Dates,0)),StatusLabels,0))))),""))</f>
        <v/>
      </c>
      <c r="AB52" s="124">
        <f>IF(Prof_Row="","",IFERROR(IF(DAY(DATE(2027,5,27))&lt;&gt;27,"",IF(INDEX(Prof_Counted,MATCH(DATE(2027,5,27),Prof_Dates,0))&lt;&gt;"✓","",IF(INDEX(Prof_Statuses,MATCH(DATE(2027,5,27),Prof_Dates,0))="","✓",INDEX(StatusSymbols,MATCH(INDEX(Prof_Statuses,MATCH(DATE(2027,5,27),Prof_Dates,0)),StatusLabels,0))))),""))</f>
        <v/>
      </c>
      <c r="AC52" s="124">
        <f>IF(Prof_Row="","",IFERROR(IF(DAY(DATE(2027,5,28))&lt;&gt;28,"",IF(INDEX(Prof_Counted,MATCH(DATE(2027,5,28),Prof_Dates,0))&lt;&gt;"✓","",IF(INDEX(Prof_Statuses,MATCH(DATE(2027,5,28),Prof_Dates,0))="","✓",INDEX(StatusSymbols,MATCH(INDEX(Prof_Statuses,MATCH(DATE(2027,5,28),Prof_Dates,0)),StatusLabels,0))))),""))</f>
        <v/>
      </c>
      <c r="AD52" s="124">
        <f>IF(Prof_Row="","",IFERROR(IF(DAY(DATE(2027,5,29))&lt;&gt;29,"",IF(INDEX(Prof_Counted,MATCH(DATE(2027,5,29),Prof_Dates,0))&lt;&gt;"✓","",IF(INDEX(Prof_Statuses,MATCH(DATE(2027,5,29),Prof_Dates,0))="","✓",INDEX(StatusSymbols,MATCH(INDEX(Prof_Statuses,MATCH(DATE(2027,5,29),Prof_Dates,0)),StatusLabels,0))))),""))</f>
        <v/>
      </c>
      <c r="AE52" s="124">
        <f>IF(Prof_Row="","",IFERROR(IF(DAY(DATE(2027,5,30))&lt;&gt;30,"",IF(INDEX(Prof_Counted,MATCH(DATE(2027,5,30),Prof_Dates,0))&lt;&gt;"✓","",IF(INDEX(Prof_Statuses,MATCH(DATE(2027,5,30),Prof_Dates,0))="","✓",INDEX(StatusSymbols,MATCH(INDEX(Prof_Statuses,MATCH(DATE(2027,5,30),Prof_Dates,0)),StatusLabels,0))))),""))</f>
        <v/>
      </c>
      <c r="AF52" s="124">
        <f>IF(Prof_Row="","",IFERROR(IF(DAY(DATE(2027,5,31))&lt;&gt;31,"",IF(INDEX(Prof_Counted,MATCH(DATE(2027,5,31),Prof_Dates,0))&lt;&gt;"✓","",IF(INDEX(Prof_Statuses,MATCH(DATE(2027,5,31),Prof_Dates,0))="","✓",INDEX(StatusSymbols,MATCH(INDEX(Prof_Statuses,MATCH(DATE(2027,5,31),Prof_Dates,0)),StatusLabels,0))))),""))</f>
        <v/>
      </c>
    </row>
    <row r="53" ht="18" customHeight="1">
      <c r="A53" s="123" t="inlineStr">
        <is>
          <t>يونيو 2027</t>
        </is>
      </c>
      <c r="B53" s="124">
        <f>IF(Prof_Row="","",IFERROR(IF(DAY(DATE(2027,6,1))&lt;&gt;1,"",IF(INDEX(Prof_Counted,MATCH(DATE(2027,6,1),Prof_Dates,0))&lt;&gt;"✓","",IF(INDEX(Prof_Statuses,MATCH(DATE(2027,6,1),Prof_Dates,0))="","✓",INDEX(StatusSymbols,MATCH(INDEX(Prof_Statuses,MATCH(DATE(2027,6,1),Prof_Dates,0)),StatusLabels,0))))),""))</f>
        <v/>
      </c>
      <c r="C53" s="124">
        <f>IF(Prof_Row="","",IFERROR(IF(DAY(DATE(2027,6,2))&lt;&gt;2,"",IF(INDEX(Prof_Counted,MATCH(DATE(2027,6,2),Prof_Dates,0))&lt;&gt;"✓","",IF(INDEX(Prof_Statuses,MATCH(DATE(2027,6,2),Prof_Dates,0))="","✓",INDEX(StatusSymbols,MATCH(INDEX(Prof_Statuses,MATCH(DATE(2027,6,2),Prof_Dates,0)),StatusLabels,0))))),""))</f>
        <v/>
      </c>
      <c r="D53" s="124">
        <f>IF(Prof_Row="","",IFERROR(IF(DAY(DATE(2027,6,3))&lt;&gt;3,"",IF(INDEX(Prof_Counted,MATCH(DATE(2027,6,3),Prof_Dates,0))&lt;&gt;"✓","",IF(INDEX(Prof_Statuses,MATCH(DATE(2027,6,3),Prof_Dates,0))="","✓",INDEX(StatusSymbols,MATCH(INDEX(Prof_Statuses,MATCH(DATE(2027,6,3),Prof_Dates,0)),StatusLabels,0))))),""))</f>
        <v/>
      </c>
      <c r="E53" s="124">
        <f>IF(Prof_Row="","",IFERROR(IF(DAY(DATE(2027,6,4))&lt;&gt;4,"",IF(INDEX(Prof_Counted,MATCH(DATE(2027,6,4),Prof_Dates,0))&lt;&gt;"✓","",IF(INDEX(Prof_Statuses,MATCH(DATE(2027,6,4),Prof_Dates,0))="","✓",INDEX(StatusSymbols,MATCH(INDEX(Prof_Statuses,MATCH(DATE(2027,6,4),Prof_Dates,0)),StatusLabels,0))))),""))</f>
        <v/>
      </c>
      <c r="F53" s="124">
        <f>IF(Prof_Row="","",IFERROR(IF(DAY(DATE(2027,6,5))&lt;&gt;5,"",IF(INDEX(Prof_Counted,MATCH(DATE(2027,6,5),Prof_Dates,0))&lt;&gt;"✓","",IF(INDEX(Prof_Statuses,MATCH(DATE(2027,6,5),Prof_Dates,0))="","✓",INDEX(StatusSymbols,MATCH(INDEX(Prof_Statuses,MATCH(DATE(2027,6,5),Prof_Dates,0)),StatusLabels,0))))),""))</f>
        <v/>
      </c>
      <c r="G53" s="124">
        <f>IF(Prof_Row="","",IFERROR(IF(DAY(DATE(2027,6,6))&lt;&gt;6,"",IF(INDEX(Prof_Counted,MATCH(DATE(2027,6,6),Prof_Dates,0))&lt;&gt;"✓","",IF(INDEX(Prof_Statuses,MATCH(DATE(2027,6,6),Prof_Dates,0))="","✓",INDEX(StatusSymbols,MATCH(INDEX(Prof_Statuses,MATCH(DATE(2027,6,6),Prof_Dates,0)),StatusLabels,0))))),""))</f>
        <v/>
      </c>
      <c r="H53" s="124">
        <f>IF(Prof_Row="","",IFERROR(IF(DAY(DATE(2027,6,7))&lt;&gt;7,"",IF(INDEX(Prof_Counted,MATCH(DATE(2027,6,7),Prof_Dates,0))&lt;&gt;"✓","",IF(INDEX(Prof_Statuses,MATCH(DATE(2027,6,7),Prof_Dates,0))="","✓",INDEX(StatusSymbols,MATCH(INDEX(Prof_Statuses,MATCH(DATE(2027,6,7),Prof_Dates,0)),StatusLabels,0))))),""))</f>
        <v/>
      </c>
      <c r="I53" s="124">
        <f>IF(Prof_Row="","",IFERROR(IF(DAY(DATE(2027,6,8))&lt;&gt;8,"",IF(INDEX(Prof_Counted,MATCH(DATE(2027,6,8),Prof_Dates,0))&lt;&gt;"✓","",IF(INDEX(Prof_Statuses,MATCH(DATE(2027,6,8),Prof_Dates,0))="","✓",INDEX(StatusSymbols,MATCH(INDEX(Prof_Statuses,MATCH(DATE(2027,6,8),Prof_Dates,0)),StatusLabels,0))))),""))</f>
        <v/>
      </c>
      <c r="J53" s="124">
        <f>IF(Prof_Row="","",IFERROR(IF(DAY(DATE(2027,6,9))&lt;&gt;9,"",IF(INDEX(Prof_Counted,MATCH(DATE(2027,6,9),Prof_Dates,0))&lt;&gt;"✓","",IF(INDEX(Prof_Statuses,MATCH(DATE(2027,6,9),Prof_Dates,0))="","✓",INDEX(StatusSymbols,MATCH(INDEX(Prof_Statuses,MATCH(DATE(2027,6,9),Prof_Dates,0)),StatusLabels,0))))),""))</f>
        <v/>
      </c>
      <c r="K53" s="124">
        <f>IF(Prof_Row="","",IFERROR(IF(DAY(DATE(2027,6,10))&lt;&gt;10,"",IF(INDEX(Prof_Counted,MATCH(DATE(2027,6,10),Prof_Dates,0))&lt;&gt;"✓","",IF(INDEX(Prof_Statuses,MATCH(DATE(2027,6,10),Prof_Dates,0))="","✓",INDEX(StatusSymbols,MATCH(INDEX(Prof_Statuses,MATCH(DATE(2027,6,10),Prof_Dates,0)),StatusLabels,0))))),""))</f>
        <v/>
      </c>
      <c r="L53" s="124">
        <f>IF(Prof_Row="","",IFERROR(IF(DAY(DATE(2027,6,11))&lt;&gt;11,"",IF(INDEX(Prof_Counted,MATCH(DATE(2027,6,11),Prof_Dates,0))&lt;&gt;"✓","",IF(INDEX(Prof_Statuses,MATCH(DATE(2027,6,11),Prof_Dates,0))="","✓",INDEX(StatusSymbols,MATCH(INDEX(Prof_Statuses,MATCH(DATE(2027,6,11),Prof_Dates,0)),StatusLabels,0))))),""))</f>
        <v/>
      </c>
      <c r="M53" s="124">
        <f>IF(Prof_Row="","",IFERROR(IF(DAY(DATE(2027,6,12))&lt;&gt;12,"",IF(INDEX(Prof_Counted,MATCH(DATE(2027,6,12),Prof_Dates,0))&lt;&gt;"✓","",IF(INDEX(Prof_Statuses,MATCH(DATE(2027,6,12),Prof_Dates,0))="","✓",INDEX(StatusSymbols,MATCH(INDEX(Prof_Statuses,MATCH(DATE(2027,6,12),Prof_Dates,0)),StatusLabels,0))))),""))</f>
        <v/>
      </c>
      <c r="N53" s="124">
        <f>IF(Prof_Row="","",IFERROR(IF(DAY(DATE(2027,6,13))&lt;&gt;13,"",IF(INDEX(Prof_Counted,MATCH(DATE(2027,6,13),Prof_Dates,0))&lt;&gt;"✓","",IF(INDEX(Prof_Statuses,MATCH(DATE(2027,6,13),Prof_Dates,0))="","✓",INDEX(StatusSymbols,MATCH(INDEX(Prof_Statuses,MATCH(DATE(2027,6,13),Prof_Dates,0)),StatusLabels,0))))),""))</f>
        <v/>
      </c>
      <c r="O53" s="124">
        <f>IF(Prof_Row="","",IFERROR(IF(DAY(DATE(2027,6,14))&lt;&gt;14,"",IF(INDEX(Prof_Counted,MATCH(DATE(2027,6,14),Prof_Dates,0))&lt;&gt;"✓","",IF(INDEX(Prof_Statuses,MATCH(DATE(2027,6,14),Prof_Dates,0))="","✓",INDEX(StatusSymbols,MATCH(INDEX(Prof_Statuses,MATCH(DATE(2027,6,14),Prof_Dates,0)),StatusLabels,0))))),""))</f>
        <v/>
      </c>
      <c r="P53" s="124">
        <f>IF(Prof_Row="","",IFERROR(IF(DAY(DATE(2027,6,15))&lt;&gt;15,"",IF(INDEX(Prof_Counted,MATCH(DATE(2027,6,15),Prof_Dates,0))&lt;&gt;"✓","",IF(INDEX(Prof_Statuses,MATCH(DATE(2027,6,15),Prof_Dates,0))="","✓",INDEX(StatusSymbols,MATCH(INDEX(Prof_Statuses,MATCH(DATE(2027,6,15),Prof_Dates,0)),StatusLabels,0))))),""))</f>
        <v/>
      </c>
      <c r="Q53" s="124">
        <f>IF(Prof_Row="","",IFERROR(IF(DAY(DATE(2027,6,16))&lt;&gt;16,"",IF(INDEX(Prof_Counted,MATCH(DATE(2027,6,16),Prof_Dates,0))&lt;&gt;"✓","",IF(INDEX(Prof_Statuses,MATCH(DATE(2027,6,16),Prof_Dates,0))="","✓",INDEX(StatusSymbols,MATCH(INDEX(Prof_Statuses,MATCH(DATE(2027,6,16),Prof_Dates,0)),StatusLabels,0))))),""))</f>
        <v/>
      </c>
      <c r="R53" s="124">
        <f>IF(Prof_Row="","",IFERROR(IF(DAY(DATE(2027,6,17))&lt;&gt;17,"",IF(INDEX(Prof_Counted,MATCH(DATE(2027,6,17),Prof_Dates,0))&lt;&gt;"✓","",IF(INDEX(Prof_Statuses,MATCH(DATE(2027,6,17),Prof_Dates,0))="","✓",INDEX(StatusSymbols,MATCH(INDEX(Prof_Statuses,MATCH(DATE(2027,6,17),Prof_Dates,0)),StatusLabels,0))))),""))</f>
        <v/>
      </c>
      <c r="S53" s="124">
        <f>IF(Prof_Row="","",IFERROR(IF(DAY(DATE(2027,6,18))&lt;&gt;18,"",IF(INDEX(Prof_Counted,MATCH(DATE(2027,6,18),Prof_Dates,0))&lt;&gt;"✓","",IF(INDEX(Prof_Statuses,MATCH(DATE(2027,6,18),Prof_Dates,0))="","✓",INDEX(StatusSymbols,MATCH(INDEX(Prof_Statuses,MATCH(DATE(2027,6,18),Prof_Dates,0)),StatusLabels,0))))),""))</f>
        <v/>
      </c>
      <c r="T53" s="124">
        <f>IF(Prof_Row="","",IFERROR(IF(DAY(DATE(2027,6,19))&lt;&gt;19,"",IF(INDEX(Prof_Counted,MATCH(DATE(2027,6,19),Prof_Dates,0))&lt;&gt;"✓","",IF(INDEX(Prof_Statuses,MATCH(DATE(2027,6,19),Prof_Dates,0))="","✓",INDEX(StatusSymbols,MATCH(INDEX(Prof_Statuses,MATCH(DATE(2027,6,19),Prof_Dates,0)),StatusLabels,0))))),""))</f>
        <v/>
      </c>
      <c r="U53" s="124">
        <f>IF(Prof_Row="","",IFERROR(IF(DAY(DATE(2027,6,20))&lt;&gt;20,"",IF(INDEX(Prof_Counted,MATCH(DATE(2027,6,20),Prof_Dates,0))&lt;&gt;"✓","",IF(INDEX(Prof_Statuses,MATCH(DATE(2027,6,20),Prof_Dates,0))="","✓",INDEX(StatusSymbols,MATCH(INDEX(Prof_Statuses,MATCH(DATE(2027,6,20),Prof_Dates,0)),StatusLabels,0))))),""))</f>
        <v/>
      </c>
      <c r="V53" s="124">
        <f>IF(Prof_Row="","",IFERROR(IF(DAY(DATE(2027,6,21))&lt;&gt;21,"",IF(INDEX(Prof_Counted,MATCH(DATE(2027,6,21),Prof_Dates,0))&lt;&gt;"✓","",IF(INDEX(Prof_Statuses,MATCH(DATE(2027,6,21),Prof_Dates,0))="","✓",INDEX(StatusSymbols,MATCH(INDEX(Prof_Statuses,MATCH(DATE(2027,6,21),Prof_Dates,0)),StatusLabels,0))))),""))</f>
        <v/>
      </c>
      <c r="W53" s="124">
        <f>IF(Prof_Row="","",IFERROR(IF(DAY(DATE(2027,6,22))&lt;&gt;22,"",IF(INDEX(Prof_Counted,MATCH(DATE(2027,6,22),Prof_Dates,0))&lt;&gt;"✓","",IF(INDEX(Prof_Statuses,MATCH(DATE(2027,6,22),Prof_Dates,0))="","✓",INDEX(StatusSymbols,MATCH(INDEX(Prof_Statuses,MATCH(DATE(2027,6,22),Prof_Dates,0)),StatusLabels,0))))),""))</f>
        <v/>
      </c>
      <c r="X53" s="124">
        <f>IF(Prof_Row="","",IFERROR(IF(DAY(DATE(2027,6,23))&lt;&gt;23,"",IF(INDEX(Prof_Counted,MATCH(DATE(2027,6,23),Prof_Dates,0))&lt;&gt;"✓","",IF(INDEX(Prof_Statuses,MATCH(DATE(2027,6,23),Prof_Dates,0))="","✓",INDEX(StatusSymbols,MATCH(INDEX(Prof_Statuses,MATCH(DATE(2027,6,23),Prof_Dates,0)),StatusLabels,0))))),""))</f>
        <v/>
      </c>
      <c r="Y53" s="124">
        <f>IF(Prof_Row="","",IFERROR(IF(DAY(DATE(2027,6,24))&lt;&gt;24,"",IF(INDEX(Prof_Counted,MATCH(DATE(2027,6,24),Prof_Dates,0))&lt;&gt;"✓","",IF(INDEX(Prof_Statuses,MATCH(DATE(2027,6,24),Prof_Dates,0))="","✓",INDEX(StatusSymbols,MATCH(INDEX(Prof_Statuses,MATCH(DATE(2027,6,24),Prof_Dates,0)),StatusLabels,0))))),""))</f>
        <v/>
      </c>
      <c r="Z53" s="124">
        <f>IF(Prof_Row="","",IFERROR(IF(DAY(DATE(2027,6,25))&lt;&gt;25,"",IF(INDEX(Prof_Counted,MATCH(DATE(2027,6,25),Prof_Dates,0))&lt;&gt;"✓","",IF(INDEX(Prof_Statuses,MATCH(DATE(2027,6,25),Prof_Dates,0))="","✓",INDEX(StatusSymbols,MATCH(INDEX(Prof_Statuses,MATCH(DATE(2027,6,25),Prof_Dates,0)),StatusLabels,0))))),""))</f>
        <v/>
      </c>
      <c r="AA53" s="124">
        <f>IF(Prof_Row="","",IFERROR(IF(DAY(DATE(2027,6,26))&lt;&gt;26,"",IF(INDEX(Prof_Counted,MATCH(DATE(2027,6,26),Prof_Dates,0))&lt;&gt;"✓","",IF(INDEX(Prof_Statuses,MATCH(DATE(2027,6,26),Prof_Dates,0))="","✓",INDEX(StatusSymbols,MATCH(INDEX(Prof_Statuses,MATCH(DATE(2027,6,26),Prof_Dates,0)),StatusLabels,0))))),""))</f>
        <v/>
      </c>
      <c r="AB53" s="124">
        <f>IF(Prof_Row="","",IFERROR(IF(DAY(DATE(2027,6,27))&lt;&gt;27,"",IF(INDEX(Prof_Counted,MATCH(DATE(2027,6,27),Prof_Dates,0))&lt;&gt;"✓","",IF(INDEX(Prof_Statuses,MATCH(DATE(2027,6,27),Prof_Dates,0))="","✓",INDEX(StatusSymbols,MATCH(INDEX(Prof_Statuses,MATCH(DATE(2027,6,27),Prof_Dates,0)),StatusLabels,0))))),""))</f>
        <v/>
      </c>
      <c r="AC53" s="124">
        <f>IF(Prof_Row="","",IFERROR(IF(DAY(DATE(2027,6,28))&lt;&gt;28,"",IF(INDEX(Prof_Counted,MATCH(DATE(2027,6,28),Prof_Dates,0))&lt;&gt;"✓","",IF(INDEX(Prof_Statuses,MATCH(DATE(2027,6,28),Prof_Dates,0))="","✓",INDEX(StatusSymbols,MATCH(INDEX(Prof_Statuses,MATCH(DATE(2027,6,28),Prof_Dates,0)),StatusLabels,0))))),""))</f>
        <v/>
      </c>
      <c r="AD53" s="124">
        <f>IF(Prof_Row="","",IFERROR(IF(DAY(DATE(2027,6,29))&lt;&gt;29,"",IF(INDEX(Prof_Counted,MATCH(DATE(2027,6,29),Prof_Dates,0))&lt;&gt;"✓","",IF(INDEX(Prof_Statuses,MATCH(DATE(2027,6,29),Prof_Dates,0))="","✓",INDEX(StatusSymbols,MATCH(INDEX(Prof_Statuses,MATCH(DATE(2027,6,29),Prof_Dates,0)),StatusLabels,0))))),""))</f>
        <v/>
      </c>
      <c r="AE53" s="124">
        <f>IF(Prof_Row="","",IFERROR(IF(DAY(DATE(2027,6,30))&lt;&gt;30,"",IF(INDEX(Prof_Counted,MATCH(DATE(2027,6,30),Prof_Dates,0))&lt;&gt;"✓","",IF(INDEX(Prof_Statuses,MATCH(DATE(2027,6,30),Prof_Dates,0))="","✓",INDEX(StatusSymbols,MATCH(INDEX(Prof_Statuses,MATCH(DATE(2027,6,30),Prof_Dates,0)),StatusLabels,0))))),""))</f>
        <v/>
      </c>
      <c r="AF53" s="124">
        <f>IF(Prof_Row="","",IFERROR(IF(DAY(DATE(2027,6,31))&lt;&gt;31,"",IF(INDEX(Prof_Counted,MATCH(DATE(2027,6,31),Prof_Dates,0))&lt;&gt;"✓","",IF(INDEX(Prof_Statuses,MATCH(DATE(2027,6,31),Prof_Dates,0))="","✓",INDEX(StatusSymbols,MATCH(INDEX(Prof_Statuses,MATCH(DATE(2027,6,31),Prof_Dates,0)),StatusLabels,0))))),""))</f>
        <v/>
      </c>
    </row>
    <row r="60" hidden="1">
      <c r="A60" s="125" t="inlineStr">
        <is>
          <t>صف الطفل (مرآة)</t>
        </is>
      </c>
      <c r="B60">
        <f>IF(Prof_Row="","",INDEX(CHOOSE(Prof_C,'KG1-1'!$AD$9:$IM$38,'KG1-2'!$AD$9:$IM$38,'KG1-3'!$AD$9:$IM$38,'KG1-4'!$AD$9:$IM$38,'KG1-5'!$AD$9:$IM$38,'KG1-6'!$AD$9:$IM$38,'KG1-7'!$AD$9:$IM$38),Prof_I,1))</f>
        <v/>
      </c>
      <c r="C60">
        <f>IF(Prof_Row="","",INDEX(CHOOSE(Prof_C,'KG1-1'!$AD$9:$IM$38,'KG1-2'!$AD$9:$IM$38,'KG1-3'!$AD$9:$IM$38,'KG1-4'!$AD$9:$IM$38,'KG1-5'!$AD$9:$IM$38,'KG1-6'!$AD$9:$IM$38,'KG1-7'!$AD$9:$IM$38),Prof_I,2))</f>
        <v/>
      </c>
      <c r="D60">
        <f>IF(Prof_Row="","",INDEX(CHOOSE(Prof_C,'KG1-1'!$AD$9:$IM$38,'KG1-2'!$AD$9:$IM$38,'KG1-3'!$AD$9:$IM$38,'KG1-4'!$AD$9:$IM$38,'KG1-5'!$AD$9:$IM$38,'KG1-6'!$AD$9:$IM$38,'KG1-7'!$AD$9:$IM$38),Prof_I,3))</f>
        <v/>
      </c>
      <c r="E60">
        <f>IF(Prof_Row="","",INDEX(CHOOSE(Prof_C,'KG1-1'!$AD$9:$IM$38,'KG1-2'!$AD$9:$IM$38,'KG1-3'!$AD$9:$IM$38,'KG1-4'!$AD$9:$IM$38,'KG1-5'!$AD$9:$IM$38,'KG1-6'!$AD$9:$IM$38,'KG1-7'!$AD$9:$IM$38),Prof_I,4))</f>
        <v/>
      </c>
      <c r="F60">
        <f>IF(Prof_Row="","",INDEX(CHOOSE(Prof_C,'KG1-1'!$AD$9:$IM$38,'KG1-2'!$AD$9:$IM$38,'KG1-3'!$AD$9:$IM$38,'KG1-4'!$AD$9:$IM$38,'KG1-5'!$AD$9:$IM$38,'KG1-6'!$AD$9:$IM$38,'KG1-7'!$AD$9:$IM$38),Prof_I,5))</f>
        <v/>
      </c>
      <c r="G60">
        <f>IF(Prof_Row="","",INDEX(CHOOSE(Prof_C,'KG1-1'!$AD$9:$IM$38,'KG1-2'!$AD$9:$IM$38,'KG1-3'!$AD$9:$IM$38,'KG1-4'!$AD$9:$IM$38,'KG1-5'!$AD$9:$IM$38,'KG1-6'!$AD$9:$IM$38,'KG1-7'!$AD$9:$IM$38),Prof_I,6))</f>
        <v/>
      </c>
      <c r="H60">
        <f>IF(Prof_Row="","",INDEX(CHOOSE(Prof_C,'KG1-1'!$AD$9:$IM$38,'KG1-2'!$AD$9:$IM$38,'KG1-3'!$AD$9:$IM$38,'KG1-4'!$AD$9:$IM$38,'KG1-5'!$AD$9:$IM$38,'KG1-6'!$AD$9:$IM$38,'KG1-7'!$AD$9:$IM$38),Prof_I,7))</f>
        <v/>
      </c>
      <c r="I60">
        <f>IF(Prof_Row="","",INDEX(CHOOSE(Prof_C,'KG1-1'!$AD$9:$IM$38,'KG1-2'!$AD$9:$IM$38,'KG1-3'!$AD$9:$IM$38,'KG1-4'!$AD$9:$IM$38,'KG1-5'!$AD$9:$IM$38,'KG1-6'!$AD$9:$IM$38,'KG1-7'!$AD$9:$IM$38),Prof_I,8))</f>
        <v/>
      </c>
      <c r="J60">
        <f>IF(Prof_Row="","",INDEX(CHOOSE(Prof_C,'KG1-1'!$AD$9:$IM$38,'KG1-2'!$AD$9:$IM$38,'KG1-3'!$AD$9:$IM$38,'KG1-4'!$AD$9:$IM$38,'KG1-5'!$AD$9:$IM$38,'KG1-6'!$AD$9:$IM$38,'KG1-7'!$AD$9:$IM$38),Prof_I,9))</f>
        <v/>
      </c>
      <c r="K60">
        <f>IF(Prof_Row="","",INDEX(CHOOSE(Prof_C,'KG1-1'!$AD$9:$IM$38,'KG1-2'!$AD$9:$IM$38,'KG1-3'!$AD$9:$IM$38,'KG1-4'!$AD$9:$IM$38,'KG1-5'!$AD$9:$IM$38,'KG1-6'!$AD$9:$IM$38,'KG1-7'!$AD$9:$IM$38),Prof_I,10))</f>
        <v/>
      </c>
      <c r="L60">
        <f>IF(Prof_Row="","",INDEX(CHOOSE(Prof_C,'KG1-1'!$AD$9:$IM$38,'KG1-2'!$AD$9:$IM$38,'KG1-3'!$AD$9:$IM$38,'KG1-4'!$AD$9:$IM$38,'KG1-5'!$AD$9:$IM$38,'KG1-6'!$AD$9:$IM$38,'KG1-7'!$AD$9:$IM$38),Prof_I,11))</f>
        <v/>
      </c>
      <c r="M60">
        <f>IF(Prof_Row="","",INDEX(CHOOSE(Prof_C,'KG1-1'!$AD$9:$IM$38,'KG1-2'!$AD$9:$IM$38,'KG1-3'!$AD$9:$IM$38,'KG1-4'!$AD$9:$IM$38,'KG1-5'!$AD$9:$IM$38,'KG1-6'!$AD$9:$IM$38,'KG1-7'!$AD$9:$IM$38),Prof_I,12))</f>
        <v/>
      </c>
      <c r="N60">
        <f>IF(Prof_Row="","",INDEX(CHOOSE(Prof_C,'KG1-1'!$AD$9:$IM$38,'KG1-2'!$AD$9:$IM$38,'KG1-3'!$AD$9:$IM$38,'KG1-4'!$AD$9:$IM$38,'KG1-5'!$AD$9:$IM$38,'KG1-6'!$AD$9:$IM$38,'KG1-7'!$AD$9:$IM$38),Prof_I,13))</f>
        <v/>
      </c>
      <c r="O60">
        <f>IF(Prof_Row="","",INDEX(CHOOSE(Prof_C,'KG1-1'!$AD$9:$IM$38,'KG1-2'!$AD$9:$IM$38,'KG1-3'!$AD$9:$IM$38,'KG1-4'!$AD$9:$IM$38,'KG1-5'!$AD$9:$IM$38,'KG1-6'!$AD$9:$IM$38,'KG1-7'!$AD$9:$IM$38),Prof_I,14))</f>
        <v/>
      </c>
      <c r="P60">
        <f>IF(Prof_Row="","",INDEX(CHOOSE(Prof_C,'KG1-1'!$AD$9:$IM$38,'KG1-2'!$AD$9:$IM$38,'KG1-3'!$AD$9:$IM$38,'KG1-4'!$AD$9:$IM$38,'KG1-5'!$AD$9:$IM$38,'KG1-6'!$AD$9:$IM$38,'KG1-7'!$AD$9:$IM$38),Prof_I,15))</f>
        <v/>
      </c>
      <c r="Q60">
        <f>IF(Prof_Row="","",INDEX(CHOOSE(Prof_C,'KG1-1'!$AD$9:$IM$38,'KG1-2'!$AD$9:$IM$38,'KG1-3'!$AD$9:$IM$38,'KG1-4'!$AD$9:$IM$38,'KG1-5'!$AD$9:$IM$38,'KG1-6'!$AD$9:$IM$38,'KG1-7'!$AD$9:$IM$38),Prof_I,16))</f>
        <v/>
      </c>
      <c r="R60">
        <f>IF(Prof_Row="","",INDEX(CHOOSE(Prof_C,'KG1-1'!$AD$9:$IM$38,'KG1-2'!$AD$9:$IM$38,'KG1-3'!$AD$9:$IM$38,'KG1-4'!$AD$9:$IM$38,'KG1-5'!$AD$9:$IM$38,'KG1-6'!$AD$9:$IM$38,'KG1-7'!$AD$9:$IM$38),Prof_I,17))</f>
        <v/>
      </c>
      <c r="S60">
        <f>IF(Prof_Row="","",INDEX(CHOOSE(Prof_C,'KG1-1'!$AD$9:$IM$38,'KG1-2'!$AD$9:$IM$38,'KG1-3'!$AD$9:$IM$38,'KG1-4'!$AD$9:$IM$38,'KG1-5'!$AD$9:$IM$38,'KG1-6'!$AD$9:$IM$38,'KG1-7'!$AD$9:$IM$38),Prof_I,18))</f>
        <v/>
      </c>
      <c r="T60">
        <f>IF(Prof_Row="","",INDEX(CHOOSE(Prof_C,'KG1-1'!$AD$9:$IM$38,'KG1-2'!$AD$9:$IM$38,'KG1-3'!$AD$9:$IM$38,'KG1-4'!$AD$9:$IM$38,'KG1-5'!$AD$9:$IM$38,'KG1-6'!$AD$9:$IM$38,'KG1-7'!$AD$9:$IM$38),Prof_I,19))</f>
        <v/>
      </c>
      <c r="U60">
        <f>IF(Prof_Row="","",INDEX(CHOOSE(Prof_C,'KG1-1'!$AD$9:$IM$38,'KG1-2'!$AD$9:$IM$38,'KG1-3'!$AD$9:$IM$38,'KG1-4'!$AD$9:$IM$38,'KG1-5'!$AD$9:$IM$38,'KG1-6'!$AD$9:$IM$38,'KG1-7'!$AD$9:$IM$38),Prof_I,20))</f>
        <v/>
      </c>
      <c r="V60">
        <f>IF(Prof_Row="","",INDEX(CHOOSE(Prof_C,'KG1-1'!$AD$9:$IM$38,'KG1-2'!$AD$9:$IM$38,'KG1-3'!$AD$9:$IM$38,'KG1-4'!$AD$9:$IM$38,'KG1-5'!$AD$9:$IM$38,'KG1-6'!$AD$9:$IM$38,'KG1-7'!$AD$9:$IM$38),Prof_I,21))</f>
        <v/>
      </c>
      <c r="W60">
        <f>IF(Prof_Row="","",INDEX(CHOOSE(Prof_C,'KG1-1'!$AD$9:$IM$38,'KG1-2'!$AD$9:$IM$38,'KG1-3'!$AD$9:$IM$38,'KG1-4'!$AD$9:$IM$38,'KG1-5'!$AD$9:$IM$38,'KG1-6'!$AD$9:$IM$38,'KG1-7'!$AD$9:$IM$38),Prof_I,22))</f>
        <v/>
      </c>
      <c r="X60">
        <f>IF(Prof_Row="","",INDEX(CHOOSE(Prof_C,'KG1-1'!$AD$9:$IM$38,'KG1-2'!$AD$9:$IM$38,'KG1-3'!$AD$9:$IM$38,'KG1-4'!$AD$9:$IM$38,'KG1-5'!$AD$9:$IM$38,'KG1-6'!$AD$9:$IM$38,'KG1-7'!$AD$9:$IM$38),Prof_I,23))</f>
        <v/>
      </c>
      <c r="Y60">
        <f>IF(Prof_Row="","",INDEX(CHOOSE(Prof_C,'KG1-1'!$AD$9:$IM$38,'KG1-2'!$AD$9:$IM$38,'KG1-3'!$AD$9:$IM$38,'KG1-4'!$AD$9:$IM$38,'KG1-5'!$AD$9:$IM$38,'KG1-6'!$AD$9:$IM$38,'KG1-7'!$AD$9:$IM$38),Prof_I,24))</f>
        <v/>
      </c>
      <c r="Z60">
        <f>IF(Prof_Row="","",INDEX(CHOOSE(Prof_C,'KG1-1'!$AD$9:$IM$38,'KG1-2'!$AD$9:$IM$38,'KG1-3'!$AD$9:$IM$38,'KG1-4'!$AD$9:$IM$38,'KG1-5'!$AD$9:$IM$38,'KG1-6'!$AD$9:$IM$38,'KG1-7'!$AD$9:$IM$38),Prof_I,25))</f>
        <v/>
      </c>
      <c r="AA60">
        <f>IF(Prof_Row="","",INDEX(CHOOSE(Prof_C,'KG1-1'!$AD$9:$IM$38,'KG1-2'!$AD$9:$IM$38,'KG1-3'!$AD$9:$IM$38,'KG1-4'!$AD$9:$IM$38,'KG1-5'!$AD$9:$IM$38,'KG1-6'!$AD$9:$IM$38,'KG1-7'!$AD$9:$IM$38),Prof_I,26))</f>
        <v/>
      </c>
      <c r="AB60">
        <f>IF(Prof_Row="","",INDEX(CHOOSE(Prof_C,'KG1-1'!$AD$9:$IM$38,'KG1-2'!$AD$9:$IM$38,'KG1-3'!$AD$9:$IM$38,'KG1-4'!$AD$9:$IM$38,'KG1-5'!$AD$9:$IM$38,'KG1-6'!$AD$9:$IM$38,'KG1-7'!$AD$9:$IM$38),Prof_I,27))</f>
        <v/>
      </c>
      <c r="AC60">
        <f>IF(Prof_Row="","",INDEX(CHOOSE(Prof_C,'KG1-1'!$AD$9:$IM$38,'KG1-2'!$AD$9:$IM$38,'KG1-3'!$AD$9:$IM$38,'KG1-4'!$AD$9:$IM$38,'KG1-5'!$AD$9:$IM$38,'KG1-6'!$AD$9:$IM$38,'KG1-7'!$AD$9:$IM$38),Prof_I,28))</f>
        <v/>
      </c>
      <c r="AD60">
        <f>IF(Prof_Row="","",INDEX(CHOOSE(Prof_C,'KG1-1'!$AD$9:$IM$38,'KG1-2'!$AD$9:$IM$38,'KG1-3'!$AD$9:$IM$38,'KG1-4'!$AD$9:$IM$38,'KG1-5'!$AD$9:$IM$38,'KG1-6'!$AD$9:$IM$38,'KG1-7'!$AD$9:$IM$38),Prof_I,29))</f>
        <v/>
      </c>
      <c r="AE60">
        <f>IF(Prof_Row="","",INDEX(CHOOSE(Prof_C,'KG1-1'!$AD$9:$IM$38,'KG1-2'!$AD$9:$IM$38,'KG1-3'!$AD$9:$IM$38,'KG1-4'!$AD$9:$IM$38,'KG1-5'!$AD$9:$IM$38,'KG1-6'!$AD$9:$IM$38,'KG1-7'!$AD$9:$IM$38),Prof_I,30))</f>
        <v/>
      </c>
      <c r="AF60">
        <f>IF(Prof_Row="","",INDEX(CHOOSE(Prof_C,'KG1-1'!$AD$9:$IM$38,'KG1-2'!$AD$9:$IM$38,'KG1-3'!$AD$9:$IM$38,'KG1-4'!$AD$9:$IM$38,'KG1-5'!$AD$9:$IM$38,'KG1-6'!$AD$9:$IM$38,'KG1-7'!$AD$9:$IM$38),Prof_I,31))</f>
        <v/>
      </c>
      <c r="AG60">
        <f>IF(Prof_Row="","",INDEX(CHOOSE(Prof_C,'KG1-1'!$AD$9:$IM$38,'KG1-2'!$AD$9:$IM$38,'KG1-3'!$AD$9:$IM$38,'KG1-4'!$AD$9:$IM$38,'KG1-5'!$AD$9:$IM$38,'KG1-6'!$AD$9:$IM$38,'KG1-7'!$AD$9:$IM$38),Prof_I,32))</f>
        <v/>
      </c>
      <c r="AH60">
        <f>IF(Prof_Row="","",INDEX(CHOOSE(Prof_C,'KG1-1'!$AD$9:$IM$38,'KG1-2'!$AD$9:$IM$38,'KG1-3'!$AD$9:$IM$38,'KG1-4'!$AD$9:$IM$38,'KG1-5'!$AD$9:$IM$38,'KG1-6'!$AD$9:$IM$38,'KG1-7'!$AD$9:$IM$38),Prof_I,33))</f>
        <v/>
      </c>
      <c r="AI60">
        <f>IF(Prof_Row="","",INDEX(CHOOSE(Prof_C,'KG1-1'!$AD$9:$IM$38,'KG1-2'!$AD$9:$IM$38,'KG1-3'!$AD$9:$IM$38,'KG1-4'!$AD$9:$IM$38,'KG1-5'!$AD$9:$IM$38,'KG1-6'!$AD$9:$IM$38,'KG1-7'!$AD$9:$IM$38),Prof_I,34))</f>
        <v/>
      </c>
      <c r="AJ60">
        <f>IF(Prof_Row="","",INDEX(CHOOSE(Prof_C,'KG1-1'!$AD$9:$IM$38,'KG1-2'!$AD$9:$IM$38,'KG1-3'!$AD$9:$IM$38,'KG1-4'!$AD$9:$IM$38,'KG1-5'!$AD$9:$IM$38,'KG1-6'!$AD$9:$IM$38,'KG1-7'!$AD$9:$IM$38),Prof_I,35))</f>
        <v/>
      </c>
      <c r="AK60">
        <f>IF(Prof_Row="","",INDEX(CHOOSE(Prof_C,'KG1-1'!$AD$9:$IM$38,'KG1-2'!$AD$9:$IM$38,'KG1-3'!$AD$9:$IM$38,'KG1-4'!$AD$9:$IM$38,'KG1-5'!$AD$9:$IM$38,'KG1-6'!$AD$9:$IM$38,'KG1-7'!$AD$9:$IM$38),Prof_I,36))</f>
        <v/>
      </c>
      <c r="AL60">
        <f>IF(Prof_Row="","",INDEX(CHOOSE(Prof_C,'KG1-1'!$AD$9:$IM$38,'KG1-2'!$AD$9:$IM$38,'KG1-3'!$AD$9:$IM$38,'KG1-4'!$AD$9:$IM$38,'KG1-5'!$AD$9:$IM$38,'KG1-6'!$AD$9:$IM$38,'KG1-7'!$AD$9:$IM$38),Prof_I,37))</f>
        <v/>
      </c>
      <c r="AM60">
        <f>IF(Prof_Row="","",INDEX(CHOOSE(Prof_C,'KG1-1'!$AD$9:$IM$38,'KG1-2'!$AD$9:$IM$38,'KG1-3'!$AD$9:$IM$38,'KG1-4'!$AD$9:$IM$38,'KG1-5'!$AD$9:$IM$38,'KG1-6'!$AD$9:$IM$38,'KG1-7'!$AD$9:$IM$38),Prof_I,38))</f>
        <v/>
      </c>
      <c r="AN60">
        <f>IF(Prof_Row="","",INDEX(CHOOSE(Prof_C,'KG1-1'!$AD$9:$IM$38,'KG1-2'!$AD$9:$IM$38,'KG1-3'!$AD$9:$IM$38,'KG1-4'!$AD$9:$IM$38,'KG1-5'!$AD$9:$IM$38,'KG1-6'!$AD$9:$IM$38,'KG1-7'!$AD$9:$IM$38),Prof_I,39))</f>
        <v/>
      </c>
      <c r="AO60">
        <f>IF(Prof_Row="","",INDEX(CHOOSE(Prof_C,'KG1-1'!$AD$9:$IM$38,'KG1-2'!$AD$9:$IM$38,'KG1-3'!$AD$9:$IM$38,'KG1-4'!$AD$9:$IM$38,'KG1-5'!$AD$9:$IM$38,'KG1-6'!$AD$9:$IM$38,'KG1-7'!$AD$9:$IM$38),Prof_I,40))</f>
        <v/>
      </c>
      <c r="AP60">
        <f>IF(Prof_Row="","",INDEX(CHOOSE(Prof_C,'KG1-1'!$AD$9:$IM$38,'KG1-2'!$AD$9:$IM$38,'KG1-3'!$AD$9:$IM$38,'KG1-4'!$AD$9:$IM$38,'KG1-5'!$AD$9:$IM$38,'KG1-6'!$AD$9:$IM$38,'KG1-7'!$AD$9:$IM$38),Prof_I,41))</f>
        <v/>
      </c>
      <c r="AQ60">
        <f>IF(Prof_Row="","",INDEX(CHOOSE(Prof_C,'KG1-1'!$AD$9:$IM$38,'KG1-2'!$AD$9:$IM$38,'KG1-3'!$AD$9:$IM$38,'KG1-4'!$AD$9:$IM$38,'KG1-5'!$AD$9:$IM$38,'KG1-6'!$AD$9:$IM$38,'KG1-7'!$AD$9:$IM$38),Prof_I,42))</f>
        <v/>
      </c>
      <c r="AR60">
        <f>IF(Prof_Row="","",INDEX(CHOOSE(Prof_C,'KG1-1'!$AD$9:$IM$38,'KG1-2'!$AD$9:$IM$38,'KG1-3'!$AD$9:$IM$38,'KG1-4'!$AD$9:$IM$38,'KG1-5'!$AD$9:$IM$38,'KG1-6'!$AD$9:$IM$38,'KG1-7'!$AD$9:$IM$38),Prof_I,43))</f>
        <v/>
      </c>
      <c r="AS60">
        <f>IF(Prof_Row="","",INDEX(CHOOSE(Prof_C,'KG1-1'!$AD$9:$IM$38,'KG1-2'!$AD$9:$IM$38,'KG1-3'!$AD$9:$IM$38,'KG1-4'!$AD$9:$IM$38,'KG1-5'!$AD$9:$IM$38,'KG1-6'!$AD$9:$IM$38,'KG1-7'!$AD$9:$IM$38),Prof_I,44))</f>
        <v/>
      </c>
      <c r="AT60">
        <f>IF(Prof_Row="","",INDEX(CHOOSE(Prof_C,'KG1-1'!$AD$9:$IM$38,'KG1-2'!$AD$9:$IM$38,'KG1-3'!$AD$9:$IM$38,'KG1-4'!$AD$9:$IM$38,'KG1-5'!$AD$9:$IM$38,'KG1-6'!$AD$9:$IM$38,'KG1-7'!$AD$9:$IM$38),Prof_I,45))</f>
        <v/>
      </c>
      <c r="AU60">
        <f>IF(Prof_Row="","",INDEX(CHOOSE(Prof_C,'KG1-1'!$AD$9:$IM$38,'KG1-2'!$AD$9:$IM$38,'KG1-3'!$AD$9:$IM$38,'KG1-4'!$AD$9:$IM$38,'KG1-5'!$AD$9:$IM$38,'KG1-6'!$AD$9:$IM$38,'KG1-7'!$AD$9:$IM$38),Prof_I,46))</f>
        <v/>
      </c>
      <c r="AV60">
        <f>IF(Prof_Row="","",INDEX(CHOOSE(Prof_C,'KG1-1'!$AD$9:$IM$38,'KG1-2'!$AD$9:$IM$38,'KG1-3'!$AD$9:$IM$38,'KG1-4'!$AD$9:$IM$38,'KG1-5'!$AD$9:$IM$38,'KG1-6'!$AD$9:$IM$38,'KG1-7'!$AD$9:$IM$38),Prof_I,47))</f>
        <v/>
      </c>
      <c r="AW60">
        <f>IF(Prof_Row="","",INDEX(CHOOSE(Prof_C,'KG1-1'!$AD$9:$IM$38,'KG1-2'!$AD$9:$IM$38,'KG1-3'!$AD$9:$IM$38,'KG1-4'!$AD$9:$IM$38,'KG1-5'!$AD$9:$IM$38,'KG1-6'!$AD$9:$IM$38,'KG1-7'!$AD$9:$IM$38),Prof_I,48))</f>
        <v/>
      </c>
      <c r="AX60">
        <f>IF(Prof_Row="","",INDEX(CHOOSE(Prof_C,'KG1-1'!$AD$9:$IM$38,'KG1-2'!$AD$9:$IM$38,'KG1-3'!$AD$9:$IM$38,'KG1-4'!$AD$9:$IM$38,'KG1-5'!$AD$9:$IM$38,'KG1-6'!$AD$9:$IM$38,'KG1-7'!$AD$9:$IM$38),Prof_I,49))</f>
        <v/>
      </c>
      <c r="AY60">
        <f>IF(Prof_Row="","",INDEX(CHOOSE(Prof_C,'KG1-1'!$AD$9:$IM$38,'KG1-2'!$AD$9:$IM$38,'KG1-3'!$AD$9:$IM$38,'KG1-4'!$AD$9:$IM$38,'KG1-5'!$AD$9:$IM$38,'KG1-6'!$AD$9:$IM$38,'KG1-7'!$AD$9:$IM$38),Prof_I,50))</f>
        <v/>
      </c>
      <c r="AZ60">
        <f>IF(Prof_Row="","",INDEX(CHOOSE(Prof_C,'KG1-1'!$AD$9:$IM$38,'KG1-2'!$AD$9:$IM$38,'KG1-3'!$AD$9:$IM$38,'KG1-4'!$AD$9:$IM$38,'KG1-5'!$AD$9:$IM$38,'KG1-6'!$AD$9:$IM$38,'KG1-7'!$AD$9:$IM$38),Prof_I,51))</f>
        <v/>
      </c>
      <c r="BA60">
        <f>IF(Prof_Row="","",INDEX(CHOOSE(Prof_C,'KG1-1'!$AD$9:$IM$38,'KG1-2'!$AD$9:$IM$38,'KG1-3'!$AD$9:$IM$38,'KG1-4'!$AD$9:$IM$38,'KG1-5'!$AD$9:$IM$38,'KG1-6'!$AD$9:$IM$38,'KG1-7'!$AD$9:$IM$38),Prof_I,52))</f>
        <v/>
      </c>
      <c r="BB60">
        <f>IF(Prof_Row="","",INDEX(CHOOSE(Prof_C,'KG1-1'!$AD$9:$IM$38,'KG1-2'!$AD$9:$IM$38,'KG1-3'!$AD$9:$IM$38,'KG1-4'!$AD$9:$IM$38,'KG1-5'!$AD$9:$IM$38,'KG1-6'!$AD$9:$IM$38,'KG1-7'!$AD$9:$IM$38),Prof_I,53))</f>
        <v/>
      </c>
      <c r="BC60">
        <f>IF(Prof_Row="","",INDEX(CHOOSE(Prof_C,'KG1-1'!$AD$9:$IM$38,'KG1-2'!$AD$9:$IM$38,'KG1-3'!$AD$9:$IM$38,'KG1-4'!$AD$9:$IM$38,'KG1-5'!$AD$9:$IM$38,'KG1-6'!$AD$9:$IM$38,'KG1-7'!$AD$9:$IM$38),Prof_I,54))</f>
        <v/>
      </c>
      <c r="BD60">
        <f>IF(Prof_Row="","",INDEX(CHOOSE(Prof_C,'KG1-1'!$AD$9:$IM$38,'KG1-2'!$AD$9:$IM$38,'KG1-3'!$AD$9:$IM$38,'KG1-4'!$AD$9:$IM$38,'KG1-5'!$AD$9:$IM$38,'KG1-6'!$AD$9:$IM$38,'KG1-7'!$AD$9:$IM$38),Prof_I,55))</f>
        <v/>
      </c>
      <c r="BE60">
        <f>IF(Prof_Row="","",INDEX(CHOOSE(Prof_C,'KG1-1'!$AD$9:$IM$38,'KG1-2'!$AD$9:$IM$38,'KG1-3'!$AD$9:$IM$38,'KG1-4'!$AD$9:$IM$38,'KG1-5'!$AD$9:$IM$38,'KG1-6'!$AD$9:$IM$38,'KG1-7'!$AD$9:$IM$38),Prof_I,56))</f>
        <v/>
      </c>
      <c r="BF60">
        <f>IF(Prof_Row="","",INDEX(CHOOSE(Prof_C,'KG1-1'!$AD$9:$IM$38,'KG1-2'!$AD$9:$IM$38,'KG1-3'!$AD$9:$IM$38,'KG1-4'!$AD$9:$IM$38,'KG1-5'!$AD$9:$IM$38,'KG1-6'!$AD$9:$IM$38,'KG1-7'!$AD$9:$IM$38),Prof_I,57))</f>
        <v/>
      </c>
      <c r="BG60">
        <f>IF(Prof_Row="","",INDEX(CHOOSE(Prof_C,'KG1-1'!$AD$9:$IM$38,'KG1-2'!$AD$9:$IM$38,'KG1-3'!$AD$9:$IM$38,'KG1-4'!$AD$9:$IM$38,'KG1-5'!$AD$9:$IM$38,'KG1-6'!$AD$9:$IM$38,'KG1-7'!$AD$9:$IM$38),Prof_I,58))</f>
        <v/>
      </c>
      <c r="BH60">
        <f>IF(Prof_Row="","",INDEX(CHOOSE(Prof_C,'KG1-1'!$AD$9:$IM$38,'KG1-2'!$AD$9:$IM$38,'KG1-3'!$AD$9:$IM$38,'KG1-4'!$AD$9:$IM$38,'KG1-5'!$AD$9:$IM$38,'KG1-6'!$AD$9:$IM$38,'KG1-7'!$AD$9:$IM$38),Prof_I,59))</f>
        <v/>
      </c>
      <c r="BI60">
        <f>IF(Prof_Row="","",INDEX(CHOOSE(Prof_C,'KG1-1'!$AD$9:$IM$38,'KG1-2'!$AD$9:$IM$38,'KG1-3'!$AD$9:$IM$38,'KG1-4'!$AD$9:$IM$38,'KG1-5'!$AD$9:$IM$38,'KG1-6'!$AD$9:$IM$38,'KG1-7'!$AD$9:$IM$38),Prof_I,60))</f>
        <v/>
      </c>
      <c r="BJ60">
        <f>IF(Prof_Row="","",INDEX(CHOOSE(Prof_C,'KG1-1'!$AD$9:$IM$38,'KG1-2'!$AD$9:$IM$38,'KG1-3'!$AD$9:$IM$38,'KG1-4'!$AD$9:$IM$38,'KG1-5'!$AD$9:$IM$38,'KG1-6'!$AD$9:$IM$38,'KG1-7'!$AD$9:$IM$38),Prof_I,61))</f>
        <v/>
      </c>
      <c r="BK60">
        <f>IF(Prof_Row="","",INDEX(CHOOSE(Prof_C,'KG1-1'!$AD$9:$IM$38,'KG1-2'!$AD$9:$IM$38,'KG1-3'!$AD$9:$IM$38,'KG1-4'!$AD$9:$IM$38,'KG1-5'!$AD$9:$IM$38,'KG1-6'!$AD$9:$IM$38,'KG1-7'!$AD$9:$IM$38),Prof_I,62))</f>
        <v/>
      </c>
      <c r="BL60">
        <f>IF(Prof_Row="","",INDEX(CHOOSE(Prof_C,'KG1-1'!$AD$9:$IM$38,'KG1-2'!$AD$9:$IM$38,'KG1-3'!$AD$9:$IM$38,'KG1-4'!$AD$9:$IM$38,'KG1-5'!$AD$9:$IM$38,'KG1-6'!$AD$9:$IM$38,'KG1-7'!$AD$9:$IM$38),Prof_I,63))</f>
        <v/>
      </c>
      <c r="BM60">
        <f>IF(Prof_Row="","",INDEX(CHOOSE(Prof_C,'KG1-1'!$AD$9:$IM$38,'KG1-2'!$AD$9:$IM$38,'KG1-3'!$AD$9:$IM$38,'KG1-4'!$AD$9:$IM$38,'KG1-5'!$AD$9:$IM$38,'KG1-6'!$AD$9:$IM$38,'KG1-7'!$AD$9:$IM$38),Prof_I,64))</f>
        <v/>
      </c>
      <c r="BN60">
        <f>IF(Prof_Row="","",INDEX(CHOOSE(Prof_C,'KG1-1'!$AD$9:$IM$38,'KG1-2'!$AD$9:$IM$38,'KG1-3'!$AD$9:$IM$38,'KG1-4'!$AD$9:$IM$38,'KG1-5'!$AD$9:$IM$38,'KG1-6'!$AD$9:$IM$38,'KG1-7'!$AD$9:$IM$38),Prof_I,65))</f>
        <v/>
      </c>
      <c r="BO60">
        <f>IF(Prof_Row="","",INDEX(CHOOSE(Prof_C,'KG1-1'!$AD$9:$IM$38,'KG1-2'!$AD$9:$IM$38,'KG1-3'!$AD$9:$IM$38,'KG1-4'!$AD$9:$IM$38,'KG1-5'!$AD$9:$IM$38,'KG1-6'!$AD$9:$IM$38,'KG1-7'!$AD$9:$IM$38),Prof_I,66))</f>
        <v/>
      </c>
      <c r="BP60">
        <f>IF(Prof_Row="","",INDEX(CHOOSE(Prof_C,'KG1-1'!$AD$9:$IM$38,'KG1-2'!$AD$9:$IM$38,'KG1-3'!$AD$9:$IM$38,'KG1-4'!$AD$9:$IM$38,'KG1-5'!$AD$9:$IM$38,'KG1-6'!$AD$9:$IM$38,'KG1-7'!$AD$9:$IM$38),Prof_I,67))</f>
        <v/>
      </c>
      <c r="BQ60">
        <f>IF(Prof_Row="","",INDEX(CHOOSE(Prof_C,'KG1-1'!$AD$9:$IM$38,'KG1-2'!$AD$9:$IM$38,'KG1-3'!$AD$9:$IM$38,'KG1-4'!$AD$9:$IM$38,'KG1-5'!$AD$9:$IM$38,'KG1-6'!$AD$9:$IM$38,'KG1-7'!$AD$9:$IM$38),Prof_I,68))</f>
        <v/>
      </c>
      <c r="BR60">
        <f>IF(Prof_Row="","",INDEX(CHOOSE(Prof_C,'KG1-1'!$AD$9:$IM$38,'KG1-2'!$AD$9:$IM$38,'KG1-3'!$AD$9:$IM$38,'KG1-4'!$AD$9:$IM$38,'KG1-5'!$AD$9:$IM$38,'KG1-6'!$AD$9:$IM$38,'KG1-7'!$AD$9:$IM$38),Prof_I,69))</f>
        <v/>
      </c>
      <c r="BS60">
        <f>IF(Prof_Row="","",INDEX(CHOOSE(Prof_C,'KG1-1'!$AD$9:$IM$38,'KG1-2'!$AD$9:$IM$38,'KG1-3'!$AD$9:$IM$38,'KG1-4'!$AD$9:$IM$38,'KG1-5'!$AD$9:$IM$38,'KG1-6'!$AD$9:$IM$38,'KG1-7'!$AD$9:$IM$38),Prof_I,70))</f>
        <v/>
      </c>
      <c r="BT60">
        <f>IF(Prof_Row="","",INDEX(CHOOSE(Prof_C,'KG1-1'!$AD$9:$IM$38,'KG1-2'!$AD$9:$IM$38,'KG1-3'!$AD$9:$IM$38,'KG1-4'!$AD$9:$IM$38,'KG1-5'!$AD$9:$IM$38,'KG1-6'!$AD$9:$IM$38,'KG1-7'!$AD$9:$IM$38),Prof_I,71))</f>
        <v/>
      </c>
      <c r="BU60">
        <f>IF(Prof_Row="","",INDEX(CHOOSE(Prof_C,'KG1-1'!$AD$9:$IM$38,'KG1-2'!$AD$9:$IM$38,'KG1-3'!$AD$9:$IM$38,'KG1-4'!$AD$9:$IM$38,'KG1-5'!$AD$9:$IM$38,'KG1-6'!$AD$9:$IM$38,'KG1-7'!$AD$9:$IM$38),Prof_I,72))</f>
        <v/>
      </c>
      <c r="BV60">
        <f>IF(Prof_Row="","",INDEX(CHOOSE(Prof_C,'KG1-1'!$AD$9:$IM$38,'KG1-2'!$AD$9:$IM$38,'KG1-3'!$AD$9:$IM$38,'KG1-4'!$AD$9:$IM$38,'KG1-5'!$AD$9:$IM$38,'KG1-6'!$AD$9:$IM$38,'KG1-7'!$AD$9:$IM$38),Prof_I,73))</f>
        <v/>
      </c>
      <c r="BW60">
        <f>IF(Prof_Row="","",INDEX(CHOOSE(Prof_C,'KG1-1'!$AD$9:$IM$38,'KG1-2'!$AD$9:$IM$38,'KG1-3'!$AD$9:$IM$38,'KG1-4'!$AD$9:$IM$38,'KG1-5'!$AD$9:$IM$38,'KG1-6'!$AD$9:$IM$38,'KG1-7'!$AD$9:$IM$38),Prof_I,74))</f>
        <v/>
      </c>
      <c r="BX60">
        <f>IF(Prof_Row="","",INDEX(CHOOSE(Prof_C,'KG1-1'!$AD$9:$IM$38,'KG1-2'!$AD$9:$IM$38,'KG1-3'!$AD$9:$IM$38,'KG1-4'!$AD$9:$IM$38,'KG1-5'!$AD$9:$IM$38,'KG1-6'!$AD$9:$IM$38,'KG1-7'!$AD$9:$IM$38),Prof_I,75))</f>
        <v/>
      </c>
      <c r="BY60">
        <f>IF(Prof_Row="","",INDEX(CHOOSE(Prof_C,'KG1-1'!$AD$9:$IM$38,'KG1-2'!$AD$9:$IM$38,'KG1-3'!$AD$9:$IM$38,'KG1-4'!$AD$9:$IM$38,'KG1-5'!$AD$9:$IM$38,'KG1-6'!$AD$9:$IM$38,'KG1-7'!$AD$9:$IM$38),Prof_I,76))</f>
        <v/>
      </c>
      <c r="BZ60">
        <f>IF(Prof_Row="","",INDEX(CHOOSE(Prof_C,'KG1-1'!$AD$9:$IM$38,'KG1-2'!$AD$9:$IM$38,'KG1-3'!$AD$9:$IM$38,'KG1-4'!$AD$9:$IM$38,'KG1-5'!$AD$9:$IM$38,'KG1-6'!$AD$9:$IM$38,'KG1-7'!$AD$9:$IM$38),Prof_I,77))</f>
        <v/>
      </c>
      <c r="CA60">
        <f>IF(Prof_Row="","",INDEX(CHOOSE(Prof_C,'KG1-1'!$AD$9:$IM$38,'KG1-2'!$AD$9:$IM$38,'KG1-3'!$AD$9:$IM$38,'KG1-4'!$AD$9:$IM$38,'KG1-5'!$AD$9:$IM$38,'KG1-6'!$AD$9:$IM$38,'KG1-7'!$AD$9:$IM$38),Prof_I,78))</f>
        <v/>
      </c>
      <c r="CB60">
        <f>IF(Prof_Row="","",INDEX(CHOOSE(Prof_C,'KG1-1'!$AD$9:$IM$38,'KG1-2'!$AD$9:$IM$38,'KG1-3'!$AD$9:$IM$38,'KG1-4'!$AD$9:$IM$38,'KG1-5'!$AD$9:$IM$38,'KG1-6'!$AD$9:$IM$38,'KG1-7'!$AD$9:$IM$38),Prof_I,79))</f>
        <v/>
      </c>
      <c r="CC60">
        <f>IF(Prof_Row="","",INDEX(CHOOSE(Prof_C,'KG1-1'!$AD$9:$IM$38,'KG1-2'!$AD$9:$IM$38,'KG1-3'!$AD$9:$IM$38,'KG1-4'!$AD$9:$IM$38,'KG1-5'!$AD$9:$IM$38,'KG1-6'!$AD$9:$IM$38,'KG1-7'!$AD$9:$IM$38),Prof_I,80))</f>
        <v/>
      </c>
      <c r="CD60">
        <f>IF(Prof_Row="","",INDEX(CHOOSE(Prof_C,'KG1-1'!$AD$9:$IM$38,'KG1-2'!$AD$9:$IM$38,'KG1-3'!$AD$9:$IM$38,'KG1-4'!$AD$9:$IM$38,'KG1-5'!$AD$9:$IM$38,'KG1-6'!$AD$9:$IM$38,'KG1-7'!$AD$9:$IM$38),Prof_I,81))</f>
        <v/>
      </c>
      <c r="CE60">
        <f>IF(Prof_Row="","",INDEX(CHOOSE(Prof_C,'KG1-1'!$AD$9:$IM$38,'KG1-2'!$AD$9:$IM$38,'KG1-3'!$AD$9:$IM$38,'KG1-4'!$AD$9:$IM$38,'KG1-5'!$AD$9:$IM$38,'KG1-6'!$AD$9:$IM$38,'KG1-7'!$AD$9:$IM$38),Prof_I,82))</f>
        <v/>
      </c>
      <c r="CF60">
        <f>IF(Prof_Row="","",INDEX(CHOOSE(Prof_C,'KG1-1'!$AD$9:$IM$38,'KG1-2'!$AD$9:$IM$38,'KG1-3'!$AD$9:$IM$38,'KG1-4'!$AD$9:$IM$38,'KG1-5'!$AD$9:$IM$38,'KG1-6'!$AD$9:$IM$38,'KG1-7'!$AD$9:$IM$38),Prof_I,83))</f>
        <v/>
      </c>
      <c r="CG60">
        <f>IF(Prof_Row="","",INDEX(CHOOSE(Prof_C,'KG1-1'!$AD$9:$IM$38,'KG1-2'!$AD$9:$IM$38,'KG1-3'!$AD$9:$IM$38,'KG1-4'!$AD$9:$IM$38,'KG1-5'!$AD$9:$IM$38,'KG1-6'!$AD$9:$IM$38,'KG1-7'!$AD$9:$IM$38),Prof_I,84))</f>
        <v/>
      </c>
      <c r="CH60">
        <f>IF(Prof_Row="","",INDEX(CHOOSE(Prof_C,'KG1-1'!$AD$9:$IM$38,'KG1-2'!$AD$9:$IM$38,'KG1-3'!$AD$9:$IM$38,'KG1-4'!$AD$9:$IM$38,'KG1-5'!$AD$9:$IM$38,'KG1-6'!$AD$9:$IM$38,'KG1-7'!$AD$9:$IM$38),Prof_I,85))</f>
        <v/>
      </c>
      <c r="CI60">
        <f>IF(Prof_Row="","",INDEX(CHOOSE(Prof_C,'KG1-1'!$AD$9:$IM$38,'KG1-2'!$AD$9:$IM$38,'KG1-3'!$AD$9:$IM$38,'KG1-4'!$AD$9:$IM$38,'KG1-5'!$AD$9:$IM$38,'KG1-6'!$AD$9:$IM$38,'KG1-7'!$AD$9:$IM$38),Prof_I,86))</f>
        <v/>
      </c>
      <c r="CJ60">
        <f>IF(Prof_Row="","",INDEX(CHOOSE(Prof_C,'KG1-1'!$AD$9:$IM$38,'KG1-2'!$AD$9:$IM$38,'KG1-3'!$AD$9:$IM$38,'KG1-4'!$AD$9:$IM$38,'KG1-5'!$AD$9:$IM$38,'KG1-6'!$AD$9:$IM$38,'KG1-7'!$AD$9:$IM$38),Prof_I,87))</f>
        <v/>
      </c>
      <c r="CK60">
        <f>IF(Prof_Row="","",INDEX(CHOOSE(Prof_C,'KG1-1'!$AD$9:$IM$38,'KG1-2'!$AD$9:$IM$38,'KG1-3'!$AD$9:$IM$38,'KG1-4'!$AD$9:$IM$38,'KG1-5'!$AD$9:$IM$38,'KG1-6'!$AD$9:$IM$38,'KG1-7'!$AD$9:$IM$38),Prof_I,88))</f>
        <v/>
      </c>
      <c r="CL60">
        <f>IF(Prof_Row="","",INDEX(CHOOSE(Prof_C,'KG1-1'!$AD$9:$IM$38,'KG1-2'!$AD$9:$IM$38,'KG1-3'!$AD$9:$IM$38,'KG1-4'!$AD$9:$IM$38,'KG1-5'!$AD$9:$IM$38,'KG1-6'!$AD$9:$IM$38,'KG1-7'!$AD$9:$IM$38),Prof_I,89))</f>
        <v/>
      </c>
      <c r="CM60">
        <f>IF(Prof_Row="","",INDEX(CHOOSE(Prof_C,'KG1-1'!$AD$9:$IM$38,'KG1-2'!$AD$9:$IM$38,'KG1-3'!$AD$9:$IM$38,'KG1-4'!$AD$9:$IM$38,'KG1-5'!$AD$9:$IM$38,'KG1-6'!$AD$9:$IM$38,'KG1-7'!$AD$9:$IM$38),Prof_I,90))</f>
        <v/>
      </c>
      <c r="CN60">
        <f>IF(Prof_Row="","",INDEX(CHOOSE(Prof_C,'KG1-1'!$AD$9:$IM$38,'KG1-2'!$AD$9:$IM$38,'KG1-3'!$AD$9:$IM$38,'KG1-4'!$AD$9:$IM$38,'KG1-5'!$AD$9:$IM$38,'KG1-6'!$AD$9:$IM$38,'KG1-7'!$AD$9:$IM$38),Prof_I,91))</f>
        <v/>
      </c>
      <c r="CO60">
        <f>IF(Prof_Row="","",INDEX(CHOOSE(Prof_C,'KG1-1'!$AD$9:$IM$38,'KG1-2'!$AD$9:$IM$38,'KG1-3'!$AD$9:$IM$38,'KG1-4'!$AD$9:$IM$38,'KG1-5'!$AD$9:$IM$38,'KG1-6'!$AD$9:$IM$38,'KG1-7'!$AD$9:$IM$38),Prof_I,92))</f>
        <v/>
      </c>
      <c r="CP60">
        <f>IF(Prof_Row="","",INDEX(CHOOSE(Prof_C,'KG1-1'!$AD$9:$IM$38,'KG1-2'!$AD$9:$IM$38,'KG1-3'!$AD$9:$IM$38,'KG1-4'!$AD$9:$IM$38,'KG1-5'!$AD$9:$IM$38,'KG1-6'!$AD$9:$IM$38,'KG1-7'!$AD$9:$IM$38),Prof_I,93))</f>
        <v/>
      </c>
      <c r="CQ60">
        <f>IF(Prof_Row="","",INDEX(CHOOSE(Prof_C,'KG1-1'!$AD$9:$IM$38,'KG1-2'!$AD$9:$IM$38,'KG1-3'!$AD$9:$IM$38,'KG1-4'!$AD$9:$IM$38,'KG1-5'!$AD$9:$IM$38,'KG1-6'!$AD$9:$IM$38,'KG1-7'!$AD$9:$IM$38),Prof_I,94))</f>
        <v/>
      </c>
      <c r="CR60">
        <f>IF(Prof_Row="","",INDEX(CHOOSE(Prof_C,'KG1-1'!$AD$9:$IM$38,'KG1-2'!$AD$9:$IM$38,'KG1-3'!$AD$9:$IM$38,'KG1-4'!$AD$9:$IM$38,'KG1-5'!$AD$9:$IM$38,'KG1-6'!$AD$9:$IM$38,'KG1-7'!$AD$9:$IM$38),Prof_I,95))</f>
        <v/>
      </c>
      <c r="CS60">
        <f>IF(Prof_Row="","",INDEX(CHOOSE(Prof_C,'KG1-1'!$AD$9:$IM$38,'KG1-2'!$AD$9:$IM$38,'KG1-3'!$AD$9:$IM$38,'KG1-4'!$AD$9:$IM$38,'KG1-5'!$AD$9:$IM$38,'KG1-6'!$AD$9:$IM$38,'KG1-7'!$AD$9:$IM$38),Prof_I,96))</f>
        <v/>
      </c>
      <c r="CT60">
        <f>IF(Prof_Row="","",INDEX(CHOOSE(Prof_C,'KG1-1'!$AD$9:$IM$38,'KG1-2'!$AD$9:$IM$38,'KG1-3'!$AD$9:$IM$38,'KG1-4'!$AD$9:$IM$38,'KG1-5'!$AD$9:$IM$38,'KG1-6'!$AD$9:$IM$38,'KG1-7'!$AD$9:$IM$38),Prof_I,97))</f>
        <v/>
      </c>
      <c r="CU60">
        <f>IF(Prof_Row="","",INDEX(CHOOSE(Prof_C,'KG1-1'!$AD$9:$IM$38,'KG1-2'!$AD$9:$IM$38,'KG1-3'!$AD$9:$IM$38,'KG1-4'!$AD$9:$IM$38,'KG1-5'!$AD$9:$IM$38,'KG1-6'!$AD$9:$IM$38,'KG1-7'!$AD$9:$IM$38),Prof_I,98))</f>
        <v/>
      </c>
      <c r="CV60">
        <f>IF(Prof_Row="","",INDEX(CHOOSE(Prof_C,'KG1-1'!$AD$9:$IM$38,'KG1-2'!$AD$9:$IM$38,'KG1-3'!$AD$9:$IM$38,'KG1-4'!$AD$9:$IM$38,'KG1-5'!$AD$9:$IM$38,'KG1-6'!$AD$9:$IM$38,'KG1-7'!$AD$9:$IM$38),Prof_I,99))</f>
        <v/>
      </c>
      <c r="CW60">
        <f>IF(Prof_Row="","",INDEX(CHOOSE(Prof_C,'KG1-1'!$AD$9:$IM$38,'KG1-2'!$AD$9:$IM$38,'KG1-3'!$AD$9:$IM$38,'KG1-4'!$AD$9:$IM$38,'KG1-5'!$AD$9:$IM$38,'KG1-6'!$AD$9:$IM$38,'KG1-7'!$AD$9:$IM$38),Prof_I,100))</f>
        <v/>
      </c>
      <c r="CX60">
        <f>IF(Prof_Row="","",INDEX(CHOOSE(Prof_C,'KG1-1'!$AD$9:$IM$38,'KG1-2'!$AD$9:$IM$38,'KG1-3'!$AD$9:$IM$38,'KG1-4'!$AD$9:$IM$38,'KG1-5'!$AD$9:$IM$38,'KG1-6'!$AD$9:$IM$38,'KG1-7'!$AD$9:$IM$38),Prof_I,101))</f>
        <v/>
      </c>
      <c r="CY60">
        <f>IF(Prof_Row="","",INDEX(CHOOSE(Prof_C,'KG1-1'!$AD$9:$IM$38,'KG1-2'!$AD$9:$IM$38,'KG1-3'!$AD$9:$IM$38,'KG1-4'!$AD$9:$IM$38,'KG1-5'!$AD$9:$IM$38,'KG1-6'!$AD$9:$IM$38,'KG1-7'!$AD$9:$IM$38),Prof_I,102))</f>
        <v/>
      </c>
      <c r="CZ60">
        <f>IF(Prof_Row="","",INDEX(CHOOSE(Prof_C,'KG1-1'!$AD$9:$IM$38,'KG1-2'!$AD$9:$IM$38,'KG1-3'!$AD$9:$IM$38,'KG1-4'!$AD$9:$IM$38,'KG1-5'!$AD$9:$IM$38,'KG1-6'!$AD$9:$IM$38,'KG1-7'!$AD$9:$IM$38),Prof_I,103))</f>
        <v/>
      </c>
      <c r="DA60">
        <f>IF(Prof_Row="","",INDEX(CHOOSE(Prof_C,'KG1-1'!$AD$9:$IM$38,'KG1-2'!$AD$9:$IM$38,'KG1-3'!$AD$9:$IM$38,'KG1-4'!$AD$9:$IM$38,'KG1-5'!$AD$9:$IM$38,'KG1-6'!$AD$9:$IM$38,'KG1-7'!$AD$9:$IM$38),Prof_I,104))</f>
        <v/>
      </c>
      <c r="DB60">
        <f>IF(Prof_Row="","",INDEX(CHOOSE(Prof_C,'KG1-1'!$AD$9:$IM$38,'KG1-2'!$AD$9:$IM$38,'KG1-3'!$AD$9:$IM$38,'KG1-4'!$AD$9:$IM$38,'KG1-5'!$AD$9:$IM$38,'KG1-6'!$AD$9:$IM$38,'KG1-7'!$AD$9:$IM$38),Prof_I,105))</f>
        <v/>
      </c>
      <c r="DC60">
        <f>IF(Prof_Row="","",INDEX(CHOOSE(Prof_C,'KG1-1'!$AD$9:$IM$38,'KG1-2'!$AD$9:$IM$38,'KG1-3'!$AD$9:$IM$38,'KG1-4'!$AD$9:$IM$38,'KG1-5'!$AD$9:$IM$38,'KG1-6'!$AD$9:$IM$38,'KG1-7'!$AD$9:$IM$38),Prof_I,106))</f>
        <v/>
      </c>
      <c r="DD60">
        <f>IF(Prof_Row="","",INDEX(CHOOSE(Prof_C,'KG1-1'!$AD$9:$IM$38,'KG1-2'!$AD$9:$IM$38,'KG1-3'!$AD$9:$IM$38,'KG1-4'!$AD$9:$IM$38,'KG1-5'!$AD$9:$IM$38,'KG1-6'!$AD$9:$IM$38,'KG1-7'!$AD$9:$IM$38),Prof_I,107))</f>
        <v/>
      </c>
      <c r="DE60">
        <f>IF(Prof_Row="","",INDEX(CHOOSE(Prof_C,'KG1-1'!$AD$9:$IM$38,'KG1-2'!$AD$9:$IM$38,'KG1-3'!$AD$9:$IM$38,'KG1-4'!$AD$9:$IM$38,'KG1-5'!$AD$9:$IM$38,'KG1-6'!$AD$9:$IM$38,'KG1-7'!$AD$9:$IM$38),Prof_I,108))</f>
        <v/>
      </c>
      <c r="DF60">
        <f>IF(Prof_Row="","",INDEX(CHOOSE(Prof_C,'KG1-1'!$AD$9:$IM$38,'KG1-2'!$AD$9:$IM$38,'KG1-3'!$AD$9:$IM$38,'KG1-4'!$AD$9:$IM$38,'KG1-5'!$AD$9:$IM$38,'KG1-6'!$AD$9:$IM$38,'KG1-7'!$AD$9:$IM$38),Prof_I,109))</f>
        <v/>
      </c>
      <c r="DG60">
        <f>IF(Prof_Row="","",INDEX(CHOOSE(Prof_C,'KG1-1'!$AD$9:$IM$38,'KG1-2'!$AD$9:$IM$38,'KG1-3'!$AD$9:$IM$38,'KG1-4'!$AD$9:$IM$38,'KG1-5'!$AD$9:$IM$38,'KG1-6'!$AD$9:$IM$38,'KG1-7'!$AD$9:$IM$38),Prof_I,110))</f>
        <v/>
      </c>
      <c r="DH60">
        <f>IF(Prof_Row="","",INDEX(CHOOSE(Prof_C,'KG1-1'!$AD$9:$IM$38,'KG1-2'!$AD$9:$IM$38,'KG1-3'!$AD$9:$IM$38,'KG1-4'!$AD$9:$IM$38,'KG1-5'!$AD$9:$IM$38,'KG1-6'!$AD$9:$IM$38,'KG1-7'!$AD$9:$IM$38),Prof_I,111))</f>
        <v/>
      </c>
      <c r="DI60">
        <f>IF(Prof_Row="","",INDEX(CHOOSE(Prof_C,'KG1-1'!$AD$9:$IM$38,'KG1-2'!$AD$9:$IM$38,'KG1-3'!$AD$9:$IM$38,'KG1-4'!$AD$9:$IM$38,'KG1-5'!$AD$9:$IM$38,'KG1-6'!$AD$9:$IM$38,'KG1-7'!$AD$9:$IM$38),Prof_I,112))</f>
        <v/>
      </c>
      <c r="DJ60">
        <f>IF(Prof_Row="","",INDEX(CHOOSE(Prof_C,'KG1-1'!$AD$9:$IM$38,'KG1-2'!$AD$9:$IM$38,'KG1-3'!$AD$9:$IM$38,'KG1-4'!$AD$9:$IM$38,'KG1-5'!$AD$9:$IM$38,'KG1-6'!$AD$9:$IM$38,'KG1-7'!$AD$9:$IM$38),Prof_I,113))</f>
        <v/>
      </c>
      <c r="DK60">
        <f>IF(Prof_Row="","",INDEX(CHOOSE(Prof_C,'KG1-1'!$AD$9:$IM$38,'KG1-2'!$AD$9:$IM$38,'KG1-3'!$AD$9:$IM$38,'KG1-4'!$AD$9:$IM$38,'KG1-5'!$AD$9:$IM$38,'KG1-6'!$AD$9:$IM$38,'KG1-7'!$AD$9:$IM$38),Prof_I,114))</f>
        <v/>
      </c>
      <c r="DL60">
        <f>IF(Prof_Row="","",INDEX(CHOOSE(Prof_C,'KG1-1'!$AD$9:$IM$38,'KG1-2'!$AD$9:$IM$38,'KG1-3'!$AD$9:$IM$38,'KG1-4'!$AD$9:$IM$38,'KG1-5'!$AD$9:$IM$38,'KG1-6'!$AD$9:$IM$38,'KG1-7'!$AD$9:$IM$38),Prof_I,115))</f>
        <v/>
      </c>
      <c r="DM60">
        <f>IF(Prof_Row="","",INDEX(CHOOSE(Prof_C,'KG1-1'!$AD$9:$IM$38,'KG1-2'!$AD$9:$IM$38,'KG1-3'!$AD$9:$IM$38,'KG1-4'!$AD$9:$IM$38,'KG1-5'!$AD$9:$IM$38,'KG1-6'!$AD$9:$IM$38,'KG1-7'!$AD$9:$IM$38),Prof_I,116))</f>
        <v/>
      </c>
      <c r="DN60">
        <f>IF(Prof_Row="","",INDEX(CHOOSE(Prof_C,'KG1-1'!$AD$9:$IM$38,'KG1-2'!$AD$9:$IM$38,'KG1-3'!$AD$9:$IM$38,'KG1-4'!$AD$9:$IM$38,'KG1-5'!$AD$9:$IM$38,'KG1-6'!$AD$9:$IM$38,'KG1-7'!$AD$9:$IM$38),Prof_I,117))</f>
        <v/>
      </c>
      <c r="DO60">
        <f>IF(Prof_Row="","",INDEX(CHOOSE(Prof_C,'KG1-1'!$AD$9:$IM$38,'KG1-2'!$AD$9:$IM$38,'KG1-3'!$AD$9:$IM$38,'KG1-4'!$AD$9:$IM$38,'KG1-5'!$AD$9:$IM$38,'KG1-6'!$AD$9:$IM$38,'KG1-7'!$AD$9:$IM$38),Prof_I,118))</f>
        <v/>
      </c>
      <c r="DP60">
        <f>IF(Prof_Row="","",INDEX(CHOOSE(Prof_C,'KG1-1'!$AD$9:$IM$38,'KG1-2'!$AD$9:$IM$38,'KG1-3'!$AD$9:$IM$38,'KG1-4'!$AD$9:$IM$38,'KG1-5'!$AD$9:$IM$38,'KG1-6'!$AD$9:$IM$38,'KG1-7'!$AD$9:$IM$38),Prof_I,119))</f>
        <v/>
      </c>
      <c r="DQ60">
        <f>IF(Prof_Row="","",INDEX(CHOOSE(Prof_C,'KG1-1'!$AD$9:$IM$38,'KG1-2'!$AD$9:$IM$38,'KG1-3'!$AD$9:$IM$38,'KG1-4'!$AD$9:$IM$38,'KG1-5'!$AD$9:$IM$38,'KG1-6'!$AD$9:$IM$38,'KG1-7'!$AD$9:$IM$38),Prof_I,120))</f>
        <v/>
      </c>
      <c r="DR60">
        <f>IF(Prof_Row="","",INDEX(CHOOSE(Prof_C,'KG1-1'!$AD$9:$IM$38,'KG1-2'!$AD$9:$IM$38,'KG1-3'!$AD$9:$IM$38,'KG1-4'!$AD$9:$IM$38,'KG1-5'!$AD$9:$IM$38,'KG1-6'!$AD$9:$IM$38,'KG1-7'!$AD$9:$IM$38),Prof_I,121))</f>
        <v/>
      </c>
      <c r="DS60">
        <f>IF(Prof_Row="","",INDEX(CHOOSE(Prof_C,'KG1-1'!$AD$9:$IM$38,'KG1-2'!$AD$9:$IM$38,'KG1-3'!$AD$9:$IM$38,'KG1-4'!$AD$9:$IM$38,'KG1-5'!$AD$9:$IM$38,'KG1-6'!$AD$9:$IM$38,'KG1-7'!$AD$9:$IM$38),Prof_I,122))</f>
        <v/>
      </c>
      <c r="DT60">
        <f>IF(Prof_Row="","",INDEX(CHOOSE(Prof_C,'KG1-1'!$AD$9:$IM$38,'KG1-2'!$AD$9:$IM$38,'KG1-3'!$AD$9:$IM$38,'KG1-4'!$AD$9:$IM$38,'KG1-5'!$AD$9:$IM$38,'KG1-6'!$AD$9:$IM$38,'KG1-7'!$AD$9:$IM$38),Prof_I,123))</f>
        <v/>
      </c>
      <c r="DU60">
        <f>IF(Prof_Row="","",INDEX(CHOOSE(Prof_C,'KG1-1'!$AD$9:$IM$38,'KG1-2'!$AD$9:$IM$38,'KG1-3'!$AD$9:$IM$38,'KG1-4'!$AD$9:$IM$38,'KG1-5'!$AD$9:$IM$38,'KG1-6'!$AD$9:$IM$38,'KG1-7'!$AD$9:$IM$38),Prof_I,124))</f>
        <v/>
      </c>
      <c r="DV60">
        <f>IF(Prof_Row="","",INDEX(CHOOSE(Prof_C,'KG1-1'!$AD$9:$IM$38,'KG1-2'!$AD$9:$IM$38,'KG1-3'!$AD$9:$IM$38,'KG1-4'!$AD$9:$IM$38,'KG1-5'!$AD$9:$IM$38,'KG1-6'!$AD$9:$IM$38,'KG1-7'!$AD$9:$IM$38),Prof_I,125))</f>
        <v/>
      </c>
      <c r="DW60">
        <f>IF(Prof_Row="","",INDEX(CHOOSE(Prof_C,'KG1-1'!$AD$9:$IM$38,'KG1-2'!$AD$9:$IM$38,'KG1-3'!$AD$9:$IM$38,'KG1-4'!$AD$9:$IM$38,'KG1-5'!$AD$9:$IM$38,'KG1-6'!$AD$9:$IM$38,'KG1-7'!$AD$9:$IM$38),Prof_I,126))</f>
        <v/>
      </c>
      <c r="DX60">
        <f>IF(Prof_Row="","",INDEX(CHOOSE(Prof_C,'KG1-1'!$AD$9:$IM$38,'KG1-2'!$AD$9:$IM$38,'KG1-3'!$AD$9:$IM$38,'KG1-4'!$AD$9:$IM$38,'KG1-5'!$AD$9:$IM$38,'KG1-6'!$AD$9:$IM$38,'KG1-7'!$AD$9:$IM$38),Prof_I,127))</f>
        <v/>
      </c>
      <c r="DY60">
        <f>IF(Prof_Row="","",INDEX(CHOOSE(Prof_C,'KG1-1'!$AD$9:$IM$38,'KG1-2'!$AD$9:$IM$38,'KG1-3'!$AD$9:$IM$38,'KG1-4'!$AD$9:$IM$38,'KG1-5'!$AD$9:$IM$38,'KG1-6'!$AD$9:$IM$38,'KG1-7'!$AD$9:$IM$38),Prof_I,128))</f>
        <v/>
      </c>
      <c r="DZ60">
        <f>IF(Prof_Row="","",INDEX(CHOOSE(Prof_C,'KG1-1'!$AD$9:$IM$38,'KG1-2'!$AD$9:$IM$38,'KG1-3'!$AD$9:$IM$38,'KG1-4'!$AD$9:$IM$38,'KG1-5'!$AD$9:$IM$38,'KG1-6'!$AD$9:$IM$38,'KG1-7'!$AD$9:$IM$38),Prof_I,129))</f>
        <v/>
      </c>
      <c r="EA60">
        <f>IF(Prof_Row="","",INDEX(CHOOSE(Prof_C,'KG1-1'!$AD$9:$IM$38,'KG1-2'!$AD$9:$IM$38,'KG1-3'!$AD$9:$IM$38,'KG1-4'!$AD$9:$IM$38,'KG1-5'!$AD$9:$IM$38,'KG1-6'!$AD$9:$IM$38,'KG1-7'!$AD$9:$IM$38),Prof_I,130))</f>
        <v/>
      </c>
      <c r="EB60">
        <f>IF(Prof_Row="","",INDEX(CHOOSE(Prof_C,'KG1-1'!$AD$9:$IM$38,'KG1-2'!$AD$9:$IM$38,'KG1-3'!$AD$9:$IM$38,'KG1-4'!$AD$9:$IM$38,'KG1-5'!$AD$9:$IM$38,'KG1-6'!$AD$9:$IM$38,'KG1-7'!$AD$9:$IM$38),Prof_I,131))</f>
        <v/>
      </c>
      <c r="EC60">
        <f>IF(Prof_Row="","",INDEX(CHOOSE(Prof_C,'KG1-1'!$AD$9:$IM$38,'KG1-2'!$AD$9:$IM$38,'KG1-3'!$AD$9:$IM$38,'KG1-4'!$AD$9:$IM$38,'KG1-5'!$AD$9:$IM$38,'KG1-6'!$AD$9:$IM$38,'KG1-7'!$AD$9:$IM$38),Prof_I,132))</f>
        <v/>
      </c>
      <c r="ED60">
        <f>IF(Prof_Row="","",INDEX(CHOOSE(Prof_C,'KG1-1'!$AD$9:$IM$38,'KG1-2'!$AD$9:$IM$38,'KG1-3'!$AD$9:$IM$38,'KG1-4'!$AD$9:$IM$38,'KG1-5'!$AD$9:$IM$38,'KG1-6'!$AD$9:$IM$38,'KG1-7'!$AD$9:$IM$38),Prof_I,133))</f>
        <v/>
      </c>
      <c r="EE60">
        <f>IF(Prof_Row="","",INDEX(CHOOSE(Prof_C,'KG1-1'!$AD$9:$IM$38,'KG1-2'!$AD$9:$IM$38,'KG1-3'!$AD$9:$IM$38,'KG1-4'!$AD$9:$IM$38,'KG1-5'!$AD$9:$IM$38,'KG1-6'!$AD$9:$IM$38,'KG1-7'!$AD$9:$IM$38),Prof_I,134))</f>
        <v/>
      </c>
      <c r="EF60">
        <f>IF(Prof_Row="","",INDEX(CHOOSE(Prof_C,'KG1-1'!$AD$9:$IM$38,'KG1-2'!$AD$9:$IM$38,'KG1-3'!$AD$9:$IM$38,'KG1-4'!$AD$9:$IM$38,'KG1-5'!$AD$9:$IM$38,'KG1-6'!$AD$9:$IM$38,'KG1-7'!$AD$9:$IM$38),Prof_I,135))</f>
        <v/>
      </c>
      <c r="EG60">
        <f>IF(Prof_Row="","",INDEX(CHOOSE(Prof_C,'KG1-1'!$AD$9:$IM$38,'KG1-2'!$AD$9:$IM$38,'KG1-3'!$AD$9:$IM$38,'KG1-4'!$AD$9:$IM$38,'KG1-5'!$AD$9:$IM$38,'KG1-6'!$AD$9:$IM$38,'KG1-7'!$AD$9:$IM$38),Prof_I,136))</f>
        <v/>
      </c>
      <c r="EH60">
        <f>IF(Prof_Row="","",INDEX(CHOOSE(Prof_C,'KG1-1'!$AD$9:$IM$38,'KG1-2'!$AD$9:$IM$38,'KG1-3'!$AD$9:$IM$38,'KG1-4'!$AD$9:$IM$38,'KG1-5'!$AD$9:$IM$38,'KG1-6'!$AD$9:$IM$38,'KG1-7'!$AD$9:$IM$38),Prof_I,137))</f>
        <v/>
      </c>
      <c r="EI60">
        <f>IF(Prof_Row="","",INDEX(CHOOSE(Prof_C,'KG1-1'!$AD$9:$IM$38,'KG1-2'!$AD$9:$IM$38,'KG1-3'!$AD$9:$IM$38,'KG1-4'!$AD$9:$IM$38,'KG1-5'!$AD$9:$IM$38,'KG1-6'!$AD$9:$IM$38,'KG1-7'!$AD$9:$IM$38),Prof_I,138))</f>
        <v/>
      </c>
      <c r="EJ60">
        <f>IF(Prof_Row="","",INDEX(CHOOSE(Prof_C,'KG1-1'!$AD$9:$IM$38,'KG1-2'!$AD$9:$IM$38,'KG1-3'!$AD$9:$IM$38,'KG1-4'!$AD$9:$IM$38,'KG1-5'!$AD$9:$IM$38,'KG1-6'!$AD$9:$IM$38,'KG1-7'!$AD$9:$IM$38),Prof_I,139))</f>
        <v/>
      </c>
      <c r="EK60">
        <f>IF(Prof_Row="","",INDEX(CHOOSE(Prof_C,'KG1-1'!$AD$9:$IM$38,'KG1-2'!$AD$9:$IM$38,'KG1-3'!$AD$9:$IM$38,'KG1-4'!$AD$9:$IM$38,'KG1-5'!$AD$9:$IM$38,'KG1-6'!$AD$9:$IM$38,'KG1-7'!$AD$9:$IM$38),Prof_I,140))</f>
        <v/>
      </c>
      <c r="EL60">
        <f>IF(Prof_Row="","",INDEX(CHOOSE(Prof_C,'KG1-1'!$AD$9:$IM$38,'KG1-2'!$AD$9:$IM$38,'KG1-3'!$AD$9:$IM$38,'KG1-4'!$AD$9:$IM$38,'KG1-5'!$AD$9:$IM$38,'KG1-6'!$AD$9:$IM$38,'KG1-7'!$AD$9:$IM$38),Prof_I,141))</f>
        <v/>
      </c>
      <c r="EM60">
        <f>IF(Prof_Row="","",INDEX(CHOOSE(Prof_C,'KG1-1'!$AD$9:$IM$38,'KG1-2'!$AD$9:$IM$38,'KG1-3'!$AD$9:$IM$38,'KG1-4'!$AD$9:$IM$38,'KG1-5'!$AD$9:$IM$38,'KG1-6'!$AD$9:$IM$38,'KG1-7'!$AD$9:$IM$38),Prof_I,142))</f>
        <v/>
      </c>
      <c r="EN60">
        <f>IF(Prof_Row="","",INDEX(CHOOSE(Prof_C,'KG1-1'!$AD$9:$IM$38,'KG1-2'!$AD$9:$IM$38,'KG1-3'!$AD$9:$IM$38,'KG1-4'!$AD$9:$IM$38,'KG1-5'!$AD$9:$IM$38,'KG1-6'!$AD$9:$IM$38,'KG1-7'!$AD$9:$IM$38),Prof_I,143))</f>
        <v/>
      </c>
      <c r="EO60">
        <f>IF(Prof_Row="","",INDEX(CHOOSE(Prof_C,'KG1-1'!$AD$9:$IM$38,'KG1-2'!$AD$9:$IM$38,'KG1-3'!$AD$9:$IM$38,'KG1-4'!$AD$9:$IM$38,'KG1-5'!$AD$9:$IM$38,'KG1-6'!$AD$9:$IM$38,'KG1-7'!$AD$9:$IM$38),Prof_I,144))</f>
        <v/>
      </c>
      <c r="EP60">
        <f>IF(Prof_Row="","",INDEX(CHOOSE(Prof_C,'KG1-1'!$AD$9:$IM$38,'KG1-2'!$AD$9:$IM$38,'KG1-3'!$AD$9:$IM$38,'KG1-4'!$AD$9:$IM$38,'KG1-5'!$AD$9:$IM$38,'KG1-6'!$AD$9:$IM$38,'KG1-7'!$AD$9:$IM$38),Prof_I,145))</f>
        <v/>
      </c>
      <c r="EQ60">
        <f>IF(Prof_Row="","",INDEX(CHOOSE(Prof_C,'KG1-1'!$AD$9:$IM$38,'KG1-2'!$AD$9:$IM$38,'KG1-3'!$AD$9:$IM$38,'KG1-4'!$AD$9:$IM$38,'KG1-5'!$AD$9:$IM$38,'KG1-6'!$AD$9:$IM$38,'KG1-7'!$AD$9:$IM$38),Prof_I,146))</f>
        <v/>
      </c>
      <c r="ER60">
        <f>IF(Prof_Row="","",INDEX(CHOOSE(Prof_C,'KG1-1'!$AD$9:$IM$38,'KG1-2'!$AD$9:$IM$38,'KG1-3'!$AD$9:$IM$38,'KG1-4'!$AD$9:$IM$38,'KG1-5'!$AD$9:$IM$38,'KG1-6'!$AD$9:$IM$38,'KG1-7'!$AD$9:$IM$38),Prof_I,147))</f>
        <v/>
      </c>
      <c r="ES60">
        <f>IF(Prof_Row="","",INDEX(CHOOSE(Prof_C,'KG1-1'!$AD$9:$IM$38,'KG1-2'!$AD$9:$IM$38,'KG1-3'!$AD$9:$IM$38,'KG1-4'!$AD$9:$IM$38,'KG1-5'!$AD$9:$IM$38,'KG1-6'!$AD$9:$IM$38,'KG1-7'!$AD$9:$IM$38),Prof_I,148))</f>
        <v/>
      </c>
      <c r="ET60">
        <f>IF(Prof_Row="","",INDEX(CHOOSE(Prof_C,'KG1-1'!$AD$9:$IM$38,'KG1-2'!$AD$9:$IM$38,'KG1-3'!$AD$9:$IM$38,'KG1-4'!$AD$9:$IM$38,'KG1-5'!$AD$9:$IM$38,'KG1-6'!$AD$9:$IM$38,'KG1-7'!$AD$9:$IM$38),Prof_I,149))</f>
        <v/>
      </c>
      <c r="EU60">
        <f>IF(Prof_Row="","",INDEX(CHOOSE(Prof_C,'KG1-1'!$AD$9:$IM$38,'KG1-2'!$AD$9:$IM$38,'KG1-3'!$AD$9:$IM$38,'KG1-4'!$AD$9:$IM$38,'KG1-5'!$AD$9:$IM$38,'KG1-6'!$AD$9:$IM$38,'KG1-7'!$AD$9:$IM$38),Prof_I,150))</f>
        <v/>
      </c>
      <c r="EV60">
        <f>IF(Prof_Row="","",INDEX(CHOOSE(Prof_C,'KG1-1'!$AD$9:$IM$38,'KG1-2'!$AD$9:$IM$38,'KG1-3'!$AD$9:$IM$38,'KG1-4'!$AD$9:$IM$38,'KG1-5'!$AD$9:$IM$38,'KG1-6'!$AD$9:$IM$38,'KG1-7'!$AD$9:$IM$38),Prof_I,151))</f>
        <v/>
      </c>
      <c r="EW60">
        <f>IF(Prof_Row="","",INDEX(CHOOSE(Prof_C,'KG1-1'!$AD$9:$IM$38,'KG1-2'!$AD$9:$IM$38,'KG1-3'!$AD$9:$IM$38,'KG1-4'!$AD$9:$IM$38,'KG1-5'!$AD$9:$IM$38,'KG1-6'!$AD$9:$IM$38,'KG1-7'!$AD$9:$IM$38),Prof_I,152))</f>
        <v/>
      </c>
      <c r="EX60">
        <f>IF(Prof_Row="","",INDEX(CHOOSE(Prof_C,'KG1-1'!$AD$9:$IM$38,'KG1-2'!$AD$9:$IM$38,'KG1-3'!$AD$9:$IM$38,'KG1-4'!$AD$9:$IM$38,'KG1-5'!$AD$9:$IM$38,'KG1-6'!$AD$9:$IM$38,'KG1-7'!$AD$9:$IM$38),Prof_I,153))</f>
        <v/>
      </c>
      <c r="EY60">
        <f>IF(Prof_Row="","",INDEX(CHOOSE(Prof_C,'KG1-1'!$AD$9:$IM$38,'KG1-2'!$AD$9:$IM$38,'KG1-3'!$AD$9:$IM$38,'KG1-4'!$AD$9:$IM$38,'KG1-5'!$AD$9:$IM$38,'KG1-6'!$AD$9:$IM$38,'KG1-7'!$AD$9:$IM$38),Prof_I,154))</f>
        <v/>
      </c>
      <c r="EZ60">
        <f>IF(Prof_Row="","",INDEX(CHOOSE(Prof_C,'KG1-1'!$AD$9:$IM$38,'KG1-2'!$AD$9:$IM$38,'KG1-3'!$AD$9:$IM$38,'KG1-4'!$AD$9:$IM$38,'KG1-5'!$AD$9:$IM$38,'KG1-6'!$AD$9:$IM$38,'KG1-7'!$AD$9:$IM$38),Prof_I,155))</f>
        <v/>
      </c>
      <c r="FA60">
        <f>IF(Prof_Row="","",INDEX(CHOOSE(Prof_C,'KG1-1'!$AD$9:$IM$38,'KG1-2'!$AD$9:$IM$38,'KG1-3'!$AD$9:$IM$38,'KG1-4'!$AD$9:$IM$38,'KG1-5'!$AD$9:$IM$38,'KG1-6'!$AD$9:$IM$38,'KG1-7'!$AD$9:$IM$38),Prof_I,156))</f>
        <v/>
      </c>
      <c r="FB60">
        <f>IF(Prof_Row="","",INDEX(CHOOSE(Prof_C,'KG1-1'!$AD$9:$IM$38,'KG1-2'!$AD$9:$IM$38,'KG1-3'!$AD$9:$IM$38,'KG1-4'!$AD$9:$IM$38,'KG1-5'!$AD$9:$IM$38,'KG1-6'!$AD$9:$IM$38,'KG1-7'!$AD$9:$IM$38),Prof_I,157))</f>
        <v/>
      </c>
      <c r="FC60">
        <f>IF(Prof_Row="","",INDEX(CHOOSE(Prof_C,'KG1-1'!$AD$9:$IM$38,'KG1-2'!$AD$9:$IM$38,'KG1-3'!$AD$9:$IM$38,'KG1-4'!$AD$9:$IM$38,'KG1-5'!$AD$9:$IM$38,'KG1-6'!$AD$9:$IM$38,'KG1-7'!$AD$9:$IM$38),Prof_I,158))</f>
        <v/>
      </c>
      <c r="FD60">
        <f>IF(Prof_Row="","",INDEX(CHOOSE(Prof_C,'KG1-1'!$AD$9:$IM$38,'KG1-2'!$AD$9:$IM$38,'KG1-3'!$AD$9:$IM$38,'KG1-4'!$AD$9:$IM$38,'KG1-5'!$AD$9:$IM$38,'KG1-6'!$AD$9:$IM$38,'KG1-7'!$AD$9:$IM$38),Prof_I,159))</f>
        <v/>
      </c>
      <c r="FE60">
        <f>IF(Prof_Row="","",INDEX(CHOOSE(Prof_C,'KG1-1'!$AD$9:$IM$38,'KG1-2'!$AD$9:$IM$38,'KG1-3'!$AD$9:$IM$38,'KG1-4'!$AD$9:$IM$38,'KG1-5'!$AD$9:$IM$38,'KG1-6'!$AD$9:$IM$38,'KG1-7'!$AD$9:$IM$38),Prof_I,160))</f>
        <v/>
      </c>
      <c r="FF60">
        <f>IF(Prof_Row="","",INDEX(CHOOSE(Prof_C,'KG1-1'!$AD$9:$IM$38,'KG1-2'!$AD$9:$IM$38,'KG1-3'!$AD$9:$IM$38,'KG1-4'!$AD$9:$IM$38,'KG1-5'!$AD$9:$IM$38,'KG1-6'!$AD$9:$IM$38,'KG1-7'!$AD$9:$IM$38),Prof_I,161))</f>
        <v/>
      </c>
      <c r="FG60">
        <f>IF(Prof_Row="","",INDEX(CHOOSE(Prof_C,'KG1-1'!$AD$9:$IM$38,'KG1-2'!$AD$9:$IM$38,'KG1-3'!$AD$9:$IM$38,'KG1-4'!$AD$9:$IM$38,'KG1-5'!$AD$9:$IM$38,'KG1-6'!$AD$9:$IM$38,'KG1-7'!$AD$9:$IM$38),Prof_I,162))</f>
        <v/>
      </c>
      <c r="FH60">
        <f>IF(Prof_Row="","",INDEX(CHOOSE(Prof_C,'KG1-1'!$AD$9:$IM$38,'KG1-2'!$AD$9:$IM$38,'KG1-3'!$AD$9:$IM$38,'KG1-4'!$AD$9:$IM$38,'KG1-5'!$AD$9:$IM$38,'KG1-6'!$AD$9:$IM$38,'KG1-7'!$AD$9:$IM$38),Prof_I,163))</f>
        <v/>
      </c>
      <c r="FI60">
        <f>IF(Prof_Row="","",INDEX(CHOOSE(Prof_C,'KG1-1'!$AD$9:$IM$38,'KG1-2'!$AD$9:$IM$38,'KG1-3'!$AD$9:$IM$38,'KG1-4'!$AD$9:$IM$38,'KG1-5'!$AD$9:$IM$38,'KG1-6'!$AD$9:$IM$38,'KG1-7'!$AD$9:$IM$38),Prof_I,164))</f>
        <v/>
      </c>
      <c r="FJ60">
        <f>IF(Prof_Row="","",INDEX(CHOOSE(Prof_C,'KG1-1'!$AD$9:$IM$38,'KG1-2'!$AD$9:$IM$38,'KG1-3'!$AD$9:$IM$38,'KG1-4'!$AD$9:$IM$38,'KG1-5'!$AD$9:$IM$38,'KG1-6'!$AD$9:$IM$38,'KG1-7'!$AD$9:$IM$38),Prof_I,165))</f>
        <v/>
      </c>
      <c r="FK60">
        <f>IF(Prof_Row="","",INDEX(CHOOSE(Prof_C,'KG1-1'!$AD$9:$IM$38,'KG1-2'!$AD$9:$IM$38,'KG1-3'!$AD$9:$IM$38,'KG1-4'!$AD$9:$IM$38,'KG1-5'!$AD$9:$IM$38,'KG1-6'!$AD$9:$IM$38,'KG1-7'!$AD$9:$IM$38),Prof_I,166))</f>
        <v/>
      </c>
      <c r="FL60">
        <f>IF(Prof_Row="","",INDEX(CHOOSE(Prof_C,'KG1-1'!$AD$9:$IM$38,'KG1-2'!$AD$9:$IM$38,'KG1-3'!$AD$9:$IM$38,'KG1-4'!$AD$9:$IM$38,'KG1-5'!$AD$9:$IM$38,'KG1-6'!$AD$9:$IM$38,'KG1-7'!$AD$9:$IM$38),Prof_I,167))</f>
        <v/>
      </c>
      <c r="FM60">
        <f>IF(Prof_Row="","",INDEX(CHOOSE(Prof_C,'KG1-1'!$AD$9:$IM$38,'KG1-2'!$AD$9:$IM$38,'KG1-3'!$AD$9:$IM$38,'KG1-4'!$AD$9:$IM$38,'KG1-5'!$AD$9:$IM$38,'KG1-6'!$AD$9:$IM$38,'KG1-7'!$AD$9:$IM$38),Prof_I,168))</f>
        <v/>
      </c>
      <c r="FN60">
        <f>IF(Prof_Row="","",INDEX(CHOOSE(Prof_C,'KG1-1'!$AD$9:$IM$38,'KG1-2'!$AD$9:$IM$38,'KG1-3'!$AD$9:$IM$38,'KG1-4'!$AD$9:$IM$38,'KG1-5'!$AD$9:$IM$38,'KG1-6'!$AD$9:$IM$38,'KG1-7'!$AD$9:$IM$38),Prof_I,169))</f>
        <v/>
      </c>
      <c r="FO60">
        <f>IF(Prof_Row="","",INDEX(CHOOSE(Prof_C,'KG1-1'!$AD$9:$IM$38,'KG1-2'!$AD$9:$IM$38,'KG1-3'!$AD$9:$IM$38,'KG1-4'!$AD$9:$IM$38,'KG1-5'!$AD$9:$IM$38,'KG1-6'!$AD$9:$IM$38,'KG1-7'!$AD$9:$IM$38),Prof_I,170))</f>
        <v/>
      </c>
      <c r="FP60">
        <f>IF(Prof_Row="","",INDEX(CHOOSE(Prof_C,'KG1-1'!$AD$9:$IM$38,'KG1-2'!$AD$9:$IM$38,'KG1-3'!$AD$9:$IM$38,'KG1-4'!$AD$9:$IM$38,'KG1-5'!$AD$9:$IM$38,'KG1-6'!$AD$9:$IM$38,'KG1-7'!$AD$9:$IM$38),Prof_I,171))</f>
        <v/>
      </c>
      <c r="FQ60">
        <f>IF(Prof_Row="","",INDEX(CHOOSE(Prof_C,'KG1-1'!$AD$9:$IM$38,'KG1-2'!$AD$9:$IM$38,'KG1-3'!$AD$9:$IM$38,'KG1-4'!$AD$9:$IM$38,'KG1-5'!$AD$9:$IM$38,'KG1-6'!$AD$9:$IM$38,'KG1-7'!$AD$9:$IM$38),Prof_I,172))</f>
        <v/>
      </c>
      <c r="FR60">
        <f>IF(Prof_Row="","",INDEX(CHOOSE(Prof_C,'KG1-1'!$AD$9:$IM$38,'KG1-2'!$AD$9:$IM$38,'KG1-3'!$AD$9:$IM$38,'KG1-4'!$AD$9:$IM$38,'KG1-5'!$AD$9:$IM$38,'KG1-6'!$AD$9:$IM$38,'KG1-7'!$AD$9:$IM$38),Prof_I,173))</f>
        <v/>
      </c>
      <c r="FS60">
        <f>IF(Prof_Row="","",INDEX(CHOOSE(Prof_C,'KG1-1'!$AD$9:$IM$38,'KG1-2'!$AD$9:$IM$38,'KG1-3'!$AD$9:$IM$38,'KG1-4'!$AD$9:$IM$38,'KG1-5'!$AD$9:$IM$38,'KG1-6'!$AD$9:$IM$38,'KG1-7'!$AD$9:$IM$38),Prof_I,174))</f>
        <v/>
      </c>
      <c r="FT60">
        <f>IF(Prof_Row="","",INDEX(CHOOSE(Prof_C,'KG1-1'!$AD$9:$IM$38,'KG1-2'!$AD$9:$IM$38,'KG1-3'!$AD$9:$IM$38,'KG1-4'!$AD$9:$IM$38,'KG1-5'!$AD$9:$IM$38,'KG1-6'!$AD$9:$IM$38,'KG1-7'!$AD$9:$IM$38),Prof_I,175))</f>
        <v/>
      </c>
      <c r="FU60">
        <f>IF(Prof_Row="","",INDEX(CHOOSE(Prof_C,'KG1-1'!$AD$9:$IM$38,'KG1-2'!$AD$9:$IM$38,'KG1-3'!$AD$9:$IM$38,'KG1-4'!$AD$9:$IM$38,'KG1-5'!$AD$9:$IM$38,'KG1-6'!$AD$9:$IM$38,'KG1-7'!$AD$9:$IM$38),Prof_I,176))</f>
        <v/>
      </c>
      <c r="FV60">
        <f>IF(Prof_Row="","",INDEX(CHOOSE(Prof_C,'KG1-1'!$AD$9:$IM$38,'KG1-2'!$AD$9:$IM$38,'KG1-3'!$AD$9:$IM$38,'KG1-4'!$AD$9:$IM$38,'KG1-5'!$AD$9:$IM$38,'KG1-6'!$AD$9:$IM$38,'KG1-7'!$AD$9:$IM$38),Prof_I,177))</f>
        <v/>
      </c>
      <c r="FW60">
        <f>IF(Prof_Row="","",INDEX(CHOOSE(Prof_C,'KG1-1'!$AD$9:$IM$38,'KG1-2'!$AD$9:$IM$38,'KG1-3'!$AD$9:$IM$38,'KG1-4'!$AD$9:$IM$38,'KG1-5'!$AD$9:$IM$38,'KG1-6'!$AD$9:$IM$38,'KG1-7'!$AD$9:$IM$38),Prof_I,178))</f>
        <v/>
      </c>
      <c r="FX60">
        <f>IF(Prof_Row="","",INDEX(CHOOSE(Prof_C,'KG1-1'!$AD$9:$IM$38,'KG1-2'!$AD$9:$IM$38,'KG1-3'!$AD$9:$IM$38,'KG1-4'!$AD$9:$IM$38,'KG1-5'!$AD$9:$IM$38,'KG1-6'!$AD$9:$IM$38,'KG1-7'!$AD$9:$IM$38),Prof_I,179))</f>
        <v/>
      </c>
      <c r="FY60">
        <f>IF(Prof_Row="","",INDEX(CHOOSE(Prof_C,'KG1-1'!$AD$9:$IM$38,'KG1-2'!$AD$9:$IM$38,'KG1-3'!$AD$9:$IM$38,'KG1-4'!$AD$9:$IM$38,'KG1-5'!$AD$9:$IM$38,'KG1-6'!$AD$9:$IM$38,'KG1-7'!$AD$9:$IM$38),Prof_I,180))</f>
        <v/>
      </c>
      <c r="FZ60">
        <f>IF(Prof_Row="","",INDEX(CHOOSE(Prof_C,'KG1-1'!$AD$9:$IM$38,'KG1-2'!$AD$9:$IM$38,'KG1-3'!$AD$9:$IM$38,'KG1-4'!$AD$9:$IM$38,'KG1-5'!$AD$9:$IM$38,'KG1-6'!$AD$9:$IM$38,'KG1-7'!$AD$9:$IM$38),Prof_I,181))</f>
        <v/>
      </c>
      <c r="GA60">
        <f>IF(Prof_Row="","",INDEX(CHOOSE(Prof_C,'KG1-1'!$AD$9:$IM$38,'KG1-2'!$AD$9:$IM$38,'KG1-3'!$AD$9:$IM$38,'KG1-4'!$AD$9:$IM$38,'KG1-5'!$AD$9:$IM$38,'KG1-6'!$AD$9:$IM$38,'KG1-7'!$AD$9:$IM$38),Prof_I,182))</f>
        <v/>
      </c>
      <c r="GB60">
        <f>IF(Prof_Row="","",INDEX(CHOOSE(Prof_C,'KG1-1'!$AD$9:$IM$38,'KG1-2'!$AD$9:$IM$38,'KG1-3'!$AD$9:$IM$38,'KG1-4'!$AD$9:$IM$38,'KG1-5'!$AD$9:$IM$38,'KG1-6'!$AD$9:$IM$38,'KG1-7'!$AD$9:$IM$38),Prof_I,183))</f>
        <v/>
      </c>
      <c r="GC60">
        <f>IF(Prof_Row="","",INDEX(CHOOSE(Prof_C,'KG1-1'!$AD$9:$IM$38,'KG1-2'!$AD$9:$IM$38,'KG1-3'!$AD$9:$IM$38,'KG1-4'!$AD$9:$IM$38,'KG1-5'!$AD$9:$IM$38,'KG1-6'!$AD$9:$IM$38,'KG1-7'!$AD$9:$IM$38),Prof_I,184))</f>
        <v/>
      </c>
      <c r="GD60">
        <f>IF(Prof_Row="","",INDEX(CHOOSE(Prof_C,'KG1-1'!$AD$9:$IM$38,'KG1-2'!$AD$9:$IM$38,'KG1-3'!$AD$9:$IM$38,'KG1-4'!$AD$9:$IM$38,'KG1-5'!$AD$9:$IM$38,'KG1-6'!$AD$9:$IM$38,'KG1-7'!$AD$9:$IM$38),Prof_I,185))</f>
        <v/>
      </c>
      <c r="GE60">
        <f>IF(Prof_Row="","",INDEX(CHOOSE(Prof_C,'KG1-1'!$AD$9:$IM$38,'KG1-2'!$AD$9:$IM$38,'KG1-3'!$AD$9:$IM$38,'KG1-4'!$AD$9:$IM$38,'KG1-5'!$AD$9:$IM$38,'KG1-6'!$AD$9:$IM$38,'KG1-7'!$AD$9:$IM$38),Prof_I,186))</f>
        <v/>
      </c>
      <c r="GF60">
        <f>IF(Prof_Row="","",INDEX(CHOOSE(Prof_C,'KG1-1'!$AD$9:$IM$38,'KG1-2'!$AD$9:$IM$38,'KG1-3'!$AD$9:$IM$38,'KG1-4'!$AD$9:$IM$38,'KG1-5'!$AD$9:$IM$38,'KG1-6'!$AD$9:$IM$38,'KG1-7'!$AD$9:$IM$38),Prof_I,187))</f>
        <v/>
      </c>
      <c r="GG60">
        <f>IF(Prof_Row="","",INDEX(CHOOSE(Prof_C,'KG1-1'!$AD$9:$IM$38,'KG1-2'!$AD$9:$IM$38,'KG1-3'!$AD$9:$IM$38,'KG1-4'!$AD$9:$IM$38,'KG1-5'!$AD$9:$IM$38,'KG1-6'!$AD$9:$IM$38,'KG1-7'!$AD$9:$IM$38),Prof_I,188))</f>
        <v/>
      </c>
      <c r="GH60">
        <f>IF(Prof_Row="","",INDEX(CHOOSE(Prof_C,'KG1-1'!$AD$9:$IM$38,'KG1-2'!$AD$9:$IM$38,'KG1-3'!$AD$9:$IM$38,'KG1-4'!$AD$9:$IM$38,'KG1-5'!$AD$9:$IM$38,'KG1-6'!$AD$9:$IM$38,'KG1-7'!$AD$9:$IM$38),Prof_I,189))</f>
        <v/>
      </c>
      <c r="GI60">
        <f>IF(Prof_Row="","",INDEX(CHOOSE(Prof_C,'KG1-1'!$AD$9:$IM$38,'KG1-2'!$AD$9:$IM$38,'KG1-3'!$AD$9:$IM$38,'KG1-4'!$AD$9:$IM$38,'KG1-5'!$AD$9:$IM$38,'KG1-6'!$AD$9:$IM$38,'KG1-7'!$AD$9:$IM$38),Prof_I,190))</f>
        <v/>
      </c>
      <c r="GJ60">
        <f>IF(Prof_Row="","",INDEX(CHOOSE(Prof_C,'KG1-1'!$AD$9:$IM$38,'KG1-2'!$AD$9:$IM$38,'KG1-3'!$AD$9:$IM$38,'KG1-4'!$AD$9:$IM$38,'KG1-5'!$AD$9:$IM$38,'KG1-6'!$AD$9:$IM$38,'KG1-7'!$AD$9:$IM$38),Prof_I,191))</f>
        <v/>
      </c>
      <c r="GK60">
        <f>IF(Prof_Row="","",INDEX(CHOOSE(Prof_C,'KG1-1'!$AD$9:$IM$38,'KG1-2'!$AD$9:$IM$38,'KG1-3'!$AD$9:$IM$38,'KG1-4'!$AD$9:$IM$38,'KG1-5'!$AD$9:$IM$38,'KG1-6'!$AD$9:$IM$38,'KG1-7'!$AD$9:$IM$38),Prof_I,192))</f>
        <v/>
      </c>
      <c r="GL60">
        <f>IF(Prof_Row="","",INDEX(CHOOSE(Prof_C,'KG1-1'!$AD$9:$IM$38,'KG1-2'!$AD$9:$IM$38,'KG1-3'!$AD$9:$IM$38,'KG1-4'!$AD$9:$IM$38,'KG1-5'!$AD$9:$IM$38,'KG1-6'!$AD$9:$IM$38,'KG1-7'!$AD$9:$IM$38),Prof_I,193))</f>
        <v/>
      </c>
      <c r="GM60">
        <f>IF(Prof_Row="","",INDEX(CHOOSE(Prof_C,'KG1-1'!$AD$9:$IM$38,'KG1-2'!$AD$9:$IM$38,'KG1-3'!$AD$9:$IM$38,'KG1-4'!$AD$9:$IM$38,'KG1-5'!$AD$9:$IM$38,'KG1-6'!$AD$9:$IM$38,'KG1-7'!$AD$9:$IM$38),Prof_I,194))</f>
        <v/>
      </c>
      <c r="GN60">
        <f>IF(Prof_Row="","",INDEX(CHOOSE(Prof_C,'KG1-1'!$AD$9:$IM$38,'KG1-2'!$AD$9:$IM$38,'KG1-3'!$AD$9:$IM$38,'KG1-4'!$AD$9:$IM$38,'KG1-5'!$AD$9:$IM$38,'KG1-6'!$AD$9:$IM$38,'KG1-7'!$AD$9:$IM$38),Prof_I,195))</f>
        <v/>
      </c>
      <c r="GO60">
        <f>IF(Prof_Row="","",INDEX(CHOOSE(Prof_C,'KG1-1'!$AD$9:$IM$38,'KG1-2'!$AD$9:$IM$38,'KG1-3'!$AD$9:$IM$38,'KG1-4'!$AD$9:$IM$38,'KG1-5'!$AD$9:$IM$38,'KG1-6'!$AD$9:$IM$38,'KG1-7'!$AD$9:$IM$38),Prof_I,196))</f>
        <v/>
      </c>
      <c r="GP60">
        <f>IF(Prof_Row="","",INDEX(CHOOSE(Prof_C,'KG1-1'!$AD$9:$IM$38,'KG1-2'!$AD$9:$IM$38,'KG1-3'!$AD$9:$IM$38,'KG1-4'!$AD$9:$IM$38,'KG1-5'!$AD$9:$IM$38,'KG1-6'!$AD$9:$IM$38,'KG1-7'!$AD$9:$IM$38),Prof_I,197))</f>
        <v/>
      </c>
      <c r="GQ60">
        <f>IF(Prof_Row="","",INDEX(CHOOSE(Prof_C,'KG1-1'!$AD$9:$IM$38,'KG1-2'!$AD$9:$IM$38,'KG1-3'!$AD$9:$IM$38,'KG1-4'!$AD$9:$IM$38,'KG1-5'!$AD$9:$IM$38,'KG1-6'!$AD$9:$IM$38,'KG1-7'!$AD$9:$IM$38),Prof_I,198))</f>
        <v/>
      </c>
      <c r="GR60">
        <f>IF(Prof_Row="","",INDEX(CHOOSE(Prof_C,'KG1-1'!$AD$9:$IM$38,'KG1-2'!$AD$9:$IM$38,'KG1-3'!$AD$9:$IM$38,'KG1-4'!$AD$9:$IM$38,'KG1-5'!$AD$9:$IM$38,'KG1-6'!$AD$9:$IM$38,'KG1-7'!$AD$9:$IM$38),Prof_I,199))</f>
        <v/>
      </c>
      <c r="GS60">
        <f>IF(Prof_Row="","",INDEX(CHOOSE(Prof_C,'KG1-1'!$AD$9:$IM$38,'KG1-2'!$AD$9:$IM$38,'KG1-3'!$AD$9:$IM$38,'KG1-4'!$AD$9:$IM$38,'KG1-5'!$AD$9:$IM$38,'KG1-6'!$AD$9:$IM$38,'KG1-7'!$AD$9:$IM$38),Prof_I,200))</f>
        <v/>
      </c>
      <c r="GT60">
        <f>IF(Prof_Row="","",INDEX(CHOOSE(Prof_C,'KG1-1'!$AD$9:$IM$38,'KG1-2'!$AD$9:$IM$38,'KG1-3'!$AD$9:$IM$38,'KG1-4'!$AD$9:$IM$38,'KG1-5'!$AD$9:$IM$38,'KG1-6'!$AD$9:$IM$38,'KG1-7'!$AD$9:$IM$38),Prof_I,201))</f>
        <v/>
      </c>
      <c r="GU60">
        <f>IF(Prof_Row="","",INDEX(CHOOSE(Prof_C,'KG1-1'!$AD$9:$IM$38,'KG1-2'!$AD$9:$IM$38,'KG1-3'!$AD$9:$IM$38,'KG1-4'!$AD$9:$IM$38,'KG1-5'!$AD$9:$IM$38,'KG1-6'!$AD$9:$IM$38,'KG1-7'!$AD$9:$IM$38),Prof_I,202))</f>
        <v/>
      </c>
      <c r="GV60">
        <f>IF(Prof_Row="","",INDEX(CHOOSE(Prof_C,'KG1-1'!$AD$9:$IM$38,'KG1-2'!$AD$9:$IM$38,'KG1-3'!$AD$9:$IM$38,'KG1-4'!$AD$9:$IM$38,'KG1-5'!$AD$9:$IM$38,'KG1-6'!$AD$9:$IM$38,'KG1-7'!$AD$9:$IM$38),Prof_I,203))</f>
        <v/>
      </c>
      <c r="GW60">
        <f>IF(Prof_Row="","",INDEX(CHOOSE(Prof_C,'KG1-1'!$AD$9:$IM$38,'KG1-2'!$AD$9:$IM$38,'KG1-3'!$AD$9:$IM$38,'KG1-4'!$AD$9:$IM$38,'KG1-5'!$AD$9:$IM$38,'KG1-6'!$AD$9:$IM$38,'KG1-7'!$AD$9:$IM$38),Prof_I,204))</f>
        <v/>
      </c>
      <c r="GX60">
        <f>IF(Prof_Row="","",INDEX(CHOOSE(Prof_C,'KG1-1'!$AD$9:$IM$38,'KG1-2'!$AD$9:$IM$38,'KG1-3'!$AD$9:$IM$38,'KG1-4'!$AD$9:$IM$38,'KG1-5'!$AD$9:$IM$38,'KG1-6'!$AD$9:$IM$38,'KG1-7'!$AD$9:$IM$38),Prof_I,205))</f>
        <v/>
      </c>
      <c r="GY60">
        <f>IF(Prof_Row="","",INDEX(CHOOSE(Prof_C,'KG1-1'!$AD$9:$IM$38,'KG1-2'!$AD$9:$IM$38,'KG1-3'!$AD$9:$IM$38,'KG1-4'!$AD$9:$IM$38,'KG1-5'!$AD$9:$IM$38,'KG1-6'!$AD$9:$IM$38,'KG1-7'!$AD$9:$IM$38),Prof_I,206))</f>
        <v/>
      </c>
      <c r="GZ60">
        <f>IF(Prof_Row="","",INDEX(CHOOSE(Prof_C,'KG1-1'!$AD$9:$IM$38,'KG1-2'!$AD$9:$IM$38,'KG1-3'!$AD$9:$IM$38,'KG1-4'!$AD$9:$IM$38,'KG1-5'!$AD$9:$IM$38,'KG1-6'!$AD$9:$IM$38,'KG1-7'!$AD$9:$IM$38),Prof_I,207))</f>
        <v/>
      </c>
      <c r="HA60">
        <f>IF(Prof_Row="","",INDEX(CHOOSE(Prof_C,'KG1-1'!$AD$9:$IM$38,'KG1-2'!$AD$9:$IM$38,'KG1-3'!$AD$9:$IM$38,'KG1-4'!$AD$9:$IM$38,'KG1-5'!$AD$9:$IM$38,'KG1-6'!$AD$9:$IM$38,'KG1-7'!$AD$9:$IM$38),Prof_I,208))</f>
        <v/>
      </c>
      <c r="HB60">
        <f>IF(Prof_Row="","",INDEX(CHOOSE(Prof_C,'KG1-1'!$AD$9:$IM$38,'KG1-2'!$AD$9:$IM$38,'KG1-3'!$AD$9:$IM$38,'KG1-4'!$AD$9:$IM$38,'KG1-5'!$AD$9:$IM$38,'KG1-6'!$AD$9:$IM$38,'KG1-7'!$AD$9:$IM$38),Prof_I,209))</f>
        <v/>
      </c>
      <c r="HC60">
        <f>IF(Prof_Row="","",INDEX(CHOOSE(Prof_C,'KG1-1'!$AD$9:$IM$38,'KG1-2'!$AD$9:$IM$38,'KG1-3'!$AD$9:$IM$38,'KG1-4'!$AD$9:$IM$38,'KG1-5'!$AD$9:$IM$38,'KG1-6'!$AD$9:$IM$38,'KG1-7'!$AD$9:$IM$38),Prof_I,210))</f>
        <v/>
      </c>
      <c r="HD60">
        <f>IF(Prof_Row="","",INDEX(CHOOSE(Prof_C,'KG1-1'!$AD$9:$IM$38,'KG1-2'!$AD$9:$IM$38,'KG1-3'!$AD$9:$IM$38,'KG1-4'!$AD$9:$IM$38,'KG1-5'!$AD$9:$IM$38,'KG1-6'!$AD$9:$IM$38,'KG1-7'!$AD$9:$IM$38),Prof_I,211))</f>
        <v/>
      </c>
      <c r="HE60">
        <f>IF(Prof_Row="","",INDEX(CHOOSE(Prof_C,'KG1-1'!$AD$9:$IM$38,'KG1-2'!$AD$9:$IM$38,'KG1-3'!$AD$9:$IM$38,'KG1-4'!$AD$9:$IM$38,'KG1-5'!$AD$9:$IM$38,'KG1-6'!$AD$9:$IM$38,'KG1-7'!$AD$9:$IM$38),Prof_I,212))</f>
        <v/>
      </c>
      <c r="HF60">
        <f>IF(Prof_Row="","",INDEX(CHOOSE(Prof_C,'KG1-1'!$AD$9:$IM$38,'KG1-2'!$AD$9:$IM$38,'KG1-3'!$AD$9:$IM$38,'KG1-4'!$AD$9:$IM$38,'KG1-5'!$AD$9:$IM$38,'KG1-6'!$AD$9:$IM$38,'KG1-7'!$AD$9:$IM$38),Prof_I,213))</f>
        <v/>
      </c>
      <c r="HG60">
        <f>IF(Prof_Row="","",INDEX(CHOOSE(Prof_C,'KG1-1'!$AD$9:$IM$38,'KG1-2'!$AD$9:$IM$38,'KG1-3'!$AD$9:$IM$38,'KG1-4'!$AD$9:$IM$38,'KG1-5'!$AD$9:$IM$38,'KG1-6'!$AD$9:$IM$38,'KG1-7'!$AD$9:$IM$38),Prof_I,214))</f>
        <v/>
      </c>
      <c r="HH60">
        <f>IF(Prof_Row="","",INDEX(CHOOSE(Prof_C,'KG1-1'!$AD$9:$IM$38,'KG1-2'!$AD$9:$IM$38,'KG1-3'!$AD$9:$IM$38,'KG1-4'!$AD$9:$IM$38,'KG1-5'!$AD$9:$IM$38,'KG1-6'!$AD$9:$IM$38,'KG1-7'!$AD$9:$IM$38),Prof_I,215))</f>
        <v/>
      </c>
      <c r="HI60">
        <f>IF(Prof_Row="","",INDEX(CHOOSE(Prof_C,'KG1-1'!$AD$9:$IM$38,'KG1-2'!$AD$9:$IM$38,'KG1-3'!$AD$9:$IM$38,'KG1-4'!$AD$9:$IM$38,'KG1-5'!$AD$9:$IM$38,'KG1-6'!$AD$9:$IM$38,'KG1-7'!$AD$9:$IM$38),Prof_I,216))</f>
        <v/>
      </c>
      <c r="HJ60">
        <f>IF(Prof_Row="","",INDEX(CHOOSE(Prof_C,'KG1-1'!$AD$9:$IM$38,'KG1-2'!$AD$9:$IM$38,'KG1-3'!$AD$9:$IM$38,'KG1-4'!$AD$9:$IM$38,'KG1-5'!$AD$9:$IM$38,'KG1-6'!$AD$9:$IM$38,'KG1-7'!$AD$9:$IM$38),Prof_I,217))</f>
        <v/>
      </c>
      <c r="HK60">
        <f>IF(Prof_Row="","",INDEX(CHOOSE(Prof_C,'KG1-1'!$AD$9:$IM$38,'KG1-2'!$AD$9:$IM$38,'KG1-3'!$AD$9:$IM$38,'KG1-4'!$AD$9:$IM$38,'KG1-5'!$AD$9:$IM$38,'KG1-6'!$AD$9:$IM$38,'KG1-7'!$AD$9:$IM$38),Prof_I,218))</f>
        <v/>
      </c>
    </row>
    <row r="61" hidden="1">
      <c r="A61" s="125" t="inlineStr">
        <is>
          <t>محصور</t>
        </is>
      </c>
      <c r="B61">
        <f>IF(Prof_Row="","",INDEX(CHOOSE(Prof_C,'KG1-1'!$AD$7:$IM$7,'KG1-2'!$AD$7:$IM$7,'KG1-3'!$AD$7:$IM$7,'KG1-4'!$AD$7:$IM$7,'KG1-5'!$AD$7:$IM$7,'KG1-6'!$AD$7:$IM$7,'KG1-7'!$AD$7:$IM$7),1))</f>
        <v/>
      </c>
      <c r="C61">
        <f>IF(Prof_Row="","",INDEX(CHOOSE(Prof_C,'KG1-1'!$AD$7:$IM$7,'KG1-2'!$AD$7:$IM$7,'KG1-3'!$AD$7:$IM$7,'KG1-4'!$AD$7:$IM$7,'KG1-5'!$AD$7:$IM$7,'KG1-6'!$AD$7:$IM$7,'KG1-7'!$AD$7:$IM$7),2))</f>
        <v/>
      </c>
      <c r="D61">
        <f>IF(Prof_Row="","",INDEX(CHOOSE(Prof_C,'KG1-1'!$AD$7:$IM$7,'KG1-2'!$AD$7:$IM$7,'KG1-3'!$AD$7:$IM$7,'KG1-4'!$AD$7:$IM$7,'KG1-5'!$AD$7:$IM$7,'KG1-6'!$AD$7:$IM$7,'KG1-7'!$AD$7:$IM$7),3))</f>
        <v/>
      </c>
      <c r="E61">
        <f>IF(Prof_Row="","",INDEX(CHOOSE(Prof_C,'KG1-1'!$AD$7:$IM$7,'KG1-2'!$AD$7:$IM$7,'KG1-3'!$AD$7:$IM$7,'KG1-4'!$AD$7:$IM$7,'KG1-5'!$AD$7:$IM$7,'KG1-6'!$AD$7:$IM$7,'KG1-7'!$AD$7:$IM$7),4))</f>
        <v/>
      </c>
      <c r="F61">
        <f>IF(Prof_Row="","",INDEX(CHOOSE(Prof_C,'KG1-1'!$AD$7:$IM$7,'KG1-2'!$AD$7:$IM$7,'KG1-3'!$AD$7:$IM$7,'KG1-4'!$AD$7:$IM$7,'KG1-5'!$AD$7:$IM$7,'KG1-6'!$AD$7:$IM$7,'KG1-7'!$AD$7:$IM$7),5))</f>
        <v/>
      </c>
      <c r="G61">
        <f>IF(Prof_Row="","",INDEX(CHOOSE(Prof_C,'KG1-1'!$AD$7:$IM$7,'KG1-2'!$AD$7:$IM$7,'KG1-3'!$AD$7:$IM$7,'KG1-4'!$AD$7:$IM$7,'KG1-5'!$AD$7:$IM$7,'KG1-6'!$AD$7:$IM$7,'KG1-7'!$AD$7:$IM$7),6))</f>
        <v/>
      </c>
      <c r="H61">
        <f>IF(Prof_Row="","",INDEX(CHOOSE(Prof_C,'KG1-1'!$AD$7:$IM$7,'KG1-2'!$AD$7:$IM$7,'KG1-3'!$AD$7:$IM$7,'KG1-4'!$AD$7:$IM$7,'KG1-5'!$AD$7:$IM$7,'KG1-6'!$AD$7:$IM$7,'KG1-7'!$AD$7:$IM$7),7))</f>
        <v/>
      </c>
      <c r="I61">
        <f>IF(Prof_Row="","",INDEX(CHOOSE(Prof_C,'KG1-1'!$AD$7:$IM$7,'KG1-2'!$AD$7:$IM$7,'KG1-3'!$AD$7:$IM$7,'KG1-4'!$AD$7:$IM$7,'KG1-5'!$AD$7:$IM$7,'KG1-6'!$AD$7:$IM$7,'KG1-7'!$AD$7:$IM$7),8))</f>
        <v/>
      </c>
      <c r="J61">
        <f>IF(Prof_Row="","",INDEX(CHOOSE(Prof_C,'KG1-1'!$AD$7:$IM$7,'KG1-2'!$AD$7:$IM$7,'KG1-3'!$AD$7:$IM$7,'KG1-4'!$AD$7:$IM$7,'KG1-5'!$AD$7:$IM$7,'KG1-6'!$AD$7:$IM$7,'KG1-7'!$AD$7:$IM$7),9))</f>
        <v/>
      </c>
      <c r="K61">
        <f>IF(Prof_Row="","",INDEX(CHOOSE(Prof_C,'KG1-1'!$AD$7:$IM$7,'KG1-2'!$AD$7:$IM$7,'KG1-3'!$AD$7:$IM$7,'KG1-4'!$AD$7:$IM$7,'KG1-5'!$AD$7:$IM$7,'KG1-6'!$AD$7:$IM$7,'KG1-7'!$AD$7:$IM$7),10))</f>
        <v/>
      </c>
      <c r="L61">
        <f>IF(Prof_Row="","",INDEX(CHOOSE(Prof_C,'KG1-1'!$AD$7:$IM$7,'KG1-2'!$AD$7:$IM$7,'KG1-3'!$AD$7:$IM$7,'KG1-4'!$AD$7:$IM$7,'KG1-5'!$AD$7:$IM$7,'KG1-6'!$AD$7:$IM$7,'KG1-7'!$AD$7:$IM$7),11))</f>
        <v/>
      </c>
      <c r="M61">
        <f>IF(Prof_Row="","",INDEX(CHOOSE(Prof_C,'KG1-1'!$AD$7:$IM$7,'KG1-2'!$AD$7:$IM$7,'KG1-3'!$AD$7:$IM$7,'KG1-4'!$AD$7:$IM$7,'KG1-5'!$AD$7:$IM$7,'KG1-6'!$AD$7:$IM$7,'KG1-7'!$AD$7:$IM$7),12))</f>
        <v/>
      </c>
      <c r="N61">
        <f>IF(Prof_Row="","",INDEX(CHOOSE(Prof_C,'KG1-1'!$AD$7:$IM$7,'KG1-2'!$AD$7:$IM$7,'KG1-3'!$AD$7:$IM$7,'KG1-4'!$AD$7:$IM$7,'KG1-5'!$AD$7:$IM$7,'KG1-6'!$AD$7:$IM$7,'KG1-7'!$AD$7:$IM$7),13))</f>
        <v/>
      </c>
      <c r="O61">
        <f>IF(Prof_Row="","",INDEX(CHOOSE(Prof_C,'KG1-1'!$AD$7:$IM$7,'KG1-2'!$AD$7:$IM$7,'KG1-3'!$AD$7:$IM$7,'KG1-4'!$AD$7:$IM$7,'KG1-5'!$AD$7:$IM$7,'KG1-6'!$AD$7:$IM$7,'KG1-7'!$AD$7:$IM$7),14))</f>
        <v/>
      </c>
      <c r="P61">
        <f>IF(Prof_Row="","",INDEX(CHOOSE(Prof_C,'KG1-1'!$AD$7:$IM$7,'KG1-2'!$AD$7:$IM$7,'KG1-3'!$AD$7:$IM$7,'KG1-4'!$AD$7:$IM$7,'KG1-5'!$AD$7:$IM$7,'KG1-6'!$AD$7:$IM$7,'KG1-7'!$AD$7:$IM$7),15))</f>
        <v/>
      </c>
      <c r="Q61">
        <f>IF(Prof_Row="","",INDEX(CHOOSE(Prof_C,'KG1-1'!$AD$7:$IM$7,'KG1-2'!$AD$7:$IM$7,'KG1-3'!$AD$7:$IM$7,'KG1-4'!$AD$7:$IM$7,'KG1-5'!$AD$7:$IM$7,'KG1-6'!$AD$7:$IM$7,'KG1-7'!$AD$7:$IM$7),16))</f>
        <v/>
      </c>
      <c r="R61">
        <f>IF(Prof_Row="","",INDEX(CHOOSE(Prof_C,'KG1-1'!$AD$7:$IM$7,'KG1-2'!$AD$7:$IM$7,'KG1-3'!$AD$7:$IM$7,'KG1-4'!$AD$7:$IM$7,'KG1-5'!$AD$7:$IM$7,'KG1-6'!$AD$7:$IM$7,'KG1-7'!$AD$7:$IM$7),17))</f>
        <v/>
      </c>
      <c r="S61">
        <f>IF(Prof_Row="","",INDEX(CHOOSE(Prof_C,'KG1-1'!$AD$7:$IM$7,'KG1-2'!$AD$7:$IM$7,'KG1-3'!$AD$7:$IM$7,'KG1-4'!$AD$7:$IM$7,'KG1-5'!$AD$7:$IM$7,'KG1-6'!$AD$7:$IM$7,'KG1-7'!$AD$7:$IM$7),18))</f>
        <v/>
      </c>
      <c r="T61">
        <f>IF(Prof_Row="","",INDEX(CHOOSE(Prof_C,'KG1-1'!$AD$7:$IM$7,'KG1-2'!$AD$7:$IM$7,'KG1-3'!$AD$7:$IM$7,'KG1-4'!$AD$7:$IM$7,'KG1-5'!$AD$7:$IM$7,'KG1-6'!$AD$7:$IM$7,'KG1-7'!$AD$7:$IM$7),19))</f>
        <v/>
      </c>
      <c r="U61">
        <f>IF(Prof_Row="","",INDEX(CHOOSE(Prof_C,'KG1-1'!$AD$7:$IM$7,'KG1-2'!$AD$7:$IM$7,'KG1-3'!$AD$7:$IM$7,'KG1-4'!$AD$7:$IM$7,'KG1-5'!$AD$7:$IM$7,'KG1-6'!$AD$7:$IM$7,'KG1-7'!$AD$7:$IM$7),20))</f>
        <v/>
      </c>
      <c r="V61">
        <f>IF(Prof_Row="","",INDEX(CHOOSE(Prof_C,'KG1-1'!$AD$7:$IM$7,'KG1-2'!$AD$7:$IM$7,'KG1-3'!$AD$7:$IM$7,'KG1-4'!$AD$7:$IM$7,'KG1-5'!$AD$7:$IM$7,'KG1-6'!$AD$7:$IM$7,'KG1-7'!$AD$7:$IM$7),21))</f>
        <v/>
      </c>
      <c r="W61">
        <f>IF(Prof_Row="","",INDEX(CHOOSE(Prof_C,'KG1-1'!$AD$7:$IM$7,'KG1-2'!$AD$7:$IM$7,'KG1-3'!$AD$7:$IM$7,'KG1-4'!$AD$7:$IM$7,'KG1-5'!$AD$7:$IM$7,'KG1-6'!$AD$7:$IM$7,'KG1-7'!$AD$7:$IM$7),22))</f>
        <v/>
      </c>
      <c r="X61">
        <f>IF(Prof_Row="","",INDEX(CHOOSE(Prof_C,'KG1-1'!$AD$7:$IM$7,'KG1-2'!$AD$7:$IM$7,'KG1-3'!$AD$7:$IM$7,'KG1-4'!$AD$7:$IM$7,'KG1-5'!$AD$7:$IM$7,'KG1-6'!$AD$7:$IM$7,'KG1-7'!$AD$7:$IM$7),23))</f>
        <v/>
      </c>
      <c r="Y61">
        <f>IF(Prof_Row="","",INDEX(CHOOSE(Prof_C,'KG1-1'!$AD$7:$IM$7,'KG1-2'!$AD$7:$IM$7,'KG1-3'!$AD$7:$IM$7,'KG1-4'!$AD$7:$IM$7,'KG1-5'!$AD$7:$IM$7,'KG1-6'!$AD$7:$IM$7,'KG1-7'!$AD$7:$IM$7),24))</f>
        <v/>
      </c>
      <c r="Z61">
        <f>IF(Prof_Row="","",INDEX(CHOOSE(Prof_C,'KG1-1'!$AD$7:$IM$7,'KG1-2'!$AD$7:$IM$7,'KG1-3'!$AD$7:$IM$7,'KG1-4'!$AD$7:$IM$7,'KG1-5'!$AD$7:$IM$7,'KG1-6'!$AD$7:$IM$7,'KG1-7'!$AD$7:$IM$7),25))</f>
        <v/>
      </c>
      <c r="AA61">
        <f>IF(Prof_Row="","",INDEX(CHOOSE(Prof_C,'KG1-1'!$AD$7:$IM$7,'KG1-2'!$AD$7:$IM$7,'KG1-3'!$AD$7:$IM$7,'KG1-4'!$AD$7:$IM$7,'KG1-5'!$AD$7:$IM$7,'KG1-6'!$AD$7:$IM$7,'KG1-7'!$AD$7:$IM$7),26))</f>
        <v/>
      </c>
      <c r="AB61">
        <f>IF(Prof_Row="","",INDEX(CHOOSE(Prof_C,'KG1-1'!$AD$7:$IM$7,'KG1-2'!$AD$7:$IM$7,'KG1-3'!$AD$7:$IM$7,'KG1-4'!$AD$7:$IM$7,'KG1-5'!$AD$7:$IM$7,'KG1-6'!$AD$7:$IM$7,'KG1-7'!$AD$7:$IM$7),27))</f>
        <v/>
      </c>
      <c r="AC61">
        <f>IF(Prof_Row="","",INDEX(CHOOSE(Prof_C,'KG1-1'!$AD$7:$IM$7,'KG1-2'!$AD$7:$IM$7,'KG1-3'!$AD$7:$IM$7,'KG1-4'!$AD$7:$IM$7,'KG1-5'!$AD$7:$IM$7,'KG1-6'!$AD$7:$IM$7,'KG1-7'!$AD$7:$IM$7),28))</f>
        <v/>
      </c>
      <c r="AD61">
        <f>IF(Prof_Row="","",INDEX(CHOOSE(Prof_C,'KG1-1'!$AD$7:$IM$7,'KG1-2'!$AD$7:$IM$7,'KG1-3'!$AD$7:$IM$7,'KG1-4'!$AD$7:$IM$7,'KG1-5'!$AD$7:$IM$7,'KG1-6'!$AD$7:$IM$7,'KG1-7'!$AD$7:$IM$7),29))</f>
        <v/>
      </c>
      <c r="AE61">
        <f>IF(Prof_Row="","",INDEX(CHOOSE(Prof_C,'KG1-1'!$AD$7:$IM$7,'KG1-2'!$AD$7:$IM$7,'KG1-3'!$AD$7:$IM$7,'KG1-4'!$AD$7:$IM$7,'KG1-5'!$AD$7:$IM$7,'KG1-6'!$AD$7:$IM$7,'KG1-7'!$AD$7:$IM$7),30))</f>
        <v/>
      </c>
      <c r="AF61">
        <f>IF(Prof_Row="","",INDEX(CHOOSE(Prof_C,'KG1-1'!$AD$7:$IM$7,'KG1-2'!$AD$7:$IM$7,'KG1-3'!$AD$7:$IM$7,'KG1-4'!$AD$7:$IM$7,'KG1-5'!$AD$7:$IM$7,'KG1-6'!$AD$7:$IM$7,'KG1-7'!$AD$7:$IM$7),31))</f>
        <v/>
      </c>
      <c r="AG61">
        <f>IF(Prof_Row="","",INDEX(CHOOSE(Prof_C,'KG1-1'!$AD$7:$IM$7,'KG1-2'!$AD$7:$IM$7,'KG1-3'!$AD$7:$IM$7,'KG1-4'!$AD$7:$IM$7,'KG1-5'!$AD$7:$IM$7,'KG1-6'!$AD$7:$IM$7,'KG1-7'!$AD$7:$IM$7),32))</f>
        <v/>
      </c>
      <c r="AH61">
        <f>IF(Prof_Row="","",INDEX(CHOOSE(Prof_C,'KG1-1'!$AD$7:$IM$7,'KG1-2'!$AD$7:$IM$7,'KG1-3'!$AD$7:$IM$7,'KG1-4'!$AD$7:$IM$7,'KG1-5'!$AD$7:$IM$7,'KG1-6'!$AD$7:$IM$7,'KG1-7'!$AD$7:$IM$7),33))</f>
        <v/>
      </c>
      <c r="AI61">
        <f>IF(Prof_Row="","",INDEX(CHOOSE(Prof_C,'KG1-1'!$AD$7:$IM$7,'KG1-2'!$AD$7:$IM$7,'KG1-3'!$AD$7:$IM$7,'KG1-4'!$AD$7:$IM$7,'KG1-5'!$AD$7:$IM$7,'KG1-6'!$AD$7:$IM$7,'KG1-7'!$AD$7:$IM$7),34))</f>
        <v/>
      </c>
      <c r="AJ61">
        <f>IF(Prof_Row="","",INDEX(CHOOSE(Prof_C,'KG1-1'!$AD$7:$IM$7,'KG1-2'!$AD$7:$IM$7,'KG1-3'!$AD$7:$IM$7,'KG1-4'!$AD$7:$IM$7,'KG1-5'!$AD$7:$IM$7,'KG1-6'!$AD$7:$IM$7,'KG1-7'!$AD$7:$IM$7),35))</f>
        <v/>
      </c>
      <c r="AK61">
        <f>IF(Prof_Row="","",INDEX(CHOOSE(Prof_C,'KG1-1'!$AD$7:$IM$7,'KG1-2'!$AD$7:$IM$7,'KG1-3'!$AD$7:$IM$7,'KG1-4'!$AD$7:$IM$7,'KG1-5'!$AD$7:$IM$7,'KG1-6'!$AD$7:$IM$7,'KG1-7'!$AD$7:$IM$7),36))</f>
        <v/>
      </c>
      <c r="AL61">
        <f>IF(Prof_Row="","",INDEX(CHOOSE(Prof_C,'KG1-1'!$AD$7:$IM$7,'KG1-2'!$AD$7:$IM$7,'KG1-3'!$AD$7:$IM$7,'KG1-4'!$AD$7:$IM$7,'KG1-5'!$AD$7:$IM$7,'KG1-6'!$AD$7:$IM$7,'KG1-7'!$AD$7:$IM$7),37))</f>
        <v/>
      </c>
      <c r="AM61">
        <f>IF(Prof_Row="","",INDEX(CHOOSE(Prof_C,'KG1-1'!$AD$7:$IM$7,'KG1-2'!$AD$7:$IM$7,'KG1-3'!$AD$7:$IM$7,'KG1-4'!$AD$7:$IM$7,'KG1-5'!$AD$7:$IM$7,'KG1-6'!$AD$7:$IM$7,'KG1-7'!$AD$7:$IM$7),38))</f>
        <v/>
      </c>
      <c r="AN61">
        <f>IF(Prof_Row="","",INDEX(CHOOSE(Prof_C,'KG1-1'!$AD$7:$IM$7,'KG1-2'!$AD$7:$IM$7,'KG1-3'!$AD$7:$IM$7,'KG1-4'!$AD$7:$IM$7,'KG1-5'!$AD$7:$IM$7,'KG1-6'!$AD$7:$IM$7,'KG1-7'!$AD$7:$IM$7),39))</f>
        <v/>
      </c>
      <c r="AO61">
        <f>IF(Prof_Row="","",INDEX(CHOOSE(Prof_C,'KG1-1'!$AD$7:$IM$7,'KG1-2'!$AD$7:$IM$7,'KG1-3'!$AD$7:$IM$7,'KG1-4'!$AD$7:$IM$7,'KG1-5'!$AD$7:$IM$7,'KG1-6'!$AD$7:$IM$7,'KG1-7'!$AD$7:$IM$7),40))</f>
        <v/>
      </c>
      <c r="AP61">
        <f>IF(Prof_Row="","",INDEX(CHOOSE(Prof_C,'KG1-1'!$AD$7:$IM$7,'KG1-2'!$AD$7:$IM$7,'KG1-3'!$AD$7:$IM$7,'KG1-4'!$AD$7:$IM$7,'KG1-5'!$AD$7:$IM$7,'KG1-6'!$AD$7:$IM$7,'KG1-7'!$AD$7:$IM$7),41))</f>
        <v/>
      </c>
      <c r="AQ61">
        <f>IF(Prof_Row="","",INDEX(CHOOSE(Prof_C,'KG1-1'!$AD$7:$IM$7,'KG1-2'!$AD$7:$IM$7,'KG1-3'!$AD$7:$IM$7,'KG1-4'!$AD$7:$IM$7,'KG1-5'!$AD$7:$IM$7,'KG1-6'!$AD$7:$IM$7,'KG1-7'!$AD$7:$IM$7),42))</f>
        <v/>
      </c>
      <c r="AR61">
        <f>IF(Prof_Row="","",INDEX(CHOOSE(Prof_C,'KG1-1'!$AD$7:$IM$7,'KG1-2'!$AD$7:$IM$7,'KG1-3'!$AD$7:$IM$7,'KG1-4'!$AD$7:$IM$7,'KG1-5'!$AD$7:$IM$7,'KG1-6'!$AD$7:$IM$7,'KG1-7'!$AD$7:$IM$7),43))</f>
        <v/>
      </c>
      <c r="AS61">
        <f>IF(Prof_Row="","",INDEX(CHOOSE(Prof_C,'KG1-1'!$AD$7:$IM$7,'KG1-2'!$AD$7:$IM$7,'KG1-3'!$AD$7:$IM$7,'KG1-4'!$AD$7:$IM$7,'KG1-5'!$AD$7:$IM$7,'KG1-6'!$AD$7:$IM$7,'KG1-7'!$AD$7:$IM$7),44))</f>
        <v/>
      </c>
      <c r="AT61">
        <f>IF(Prof_Row="","",INDEX(CHOOSE(Prof_C,'KG1-1'!$AD$7:$IM$7,'KG1-2'!$AD$7:$IM$7,'KG1-3'!$AD$7:$IM$7,'KG1-4'!$AD$7:$IM$7,'KG1-5'!$AD$7:$IM$7,'KG1-6'!$AD$7:$IM$7,'KG1-7'!$AD$7:$IM$7),45))</f>
        <v/>
      </c>
      <c r="AU61">
        <f>IF(Prof_Row="","",INDEX(CHOOSE(Prof_C,'KG1-1'!$AD$7:$IM$7,'KG1-2'!$AD$7:$IM$7,'KG1-3'!$AD$7:$IM$7,'KG1-4'!$AD$7:$IM$7,'KG1-5'!$AD$7:$IM$7,'KG1-6'!$AD$7:$IM$7,'KG1-7'!$AD$7:$IM$7),46))</f>
        <v/>
      </c>
      <c r="AV61">
        <f>IF(Prof_Row="","",INDEX(CHOOSE(Prof_C,'KG1-1'!$AD$7:$IM$7,'KG1-2'!$AD$7:$IM$7,'KG1-3'!$AD$7:$IM$7,'KG1-4'!$AD$7:$IM$7,'KG1-5'!$AD$7:$IM$7,'KG1-6'!$AD$7:$IM$7,'KG1-7'!$AD$7:$IM$7),47))</f>
        <v/>
      </c>
      <c r="AW61">
        <f>IF(Prof_Row="","",INDEX(CHOOSE(Prof_C,'KG1-1'!$AD$7:$IM$7,'KG1-2'!$AD$7:$IM$7,'KG1-3'!$AD$7:$IM$7,'KG1-4'!$AD$7:$IM$7,'KG1-5'!$AD$7:$IM$7,'KG1-6'!$AD$7:$IM$7,'KG1-7'!$AD$7:$IM$7),48))</f>
        <v/>
      </c>
      <c r="AX61">
        <f>IF(Prof_Row="","",INDEX(CHOOSE(Prof_C,'KG1-1'!$AD$7:$IM$7,'KG1-2'!$AD$7:$IM$7,'KG1-3'!$AD$7:$IM$7,'KG1-4'!$AD$7:$IM$7,'KG1-5'!$AD$7:$IM$7,'KG1-6'!$AD$7:$IM$7,'KG1-7'!$AD$7:$IM$7),49))</f>
        <v/>
      </c>
      <c r="AY61">
        <f>IF(Prof_Row="","",INDEX(CHOOSE(Prof_C,'KG1-1'!$AD$7:$IM$7,'KG1-2'!$AD$7:$IM$7,'KG1-3'!$AD$7:$IM$7,'KG1-4'!$AD$7:$IM$7,'KG1-5'!$AD$7:$IM$7,'KG1-6'!$AD$7:$IM$7,'KG1-7'!$AD$7:$IM$7),50))</f>
        <v/>
      </c>
      <c r="AZ61">
        <f>IF(Prof_Row="","",INDEX(CHOOSE(Prof_C,'KG1-1'!$AD$7:$IM$7,'KG1-2'!$AD$7:$IM$7,'KG1-3'!$AD$7:$IM$7,'KG1-4'!$AD$7:$IM$7,'KG1-5'!$AD$7:$IM$7,'KG1-6'!$AD$7:$IM$7,'KG1-7'!$AD$7:$IM$7),51))</f>
        <v/>
      </c>
      <c r="BA61">
        <f>IF(Prof_Row="","",INDEX(CHOOSE(Prof_C,'KG1-1'!$AD$7:$IM$7,'KG1-2'!$AD$7:$IM$7,'KG1-3'!$AD$7:$IM$7,'KG1-4'!$AD$7:$IM$7,'KG1-5'!$AD$7:$IM$7,'KG1-6'!$AD$7:$IM$7,'KG1-7'!$AD$7:$IM$7),52))</f>
        <v/>
      </c>
      <c r="BB61">
        <f>IF(Prof_Row="","",INDEX(CHOOSE(Prof_C,'KG1-1'!$AD$7:$IM$7,'KG1-2'!$AD$7:$IM$7,'KG1-3'!$AD$7:$IM$7,'KG1-4'!$AD$7:$IM$7,'KG1-5'!$AD$7:$IM$7,'KG1-6'!$AD$7:$IM$7,'KG1-7'!$AD$7:$IM$7),53))</f>
        <v/>
      </c>
      <c r="BC61">
        <f>IF(Prof_Row="","",INDEX(CHOOSE(Prof_C,'KG1-1'!$AD$7:$IM$7,'KG1-2'!$AD$7:$IM$7,'KG1-3'!$AD$7:$IM$7,'KG1-4'!$AD$7:$IM$7,'KG1-5'!$AD$7:$IM$7,'KG1-6'!$AD$7:$IM$7,'KG1-7'!$AD$7:$IM$7),54))</f>
        <v/>
      </c>
      <c r="BD61">
        <f>IF(Prof_Row="","",INDEX(CHOOSE(Prof_C,'KG1-1'!$AD$7:$IM$7,'KG1-2'!$AD$7:$IM$7,'KG1-3'!$AD$7:$IM$7,'KG1-4'!$AD$7:$IM$7,'KG1-5'!$AD$7:$IM$7,'KG1-6'!$AD$7:$IM$7,'KG1-7'!$AD$7:$IM$7),55))</f>
        <v/>
      </c>
      <c r="BE61">
        <f>IF(Prof_Row="","",INDEX(CHOOSE(Prof_C,'KG1-1'!$AD$7:$IM$7,'KG1-2'!$AD$7:$IM$7,'KG1-3'!$AD$7:$IM$7,'KG1-4'!$AD$7:$IM$7,'KG1-5'!$AD$7:$IM$7,'KG1-6'!$AD$7:$IM$7,'KG1-7'!$AD$7:$IM$7),56))</f>
        <v/>
      </c>
      <c r="BF61">
        <f>IF(Prof_Row="","",INDEX(CHOOSE(Prof_C,'KG1-1'!$AD$7:$IM$7,'KG1-2'!$AD$7:$IM$7,'KG1-3'!$AD$7:$IM$7,'KG1-4'!$AD$7:$IM$7,'KG1-5'!$AD$7:$IM$7,'KG1-6'!$AD$7:$IM$7,'KG1-7'!$AD$7:$IM$7),57))</f>
        <v/>
      </c>
      <c r="BG61">
        <f>IF(Prof_Row="","",INDEX(CHOOSE(Prof_C,'KG1-1'!$AD$7:$IM$7,'KG1-2'!$AD$7:$IM$7,'KG1-3'!$AD$7:$IM$7,'KG1-4'!$AD$7:$IM$7,'KG1-5'!$AD$7:$IM$7,'KG1-6'!$AD$7:$IM$7,'KG1-7'!$AD$7:$IM$7),58))</f>
        <v/>
      </c>
      <c r="BH61">
        <f>IF(Prof_Row="","",INDEX(CHOOSE(Prof_C,'KG1-1'!$AD$7:$IM$7,'KG1-2'!$AD$7:$IM$7,'KG1-3'!$AD$7:$IM$7,'KG1-4'!$AD$7:$IM$7,'KG1-5'!$AD$7:$IM$7,'KG1-6'!$AD$7:$IM$7,'KG1-7'!$AD$7:$IM$7),59))</f>
        <v/>
      </c>
      <c r="BI61">
        <f>IF(Prof_Row="","",INDEX(CHOOSE(Prof_C,'KG1-1'!$AD$7:$IM$7,'KG1-2'!$AD$7:$IM$7,'KG1-3'!$AD$7:$IM$7,'KG1-4'!$AD$7:$IM$7,'KG1-5'!$AD$7:$IM$7,'KG1-6'!$AD$7:$IM$7,'KG1-7'!$AD$7:$IM$7),60))</f>
        <v/>
      </c>
      <c r="BJ61">
        <f>IF(Prof_Row="","",INDEX(CHOOSE(Prof_C,'KG1-1'!$AD$7:$IM$7,'KG1-2'!$AD$7:$IM$7,'KG1-3'!$AD$7:$IM$7,'KG1-4'!$AD$7:$IM$7,'KG1-5'!$AD$7:$IM$7,'KG1-6'!$AD$7:$IM$7,'KG1-7'!$AD$7:$IM$7),61))</f>
        <v/>
      </c>
      <c r="BK61">
        <f>IF(Prof_Row="","",INDEX(CHOOSE(Prof_C,'KG1-1'!$AD$7:$IM$7,'KG1-2'!$AD$7:$IM$7,'KG1-3'!$AD$7:$IM$7,'KG1-4'!$AD$7:$IM$7,'KG1-5'!$AD$7:$IM$7,'KG1-6'!$AD$7:$IM$7,'KG1-7'!$AD$7:$IM$7),62))</f>
        <v/>
      </c>
      <c r="BL61">
        <f>IF(Prof_Row="","",INDEX(CHOOSE(Prof_C,'KG1-1'!$AD$7:$IM$7,'KG1-2'!$AD$7:$IM$7,'KG1-3'!$AD$7:$IM$7,'KG1-4'!$AD$7:$IM$7,'KG1-5'!$AD$7:$IM$7,'KG1-6'!$AD$7:$IM$7,'KG1-7'!$AD$7:$IM$7),63))</f>
        <v/>
      </c>
      <c r="BM61">
        <f>IF(Prof_Row="","",INDEX(CHOOSE(Prof_C,'KG1-1'!$AD$7:$IM$7,'KG1-2'!$AD$7:$IM$7,'KG1-3'!$AD$7:$IM$7,'KG1-4'!$AD$7:$IM$7,'KG1-5'!$AD$7:$IM$7,'KG1-6'!$AD$7:$IM$7,'KG1-7'!$AD$7:$IM$7),64))</f>
        <v/>
      </c>
      <c r="BN61">
        <f>IF(Prof_Row="","",INDEX(CHOOSE(Prof_C,'KG1-1'!$AD$7:$IM$7,'KG1-2'!$AD$7:$IM$7,'KG1-3'!$AD$7:$IM$7,'KG1-4'!$AD$7:$IM$7,'KG1-5'!$AD$7:$IM$7,'KG1-6'!$AD$7:$IM$7,'KG1-7'!$AD$7:$IM$7),65))</f>
        <v/>
      </c>
      <c r="BO61">
        <f>IF(Prof_Row="","",INDEX(CHOOSE(Prof_C,'KG1-1'!$AD$7:$IM$7,'KG1-2'!$AD$7:$IM$7,'KG1-3'!$AD$7:$IM$7,'KG1-4'!$AD$7:$IM$7,'KG1-5'!$AD$7:$IM$7,'KG1-6'!$AD$7:$IM$7,'KG1-7'!$AD$7:$IM$7),66))</f>
        <v/>
      </c>
      <c r="BP61">
        <f>IF(Prof_Row="","",INDEX(CHOOSE(Prof_C,'KG1-1'!$AD$7:$IM$7,'KG1-2'!$AD$7:$IM$7,'KG1-3'!$AD$7:$IM$7,'KG1-4'!$AD$7:$IM$7,'KG1-5'!$AD$7:$IM$7,'KG1-6'!$AD$7:$IM$7,'KG1-7'!$AD$7:$IM$7),67))</f>
        <v/>
      </c>
      <c r="BQ61">
        <f>IF(Prof_Row="","",INDEX(CHOOSE(Prof_C,'KG1-1'!$AD$7:$IM$7,'KG1-2'!$AD$7:$IM$7,'KG1-3'!$AD$7:$IM$7,'KG1-4'!$AD$7:$IM$7,'KG1-5'!$AD$7:$IM$7,'KG1-6'!$AD$7:$IM$7,'KG1-7'!$AD$7:$IM$7),68))</f>
        <v/>
      </c>
      <c r="BR61">
        <f>IF(Prof_Row="","",INDEX(CHOOSE(Prof_C,'KG1-1'!$AD$7:$IM$7,'KG1-2'!$AD$7:$IM$7,'KG1-3'!$AD$7:$IM$7,'KG1-4'!$AD$7:$IM$7,'KG1-5'!$AD$7:$IM$7,'KG1-6'!$AD$7:$IM$7,'KG1-7'!$AD$7:$IM$7),69))</f>
        <v/>
      </c>
      <c r="BS61">
        <f>IF(Prof_Row="","",INDEX(CHOOSE(Prof_C,'KG1-1'!$AD$7:$IM$7,'KG1-2'!$AD$7:$IM$7,'KG1-3'!$AD$7:$IM$7,'KG1-4'!$AD$7:$IM$7,'KG1-5'!$AD$7:$IM$7,'KG1-6'!$AD$7:$IM$7,'KG1-7'!$AD$7:$IM$7),70))</f>
        <v/>
      </c>
      <c r="BT61">
        <f>IF(Prof_Row="","",INDEX(CHOOSE(Prof_C,'KG1-1'!$AD$7:$IM$7,'KG1-2'!$AD$7:$IM$7,'KG1-3'!$AD$7:$IM$7,'KG1-4'!$AD$7:$IM$7,'KG1-5'!$AD$7:$IM$7,'KG1-6'!$AD$7:$IM$7,'KG1-7'!$AD$7:$IM$7),71))</f>
        <v/>
      </c>
      <c r="BU61">
        <f>IF(Prof_Row="","",INDEX(CHOOSE(Prof_C,'KG1-1'!$AD$7:$IM$7,'KG1-2'!$AD$7:$IM$7,'KG1-3'!$AD$7:$IM$7,'KG1-4'!$AD$7:$IM$7,'KG1-5'!$AD$7:$IM$7,'KG1-6'!$AD$7:$IM$7,'KG1-7'!$AD$7:$IM$7),72))</f>
        <v/>
      </c>
      <c r="BV61">
        <f>IF(Prof_Row="","",INDEX(CHOOSE(Prof_C,'KG1-1'!$AD$7:$IM$7,'KG1-2'!$AD$7:$IM$7,'KG1-3'!$AD$7:$IM$7,'KG1-4'!$AD$7:$IM$7,'KG1-5'!$AD$7:$IM$7,'KG1-6'!$AD$7:$IM$7,'KG1-7'!$AD$7:$IM$7),73))</f>
        <v/>
      </c>
      <c r="BW61">
        <f>IF(Prof_Row="","",INDEX(CHOOSE(Prof_C,'KG1-1'!$AD$7:$IM$7,'KG1-2'!$AD$7:$IM$7,'KG1-3'!$AD$7:$IM$7,'KG1-4'!$AD$7:$IM$7,'KG1-5'!$AD$7:$IM$7,'KG1-6'!$AD$7:$IM$7,'KG1-7'!$AD$7:$IM$7),74))</f>
        <v/>
      </c>
      <c r="BX61">
        <f>IF(Prof_Row="","",INDEX(CHOOSE(Prof_C,'KG1-1'!$AD$7:$IM$7,'KG1-2'!$AD$7:$IM$7,'KG1-3'!$AD$7:$IM$7,'KG1-4'!$AD$7:$IM$7,'KG1-5'!$AD$7:$IM$7,'KG1-6'!$AD$7:$IM$7,'KG1-7'!$AD$7:$IM$7),75))</f>
        <v/>
      </c>
      <c r="BY61">
        <f>IF(Prof_Row="","",INDEX(CHOOSE(Prof_C,'KG1-1'!$AD$7:$IM$7,'KG1-2'!$AD$7:$IM$7,'KG1-3'!$AD$7:$IM$7,'KG1-4'!$AD$7:$IM$7,'KG1-5'!$AD$7:$IM$7,'KG1-6'!$AD$7:$IM$7,'KG1-7'!$AD$7:$IM$7),76))</f>
        <v/>
      </c>
      <c r="BZ61">
        <f>IF(Prof_Row="","",INDEX(CHOOSE(Prof_C,'KG1-1'!$AD$7:$IM$7,'KG1-2'!$AD$7:$IM$7,'KG1-3'!$AD$7:$IM$7,'KG1-4'!$AD$7:$IM$7,'KG1-5'!$AD$7:$IM$7,'KG1-6'!$AD$7:$IM$7,'KG1-7'!$AD$7:$IM$7),77))</f>
        <v/>
      </c>
      <c r="CA61">
        <f>IF(Prof_Row="","",INDEX(CHOOSE(Prof_C,'KG1-1'!$AD$7:$IM$7,'KG1-2'!$AD$7:$IM$7,'KG1-3'!$AD$7:$IM$7,'KG1-4'!$AD$7:$IM$7,'KG1-5'!$AD$7:$IM$7,'KG1-6'!$AD$7:$IM$7,'KG1-7'!$AD$7:$IM$7),78))</f>
        <v/>
      </c>
      <c r="CB61">
        <f>IF(Prof_Row="","",INDEX(CHOOSE(Prof_C,'KG1-1'!$AD$7:$IM$7,'KG1-2'!$AD$7:$IM$7,'KG1-3'!$AD$7:$IM$7,'KG1-4'!$AD$7:$IM$7,'KG1-5'!$AD$7:$IM$7,'KG1-6'!$AD$7:$IM$7,'KG1-7'!$AD$7:$IM$7),79))</f>
        <v/>
      </c>
      <c r="CC61">
        <f>IF(Prof_Row="","",INDEX(CHOOSE(Prof_C,'KG1-1'!$AD$7:$IM$7,'KG1-2'!$AD$7:$IM$7,'KG1-3'!$AD$7:$IM$7,'KG1-4'!$AD$7:$IM$7,'KG1-5'!$AD$7:$IM$7,'KG1-6'!$AD$7:$IM$7,'KG1-7'!$AD$7:$IM$7),80))</f>
        <v/>
      </c>
      <c r="CD61">
        <f>IF(Prof_Row="","",INDEX(CHOOSE(Prof_C,'KG1-1'!$AD$7:$IM$7,'KG1-2'!$AD$7:$IM$7,'KG1-3'!$AD$7:$IM$7,'KG1-4'!$AD$7:$IM$7,'KG1-5'!$AD$7:$IM$7,'KG1-6'!$AD$7:$IM$7,'KG1-7'!$AD$7:$IM$7),81))</f>
        <v/>
      </c>
      <c r="CE61">
        <f>IF(Prof_Row="","",INDEX(CHOOSE(Prof_C,'KG1-1'!$AD$7:$IM$7,'KG1-2'!$AD$7:$IM$7,'KG1-3'!$AD$7:$IM$7,'KG1-4'!$AD$7:$IM$7,'KG1-5'!$AD$7:$IM$7,'KG1-6'!$AD$7:$IM$7,'KG1-7'!$AD$7:$IM$7),82))</f>
        <v/>
      </c>
      <c r="CF61">
        <f>IF(Prof_Row="","",INDEX(CHOOSE(Prof_C,'KG1-1'!$AD$7:$IM$7,'KG1-2'!$AD$7:$IM$7,'KG1-3'!$AD$7:$IM$7,'KG1-4'!$AD$7:$IM$7,'KG1-5'!$AD$7:$IM$7,'KG1-6'!$AD$7:$IM$7,'KG1-7'!$AD$7:$IM$7),83))</f>
        <v/>
      </c>
      <c r="CG61">
        <f>IF(Prof_Row="","",INDEX(CHOOSE(Prof_C,'KG1-1'!$AD$7:$IM$7,'KG1-2'!$AD$7:$IM$7,'KG1-3'!$AD$7:$IM$7,'KG1-4'!$AD$7:$IM$7,'KG1-5'!$AD$7:$IM$7,'KG1-6'!$AD$7:$IM$7,'KG1-7'!$AD$7:$IM$7),84))</f>
        <v/>
      </c>
      <c r="CH61">
        <f>IF(Prof_Row="","",INDEX(CHOOSE(Prof_C,'KG1-1'!$AD$7:$IM$7,'KG1-2'!$AD$7:$IM$7,'KG1-3'!$AD$7:$IM$7,'KG1-4'!$AD$7:$IM$7,'KG1-5'!$AD$7:$IM$7,'KG1-6'!$AD$7:$IM$7,'KG1-7'!$AD$7:$IM$7),85))</f>
        <v/>
      </c>
      <c r="CI61">
        <f>IF(Prof_Row="","",INDEX(CHOOSE(Prof_C,'KG1-1'!$AD$7:$IM$7,'KG1-2'!$AD$7:$IM$7,'KG1-3'!$AD$7:$IM$7,'KG1-4'!$AD$7:$IM$7,'KG1-5'!$AD$7:$IM$7,'KG1-6'!$AD$7:$IM$7,'KG1-7'!$AD$7:$IM$7),86))</f>
        <v/>
      </c>
      <c r="CJ61">
        <f>IF(Prof_Row="","",INDEX(CHOOSE(Prof_C,'KG1-1'!$AD$7:$IM$7,'KG1-2'!$AD$7:$IM$7,'KG1-3'!$AD$7:$IM$7,'KG1-4'!$AD$7:$IM$7,'KG1-5'!$AD$7:$IM$7,'KG1-6'!$AD$7:$IM$7,'KG1-7'!$AD$7:$IM$7),87))</f>
        <v/>
      </c>
      <c r="CK61">
        <f>IF(Prof_Row="","",INDEX(CHOOSE(Prof_C,'KG1-1'!$AD$7:$IM$7,'KG1-2'!$AD$7:$IM$7,'KG1-3'!$AD$7:$IM$7,'KG1-4'!$AD$7:$IM$7,'KG1-5'!$AD$7:$IM$7,'KG1-6'!$AD$7:$IM$7,'KG1-7'!$AD$7:$IM$7),88))</f>
        <v/>
      </c>
      <c r="CL61">
        <f>IF(Prof_Row="","",INDEX(CHOOSE(Prof_C,'KG1-1'!$AD$7:$IM$7,'KG1-2'!$AD$7:$IM$7,'KG1-3'!$AD$7:$IM$7,'KG1-4'!$AD$7:$IM$7,'KG1-5'!$AD$7:$IM$7,'KG1-6'!$AD$7:$IM$7,'KG1-7'!$AD$7:$IM$7),89))</f>
        <v/>
      </c>
      <c r="CM61">
        <f>IF(Prof_Row="","",INDEX(CHOOSE(Prof_C,'KG1-1'!$AD$7:$IM$7,'KG1-2'!$AD$7:$IM$7,'KG1-3'!$AD$7:$IM$7,'KG1-4'!$AD$7:$IM$7,'KG1-5'!$AD$7:$IM$7,'KG1-6'!$AD$7:$IM$7,'KG1-7'!$AD$7:$IM$7),90))</f>
        <v/>
      </c>
      <c r="CN61">
        <f>IF(Prof_Row="","",INDEX(CHOOSE(Prof_C,'KG1-1'!$AD$7:$IM$7,'KG1-2'!$AD$7:$IM$7,'KG1-3'!$AD$7:$IM$7,'KG1-4'!$AD$7:$IM$7,'KG1-5'!$AD$7:$IM$7,'KG1-6'!$AD$7:$IM$7,'KG1-7'!$AD$7:$IM$7),91))</f>
        <v/>
      </c>
      <c r="CO61">
        <f>IF(Prof_Row="","",INDEX(CHOOSE(Prof_C,'KG1-1'!$AD$7:$IM$7,'KG1-2'!$AD$7:$IM$7,'KG1-3'!$AD$7:$IM$7,'KG1-4'!$AD$7:$IM$7,'KG1-5'!$AD$7:$IM$7,'KG1-6'!$AD$7:$IM$7,'KG1-7'!$AD$7:$IM$7),92))</f>
        <v/>
      </c>
      <c r="CP61">
        <f>IF(Prof_Row="","",INDEX(CHOOSE(Prof_C,'KG1-1'!$AD$7:$IM$7,'KG1-2'!$AD$7:$IM$7,'KG1-3'!$AD$7:$IM$7,'KG1-4'!$AD$7:$IM$7,'KG1-5'!$AD$7:$IM$7,'KG1-6'!$AD$7:$IM$7,'KG1-7'!$AD$7:$IM$7),93))</f>
        <v/>
      </c>
      <c r="CQ61">
        <f>IF(Prof_Row="","",INDEX(CHOOSE(Prof_C,'KG1-1'!$AD$7:$IM$7,'KG1-2'!$AD$7:$IM$7,'KG1-3'!$AD$7:$IM$7,'KG1-4'!$AD$7:$IM$7,'KG1-5'!$AD$7:$IM$7,'KG1-6'!$AD$7:$IM$7,'KG1-7'!$AD$7:$IM$7),94))</f>
        <v/>
      </c>
      <c r="CR61">
        <f>IF(Prof_Row="","",INDEX(CHOOSE(Prof_C,'KG1-1'!$AD$7:$IM$7,'KG1-2'!$AD$7:$IM$7,'KG1-3'!$AD$7:$IM$7,'KG1-4'!$AD$7:$IM$7,'KG1-5'!$AD$7:$IM$7,'KG1-6'!$AD$7:$IM$7,'KG1-7'!$AD$7:$IM$7),95))</f>
        <v/>
      </c>
      <c r="CS61">
        <f>IF(Prof_Row="","",INDEX(CHOOSE(Prof_C,'KG1-1'!$AD$7:$IM$7,'KG1-2'!$AD$7:$IM$7,'KG1-3'!$AD$7:$IM$7,'KG1-4'!$AD$7:$IM$7,'KG1-5'!$AD$7:$IM$7,'KG1-6'!$AD$7:$IM$7,'KG1-7'!$AD$7:$IM$7),96))</f>
        <v/>
      </c>
      <c r="CT61">
        <f>IF(Prof_Row="","",INDEX(CHOOSE(Prof_C,'KG1-1'!$AD$7:$IM$7,'KG1-2'!$AD$7:$IM$7,'KG1-3'!$AD$7:$IM$7,'KG1-4'!$AD$7:$IM$7,'KG1-5'!$AD$7:$IM$7,'KG1-6'!$AD$7:$IM$7,'KG1-7'!$AD$7:$IM$7),97))</f>
        <v/>
      </c>
      <c r="CU61">
        <f>IF(Prof_Row="","",INDEX(CHOOSE(Prof_C,'KG1-1'!$AD$7:$IM$7,'KG1-2'!$AD$7:$IM$7,'KG1-3'!$AD$7:$IM$7,'KG1-4'!$AD$7:$IM$7,'KG1-5'!$AD$7:$IM$7,'KG1-6'!$AD$7:$IM$7,'KG1-7'!$AD$7:$IM$7),98))</f>
        <v/>
      </c>
      <c r="CV61">
        <f>IF(Prof_Row="","",INDEX(CHOOSE(Prof_C,'KG1-1'!$AD$7:$IM$7,'KG1-2'!$AD$7:$IM$7,'KG1-3'!$AD$7:$IM$7,'KG1-4'!$AD$7:$IM$7,'KG1-5'!$AD$7:$IM$7,'KG1-6'!$AD$7:$IM$7,'KG1-7'!$AD$7:$IM$7),99))</f>
        <v/>
      </c>
      <c r="CW61">
        <f>IF(Prof_Row="","",INDEX(CHOOSE(Prof_C,'KG1-1'!$AD$7:$IM$7,'KG1-2'!$AD$7:$IM$7,'KG1-3'!$AD$7:$IM$7,'KG1-4'!$AD$7:$IM$7,'KG1-5'!$AD$7:$IM$7,'KG1-6'!$AD$7:$IM$7,'KG1-7'!$AD$7:$IM$7),100))</f>
        <v/>
      </c>
      <c r="CX61">
        <f>IF(Prof_Row="","",INDEX(CHOOSE(Prof_C,'KG1-1'!$AD$7:$IM$7,'KG1-2'!$AD$7:$IM$7,'KG1-3'!$AD$7:$IM$7,'KG1-4'!$AD$7:$IM$7,'KG1-5'!$AD$7:$IM$7,'KG1-6'!$AD$7:$IM$7,'KG1-7'!$AD$7:$IM$7),101))</f>
        <v/>
      </c>
      <c r="CY61">
        <f>IF(Prof_Row="","",INDEX(CHOOSE(Prof_C,'KG1-1'!$AD$7:$IM$7,'KG1-2'!$AD$7:$IM$7,'KG1-3'!$AD$7:$IM$7,'KG1-4'!$AD$7:$IM$7,'KG1-5'!$AD$7:$IM$7,'KG1-6'!$AD$7:$IM$7,'KG1-7'!$AD$7:$IM$7),102))</f>
        <v/>
      </c>
      <c r="CZ61">
        <f>IF(Prof_Row="","",INDEX(CHOOSE(Prof_C,'KG1-1'!$AD$7:$IM$7,'KG1-2'!$AD$7:$IM$7,'KG1-3'!$AD$7:$IM$7,'KG1-4'!$AD$7:$IM$7,'KG1-5'!$AD$7:$IM$7,'KG1-6'!$AD$7:$IM$7,'KG1-7'!$AD$7:$IM$7),103))</f>
        <v/>
      </c>
      <c r="DA61">
        <f>IF(Prof_Row="","",INDEX(CHOOSE(Prof_C,'KG1-1'!$AD$7:$IM$7,'KG1-2'!$AD$7:$IM$7,'KG1-3'!$AD$7:$IM$7,'KG1-4'!$AD$7:$IM$7,'KG1-5'!$AD$7:$IM$7,'KG1-6'!$AD$7:$IM$7,'KG1-7'!$AD$7:$IM$7),104))</f>
        <v/>
      </c>
      <c r="DB61">
        <f>IF(Prof_Row="","",INDEX(CHOOSE(Prof_C,'KG1-1'!$AD$7:$IM$7,'KG1-2'!$AD$7:$IM$7,'KG1-3'!$AD$7:$IM$7,'KG1-4'!$AD$7:$IM$7,'KG1-5'!$AD$7:$IM$7,'KG1-6'!$AD$7:$IM$7,'KG1-7'!$AD$7:$IM$7),105))</f>
        <v/>
      </c>
      <c r="DC61">
        <f>IF(Prof_Row="","",INDEX(CHOOSE(Prof_C,'KG1-1'!$AD$7:$IM$7,'KG1-2'!$AD$7:$IM$7,'KG1-3'!$AD$7:$IM$7,'KG1-4'!$AD$7:$IM$7,'KG1-5'!$AD$7:$IM$7,'KG1-6'!$AD$7:$IM$7,'KG1-7'!$AD$7:$IM$7),106))</f>
        <v/>
      </c>
      <c r="DD61">
        <f>IF(Prof_Row="","",INDEX(CHOOSE(Prof_C,'KG1-1'!$AD$7:$IM$7,'KG1-2'!$AD$7:$IM$7,'KG1-3'!$AD$7:$IM$7,'KG1-4'!$AD$7:$IM$7,'KG1-5'!$AD$7:$IM$7,'KG1-6'!$AD$7:$IM$7,'KG1-7'!$AD$7:$IM$7),107))</f>
        <v/>
      </c>
      <c r="DE61">
        <f>IF(Prof_Row="","",INDEX(CHOOSE(Prof_C,'KG1-1'!$AD$7:$IM$7,'KG1-2'!$AD$7:$IM$7,'KG1-3'!$AD$7:$IM$7,'KG1-4'!$AD$7:$IM$7,'KG1-5'!$AD$7:$IM$7,'KG1-6'!$AD$7:$IM$7,'KG1-7'!$AD$7:$IM$7),108))</f>
        <v/>
      </c>
      <c r="DF61">
        <f>IF(Prof_Row="","",INDEX(CHOOSE(Prof_C,'KG1-1'!$AD$7:$IM$7,'KG1-2'!$AD$7:$IM$7,'KG1-3'!$AD$7:$IM$7,'KG1-4'!$AD$7:$IM$7,'KG1-5'!$AD$7:$IM$7,'KG1-6'!$AD$7:$IM$7,'KG1-7'!$AD$7:$IM$7),109))</f>
        <v/>
      </c>
      <c r="DG61">
        <f>IF(Prof_Row="","",INDEX(CHOOSE(Prof_C,'KG1-1'!$AD$7:$IM$7,'KG1-2'!$AD$7:$IM$7,'KG1-3'!$AD$7:$IM$7,'KG1-4'!$AD$7:$IM$7,'KG1-5'!$AD$7:$IM$7,'KG1-6'!$AD$7:$IM$7,'KG1-7'!$AD$7:$IM$7),110))</f>
        <v/>
      </c>
      <c r="DH61">
        <f>IF(Prof_Row="","",INDEX(CHOOSE(Prof_C,'KG1-1'!$AD$7:$IM$7,'KG1-2'!$AD$7:$IM$7,'KG1-3'!$AD$7:$IM$7,'KG1-4'!$AD$7:$IM$7,'KG1-5'!$AD$7:$IM$7,'KG1-6'!$AD$7:$IM$7,'KG1-7'!$AD$7:$IM$7),111))</f>
        <v/>
      </c>
      <c r="DI61">
        <f>IF(Prof_Row="","",INDEX(CHOOSE(Prof_C,'KG1-1'!$AD$7:$IM$7,'KG1-2'!$AD$7:$IM$7,'KG1-3'!$AD$7:$IM$7,'KG1-4'!$AD$7:$IM$7,'KG1-5'!$AD$7:$IM$7,'KG1-6'!$AD$7:$IM$7,'KG1-7'!$AD$7:$IM$7),112))</f>
        <v/>
      </c>
      <c r="DJ61">
        <f>IF(Prof_Row="","",INDEX(CHOOSE(Prof_C,'KG1-1'!$AD$7:$IM$7,'KG1-2'!$AD$7:$IM$7,'KG1-3'!$AD$7:$IM$7,'KG1-4'!$AD$7:$IM$7,'KG1-5'!$AD$7:$IM$7,'KG1-6'!$AD$7:$IM$7,'KG1-7'!$AD$7:$IM$7),113))</f>
        <v/>
      </c>
      <c r="DK61">
        <f>IF(Prof_Row="","",INDEX(CHOOSE(Prof_C,'KG1-1'!$AD$7:$IM$7,'KG1-2'!$AD$7:$IM$7,'KG1-3'!$AD$7:$IM$7,'KG1-4'!$AD$7:$IM$7,'KG1-5'!$AD$7:$IM$7,'KG1-6'!$AD$7:$IM$7,'KG1-7'!$AD$7:$IM$7),114))</f>
        <v/>
      </c>
      <c r="DL61">
        <f>IF(Prof_Row="","",INDEX(CHOOSE(Prof_C,'KG1-1'!$AD$7:$IM$7,'KG1-2'!$AD$7:$IM$7,'KG1-3'!$AD$7:$IM$7,'KG1-4'!$AD$7:$IM$7,'KG1-5'!$AD$7:$IM$7,'KG1-6'!$AD$7:$IM$7,'KG1-7'!$AD$7:$IM$7),115))</f>
        <v/>
      </c>
      <c r="DM61">
        <f>IF(Prof_Row="","",INDEX(CHOOSE(Prof_C,'KG1-1'!$AD$7:$IM$7,'KG1-2'!$AD$7:$IM$7,'KG1-3'!$AD$7:$IM$7,'KG1-4'!$AD$7:$IM$7,'KG1-5'!$AD$7:$IM$7,'KG1-6'!$AD$7:$IM$7,'KG1-7'!$AD$7:$IM$7),116))</f>
        <v/>
      </c>
      <c r="DN61">
        <f>IF(Prof_Row="","",INDEX(CHOOSE(Prof_C,'KG1-1'!$AD$7:$IM$7,'KG1-2'!$AD$7:$IM$7,'KG1-3'!$AD$7:$IM$7,'KG1-4'!$AD$7:$IM$7,'KG1-5'!$AD$7:$IM$7,'KG1-6'!$AD$7:$IM$7,'KG1-7'!$AD$7:$IM$7),117))</f>
        <v/>
      </c>
      <c r="DO61">
        <f>IF(Prof_Row="","",INDEX(CHOOSE(Prof_C,'KG1-1'!$AD$7:$IM$7,'KG1-2'!$AD$7:$IM$7,'KG1-3'!$AD$7:$IM$7,'KG1-4'!$AD$7:$IM$7,'KG1-5'!$AD$7:$IM$7,'KG1-6'!$AD$7:$IM$7,'KG1-7'!$AD$7:$IM$7),118))</f>
        <v/>
      </c>
      <c r="DP61">
        <f>IF(Prof_Row="","",INDEX(CHOOSE(Prof_C,'KG1-1'!$AD$7:$IM$7,'KG1-2'!$AD$7:$IM$7,'KG1-3'!$AD$7:$IM$7,'KG1-4'!$AD$7:$IM$7,'KG1-5'!$AD$7:$IM$7,'KG1-6'!$AD$7:$IM$7,'KG1-7'!$AD$7:$IM$7),119))</f>
        <v/>
      </c>
      <c r="DQ61">
        <f>IF(Prof_Row="","",INDEX(CHOOSE(Prof_C,'KG1-1'!$AD$7:$IM$7,'KG1-2'!$AD$7:$IM$7,'KG1-3'!$AD$7:$IM$7,'KG1-4'!$AD$7:$IM$7,'KG1-5'!$AD$7:$IM$7,'KG1-6'!$AD$7:$IM$7,'KG1-7'!$AD$7:$IM$7),120))</f>
        <v/>
      </c>
      <c r="DR61">
        <f>IF(Prof_Row="","",INDEX(CHOOSE(Prof_C,'KG1-1'!$AD$7:$IM$7,'KG1-2'!$AD$7:$IM$7,'KG1-3'!$AD$7:$IM$7,'KG1-4'!$AD$7:$IM$7,'KG1-5'!$AD$7:$IM$7,'KG1-6'!$AD$7:$IM$7,'KG1-7'!$AD$7:$IM$7),121))</f>
        <v/>
      </c>
      <c r="DS61">
        <f>IF(Prof_Row="","",INDEX(CHOOSE(Prof_C,'KG1-1'!$AD$7:$IM$7,'KG1-2'!$AD$7:$IM$7,'KG1-3'!$AD$7:$IM$7,'KG1-4'!$AD$7:$IM$7,'KG1-5'!$AD$7:$IM$7,'KG1-6'!$AD$7:$IM$7,'KG1-7'!$AD$7:$IM$7),122))</f>
        <v/>
      </c>
      <c r="DT61">
        <f>IF(Prof_Row="","",INDEX(CHOOSE(Prof_C,'KG1-1'!$AD$7:$IM$7,'KG1-2'!$AD$7:$IM$7,'KG1-3'!$AD$7:$IM$7,'KG1-4'!$AD$7:$IM$7,'KG1-5'!$AD$7:$IM$7,'KG1-6'!$AD$7:$IM$7,'KG1-7'!$AD$7:$IM$7),123))</f>
        <v/>
      </c>
      <c r="DU61">
        <f>IF(Prof_Row="","",INDEX(CHOOSE(Prof_C,'KG1-1'!$AD$7:$IM$7,'KG1-2'!$AD$7:$IM$7,'KG1-3'!$AD$7:$IM$7,'KG1-4'!$AD$7:$IM$7,'KG1-5'!$AD$7:$IM$7,'KG1-6'!$AD$7:$IM$7,'KG1-7'!$AD$7:$IM$7),124))</f>
        <v/>
      </c>
      <c r="DV61">
        <f>IF(Prof_Row="","",INDEX(CHOOSE(Prof_C,'KG1-1'!$AD$7:$IM$7,'KG1-2'!$AD$7:$IM$7,'KG1-3'!$AD$7:$IM$7,'KG1-4'!$AD$7:$IM$7,'KG1-5'!$AD$7:$IM$7,'KG1-6'!$AD$7:$IM$7,'KG1-7'!$AD$7:$IM$7),125))</f>
        <v/>
      </c>
      <c r="DW61">
        <f>IF(Prof_Row="","",INDEX(CHOOSE(Prof_C,'KG1-1'!$AD$7:$IM$7,'KG1-2'!$AD$7:$IM$7,'KG1-3'!$AD$7:$IM$7,'KG1-4'!$AD$7:$IM$7,'KG1-5'!$AD$7:$IM$7,'KG1-6'!$AD$7:$IM$7,'KG1-7'!$AD$7:$IM$7),126))</f>
        <v/>
      </c>
      <c r="DX61">
        <f>IF(Prof_Row="","",INDEX(CHOOSE(Prof_C,'KG1-1'!$AD$7:$IM$7,'KG1-2'!$AD$7:$IM$7,'KG1-3'!$AD$7:$IM$7,'KG1-4'!$AD$7:$IM$7,'KG1-5'!$AD$7:$IM$7,'KG1-6'!$AD$7:$IM$7,'KG1-7'!$AD$7:$IM$7),127))</f>
        <v/>
      </c>
      <c r="DY61">
        <f>IF(Prof_Row="","",INDEX(CHOOSE(Prof_C,'KG1-1'!$AD$7:$IM$7,'KG1-2'!$AD$7:$IM$7,'KG1-3'!$AD$7:$IM$7,'KG1-4'!$AD$7:$IM$7,'KG1-5'!$AD$7:$IM$7,'KG1-6'!$AD$7:$IM$7,'KG1-7'!$AD$7:$IM$7),128))</f>
        <v/>
      </c>
      <c r="DZ61">
        <f>IF(Prof_Row="","",INDEX(CHOOSE(Prof_C,'KG1-1'!$AD$7:$IM$7,'KG1-2'!$AD$7:$IM$7,'KG1-3'!$AD$7:$IM$7,'KG1-4'!$AD$7:$IM$7,'KG1-5'!$AD$7:$IM$7,'KG1-6'!$AD$7:$IM$7,'KG1-7'!$AD$7:$IM$7),129))</f>
        <v/>
      </c>
      <c r="EA61">
        <f>IF(Prof_Row="","",INDEX(CHOOSE(Prof_C,'KG1-1'!$AD$7:$IM$7,'KG1-2'!$AD$7:$IM$7,'KG1-3'!$AD$7:$IM$7,'KG1-4'!$AD$7:$IM$7,'KG1-5'!$AD$7:$IM$7,'KG1-6'!$AD$7:$IM$7,'KG1-7'!$AD$7:$IM$7),130))</f>
        <v/>
      </c>
      <c r="EB61">
        <f>IF(Prof_Row="","",INDEX(CHOOSE(Prof_C,'KG1-1'!$AD$7:$IM$7,'KG1-2'!$AD$7:$IM$7,'KG1-3'!$AD$7:$IM$7,'KG1-4'!$AD$7:$IM$7,'KG1-5'!$AD$7:$IM$7,'KG1-6'!$AD$7:$IM$7,'KG1-7'!$AD$7:$IM$7),131))</f>
        <v/>
      </c>
      <c r="EC61">
        <f>IF(Prof_Row="","",INDEX(CHOOSE(Prof_C,'KG1-1'!$AD$7:$IM$7,'KG1-2'!$AD$7:$IM$7,'KG1-3'!$AD$7:$IM$7,'KG1-4'!$AD$7:$IM$7,'KG1-5'!$AD$7:$IM$7,'KG1-6'!$AD$7:$IM$7,'KG1-7'!$AD$7:$IM$7),132))</f>
        <v/>
      </c>
      <c r="ED61">
        <f>IF(Prof_Row="","",INDEX(CHOOSE(Prof_C,'KG1-1'!$AD$7:$IM$7,'KG1-2'!$AD$7:$IM$7,'KG1-3'!$AD$7:$IM$7,'KG1-4'!$AD$7:$IM$7,'KG1-5'!$AD$7:$IM$7,'KG1-6'!$AD$7:$IM$7,'KG1-7'!$AD$7:$IM$7),133))</f>
        <v/>
      </c>
      <c r="EE61">
        <f>IF(Prof_Row="","",INDEX(CHOOSE(Prof_C,'KG1-1'!$AD$7:$IM$7,'KG1-2'!$AD$7:$IM$7,'KG1-3'!$AD$7:$IM$7,'KG1-4'!$AD$7:$IM$7,'KG1-5'!$AD$7:$IM$7,'KG1-6'!$AD$7:$IM$7,'KG1-7'!$AD$7:$IM$7),134))</f>
        <v/>
      </c>
      <c r="EF61">
        <f>IF(Prof_Row="","",INDEX(CHOOSE(Prof_C,'KG1-1'!$AD$7:$IM$7,'KG1-2'!$AD$7:$IM$7,'KG1-3'!$AD$7:$IM$7,'KG1-4'!$AD$7:$IM$7,'KG1-5'!$AD$7:$IM$7,'KG1-6'!$AD$7:$IM$7,'KG1-7'!$AD$7:$IM$7),135))</f>
        <v/>
      </c>
      <c r="EG61">
        <f>IF(Prof_Row="","",INDEX(CHOOSE(Prof_C,'KG1-1'!$AD$7:$IM$7,'KG1-2'!$AD$7:$IM$7,'KG1-3'!$AD$7:$IM$7,'KG1-4'!$AD$7:$IM$7,'KG1-5'!$AD$7:$IM$7,'KG1-6'!$AD$7:$IM$7,'KG1-7'!$AD$7:$IM$7),136))</f>
        <v/>
      </c>
      <c r="EH61">
        <f>IF(Prof_Row="","",INDEX(CHOOSE(Prof_C,'KG1-1'!$AD$7:$IM$7,'KG1-2'!$AD$7:$IM$7,'KG1-3'!$AD$7:$IM$7,'KG1-4'!$AD$7:$IM$7,'KG1-5'!$AD$7:$IM$7,'KG1-6'!$AD$7:$IM$7,'KG1-7'!$AD$7:$IM$7),137))</f>
        <v/>
      </c>
      <c r="EI61">
        <f>IF(Prof_Row="","",INDEX(CHOOSE(Prof_C,'KG1-1'!$AD$7:$IM$7,'KG1-2'!$AD$7:$IM$7,'KG1-3'!$AD$7:$IM$7,'KG1-4'!$AD$7:$IM$7,'KG1-5'!$AD$7:$IM$7,'KG1-6'!$AD$7:$IM$7,'KG1-7'!$AD$7:$IM$7),138))</f>
        <v/>
      </c>
      <c r="EJ61">
        <f>IF(Prof_Row="","",INDEX(CHOOSE(Prof_C,'KG1-1'!$AD$7:$IM$7,'KG1-2'!$AD$7:$IM$7,'KG1-3'!$AD$7:$IM$7,'KG1-4'!$AD$7:$IM$7,'KG1-5'!$AD$7:$IM$7,'KG1-6'!$AD$7:$IM$7,'KG1-7'!$AD$7:$IM$7),139))</f>
        <v/>
      </c>
      <c r="EK61">
        <f>IF(Prof_Row="","",INDEX(CHOOSE(Prof_C,'KG1-1'!$AD$7:$IM$7,'KG1-2'!$AD$7:$IM$7,'KG1-3'!$AD$7:$IM$7,'KG1-4'!$AD$7:$IM$7,'KG1-5'!$AD$7:$IM$7,'KG1-6'!$AD$7:$IM$7,'KG1-7'!$AD$7:$IM$7),140))</f>
        <v/>
      </c>
      <c r="EL61">
        <f>IF(Prof_Row="","",INDEX(CHOOSE(Prof_C,'KG1-1'!$AD$7:$IM$7,'KG1-2'!$AD$7:$IM$7,'KG1-3'!$AD$7:$IM$7,'KG1-4'!$AD$7:$IM$7,'KG1-5'!$AD$7:$IM$7,'KG1-6'!$AD$7:$IM$7,'KG1-7'!$AD$7:$IM$7),141))</f>
        <v/>
      </c>
      <c r="EM61">
        <f>IF(Prof_Row="","",INDEX(CHOOSE(Prof_C,'KG1-1'!$AD$7:$IM$7,'KG1-2'!$AD$7:$IM$7,'KG1-3'!$AD$7:$IM$7,'KG1-4'!$AD$7:$IM$7,'KG1-5'!$AD$7:$IM$7,'KG1-6'!$AD$7:$IM$7,'KG1-7'!$AD$7:$IM$7),142))</f>
        <v/>
      </c>
      <c r="EN61">
        <f>IF(Prof_Row="","",INDEX(CHOOSE(Prof_C,'KG1-1'!$AD$7:$IM$7,'KG1-2'!$AD$7:$IM$7,'KG1-3'!$AD$7:$IM$7,'KG1-4'!$AD$7:$IM$7,'KG1-5'!$AD$7:$IM$7,'KG1-6'!$AD$7:$IM$7,'KG1-7'!$AD$7:$IM$7),143))</f>
        <v/>
      </c>
      <c r="EO61">
        <f>IF(Prof_Row="","",INDEX(CHOOSE(Prof_C,'KG1-1'!$AD$7:$IM$7,'KG1-2'!$AD$7:$IM$7,'KG1-3'!$AD$7:$IM$7,'KG1-4'!$AD$7:$IM$7,'KG1-5'!$AD$7:$IM$7,'KG1-6'!$AD$7:$IM$7,'KG1-7'!$AD$7:$IM$7),144))</f>
        <v/>
      </c>
      <c r="EP61">
        <f>IF(Prof_Row="","",INDEX(CHOOSE(Prof_C,'KG1-1'!$AD$7:$IM$7,'KG1-2'!$AD$7:$IM$7,'KG1-3'!$AD$7:$IM$7,'KG1-4'!$AD$7:$IM$7,'KG1-5'!$AD$7:$IM$7,'KG1-6'!$AD$7:$IM$7,'KG1-7'!$AD$7:$IM$7),145))</f>
        <v/>
      </c>
      <c r="EQ61">
        <f>IF(Prof_Row="","",INDEX(CHOOSE(Prof_C,'KG1-1'!$AD$7:$IM$7,'KG1-2'!$AD$7:$IM$7,'KG1-3'!$AD$7:$IM$7,'KG1-4'!$AD$7:$IM$7,'KG1-5'!$AD$7:$IM$7,'KG1-6'!$AD$7:$IM$7,'KG1-7'!$AD$7:$IM$7),146))</f>
        <v/>
      </c>
      <c r="ER61">
        <f>IF(Prof_Row="","",INDEX(CHOOSE(Prof_C,'KG1-1'!$AD$7:$IM$7,'KG1-2'!$AD$7:$IM$7,'KG1-3'!$AD$7:$IM$7,'KG1-4'!$AD$7:$IM$7,'KG1-5'!$AD$7:$IM$7,'KG1-6'!$AD$7:$IM$7,'KG1-7'!$AD$7:$IM$7),147))</f>
        <v/>
      </c>
      <c r="ES61">
        <f>IF(Prof_Row="","",INDEX(CHOOSE(Prof_C,'KG1-1'!$AD$7:$IM$7,'KG1-2'!$AD$7:$IM$7,'KG1-3'!$AD$7:$IM$7,'KG1-4'!$AD$7:$IM$7,'KG1-5'!$AD$7:$IM$7,'KG1-6'!$AD$7:$IM$7,'KG1-7'!$AD$7:$IM$7),148))</f>
        <v/>
      </c>
      <c r="ET61">
        <f>IF(Prof_Row="","",INDEX(CHOOSE(Prof_C,'KG1-1'!$AD$7:$IM$7,'KG1-2'!$AD$7:$IM$7,'KG1-3'!$AD$7:$IM$7,'KG1-4'!$AD$7:$IM$7,'KG1-5'!$AD$7:$IM$7,'KG1-6'!$AD$7:$IM$7,'KG1-7'!$AD$7:$IM$7),149))</f>
        <v/>
      </c>
      <c r="EU61">
        <f>IF(Prof_Row="","",INDEX(CHOOSE(Prof_C,'KG1-1'!$AD$7:$IM$7,'KG1-2'!$AD$7:$IM$7,'KG1-3'!$AD$7:$IM$7,'KG1-4'!$AD$7:$IM$7,'KG1-5'!$AD$7:$IM$7,'KG1-6'!$AD$7:$IM$7,'KG1-7'!$AD$7:$IM$7),150))</f>
        <v/>
      </c>
      <c r="EV61">
        <f>IF(Prof_Row="","",INDEX(CHOOSE(Prof_C,'KG1-1'!$AD$7:$IM$7,'KG1-2'!$AD$7:$IM$7,'KG1-3'!$AD$7:$IM$7,'KG1-4'!$AD$7:$IM$7,'KG1-5'!$AD$7:$IM$7,'KG1-6'!$AD$7:$IM$7,'KG1-7'!$AD$7:$IM$7),151))</f>
        <v/>
      </c>
      <c r="EW61">
        <f>IF(Prof_Row="","",INDEX(CHOOSE(Prof_C,'KG1-1'!$AD$7:$IM$7,'KG1-2'!$AD$7:$IM$7,'KG1-3'!$AD$7:$IM$7,'KG1-4'!$AD$7:$IM$7,'KG1-5'!$AD$7:$IM$7,'KG1-6'!$AD$7:$IM$7,'KG1-7'!$AD$7:$IM$7),152))</f>
        <v/>
      </c>
      <c r="EX61">
        <f>IF(Prof_Row="","",INDEX(CHOOSE(Prof_C,'KG1-1'!$AD$7:$IM$7,'KG1-2'!$AD$7:$IM$7,'KG1-3'!$AD$7:$IM$7,'KG1-4'!$AD$7:$IM$7,'KG1-5'!$AD$7:$IM$7,'KG1-6'!$AD$7:$IM$7,'KG1-7'!$AD$7:$IM$7),153))</f>
        <v/>
      </c>
      <c r="EY61">
        <f>IF(Prof_Row="","",INDEX(CHOOSE(Prof_C,'KG1-1'!$AD$7:$IM$7,'KG1-2'!$AD$7:$IM$7,'KG1-3'!$AD$7:$IM$7,'KG1-4'!$AD$7:$IM$7,'KG1-5'!$AD$7:$IM$7,'KG1-6'!$AD$7:$IM$7,'KG1-7'!$AD$7:$IM$7),154))</f>
        <v/>
      </c>
      <c r="EZ61">
        <f>IF(Prof_Row="","",INDEX(CHOOSE(Prof_C,'KG1-1'!$AD$7:$IM$7,'KG1-2'!$AD$7:$IM$7,'KG1-3'!$AD$7:$IM$7,'KG1-4'!$AD$7:$IM$7,'KG1-5'!$AD$7:$IM$7,'KG1-6'!$AD$7:$IM$7,'KG1-7'!$AD$7:$IM$7),155))</f>
        <v/>
      </c>
      <c r="FA61">
        <f>IF(Prof_Row="","",INDEX(CHOOSE(Prof_C,'KG1-1'!$AD$7:$IM$7,'KG1-2'!$AD$7:$IM$7,'KG1-3'!$AD$7:$IM$7,'KG1-4'!$AD$7:$IM$7,'KG1-5'!$AD$7:$IM$7,'KG1-6'!$AD$7:$IM$7,'KG1-7'!$AD$7:$IM$7),156))</f>
        <v/>
      </c>
      <c r="FB61">
        <f>IF(Prof_Row="","",INDEX(CHOOSE(Prof_C,'KG1-1'!$AD$7:$IM$7,'KG1-2'!$AD$7:$IM$7,'KG1-3'!$AD$7:$IM$7,'KG1-4'!$AD$7:$IM$7,'KG1-5'!$AD$7:$IM$7,'KG1-6'!$AD$7:$IM$7,'KG1-7'!$AD$7:$IM$7),157))</f>
        <v/>
      </c>
      <c r="FC61">
        <f>IF(Prof_Row="","",INDEX(CHOOSE(Prof_C,'KG1-1'!$AD$7:$IM$7,'KG1-2'!$AD$7:$IM$7,'KG1-3'!$AD$7:$IM$7,'KG1-4'!$AD$7:$IM$7,'KG1-5'!$AD$7:$IM$7,'KG1-6'!$AD$7:$IM$7,'KG1-7'!$AD$7:$IM$7),158))</f>
        <v/>
      </c>
      <c r="FD61">
        <f>IF(Prof_Row="","",INDEX(CHOOSE(Prof_C,'KG1-1'!$AD$7:$IM$7,'KG1-2'!$AD$7:$IM$7,'KG1-3'!$AD$7:$IM$7,'KG1-4'!$AD$7:$IM$7,'KG1-5'!$AD$7:$IM$7,'KG1-6'!$AD$7:$IM$7,'KG1-7'!$AD$7:$IM$7),159))</f>
        <v/>
      </c>
      <c r="FE61">
        <f>IF(Prof_Row="","",INDEX(CHOOSE(Prof_C,'KG1-1'!$AD$7:$IM$7,'KG1-2'!$AD$7:$IM$7,'KG1-3'!$AD$7:$IM$7,'KG1-4'!$AD$7:$IM$7,'KG1-5'!$AD$7:$IM$7,'KG1-6'!$AD$7:$IM$7,'KG1-7'!$AD$7:$IM$7),160))</f>
        <v/>
      </c>
      <c r="FF61">
        <f>IF(Prof_Row="","",INDEX(CHOOSE(Prof_C,'KG1-1'!$AD$7:$IM$7,'KG1-2'!$AD$7:$IM$7,'KG1-3'!$AD$7:$IM$7,'KG1-4'!$AD$7:$IM$7,'KG1-5'!$AD$7:$IM$7,'KG1-6'!$AD$7:$IM$7,'KG1-7'!$AD$7:$IM$7),161))</f>
        <v/>
      </c>
      <c r="FG61">
        <f>IF(Prof_Row="","",INDEX(CHOOSE(Prof_C,'KG1-1'!$AD$7:$IM$7,'KG1-2'!$AD$7:$IM$7,'KG1-3'!$AD$7:$IM$7,'KG1-4'!$AD$7:$IM$7,'KG1-5'!$AD$7:$IM$7,'KG1-6'!$AD$7:$IM$7,'KG1-7'!$AD$7:$IM$7),162))</f>
        <v/>
      </c>
      <c r="FH61">
        <f>IF(Prof_Row="","",INDEX(CHOOSE(Prof_C,'KG1-1'!$AD$7:$IM$7,'KG1-2'!$AD$7:$IM$7,'KG1-3'!$AD$7:$IM$7,'KG1-4'!$AD$7:$IM$7,'KG1-5'!$AD$7:$IM$7,'KG1-6'!$AD$7:$IM$7,'KG1-7'!$AD$7:$IM$7),163))</f>
        <v/>
      </c>
      <c r="FI61">
        <f>IF(Prof_Row="","",INDEX(CHOOSE(Prof_C,'KG1-1'!$AD$7:$IM$7,'KG1-2'!$AD$7:$IM$7,'KG1-3'!$AD$7:$IM$7,'KG1-4'!$AD$7:$IM$7,'KG1-5'!$AD$7:$IM$7,'KG1-6'!$AD$7:$IM$7,'KG1-7'!$AD$7:$IM$7),164))</f>
        <v/>
      </c>
      <c r="FJ61">
        <f>IF(Prof_Row="","",INDEX(CHOOSE(Prof_C,'KG1-1'!$AD$7:$IM$7,'KG1-2'!$AD$7:$IM$7,'KG1-3'!$AD$7:$IM$7,'KG1-4'!$AD$7:$IM$7,'KG1-5'!$AD$7:$IM$7,'KG1-6'!$AD$7:$IM$7,'KG1-7'!$AD$7:$IM$7),165))</f>
        <v/>
      </c>
      <c r="FK61">
        <f>IF(Prof_Row="","",INDEX(CHOOSE(Prof_C,'KG1-1'!$AD$7:$IM$7,'KG1-2'!$AD$7:$IM$7,'KG1-3'!$AD$7:$IM$7,'KG1-4'!$AD$7:$IM$7,'KG1-5'!$AD$7:$IM$7,'KG1-6'!$AD$7:$IM$7,'KG1-7'!$AD$7:$IM$7),166))</f>
        <v/>
      </c>
      <c r="FL61">
        <f>IF(Prof_Row="","",INDEX(CHOOSE(Prof_C,'KG1-1'!$AD$7:$IM$7,'KG1-2'!$AD$7:$IM$7,'KG1-3'!$AD$7:$IM$7,'KG1-4'!$AD$7:$IM$7,'KG1-5'!$AD$7:$IM$7,'KG1-6'!$AD$7:$IM$7,'KG1-7'!$AD$7:$IM$7),167))</f>
        <v/>
      </c>
      <c r="FM61">
        <f>IF(Prof_Row="","",INDEX(CHOOSE(Prof_C,'KG1-1'!$AD$7:$IM$7,'KG1-2'!$AD$7:$IM$7,'KG1-3'!$AD$7:$IM$7,'KG1-4'!$AD$7:$IM$7,'KG1-5'!$AD$7:$IM$7,'KG1-6'!$AD$7:$IM$7,'KG1-7'!$AD$7:$IM$7),168))</f>
        <v/>
      </c>
      <c r="FN61">
        <f>IF(Prof_Row="","",INDEX(CHOOSE(Prof_C,'KG1-1'!$AD$7:$IM$7,'KG1-2'!$AD$7:$IM$7,'KG1-3'!$AD$7:$IM$7,'KG1-4'!$AD$7:$IM$7,'KG1-5'!$AD$7:$IM$7,'KG1-6'!$AD$7:$IM$7,'KG1-7'!$AD$7:$IM$7),169))</f>
        <v/>
      </c>
      <c r="FO61">
        <f>IF(Prof_Row="","",INDEX(CHOOSE(Prof_C,'KG1-1'!$AD$7:$IM$7,'KG1-2'!$AD$7:$IM$7,'KG1-3'!$AD$7:$IM$7,'KG1-4'!$AD$7:$IM$7,'KG1-5'!$AD$7:$IM$7,'KG1-6'!$AD$7:$IM$7,'KG1-7'!$AD$7:$IM$7),170))</f>
        <v/>
      </c>
      <c r="FP61">
        <f>IF(Prof_Row="","",INDEX(CHOOSE(Prof_C,'KG1-1'!$AD$7:$IM$7,'KG1-2'!$AD$7:$IM$7,'KG1-3'!$AD$7:$IM$7,'KG1-4'!$AD$7:$IM$7,'KG1-5'!$AD$7:$IM$7,'KG1-6'!$AD$7:$IM$7,'KG1-7'!$AD$7:$IM$7),171))</f>
        <v/>
      </c>
      <c r="FQ61">
        <f>IF(Prof_Row="","",INDEX(CHOOSE(Prof_C,'KG1-1'!$AD$7:$IM$7,'KG1-2'!$AD$7:$IM$7,'KG1-3'!$AD$7:$IM$7,'KG1-4'!$AD$7:$IM$7,'KG1-5'!$AD$7:$IM$7,'KG1-6'!$AD$7:$IM$7,'KG1-7'!$AD$7:$IM$7),172))</f>
        <v/>
      </c>
      <c r="FR61">
        <f>IF(Prof_Row="","",INDEX(CHOOSE(Prof_C,'KG1-1'!$AD$7:$IM$7,'KG1-2'!$AD$7:$IM$7,'KG1-3'!$AD$7:$IM$7,'KG1-4'!$AD$7:$IM$7,'KG1-5'!$AD$7:$IM$7,'KG1-6'!$AD$7:$IM$7,'KG1-7'!$AD$7:$IM$7),173))</f>
        <v/>
      </c>
      <c r="FS61">
        <f>IF(Prof_Row="","",INDEX(CHOOSE(Prof_C,'KG1-1'!$AD$7:$IM$7,'KG1-2'!$AD$7:$IM$7,'KG1-3'!$AD$7:$IM$7,'KG1-4'!$AD$7:$IM$7,'KG1-5'!$AD$7:$IM$7,'KG1-6'!$AD$7:$IM$7,'KG1-7'!$AD$7:$IM$7),174))</f>
        <v/>
      </c>
      <c r="FT61">
        <f>IF(Prof_Row="","",INDEX(CHOOSE(Prof_C,'KG1-1'!$AD$7:$IM$7,'KG1-2'!$AD$7:$IM$7,'KG1-3'!$AD$7:$IM$7,'KG1-4'!$AD$7:$IM$7,'KG1-5'!$AD$7:$IM$7,'KG1-6'!$AD$7:$IM$7,'KG1-7'!$AD$7:$IM$7),175))</f>
        <v/>
      </c>
      <c r="FU61">
        <f>IF(Prof_Row="","",INDEX(CHOOSE(Prof_C,'KG1-1'!$AD$7:$IM$7,'KG1-2'!$AD$7:$IM$7,'KG1-3'!$AD$7:$IM$7,'KG1-4'!$AD$7:$IM$7,'KG1-5'!$AD$7:$IM$7,'KG1-6'!$AD$7:$IM$7,'KG1-7'!$AD$7:$IM$7),176))</f>
        <v/>
      </c>
      <c r="FV61">
        <f>IF(Prof_Row="","",INDEX(CHOOSE(Prof_C,'KG1-1'!$AD$7:$IM$7,'KG1-2'!$AD$7:$IM$7,'KG1-3'!$AD$7:$IM$7,'KG1-4'!$AD$7:$IM$7,'KG1-5'!$AD$7:$IM$7,'KG1-6'!$AD$7:$IM$7,'KG1-7'!$AD$7:$IM$7),177))</f>
        <v/>
      </c>
      <c r="FW61">
        <f>IF(Prof_Row="","",INDEX(CHOOSE(Prof_C,'KG1-1'!$AD$7:$IM$7,'KG1-2'!$AD$7:$IM$7,'KG1-3'!$AD$7:$IM$7,'KG1-4'!$AD$7:$IM$7,'KG1-5'!$AD$7:$IM$7,'KG1-6'!$AD$7:$IM$7,'KG1-7'!$AD$7:$IM$7),178))</f>
        <v/>
      </c>
      <c r="FX61">
        <f>IF(Prof_Row="","",INDEX(CHOOSE(Prof_C,'KG1-1'!$AD$7:$IM$7,'KG1-2'!$AD$7:$IM$7,'KG1-3'!$AD$7:$IM$7,'KG1-4'!$AD$7:$IM$7,'KG1-5'!$AD$7:$IM$7,'KG1-6'!$AD$7:$IM$7,'KG1-7'!$AD$7:$IM$7),179))</f>
        <v/>
      </c>
      <c r="FY61">
        <f>IF(Prof_Row="","",INDEX(CHOOSE(Prof_C,'KG1-1'!$AD$7:$IM$7,'KG1-2'!$AD$7:$IM$7,'KG1-3'!$AD$7:$IM$7,'KG1-4'!$AD$7:$IM$7,'KG1-5'!$AD$7:$IM$7,'KG1-6'!$AD$7:$IM$7,'KG1-7'!$AD$7:$IM$7),180))</f>
        <v/>
      </c>
      <c r="FZ61">
        <f>IF(Prof_Row="","",INDEX(CHOOSE(Prof_C,'KG1-1'!$AD$7:$IM$7,'KG1-2'!$AD$7:$IM$7,'KG1-3'!$AD$7:$IM$7,'KG1-4'!$AD$7:$IM$7,'KG1-5'!$AD$7:$IM$7,'KG1-6'!$AD$7:$IM$7,'KG1-7'!$AD$7:$IM$7),181))</f>
        <v/>
      </c>
      <c r="GA61">
        <f>IF(Prof_Row="","",INDEX(CHOOSE(Prof_C,'KG1-1'!$AD$7:$IM$7,'KG1-2'!$AD$7:$IM$7,'KG1-3'!$AD$7:$IM$7,'KG1-4'!$AD$7:$IM$7,'KG1-5'!$AD$7:$IM$7,'KG1-6'!$AD$7:$IM$7,'KG1-7'!$AD$7:$IM$7),182))</f>
        <v/>
      </c>
      <c r="GB61">
        <f>IF(Prof_Row="","",INDEX(CHOOSE(Prof_C,'KG1-1'!$AD$7:$IM$7,'KG1-2'!$AD$7:$IM$7,'KG1-3'!$AD$7:$IM$7,'KG1-4'!$AD$7:$IM$7,'KG1-5'!$AD$7:$IM$7,'KG1-6'!$AD$7:$IM$7,'KG1-7'!$AD$7:$IM$7),183))</f>
        <v/>
      </c>
      <c r="GC61">
        <f>IF(Prof_Row="","",INDEX(CHOOSE(Prof_C,'KG1-1'!$AD$7:$IM$7,'KG1-2'!$AD$7:$IM$7,'KG1-3'!$AD$7:$IM$7,'KG1-4'!$AD$7:$IM$7,'KG1-5'!$AD$7:$IM$7,'KG1-6'!$AD$7:$IM$7,'KG1-7'!$AD$7:$IM$7),184))</f>
        <v/>
      </c>
      <c r="GD61">
        <f>IF(Prof_Row="","",INDEX(CHOOSE(Prof_C,'KG1-1'!$AD$7:$IM$7,'KG1-2'!$AD$7:$IM$7,'KG1-3'!$AD$7:$IM$7,'KG1-4'!$AD$7:$IM$7,'KG1-5'!$AD$7:$IM$7,'KG1-6'!$AD$7:$IM$7,'KG1-7'!$AD$7:$IM$7),185))</f>
        <v/>
      </c>
      <c r="GE61">
        <f>IF(Prof_Row="","",INDEX(CHOOSE(Prof_C,'KG1-1'!$AD$7:$IM$7,'KG1-2'!$AD$7:$IM$7,'KG1-3'!$AD$7:$IM$7,'KG1-4'!$AD$7:$IM$7,'KG1-5'!$AD$7:$IM$7,'KG1-6'!$AD$7:$IM$7,'KG1-7'!$AD$7:$IM$7),186))</f>
        <v/>
      </c>
      <c r="GF61">
        <f>IF(Prof_Row="","",INDEX(CHOOSE(Prof_C,'KG1-1'!$AD$7:$IM$7,'KG1-2'!$AD$7:$IM$7,'KG1-3'!$AD$7:$IM$7,'KG1-4'!$AD$7:$IM$7,'KG1-5'!$AD$7:$IM$7,'KG1-6'!$AD$7:$IM$7,'KG1-7'!$AD$7:$IM$7),187))</f>
        <v/>
      </c>
      <c r="GG61">
        <f>IF(Prof_Row="","",INDEX(CHOOSE(Prof_C,'KG1-1'!$AD$7:$IM$7,'KG1-2'!$AD$7:$IM$7,'KG1-3'!$AD$7:$IM$7,'KG1-4'!$AD$7:$IM$7,'KG1-5'!$AD$7:$IM$7,'KG1-6'!$AD$7:$IM$7,'KG1-7'!$AD$7:$IM$7),188))</f>
        <v/>
      </c>
      <c r="GH61">
        <f>IF(Prof_Row="","",INDEX(CHOOSE(Prof_C,'KG1-1'!$AD$7:$IM$7,'KG1-2'!$AD$7:$IM$7,'KG1-3'!$AD$7:$IM$7,'KG1-4'!$AD$7:$IM$7,'KG1-5'!$AD$7:$IM$7,'KG1-6'!$AD$7:$IM$7,'KG1-7'!$AD$7:$IM$7),189))</f>
        <v/>
      </c>
      <c r="GI61">
        <f>IF(Prof_Row="","",INDEX(CHOOSE(Prof_C,'KG1-1'!$AD$7:$IM$7,'KG1-2'!$AD$7:$IM$7,'KG1-3'!$AD$7:$IM$7,'KG1-4'!$AD$7:$IM$7,'KG1-5'!$AD$7:$IM$7,'KG1-6'!$AD$7:$IM$7,'KG1-7'!$AD$7:$IM$7),190))</f>
        <v/>
      </c>
      <c r="GJ61">
        <f>IF(Prof_Row="","",INDEX(CHOOSE(Prof_C,'KG1-1'!$AD$7:$IM$7,'KG1-2'!$AD$7:$IM$7,'KG1-3'!$AD$7:$IM$7,'KG1-4'!$AD$7:$IM$7,'KG1-5'!$AD$7:$IM$7,'KG1-6'!$AD$7:$IM$7,'KG1-7'!$AD$7:$IM$7),191))</f>
        <v/>
      </c>
      <c r="GK61">
        <f>IF(Prof_Row="","",INDEX(CHOOSE(Prof_C,'KG1-1'!$AD$7:$IM$7,'KG1-2'!$AD$7:$IM$7,'KG1-3'!$AD$7:$IM$7,'KG1-4'!$AD$7:$IM$7,'KG1-5'!$AD$7:$IM$7,'KG1-6'!$AD$7:$IM$7,'KG1-7'!$AD$7:$IM$7),192))</f>
        <v/>
      </c>
      <c r="GL61">
        <f>IF(Prof_Row="","",INDEX(CHOOSE(Prof_C,'KG1-1'!$AD$7:$IM$7,'KG1-2'!$AD$7:$IM$7,'KG1-3'!$AD$7:$IM$7,'KG1-4'!$AD$7:$IM$7,'KG1-5'!$AD$7:$IM$7,'KG1-6'!$AD$7:$IM$7,'KG1-7'!$AD$7:$IM$7),193))</f>
        <v/>
      </c>
      <c r="GM61">
        <f>IF(Prof_Row="","",INDEX(CHOOSE(Prof_C,'KG1-1'!$AD$7:$IM$7,'KG1-2'!$AD$7:$IM$7,'KG1-3'!$AD$7:$IM$7,'KG1-4'!$AD$7:$IM$7,'KG1-5'!$AD$7:$IM$7,'KG1-6'!$AD$7:$IM$7,'KG1-7'!$AD$7:$IM$7),194))</f>
        <v/>
      </c>
      <c r="GN61">
        <f>IF(Prof_Row="","",INDEX(CHOOSE(Prof_C,'KG1-1'!$AD$7:$IM$7,'KG1-2'!$AD$7:$IM$7,'KG1-3'!$AD$7:$IM$7,'KG1-4'!$AD$7:$IM$7,'KG1-5'!$AD$7:$IM$7,'KG1-6'!$AD$7:$IM$7,'KG1-7'!$AD$7:$IM$7),195))</f>
        <v/>
      </c>
      <c r="GO61">
        <f>IF(Prof_Row="","",INDEX(CHOOSE(Prof_C,'KG1-1'!$AD$7:$IM$7,'KG1-2'!$AD$7:$IM$7,'KG1-3'!$AD$7:$IM$7,'KG1-4'!$AD$7:$IM$7,'KG1-5'!$AD$7:$IM$7,'KG1-6'!$AD$7:$IM$7,'KG1-7'!$AD$7:$IM$7),196))</f>
        <v/>
      </c>
      <c r="GP61">
        <f>IF(Prof_Row="","",INDEX(CHOOSE(Prof_C,'KG1-1'!$AD$7:$IM$7,'KG1-2'!$AD$7:$IM$7,'KG1-3'!$AD$7:$IM$7,'KG1-4'!$AD$7:$IM$7,'KG1-5'!$AD$7:$IM$7,'KG1-6'!$AD$7:$IM$7,'KG1-7'!$AD$7:$IM$7),197))</f>
        <v/>
      </c>
      <c r="GQ61">
        <f>IF(Prof_Row="","",INDEX(CHOOSE(Prof_C,'KG1-1'!$AD$7:$IM$7,'KG1-2'!$AD$7:$IM$7,'KG1-3'!$AD$7:$IM$7,'KG1-4'!$AD$7:$IM$7,'KG1-5'!$AD$7:$IM$7,'KG1-6'!$AD$7:$IM$7,'KG1-7'!$AD$7:$IM$7),198))</f>
        <v/>
      </c>
      <c r="GR61">
        <f>IF(Prof_Row="","",INDEX(CHOOSE(Prof_C,'KG1-1'!$AD$7:$IM$7,'KG1-2'!$AD$7:$IM$7,'KG1-3'!$AD$7:$IM$7,'KG1-4'!$AD$7:$IM$7,'KG1-5'!$AD$7:$IM$7,'KG1-6'!$AD$7:$IM$7,'KG1-7'!$AD$7:$IM$7),199))</f>
        <v/>
      </c>
      <c r="GS61">
        <f>IF(Prof_Row="","",INDEX(CHOOSE(Prof_C,'KG1-1'!$AD$7:$IM$7,'KG1-2'!$AD$7:$IM$7,'KG1-3'!$AD$7:$IM$7,'KG1-4'!$AD$7:$IM$7,'KG1-5'!$AD$7:$IM$7,'KG1-6'!$AD$7:$IM$7,'KG1-7'!$AD$7:$IM$7),200))</f>
        <v/>
      </c>
      <c r="GT61">
        <f>IF(Prof_Row="","",INDEX(CHOOSE(Prof_C,'KG1-1'!$AD$7:$IM$7,'KG1-2'!$AD$7:$IM$7,'KG1-3'!$AD$7:$IM$7,'KG1-4'!$AD$7:$IM$7,'KG1-5'!$AD$7:$IM$7,'KG1-6'!$AD$7:$IM$7,'KG1-7'!$AD$7:$IM$7),201))</f>
        <v/>
      </c>
      <c r="GU61">
        <f>IF(Prof_Row="","",INDEX(CHOOSE(Prof_C,'KG1-1'!$AD$7:$IM$7,'KG1-2'!$AD$7:$IM$7,'KG1-3'!$AD$7:$IM$7,'KG1-4'!$AD$7:$IM$7,'KG1-5'!$AD$7:$IM$7,'KG1-6'!$AD$7:$IM$7,'KG1-7'!$AD$7:$IM$7),202))</f>
        <v/>
      </c>
      <c r="GV61">
        <f>IF(Prof_Row="","",INDEX(CHOOSE(Prof_C,'KG1-1'!$AD$7:$IM$7,'KG1-2'!$AD$7:$IM$7,'KG1-3'!$AD$7:$IM$7,'KG1-4'!$AD$7:$IM$7,'KG1-5'!$AD$7:$IM$7,'KG1-6'!$AD$7:$IM$7,'KG1-7'!$AD$7:$IM$7),203))</f>
        <v/>
      </c>
      <c r="GW61">
        <f>IF(Prof_Row="","",INDEX(CHOOSE(Prof_C,'KG1-1'!$AD$7:$IM$7,'KG1-2'!$AD$7:$IM$7,'KG1-3'!$AD$7:$IM$7,'KG1-4'!$AD$7:$IM$7,'KG1-5'!$AD$7:$IM$7,'KG1-6'!$AD$7:$IM$7,'KG1-7'!$AD$7:$IM$7),204))</f>
        <v/>
      </c>
      <c r="GX61">
        <f>IF(Prof_Row="","",INDEX(CHOOSE(Prof_C,'KG1-1'!$AD$7:$IM$7,'KG1-2'!$AD$7:$IM$7,'KG1-3'!$AD$7:$IM$7,'KG1-4'!$AD$7:$IM$7,'KG1-5'!$AD$7:$IM$7,'KG1-6'!$AD$7:$IM$7,'KG1-7'!$AD$7:$IM$7),205))</f>
        <v/>
      </c>
      <c r="GY61">
        <f>IF(Prof_Row="","",INDEX(CHOOSE(Prof_C,'KG1-1'!$AD$7:$IM$7,'KG1-2'!$AD$7:$IM$7,'KG1-3'!$AD$7:$IM$7,'KG1-4'!$AD$7:$IM$7,'KG1-5'!$AD$7:$IM$7,'KG1-6'!$AD$7:$IM$7,'KG1-7'!$AD$7:$IM$7),206))</f>
        <v/>
      </c>
      <c r="GZ61">
        <f>IF(Prof_Row="","",INDEX(CHOOSE(Prof_C,'KG1-1'!$AD$7:$IM$7,'KG1-2'!$AD$7:$IM$7,'KG1-3'!$AD$7:$IM$7,'KG1-4'!$AD$7:$IM$7,'KG1-5'!$AD$7:$IM$7,'KG1-6'!$AD$7:$IM$7,'KG1-7'!$AD$7:$IM$7),207))</f>
        <v/>
      </c>
      <c r="HA61">
        <f>IF(Prof_Row="","",INDEX(CHOOSE(Prof_C,'KG1-1'!$AD$7:$IM$7,'KG1-2'!$AD$7:$IM$7,'KG1-3'!$AD$7:$IM$7,'KG1-4'!$AD$7:$IM$7,'KG1-5'!$AD$7:$IM$7,'KG1-6'!$AD$7:$IM$7,'KG1-7'!$AD$7:$IM$7),208))</f>
        <v/>
      </c>
      <c r="HB61">
        <f>IF(Prof_Row="","",INDEX(CHOOSE(Prof_C,'KG1-1'!$AD$7:$IM$7,'KG1-2'!$AD$7:$IM$7,'KG1-3'!$AD$7:$IM$7,'KG1-4'!$AD$7:$IM$7,'KG1-5'!$AD$7:$IM$7,'KG1-6'!$AD$7:$IM$7,'KG1-7'!$AD$7:$IM$7),209))</f>
        <v/>
      </c>
      <c r="HC61">
        <f>IF(Prof_Row="","",INDEX(CHOOSE(Prof_C,'KG1-1'!$AD$7:$IM$7,'KG1-2'!$AD$7:$IM$7,'KG1-3'!$AD$7:$IM$7,'KG1-4'!$AD$7:$IM$7,'KG1-5'!$AD$7:$IM$7,'KG1-6'!$AD$7:$IM$7,'KG1-7'!$AD$7:$IM$7),210))</f>
        <v/>
      </c>
      <c r="HD61">
        <f>IF(Prof_Row="","",INDEX(CHOOSE(Prof_C,'KG1-1'!$AD$7:$IM$7,'KG1-2'!$AD$7:$IM$7,'KG1-3'!$AD$7:$IM$7,'KG1-4'!$AD$7:$IM$7,'KG1-5'!$AD$7:$IM$7,'KG1-6'!$AD$7:$IM$7,'KG1-7'!$AD$7:$IM$7),211))</f>
        <v/>
      </c>
      <c r="HE61">
        <f>IF(Prof_Row="","",INDEX(CHOOSE(Prof_C,'KG1-1'!$AD$7:$IM$7,'KG1-2'!$AD$7:$IM$7,'KG1-3'!$AD$7:$IM$7,'KG1-4'!$AD$7:$IM$7,'KG1-5'!$AD$7:$IM$7,'KG1-6'!$AD$7:$IM$7,'KG1-7'!$AD$7:$IM$7),212))</f>
        <v/>
      </c>
      <c r="HF61">
        <f>IF(Prof_Row="","",INDEX(CHOOSE(Prof_C,'KG1-1'!$AD$7:$IM$7,'KG1-2'!$AD$7:$IM$7,'KG1-3'!$AD$7:$IM$7,'KG1-4'!$AD$7:$IM$7,'KG1-5'!$AD$7:$IM$7,'KG1-6'!$AD$7:$IM$7,'KG1-7'!$AD$7:$IM$7),213))</f>
        <v/>
      </c>
      <c r="HG61">
        <f>IF(Prof_Row="","",INDEX(CHOOSE(Prof_C,'KG1-1'!$AD$7:$IM$7,'KG1-2'!$AD$7:$IM$7,'KG1-3'!$AD$7:$IM$7,'KG1-4'!$AD$7:$IM$7,'KG1-5'!$AD$7:$IM$7,'KG1-6'!$AD$7:$IM$7,'KG1-7'!$AD$7:$IM$7),214))</f>
        <v/>
      </c>
      <c r="HH61">
        <f>IF(Prof_Row="","",INDEX(CHOOSE(Prof_C,'KG1-1'!$AD$7:$IM$7,'KG1-2'!$AD$7:$IM$7,'KG1-3'!$AD$7:$IM$7,'KG1-4'!$AD$7:$IM$7,'KG1-5'!$AD$7:$IM$7,'KG1-6'!$AD$7:$IM$7,'KG1-7'!$AD$7:$IM$7),215))</f>
        <v/>
      </c>
      <c r="HI61">
        <f>IF(Prof_Row="","",INDEX(CHOOSE(Prof_C,'KG1-1'!$AD$7:$IM$7,'KG1-2'!$AD$7:$IM$7,'KG1-3'!$AD$7:$IM$7,'KG1-4'!$AD$7:$IM$7,'KG1-5'!$AD$7:$IM$7,'KG1-6'!$AD$7:$IM$7,'KG1-7'!$AD$7:$IM$7),216))</f>
        <v/>
      </c>
      <c r="HJ61">
        <f>IF(Prof_Row="","",INDEX(CHOOSE(Prof_C,'KG1-1'!$AD$7:$IM$7,'KG1-2'!$AD$7:$IM$7,'KG1-3'!$AD$7:$IM$7,'KG1-4'!$AD$7:$IM$7,'KG1-5'!$AD$7:$IM$7,'KG1-6'!$AD$7:$IM$7,'KG1-7'!$AD$7:$IM$7),217))</f>
        <v/>
      </c>
      <c r="HK61">
        <f>IF(Prof_Row="","",INDEX(CHOOSE(Prof_C,'KG1-1'!$AD$7:$IM$7,'KG1-2'!$AD$7:$IM$7,'KG1-3'!$AD$7:$IM$7,'KG1-4'!$AD$7:$IM$7,'KG1-5'!$AD$7:$IM$7,'KG1-6'!$AD$7:$IM$7,'KG1-7'!$AD$7:$IM$7),218))</f>
        <v/>
      </c>
    </row>
    <row r="62" hidden="1">
      <c r="A62" s="125" t="inlineStr">
        <is>
          <t>التاريخ</t>
        </is>
      </c>
      <c r="B62" s="126">
        <f>'KG1-1'!AD$5</f>
        <v/>
      </c>
      <c r="C62" s="126">
        <f>'KG1-1'!AE$5</f>
        <v/>
      </c>
      <c r="D62" s="126">
        <f>'KG1-1'!AF$5</f>
        <v/>
      </c>
      <c r="E62" s="126">
        <f>'KG1-1'!AG$5</f>
        <v/>
      </c>
      <c r="F62" s="126">
        <f>'KG1-1'!AH$5</f>
        <v/>
      </c>
      <c r="G62" s="126">
        <f>'KG1-1'!AI$5</f>
        <v/>
      </c>
      <c r="H62" s="126">
        <f>'KG1-1'!AJ$5</f>
        <v/>
      </c>
      <c r="I62" s="126">
        <f>'KG1-1'!AK$5</f>
        <v/>
      </c>
      <c r="J62" s="126">
        <f>'KG1-1'!AL$5</f>
        <v/>
      </c>
      <c r="K62" s="126">
        <f>'KG1-1'!AM$5</f>
        <v/>
      </c>
      <c r="L62" s="126">
        <f>'KG1-1'!AN$5</f>
        <v/>
      </c>
      <c r="M62" s="126">
        <f>'KG1-1'!AO$5</f>
        <v/>
      </c>
      <c r="N62" s="126">
        <f>'KG1-1'!AP$5</f>
        <v/>
      </c>
      <c r="O62" s="126">
        <f>'KG1-1'!AQ$5</f>
        <v/>
      </c>
      <c r="P62" s="126">
        <f>'KG1-1'!AR$5</f>
        <v/>
      </c>
      <c r="Q62" s="126">
        <f>'KG1-1'!AS$5</f>
        <v/>
      </c>
      <c r="R62" s="126">
        <f>'KG1-1'!AT$5</f>
        <v/>
      </c>
      <c r="S62" s="126">
        <f>'KG1-1'!AU$5</f>
        <v/>
      </c>
      <c r="T62" s="126">
        <f>'KG1-1'!AV$5</f>
        <v/>
      </c>
      <c r="U62" s="126">
        <f>'KG1-1'!AW$5</f>
        <v/>
      </c>
      <c r="V62" s="126">
        <f>'KG1-1'!AX$5</f>
        <v/>
      </c>
      <c r="W62" s="126">
        <f>'KG1-1'!AY$5</f>
        <v/>
      </c>
      <c r="X62" s="126">
        <f>'KG1-1'!AZ$5</f>
        <v/>
      </c>
      <c r="Y62" s="126">
        <f>'KG1-1'!BA$5</f>
        <v/>
      </c>
      <c r="Z62" s="126">
        <f>'KG1-1'!BB$5</f>
        <v/>
      </c>
      <c r="AA62" s="126">
        <f>'KG1-1'!BC$5</f>
        <v/>
      </c>
      <c r="AB62" s="126">
        <f>'KG1-1'!BD$5</f>
        <v/>
      </c>
      <c r="AC62" s="126">
        <f>'KG1-1'!BE$5</f>
        <v/>
      </c>
      <c r="AD62" s="126">
        <f>'KG1-1'!BF$5</f>
        <v/>
      </c>
      <c r="AE62" s="126">
        <f>'KG1-1'!BG$5</f>
        <v/>
      </c>
      <c r="AF62" s="126">
        <f>'KG1-1'!BH$5</f>
        <v/>
      </c>
      <c r="AG62" s="126">
        <f>'KG1-1'!BI$5</f>
        <v/>
      </c>
      <c r="AH62" s="126">
        <f>'KG1-1'!BJ$5</f>
        <v/>
      </c>
      <c r="AI62" s="126">
        <f>'KG1-1'!BK$5</f>
        <v/>
      </c>
      <c r="AJ62" s="126">
        <f>'KG1-1'!BL$5</f>
        <v/>
      </c>
      <c r="AK62" s="126">
        <f>'KG1-1'!BM$5</f>
        <v/>
      </c>
      <c r="AL62" s="126">
        <f>'KG1-1'!BN$5</f>
        <v/>
      </c>
      <c r="AM62" s="126">
        <f>'KG1-1'!BO$5</f>
        <v/>
      </c>
      <c r="AN62" s="126">
        <f>'KG1-1'!BP$5</f>
        <v/>
      </c>
      <c r="AO62" s="126">
        <f>'KG1-1'!BQ$5</f>
        <v/>
      </c>
      <c r="AP62" s="126">
        <f>'KG1-1'!BR$5</f>
        <v/>
      </c>
      <c r="AQ62" s="126">
        <f>'KG1-1'!BS$5</f>
        <v/>
      </c>
      <c r="AR62" s="126">
        <f>'KG1-1'!BT$5</f>
        <v/>
      </c>
      <c r="AS62" s="126">
        <f>'KG1-1'!BU$5</f>
        <v/>
      </c>
      <c r="AT62" s="126">
        <f>'KG1-1'!BV$5</f>
        <v/>
      </c>
      <c r="AU62" s="126">
        <f>'KG1-1'!BW$5</f>
        <v/>
      </c>
      <c r="AV62" s="126">
        <f>'KG1-1'!BX$5</f>
        <v/>
      </c>
      <c r="AW62" s="126">
        <f>'KG1-1'!BY$5</f>
        <v/>
      </c>
      <c r="AX62" s="126">
        <f>'KG1-1'!BZ$5</f>
        <v/>
      </c>
      <c r="AY62" s="126">
        <f>'KG1-1'!CA$5</f>
        <v/>
      </c>
      <c r="AZ62" s="126">
        <f>'KG1-1'!CB$5</f>
        <v/>
      </c>
      <c r="BA62" s="126">
        <f>'KG1-1'!CC$5</f>
        <v/>
      </c>
      <c r="BB62" s="126">
        <f>'KG1-1'!CD$5</f>
        <v/>
      </c>
      <c r="BC62" s="126">
        <f>'KG1-1'!CE$5</f>
        <v/>
      </c>
      <c r="BD62" s="126">
        <f>'KG1-1'!CF$5</f>
        <v/>
      </c>
      <c r="BE62" s="126">
        <f>'KG1-1'!CG$5</f>
        <v/>
      </c>
      <c r="BF62" s="126">
        <f>'KG1-1'!CH$5</f>
        <v/>
      </c>
      <c r="BG62" s="126">
        <f>'KG1-1'!CI$5</f>
        <v/>
      </c>
      <c r="BH62" s="126">
        <f>'KG1-1'!CJ$5</f>
        <v/>
      </c>
      <c r="BI62" s="126">
        <f>'KG1-1'!CK$5</f>
        <v/>
      </c>
      <c r="BJ62" s="126">
        <f>'KG1-1'!CL$5</f>
        <v/>
      </c>
      <c r="BK62" s="126">
        <f>'KG1-1'!CM$5</f>
        <v/>
      </c>
      <c r="BL62" s="126">
        <f>'KG1-1'!CN$5</f>
        <v/>
      </c>
      <c r="BM62" s="126">
        <f>'KG1-1'!CO$5</f>
        <v/>
      </c>
      <c r="BN62" s="126">
        <f>'KG1-1'!CP$5</f>
        <v/>
      </c>
      <c r="BO62" s="126">
        <f>'KG1-1'!CQ$5</f>
        <v/>
      </c>
      <c r="BP62" s="126">
        <f>'KG1-1'!CR$5</f>
        <v/>
      </c>
      <c r="BQ62" s="126">
        <f>'KG1-1'!CS$5</f>
        <v/>
      </c>
      <c r="BR62" s="126">
        <f>'KG1-1'!CT$5</f>
        <v/>
      </c>
      <c r="BS62" s="126">
        <f>'KG1-1'!CU$5</f>
        <v/>
      </c>
      <c r="BT62" s="126">
        <f>'KG1-1'!CV$5</f>
        <v/>
      </c>
      <c r="BU62" s="126">
        <f>'KG1-1'!CW$5</f>
        <v/>
      </c>
      <c r="BV62" s="126">
        <f>'KG1-1'!CX$5</f>
        <v/>
      </c>
      <c r="BW62" s="126">
        <f>'KG1-1'!CY$5</f>
        <v/>
      </c>
      <c r="BX62" s="126">
        <f>'KG1-1'!CZ$5</f>
        <v/>
      </c>
      <c r="BY62" s="126">
        <f>'KG1-1'!DA$5</f>
        <v/>
      </c>
      <c r="BZ62" s="126">
        <f>'KG1-1'!DB$5</f>
        <v/>
      </c>
      <c r="CA62" s="126">
        <f>'KG1-1'!DC$5</f>
        <v/>
      </c>
      <c r="CB62" s="126">
        <f>'KG1-1'!DD$5</f>
        <v/>
      </c>
      <c r="CC62" s="126">
        <f>'KG1-1'!DE$5</f>
        <v/>
      </c>
      <c r="CD62" s="126">
        <f>'KG1-1'!DF$5</f>
        <v/>
      </c>
      <c r="CE62" s="126">
        <f>'KG1-1'!DG$5</f>
        <v/>
      </c>
      <c r="CF62" s="126">
        <f>'KG1-1'!DH$5</f>
        <v/>
      </c>
      <c r="CG62" s="126">
        <f>'KG1-1'!DI$5</f>
        <v/>
      </c>
      <c r="CH62" s="126">
        <f>'KG1-1'!DJ$5</f>
        <v/>
      </c>
      <c r="CI62" s="126">
        <f>'KG1-1'!DK$5</f>
        <v/>
      </c>
      <c r="CJ62" s="126">
        <f>'KG1-1'!DL$5</f>
        <v/>
      </c>
      <c r="CK62" s="126">
        <f>'KG1-1'!DM$5</f>
        <v/>
      </c>
      <c r="CL62" s="126">
        <f>'KG1-1'!DN$5</f>
        <v/>
      </c>
      <c r="CM62" s="126">
        <f>'KG1-1'!DO$5</f>
        <v/>
      </c>
      <c r="CN62" s="126">
        <f>'KG1-1'!DP$5</f>
        <v/>
      </c>
      <c r="CO62" s="126">
        <f>'KG1-1'!DQ$5</f>
        <v/>
      </c>
      <c r="CP62" s="126">
        <f>'KG1-1'!DR$5</f>
        <v/>
      </c>
      <c r="CQ62" s="126">
        <f>'KG1-1'!DS$5</f>
        <v/>
      </c>
      <c r="CR62" s="126">
        <f>'KG1-1'!DT$5</f>
        <v/>
      </c>
      <c r="CS62" s="126">
        <f>'KG1-1'!DU$5</f>
        <v/>
      </c>
      <c r="CT62" s="126">
        <f>'KG1-1'!DV$5</f>
        <v/>
      </c>
      <c r="CU62" s="126">
        <f>'KG1-1'!DW$5</f>
        <v/>
      </c>
      <c r="CV62" s="126">
        <f>'KG1-1'!DX$5</f>
        <v/>
      </c>
      <c r="CW62" s="126">
        <f>'KG1-1'!DY$5</f>
        <v/>
      </c>
      <c r="CX62" s="126">
        <f>'KG1-1'!DZ$5</f>
        <v/>
      </c>
      <c r="CY62" s="126">
        <f>'KG1-1'!EA$5</f>
        <v/>
      </c>
      <c r="CZ62" s="126">
        <f>'KG1-1'!EB$5</f>
        <v/>
      </c>
      <c r="DA62" s="126">
        <f>'KG1-1'!EC$5</f>
        <v/>
      </c>
      <c r="DB62" s="126">
        <f>'KG1-1'!ED$5</f>
        <v/>
      </c>
      <c r="DC62" s="126">
        <f>'KG1-1'!EE$5</f>
        <v/>
      </c>
      <c r="DD62" s="126">
        <f>'KG1-1'!EF$5</f>
        <v/>
      </c>
      <c r="DE62" s="126">
        <f>'KG1-1'!EG$5</f>
        <v/>
      </c>
      <c r="DF62" s="126">
        <f>'KG1-1'!EH$5</f>
        <v/>
      </c>
      <c r="DG62" s="126">
        <f>'KG1-1'!EI$5</f>
        <v/>
      </c>
      <c r="DH62" s="126">
        <f>'KG1-1'!EJ$5</f>
        <v/>
      </c>
      <c r="DI62" s="126">
        <f>'KG1-1'!EK$5</f>
        <v/>
      </c>
      <c r="DJ62" s="126">
        <f>'KG1-1'!EL$5</f>
        <v/>
      </c>
      <c r="DK62" s="126">
        <f>'KG1-1'!EM$5</f>
        <v/>
      </c>
      <c r="DL62" s="126">
        <f>'KG1-1'!EN$5</f>
        <v/>
      </c>
      <c r="DM62" s="126">
        <f>'KG1-1'!EO$5</f>
        <v/>
      </c>
      <c r="DN62" s="126">
        <f>'KG1-1'!EP$5</f>
        <v/>
      </c>
      <c r="DO62" s="126">
        <f>'KG1-1'!EQ$5</f>
        <v/>
      </c>
      <c r="DP62" s="126">
        <f>'KG1-1'!ER$5</f>
        <v/>
      </c>
      <c r="DQ62" s="126">
        <f>'KG1-1'!ES$5</f>
        <v/>
      </c>
      <c r="DR62" s="126">
        <f>'KG1-1'!ET$5</f>
        <v/>
      </c>
      <c r="DS62" s="126">
        <f>'KG1-1'!EU$5</f>
        <v/>
      </c>
      <c r="DT62" s="126">
        <f>'KG1-1'!EV$5</f>
        <v/>
      </c>
      <c r="DU62" s="126">
        <f>'KG1-1'!EW$5</f>
        <v/>
      </c>
      <c r="DV62" s="126">
        <f>'KG1-1'!EX$5</f>
        <v/>
      </c>
      <c r="DW62" s="126">
        <f>'KG1-1'!EY$5</f>
        <v/>
      </c>
      <c r="DX62" s="126">
        <f>'KG1-1'!EZ$5</f>
        <v/>
      </c>
      <c r="DY62" s="126">
        <f>'KG1-1'!FA$5</f>
        <v/>
      </c>
      <c r="DZ62" s="126">
        <f>'KG1-1'!FB$5</f>
        <v/>
      </c>
      <c r="EA62" s="126">
        <f>'KG1-1'!FC$5</f>
        <v/>
      </c>
      <c r="EB62" s="126">
        <f>'KG1-1'!FD$5</f>
        <v/>
      </c>
      <c r="EC62" s="126">
        <f>'KG1-1'!FE$5</f>
        <v/>
      </c>
      <c r="ED62" s="126">
        <f>'KG1-1'!FF$5</f>
        <v/>
      </c>
      <c r="EE62" s="126">
        <f>'KG1-1'!FG$5</f>
        <v/>
      </c>
      <c r="EF62" s="126">
        <f>'KG1-1'!FH$5</f>
        <v/>
      </c>
      <c r="EG62" s="126">
        <f>'KG1-1'!FI$5</f>
        <v/>
      </c>
      <c r="EH62" s="126">
        <f>'KG1-1'!FJ$5</f>
        <v/>
      </c>
      <c r="EI62" s="126">
        <f>'KG1-1'!FK$5</f>
        <v/>
      </c>
      <c r="EJ62" s="126">
        <f>'KG1-1'!FL$5</f>
        <v/>
      </c>
      <c r="EK62" s="126">
        <f>'KG1-1'!FM$5</f>
        <v/>
      </c>
      <c r="EL62" s="126">
        <f>'KG1-1'!FN$5</f>
        <v/>
      </c>
      <c r="EM62" s="126">
        <f>'KG1-1'!FO$5</f>
        <v/>
      </c>
      <c r="EN62" s="126">
        <f>'KG1-1'!FP$5</f>
        <v/>
      </c>
      <c r="EO62" s="126">
        <f>'KG1-1'!FQ$5</f>
        <v/>
      </c>
      <c r="EP62" s="126">
        <f>'KG1-1'!FR$5</f>
        <v/>
      </c>
      <c r="EQ62" s="126">
        <f>'KG1-1'!FS$5</f>
        <v/>
      </c>
      <c r="ER62" s="126">
        <f>'KG1-1'!FT$5</f>
        <v/>
      </c>
      <c r="ES62" s="126">
        <f>'KG1-1'!FU$5</f>
        <v/>
      </c>
      <c r="ET62" s="126">
        <f>'KG1-1'!FV$5</f>
        <v/>
      </c>
      <c r="EU62" s="126">
        <f>'KG1-1'!FW$5</f>
        <v/>
      </c>
      <c r="EV62" s="126">
        <f>'KG1-1'!FX$5</f>
        <v/>
      </c>
      <c r="EW62" s="126">
        <f>'KG1-1'!FY$5</f>
        <v/>
      </c>
      <c r="EX62" s="126">
        <f>'KG1-1'!FZ$5</f>
        <v/>
      </c>
      <c r="EY62" s="126">
        <f>'KG1-1'!GA$5</f>
        <v/>
      </c>
      <c r="EZ62" s="126">
        <f>'KG1-1'!GB$5</f>
        <v/>
      </c>
      <c r="FA62" s="126">
        <f>'KG1-1'!GC$5</f>
        <v/>
      </c>
      <c r="FB62" s="126">
        <f>'KG1-1'!GD$5</f>
        <v/>
      </c>
      <c r="FC62" s="126">
        <f>'KG1-1'!GE$5</f>
        <v/>
      </c>
      <c r="FD62" s="126">
        <f>'KG1-1'!GF$5</f>
        <v/>
      </c>
      <c r="FE62" s="126">
        <f>'KG1-1'!GG$5</f>
        <v/>
      </c>
      <c r="FF62" s="126">
        <f>'KG1-1'!GH$5</f>
        <v/>
      </c>
      <c r="FG62" s="126">
        <f>'KG1-1'!GI$5</f>
        <v/>
      </c>
      <c r="FH62" s="126">
        <f>'KG1-1'!GJ$5</f>
        <v/>
      </c>
      <c r="FI62" s="126">
        <f>'KG1-1'!GK$5</f>
        <v/>
      </c>
      <c r="FJ62" s="126">
        <f>'KG1-1'!GL$5</f>
        <v/>
      </c>
      <c r="FK62" s="126">
        <f>'KG1-1'!GM$5</f>
        <v/>
      </c>
      <c r="FL62" s="126">
        <f>'KG1-1'!GN$5</f>
        <v/>
      </c>
      <c r="FM62" s="126">
        <f>'KG1-1'!GO$5</f>
        <v/>
      </c>
      <c r="FN62" s="126">
        <f>'KG1-1'!GP$5</f>
        <v/>
      </c>
      <c r="FO62" s="126">
        <f>'KG1-1'!GQ$5</f>
        <v/>
      </c>
      <c r="FP62" s="126">
        <f>'KG1-1'!GR$5</f>
        <v/>
      </c>
      <c r="FQ62" s="126">
        <f>'KG1-1'!GS$5</f>
        <v/>
      </c>
      <c r="FR62" s="126">
        <f>'KG1-1'!GT$5</f>
        <v/>
      </c>
      <c r="FS62" s="126">
        <f>'KG1-1'!GU$5</f>
        <v/>
      </c>
      <c r="FT62" s="126">
        <f>'KG1-1'!GV$5</f>
        <v/>
      </c>
      <c r="FU62" s="126">
        <f>'KG1-1'!GW$5</f>
        <v/>
      </c>
      <c r="FV62" s="126">
        <f>'KG1-1'!GX$5</f>
        <v/>
      </c>
      <c r="FW62" s="126">
        <f>'KG1-1'!GY$5</f>
        <v/>
      </c>
      <c r="FX62" s="126">
        <f>'KG1-1'!GZ$5</f>
        <v/>
      </c>
      <c r="FY62" s="126">
        <f>'KG1-1'!HA$5</f>
        <v/>
      </c>
      <c r="FZ62" s="126">
        <f>'KG1-1'!HB$5</f>
        <v/>
      </c>
      <c r="GA62" s="126">
        <f>'KG1-1'!HC$5</f>
        <v/>
      </c>
      <c r="GB62" s="126">
        <f>'KG1-1'!HD$5</f>
        <v/>
      </c>
      <c r="GC62" s="126">
        <f>'KG1-1'!HE$5</f>
        <v/>
      </c>
      <c r="GD62" s="126">
        <f>'KG1-1'!HF$5</f>
        <v/>
      </c>
      <c r="GE62" s="126">
        <f>'KG1-1'!HG$5</f>
        <v/>
      </c>
      <c r="GF62" s="126">
        <f>'KG1-1'!HH$5</f>
        <v/>
      </c>
      <c r="GG62" s="126">
        <f>'KG1-1'!HI$5</f>
        <v/>
      </c>
      <c r="GH62" s="126">
        <f>'KG1-1'!HJ$5</f>
        <v/>
      </c>
      <c r="GI62" s="126">
        <f>'KG1-1'!HK$5</f>
        <v/>
      </c>
      <c r="GJ62" s="126">
        <f>'KG1-1'!HL$5</f>
        <v/>
      </c>
      <c r="GK62" s="126">
        <f>'KG1-1'!HM$5</f>
        <v/>
      </c>
      <c r="GL62" s="126">
        <f>'KG1-1'!HN$5</f>
        <v/>
      </c>
      <c r="GM62" s="126">
        <f>'KG1-1'!HO$5</f>
        <v/>
      </c>
      <c r="GN62" s="126">
        <f>'KG1-1'!HP$5</f>
        <v/>
      </c>
      <c r="GO62" s="126">
        <f>'KG1-1'!HQ$5</f>
        <v/>
      </c>
      <c r="GP62" s="126">
        <f>'KG1-1'!HR$5</f>
        <v/>
      </c>
      <c r="GQ62" s="126">
        <f>'KG1-1'!HS$5</f>
        <v/>
      </c>
      <c r="GR62" s="126">
        <f>'KG1-1'!HT$5</f>
        <v/>
      </c>
      <c r="GS62" s="126">
        <f>'KG1-1'!HU$5</f>
        <v/>
      </c>
      <c r="GT62" s="126">
        <f>'KG1-1'!HV$5</f>
        <v/>
      </c>
      <c r="GU62" s="126">
        <f>'KG1-1'!HW$5</f>
        <v/>
      </c>
      <c r="GV62" s="126">
        <f>'KG1-1'!HX$5</f>
        <v/>
      </c>
      <c r="GW62" s="126">
        <f>'KG1-1'!HY$5</f>
        <v/>
      </c>
      <c r="GX62" s="126">
        <f>'KG1-1'!HZ$5</f>
        <v/>
      </c>
      <c r="GY62" s="126">
        <f>'KG1-1'!IA$5</f>
        <v/>
      </c>
      <c r="GZ62" s="126">
        <f>'KG1-1'!IB$5</f>
        <v/>
      </c>
      <c r="HA62" s="126">
        <f>'KG1-1'!IC$5</f>
        <v/>
      </c>
      <c r="HB62" s="126">
        <f>'KG1-1'!ID$5</f>
        <v/>
      </c>
      <c r="HC62" s="126">
        <f>'KG1-1'!IE$5</f>
        <v/>
      </c>
      <c r="HD62" s="126">
        <f>'KG1-1'!IF$5</f>
        <v/>
      </c>
      <c r="HE62" s="126">
        <f>'KG1-1'!IG$5</f>
        <v/>
      </c>
      <c r="HF62" s="126">
        <f>'KG1-1'!IH$5</f>
        <v/>
      </c>
      <c r="HG62" s="126">
        <f>'KG1-1'!II$5</f>
        <v/>
      </c>
      <c r="HH62" s="126">
        <f>'KG1-1'!IJ$5</f>
        <v/>
      </c>
      <c r="HI62" s="126">
        <f>'KG1-1'!IK$5</f>
        <v/>
      </c>
      <c r="HJ62" s="126">
        <f>'KG1-1'!IL$5</f>
        <v/>
      </c>
      <c r="HK62" s="126">
        <f>'KG1-1'!IM$5</f>
        <v/>
      </c>
    </row>
  </sheetData>
  <sheetProtection selectLockedCells="0" selectUnlockedCells="0" sheet="1" objects="0" insertRows="1" insertHyperlinks="1" autoFilter="0" scenarios="0" formatColumns="0" deleteColumns="1" insertColumns="1" pivotTables="1" deleteRows="1" formatCells="1" formatRows="0" sort="0"/>
  <mergeCells count="111">
    <mergeCell ref="F36:H36"/>
    <mergeCell ref="Q21:R21"/>
    <mergeCell ref="F18:H18"/>
    <mergeCell ref="F33:H33"/>
    <mergeCell ref="J18:M18"/>
    <mergeCell ref="B36:E36"/>
    <mergeCell ref="N19:P19"/>
    <mergeCell ref="F22:H22"/>
    <mergeCell ref="N28:P28"/>
    <mergeCell ref="F31:H31"/>
    <mergeCell ref="N9:P9"/>
    <mergeCell ref="Q26:R26"/>
    <mergeCell ref="S23:AF23"/>
    <mergeCell ref="J19:M19"/>
    <mergeCell ref="B22:E22"/>
    <mergeCell ref="J28:M28"/>
    <mergeCell ref="B31:E31"/>
    <mergeCell ref="J9:M9"/>
    <mergeCell ref="B21:E21"/>
    <mergeCell ref="B11:H11"/>
    <mergeCell ref="Q27:R27"/>
    <mergeCell ref="S24:AF24"/>
    <mergeCell ref="B23:E23"/>
    <mergeCell ref="B38:E38"/>
    <mergeCell ref="F21:H21"/>
    <mergeCell ref="N18:P18"/>
    <mergeCell ref="F35:H35"/>
    <mergeCell ref="B33:E33"/>
    <mergeCell ref="N8:P8"/>
    <mergeCell ref="B32:E32"/>
    <mergeCell ref="J23:M23"/>
    <mergeCell ref="B26:E26"/>
    <mergeCell ref="B35:E35"/>
    <mergeCell ref="N10:P10"/>
    <mergeCell ref="J8:M8"/>
    <mergeCell ref="Q23:R23"/>
    <mergeCell ref="F27:H27"/>
    <mergeCell ref="B25:E25"/>
    <mergeCell ref="B7:H7"/>
    <mergeCell ref="S28:AF28"/>
    <mergeCell ref="J10:M10"/>
    <mergeCell ref="B18:E18"/>
    <mergeCell ref="B27:E27"/>
    <mergeCell ref="N20:P20"/>
    <mergeCell ref="F29:H29"/>
    <mergeCell ref="F25:H25"/>
    <mergeCell ref="J27:M27"/>
    <mergeCell ref="B8:H8"/>
    <mergeCell ref="N22:P22"/>
    <mergeCell ref="J11:M11"/>
    <mergeCell ref="J20:M20"/>
    <mergeCell ref="B29:E29"/>
    <mergeCell ref="B10:H10"/>
    <mergeCell ref="B37:E37"/>
    <mergeCell ref="N12:P12"/>
    <mergeCell ref="F24:H24"/>
    <mergeCell ref="N21:P21"/>
    <mergeCell ref="S26:AF26"/>
    <mergeCell ref="J22:M22"/>
    <mergeCell ref="B9:H9"/>
    <mergeCell ref="N14:P14"/>
    <mergeCell ref="F32:H32"/>
    <mergeCell ref="Q28:R28"/>
    <mergeCell ref="J12:M12"/>
    <mergeCell ref="N23:P23"/>
    <mergeCell ref="S25:AF25"/>
    <mergeCell ref="F26:H26"/>
    <mergeCell ref="J21:M21"/>
    <mergeCell ref="B24:E24"/>
    <mergeCell ref="F23:H23"/>
    <mergeCell ref="S18:AF18"/>
    <mergeCell ref="S27:AF27"/>
    <mergeCell ref="F38:H38"/>
    <mergeCell ref="B4:H4"/>
    <mergeCell ref="Q20:R20"/>
    <mergeCell ref="F37:H37"/>
    <mergeCell ref="N27:P27"/>
    <mergeCell ref="J24:M24"/>
    <mergeCell ref="N11:P11"/>
    <mergeCell ref="F34:H34"/>
    <mergeCell ref="N25:P25"/>
    <mergeCell ref="B13:H13"/>
    <mergeCell ref="J26:M26"/>
    <mergeCell ref="B19:E19"/>
    <mergeCell ref="F30:H30"/>
    <mergeCell ref="B34:E34"/>
    <mergeCell ref="J25:M25"/>
    <mergeCell ref="B28:E28"/>
    <mergeCell ref="F20:H20"/>
    <mergeCell ref="S22:AF22"/>
    <mergeCell ref="Q25:R25"/>
    <mergeCell ref="B30:E30"/>
    <mergeCell ref="Q24:R24"/>
    <mergeCell ref="S21:AF21"/>
    <mergeCell ref="Q18:R18"/>
    <mergeCell ref="B20:E20"/>
    <mergeCell ref="F28:H28"/>
    <mergeCell ref="N13:P13"/>
    <mergeCell ref="Q19:R19"/>
    <mergeCell ref="J14:M14"/>
    <mergeCell ref="J13:M13"/>
    <mergeCell ref="N24:P24"/>
    <mergeCell ref="B12:H12"/>
    <mergeCell ref="Q22:R22"/>
    <mergeCell ref="S19:AF19"/>
    <mergeCell ref="N26:P26"/>
    <mergeCell ref="B14:H14"/>
    <mergeCell ref="N7:P7"/>
    <mergeCell ref="F19:H19"/>
    <mergeCell ref="S20:AF20"/>
    <mergeCell ref="J7:M7"/>
  </mergeCells>
  <conditionalFormatting sqref="N13">
    <cfRule type="expression" priority="1" dxfId="8">
      <formula>ISNUMBER(SEARCH("حرجة",$N$13))</formula>
    </cfRule>
    <cfRule type="expression" priority="2" dxfId="6">
      <formula>ISNUMBER(SEARCH("⚠",$N$13))</formula>
    </cfRule>
  </conditionalFormatting>
  <conditionalFormatting sqref="B14">
    <cfRule type="expression" priority="3" dxfId="2">
      <formula>ISNUMBER(SEARCH("مطلوب",$B$14))</formula>
    </cfRule>
  </conditionalFormatting>
  <conditionalFormatting sqref="A19:H38">
    <cfRule type="expression" priority="4" dxfId="8">
      <formula>AND($A19&lt;&gt;"",$A19&gt;=Thr_Critical)</formula>
    </cfRule>
    <cfRule type="expression" priority="5" dxfId="1">
      <formula>AND($A19&lt;&gt;"",$A19&gt;=Thr_High)</formula>
    </cfRule>
    <cfRule type="expression" priority="6" dxfId="27">
      <formula>AND($A19&lt;&gt;"",$A19&gt;=Thr_Repeated)</formula>
    </cfRule>
    <cfRule type="expression" priority="7" dxfId="26">
      <formula>AND($A19&lt;&gt;"",$A19&gt;=Thr_FollowUp)</formula>
    </cfRule>
  </conditionalFormatting>
  <conditionalFormatting sqref="B43:AF53">
    <cfRule type="expression" priority="8" dxfId="3">
      <formula>B43="✓"</formula>
    </cfRule>
    <cfRule type="expression" priority="9" dxfId="10">
      <formula>B43="✕"</formula>
    </cfRule>
    <cfRule type="expression" priority="10" dxfId="11">
      <formula>B43="○"</formula>
    </cfRule>
    <cfRule type="expression" priority="11" dxfId="12">
      <formula>B43="م"</formula>
    </cfRule>
  </conditionalFormatting>
  <dataValidations count="1">
    <dataValidation sqref="B4" showDropDown="0" showInputMessage="1" showErrorMessage="1" allowBlank="1" errorTitle="اسم غير موجود" error="اختاري اسمًا من القائمة" type="list">
      <formula1>'الطلاب'!$C$5:$C$214</formula1>
    </dataValidation>
  </dataValidations>
  <pageMargins left="0.75" right="0.75" top="1" bottom="1" header="0.5" footer="0.5"/>
</worksheet>
</file>

<file path=xl/worksheets/sheet14.xml><?xml version="1.0" encoding="utf-8"?>
<worksheet xmlns="http://schemas.openxmlformats.org/spreadsheetml/2006/main">
  <sheetPr>
    <tabColor rgb="002A7F8E"/>
    <outlinePr summaryBelow="1" summaryRight="1"/>
    <pageSetUpPr/>
  </sheetPr>
  <dimension ref="A1:U75"/>
  <sheetViews>
    <sheetView showGridLines="0" rightToLeft="1" zoomScale="100" workbookViewId="0">
      <pane ySplit="4" topLeftCell="A5" activePane="bottomLeft" state="frozen"/>
      <selection pane="bottomLeft"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30" customHeight="1">
      <c r="A1" s="68" t="inlineStr">
        <is>
          <t>اتجاهات الحضور</t>
        </is>
      </c>
    </row>
    <row r="2">
      <c r="A2" s="69" t="inlineStr">
        <is>
          <t>التحليل اليومي والأسبوعي والشهري والفصلي — يُحدَّث تلقائيًا</t>
        </is>
      </c>
    </row>
    <row r="3">
      <c r="A3" s="32" t="inlineStr">
        <is>
          <t>Attendance Trends</t>
        </is>
      </c>
    </row>
    <row r="4">
      <c r="A4" s="62" t="inlineStr">
        <is>
          <t>الصف</t>
        </is>
      </c>
      <c r="B4" s="6" t="inlineStr">
        <is>
          <t>الكل</t>
        </is>
      </c>
      <c r="C4" s="46" t="inlineStr">
        <is>
          <t>(الكل = جميع أطفال KG1)</t>
        </is>
      </c>
    </row>
    <row r="5">
      <c r="S5" s="127">
        <f>COUNTIF(T7:T50,"&gt;0")</f>
        <v/>
      </c>
    </row>
    <row r="6">
      <c r="A6" s="21" t="inlineStr">
        <is>
          <t>الاتجاه اليومي – آخر 15 يومًا مسجَّلًا   |   Daily trend</t>
        </is>
      </c>
      <c r="B6" s="22" t="n"/>
      <c r="C6" s="22" t="n"/>
      <c r="D6" s="22" t="n"/>
      <c r="E6" s="22" t="n"/>
      <c r="F6" s="22" t="n"/>
      <c r="G6" s="22" t="n"/>
      <c r="H6" s="22" t="n"/>
      <c r="S6" s="127" t="inlineStr">
        <is>
          <t>أسبوع</t>
        </is>
      </c>
      <c r="T6" s="127" t="inlineStr">
        <is>
          <t>أيام مسجَّلة</t>
        </is>
      </c>
      <c r="U6" s="127" t="inlineStr">
        <is>
          <t>ترتيب</t>
        </is>
      </c>
    </row>
    <row r="7" ht="28" customHeight="1">
      <c r="A7" s="33" t="inlineStr">
        <is>
          <t>التاريخ</t>
        </is>
      </c>
      <c r="B7" s="33" t="inlineStr">
        <is>
          <t>اليوم</t>
        </is>
      </c>
      <c r="C7" s="33" t="inlineStr">
        <is>
          <t>المسجَّلون</t>
        </is>
      </c>
      <c r="D7" s="33" t="inlineStr">
        <is>
          <t>الحاضرون</t>
        </is>
      </c>
      <c r="E7" s="33" t="inlineStr">
        <is>
          <t>غياب بدون عذر</t>
        </is>
      </c>
      <c r="F7" s="33" t="inlineStr">
        <is>
          <t>غياب بعذر</t>
        </is>
      </c>
      <c r="G7" s="33" t="inlineStr">
        <is>
          <t>متأخر</t>
        </is>
      </c>
      <c r="H7" s="33" t="inlineStr">
        <is>
          <t>نسبة الحضور</t>
        </is>
      </c>
      <c r="S7" s="125" t="n">
        <v>1</v>
      </c>
      <c r="T7" s="125">
        <f>COUNTIFS(Cal_Week,1,Cal_Reg,"&gt;0")</f>
        <v/>
      </c>
      <c r="U7" s="125">
        <f>IF(T7&gt;0,COUNTIF($T$7:T7,"&gt;0"),"")</f>
        <v/>
      </c>
    </row>
    <row r="8">
      <c r="A8" s="128">
        <f>IF((Rec_Days-15+1)&lt;1,"",INDEX(Cal_Date,MATCH((Rec_Days-15+1),Cal_RecIdx,0)))</f>
        <v/>
      </c>
      <c r="B8" s="53">
        <f>IF(A8="","",INDEX(Cal_Day,MATCH(A8,Cal_Date,0)))</f>
        <v/>
      </c>
      <c r="C8" s="53">
        <f>IF($A8="","",IF(Trend_Class="الكل",SUMIFS(CD_Pres,CD_Date,"&gt;="&amp;$A8,CD_Date,"&lt;="&amp;$A8),SUMIFS(CD_Pres,CD_Date,"&gt;="&amp;$A8,CD_Date,"&lt;="&amp;$A8,CD_Class,Trend_Class))+IF(Trend_Class="الكل",SUMIFS(CD_Abs,CD_Date,"&gt;="&amp;$A8,CD_Date,"&lt;="&amp;$A8),SUMIFS(CD_Abs,CD_Date,"&gt;="&amp;$A8,CD_Date,"&lt;="&amp;$A8,CD_Class,Trend_Class))+IF(Trend_Class="الكل",SUMIFS(CD_Exc,CD_Date,"&gt;="&amp;$A8,CD_Date,"&lt;="&amp;$A8),SUMIFS(CD_Exc,CD_Date,"&gt;="&amp;$A8,CD_Date,"&lt;="&amp;$A8,CD_Class,Trend_Class))+IF(Trend_Class="الكل",SUMIFS(CD_Late,CD_Date,"&gt;="&amp;$A8,CD_Date,"&lt;="&amp;$A8),SUMIFS(CD_Late,CD_Date,"&gt;="&amp;$A8,CD_Date,"&lt;="&amp;$A8,CD_Class,Trend_Class)))</f>
        <v/>
      </c>
      <c r="D8" s="53">
        <f>IF($A8="","",IF(Trend_Class="الكل",SUMIFS(CD_Pres,CD_Date,"&gt;="&amp;$A8,CD_Date,"&lt;="&amp;$A8),SUMIFS(CD_Pres,CD_Date,"&gt;="&amp;$A8,CD_Date,"&lt;="&amp;$A8,CD_Class,Trend_Class))+IF(Trend_Class="الكل",SUMIFS(CD_Late,CD_Date,"&gt;="&amp;$A8,CD_Date,"&lt;="&amp;$A8),SUMIFS(CD_Late,CD_Date,"&gt;="&amp;$A8,CD_Date,"&lt;="&amp;$A8,CD_Class,Trend_Class)))</f>
        <v/>
      </c>
      <c r="E8" s="53">
        <f>IF($A8="","",IF(Trend_Class="الكل",SUMIFS(CD_Abs,CD_Date,"&gt;="&amp;$A8,CD_Date,"&lt;="&amp;$A8),SUMIFS(CD_Abs,CD_Date,"&gt;="&amp;$A8,CD_Date,"&lt;="&amp;$A8,CD_Class,Trend_Class)))</f>
        <v/>
      </c>
      <c r="F8" s="53">
        <f>IF($A8="","",IF(Trend_Class="الكل",SUMIFS(CD_Exc,CD_Date,"&gt;="&amp;$A8,CD_Date,"&lt;="&amp;$A8),SUMIFS(CD_Exc,CD_Date,"&gt;="&amp;$A8,CD_Date,"&lt;="&amp;$A8,CD_Class,Trend_Class)))</f>
        <v/>
      </c>
      <c r="G8" s="53">
        <f>IF($A8="","",IF(Trend_Class="الكل",SUMIFS(CD_Late,CD_Date,"&gt;="&amp;$A8,CD_Date,"&lt;="&amp;$A8),SUMIFS(CD_Late,CD_Date,"&gt;="&amp;$A8,CD_Date,"&lt;="&amp;$A8,CD_Class,Trend_Class)))</f>
        <v/>
      </c>
      <c r="H8" s="54">
        <f>IF(OR($A8="",C8=0),"",(D8-IF(LateAsPresent="نعم",0,G8))/C8)</f>
        <v/>
      </c>
      <c r="S8" s="125" t="n">
        <v>2</v>
      </c>
      <c r="T8" s="125">
        <f>COUNTIFS(Cal_Week,2,Cal_Reg,"&gt;0")</f>
        <v/>
      </c>
      <c r="U8" s="125">
        <f>IF(T8&gt;0,COUNTIF($T$7:T8,"&gt;0"),"")</f>
        <v/>
      </c>
    </row>
    <row r="9">
      <c r="A9" s="128">
        <f>IF((Rec_Days-15+2)&lt;1,"",INDEX(Cal_Date,MATCH((Rec_Days-15+2),Cal_RecIdx,0)))</f>
        <v/>
      </c>
      <c r="B9" s="53">
        <f>IF(A9="","",INDEX(Cal_Day,MATCH(A9,Cal_Date,0)))</f>
        <v/>
      </c>
      <c r="C9" s="53">
        <f>IF($A9="","",IF(Trend_Class="الكل",SUMIFS(CD_Pres,CD_Date,"&gt;="&amp;$A9,CD_Date,"&lt;="&amp;$A9),SUMIFS(CD_Pres,CD_Date,"&gt;="&amp;$A9,CD_Date,"&lt;="&amp;$A9,CD_Class,Trend_Class))+IF(Trend_Class="الكل",SUMIFS(CD_Abs,CD_Date,"&gt;="&amp;$A9,CD_Date,"&lt;="&amp;$A9),SUMIFS(CD_Abs,CD_Date,"&gt;="&amp;$A9,CD_Date,"&lt;="&amp;$A9,CD_Class,Trend_Class))+IF(Trend_Class="الكل",SUMIFS(CD_Exc,CD_Date,"&gt;="&amp;$A9,CD_Date,"&lt;="&amp;$A9),SUMIFS(CD_Exc,CD_Date,"&gt;="&amp;$A9,CD_Date,"&lt;="&amp;$A9,CD_Class,Trend_Class))+IF(Trend_Class="الكل",SUMIFS(CD_Late,CD_Date,"&gt;="&amp;$A9,CD_Date,"&lt;="&amp;$A9),SUMIFS(CD_Late,CD_Date,"&gt;="&amp;$A9,CD_Date,"&lt;="&amp;$A9,CD_Class,Trend_Class)))</f>
        <v/>
      </c>
      <c r="D9" s="53">
        <f>IF($A9="","",IF(Trend_Class="الكل",SUMIFS(CD_Pres,CD_Date,"&gt;="&amp;$A9,CD_Date,"&lt;="&amp;$A9),SUMIFS(CD_Pres,CD_Date,"&gt;="&amp;$A9,CD_Date,"&lt;="&amp;$A9,CD_Class,Trend_Class))+IF(Trend_Class="الكل",SUMIFS(CD_Late,CD_Date,"&gt;="&amp;$A9,CD_Date,"&lt;="&amp;$A9),SUMIFS(CD_Late,CD_Date,"&gt;="&amp;$A9,CD_Date,"&lt;="&amp;$A9,CD_Class,Trend_Class)))</f>
        <v/>
      </c>
      <c r="E9" s="53">
        <f>IF($A9="","",IF(Trend_Class="الكل",SUMIFS(CD_Abs,CD_Date,"&gt;="&amp;$A9,CD_Date,"&lt;="&amp;$A9),SUMIFS(CD_Abs,CD_Date,"&gt;="&amp;$A9,CD_Date,"&lt;="&amp;$A9,CD_Class,Trend_Class)))</f>
        <v/>
      </c>
      <c r="F9" s="53">
        <f>IF($A9="","",IF(Trend_Class="الكل",SUMIFS(CD_Exc,CD_Date,"&gt;="&amp;$A9,CD_Date,"&lt;="&amp;$A9),SUMIFS(CD_Exc,CD_Date,"&gt;="&amp;$A9,CD_Date,"&lt;="&amp;$A9,CD_Class,Trend_Class)))</f>
        <v/>
      </c>
      <c r="G9" s="53">
        <f>IF($A9="","",IF(Trend_Class="الكل",SUMIFS(CD_Late,CD_Date,"&gt;="&amp;$A9,CD_Date,"&lt;="&amp;$A9),SUMIFS(CD_Late,CD_Date,"&gt;="&amp;$A9,CD_Date,"&lt;="&amp;$A9,CD_Class,Trend_Class)))</f>
        <v/>
      </c>
      <c r="H9" s="54">
        <f>IF(OR($A9="",C9=0),"",(D9-IF(LateAsPresent="نعم",0,G9))/C9)</f>
        <v/>
      </c>
      <c r="S9" s="125" t="n">
        <v>3</v>
      </c>
      <c r="T9" s="125">
        <f>COUNTIFS(Cal_Week,3,Cal_Reg,"&gt;0")</f>
        <v/>
      </c>
      <c r="U9" s="125">
        <f>IF(T9&gt;0,COUNTIF($T$7:T9,"&gt;0"),"")</f>
        <v/>
      </c>
    </row>
    <row r="10">
      <c r="A10" s="128">
        <f>IF((Rec_Days-15+3)&lt;1,"",INDEX(Cal_Date,MATCH((Rec_Days-15+3),Cal_RecIdx,0)))</f>
        <v/>
      </c>
      <c r="B10" s="53">
        <f>IF(A10="","",INDEX(Cal_Day,MATCH(A10,Cal_Date,0)))</f>
        <v/>
      </c>
      <c r="C10" s="53">
        <f>IF($A10="","",IF(Trend_Class="الكل",SUMIFS(CD_Pres,CD_Date,"&gt;="&amp;$A10,CD_Date,"&lt;="&amp;$A10),SUMIFS(CD_Pres,CD_Date,"&gt;="&amp;$A10,CD_Date,"&lt;="&amp;$A10,CD_Class,Trend_Class))+IF(Trend_Class="الكل",SUMIFS(CD_Abs,CD_Date,"&gt;="&amp;$A10,CD_Date,"&lt;="&amp;$A10),SUMIFS(CD_Abs,CD_Date,"&gt;="&amp;$A10,CD_Date,"&lt;="&amp;$A10,CD_Class,Trend_Class))+IF(Trend_Class="الكل",SUMIFS(CD_Exc,CD_Date,"&gt;="&amp;$A10,CD_Date,"&lt;="&amp;$A10),SUMIFS(CD_Exc,CD_Date,"&gt;="&amp;$A10,CD_Date,"&lt;="&amp;$A10,CD_Class,Trend_Class))+IF(Trend_Class="الكل",SUMIFS(CD_Late,CD_Date,"&gt;="&amp;$A10,CD_Date,"&lt;="&amp;$A10),SUMIFS(CD_Late,CD_Date,"&gt;="&amp;$A10,CD_Date,"&lt;="&amp;$A10,CD_Class,Trend_Class)))</f>
        <v/>
      </c>
      <c r="D10" s="53">
        <f>IF($A10="","",IF(Trend_Class="الكل",SUMIFS(CD_Pres,CD_Date,"&gt;="&amp;$A10,CD_Date,"&lt;="&amp;$A10),SUMIFS(CD_Pres,CD_Date,"&gt;="&amp;$A10,CD_Date,"&lt;="&amp;$A10,CD_Class,Trend_Class))+IF(Trend_Class="الكل",SUMIFS(CD_Late,CD_Date,"&gt;="&amp;$A10,CD_Date,"&lt;="&amp;$A10),SUMIFS(CD_Late,CD_Date,"&gt;="&amp;$A10,CD_Date,"&lt;="&amp;$A10,CD_Class,Trend_Class)))</f>
        <v/>
      </c>
      <c r="E10" s="53">
        <f>IF($A10="","",IF(Trend_Class="الكل",SUMIFS(CD_Abs,CD_Date,"&gt;="&amp;$A10,CD_Date,"&lt;="&amp;$A10),SUMIFS(CD_Abs,CD_Date,"&gt;="&amp;$A10,CD_Date,"&lt;="&amp;$A10,CD_Class,Trend_Class)))</f>
        <v/>
      </c>
      <c r="F10" s="53">
        <f>IF($A10="","",IF(Trend_Class="الكل",SUMIFS(CD_Exc,CD_Date,"&gt;="&amp;$A10,CD_Date,"&lt;="&amp;$A10),SUMIFS(CD_Exc,CD_Date,"&gt;="&amp;$A10,CD_Date,"&lt;="&amp;$A10,CD_Class,Trend_Class)))</f>
        <v/>
      </c>
      <c r="G10" s="53">
        <f>IF($A10="","",IF(Trend_Class="الكل",SUMIFS(CD_Late,CD_Date,"&gt;="&amp;$A10,CD_Date,"&lt;="&amp;$A10),SUMIFS(CD_Late,CD_Date,"&gt;="&amp;$A10,CD_Date,"&lt;="&amp;$A10,CD_Class,Trend_Class)))</f>
        <v/>
      </c>
      <c r="H10" s="54">
        <f>IF(OR($A10="",C10=0),"",(D10-IF(LateAsPresent="نعم",0,G10))/C10)</f>
        <v/>
      </c>
      <c r="S10" s="125" t="n">
        <v>4</v>
      </c>
      <c r="T10" s="125">
        <f>COUNTIFS(Cal_Week,4,Cal_Reg,"&gt;0")</f>
        <v/>
      </c>
      <c r="U10" s="125">
        <f>IF(T10&gt;0,COUNTIF($T$7:T10,"&gt;0"),"")</f>
        <v/>
      </c>
    </row>
    <row r="11">
      <c r="A11" s="128">
        <f>IF((Rec_Days-15+4)&lt;1,"",INDEX(Cal_Date,MATCH((Rec_Days-15+4),Cal_RecIdx,0)))</f>
        <v/>
      </c>
      <c r="B11" s="53">
        <f>IF(A11="","",INDEX(Cal_Day,MATCH(A11,Cal_Date,0)))</f>
        <v/>
      </c>
      <c r="C11" s="53">
        <f>IF($A11="","",IF(Trend_Class="الكل",SUMIFS(CD_Pres,CD_Date,"&gt;="&amp;$A11,CD_Date,"&lt;="&amp;$A11),SUMIFS(CD_Pres,CD_Date,"&gt;="&amp;$A11,CD_Date,"&lt;="&amp;$A11,CD_Class,Trend_Class))+IF(Trend_Class="الكل",SUMIFS(CD_Abs,CD_Date,"&gt;="&amp;$A11,CD_Date,"&lt;="&amp;$A11),SUMIFS(CD_Abs,CD_Date,"&gt;="&amp;$A11,CD_Date,"&lt;="&amp;$A11,CD_Class,Trend_Class))+IF(Trend_Class="الكل",SUMIFS(CD_Exc,CD_Date,"&gt;="&amp;$A11,CD_Date,"&lt;="&amp;$A11),SUMIFS(CD_Exc,CD_Date,"&gt;="&amp;$A11,CD_Date,"&lt;="&amp;$A11,CD_Class,Trend_Class))+IF(Trend_Class="الكل",SUMIFS(CD_Late,CD_Date,"&gt;="&amp;$A11,CD_Date,"&lt;="&amp;$A11),SUMIFS(CD_Late,CD_Date,"&gt;="&amp;$A11,CD_Date,"&lt;="&amp;$A11,CD_Class,Trend_Class)))</f>
        <v/>
      </c>
      <c r="D11" s="53">
        <f>IF($A11="","",IF(Trend_Class="الكل",SUMIFS(CD_Pres,CD_Date,"&gt;="&amp;$A11,CD_Date,"&lt;="&amp;$A11),SUMIFS(CD_Pres,CD_Date,"&gt;="&amp;$A11,CD_Date,"&lt;="&amp;$A11,CD_Class,Trend_Class))+IF(Trend_Class="الكل",SUMIFS(CD_Late,CD_Date,"&gt;="&amp;$A11,CD_Date,"&lt;="&amp;$A11),SUMIFS(CD_Late,CD_Date,"&gt;="&amp;$A11,CD_Date,"&lt;="&amp;$A11,CD_Class,Trend_Class)))</f>
        <v/>
      </c>
      <c r="E11" s="53">
        <f>IF($A11="","",IF(Trend_Class="الكل",SUMIFS(CD_Abs,CD_Date,"&gt;="&amp;$A11,CD_Date,"&lt;="&amp;$A11),SUMIFS(CD_Abs,CD_Date,"&gt;="&amp;$A11,CD_Date,"&lt;="&amp;$A11,CD_Class,Trend_Class)))</f>
        <v/>
      </c>
      <c r="F11" s="53">
        <f>IF($A11="","",IF(Trend_Class="الكل",SUMIFS(CD_Exc,CD_Date,"&gt;="&amp;$A11,CD_Date,"&lt;="&amp;$A11),SUMIFS(CD_Exc,CD_Date,"&gt;="&amp;$A11,CD_Date,"&lt;="&amp;$A11,CD_Class,Trend_Class)))</f>
        <v/>
      </c>
      <c r="G11" s="53">
        <f>IF($A11="","",IF(Trend_Class="الكل",SUMIFS(CD_Late,CD_Date,"&gt;="&amp;$A11,CD_Date,"&lt;="&amp;$A11),SUMIFS(CD_Late,CD_Date,"&gt;="&amp;$A11,CD_Date,"&lt;="&amp;$A11,CD_Class,Trend_Class)))</f>
        <v/>
      </c>
      <c r="H11" s="54">
        <f>IF(OR($A11="",C11=0),"",(D11-IF(LateAsPresent="نعم",0,G11))/C11)</f>
        <v/>
      </c>
      <c r="S11" s="125" t="n">
        <v>5</v>
      </c>
      <c r="T11" s="125">
        <f>COUNTIFS(Cal_Week,5,Cal_Reg,"&gt;0")</f>
        <v/>
      </c>
      <c r="U11" s="125">
        <f>IF(T11&gt;0,COUNTIF($T$7:T11,"&gt;0"),"")</f>
        <v/>
      </c>
    </row>
    <row r="12">
      <c r="A12" s="128">
        <f>IF((Rec_Days-15+5)&lt;1,"",INDEX(Cal_Date,MATCH((Rec_Days-15+5),Cal_RecIdx,0)))</f>
        <v/>
      </c>
      <c r="B12" s="53">
        <f>IF(A12="","",INDEX(Cal_Day,MATCH(A12,Cal_Date,0)))</f>
        <v/>
      </c>
      <c r="C12" s="53">
        <f>IF($A12="","",IF(Trend_Class="الكل",SUMIFS(CD_Pres,CD_Date,"&gt;="&amp;$A12,CD_Date,"&lt;="&amp;$A12),SUMIFS(CD_Pres,CD_Date,"&gt;="&amp;$A12,CD_Date,"&lt;="&amp;$A12,CD_Class,Trend_Class))+IF(Trend_Class="الكل",SUMIFS(CD_Abs,CD_Date,"&gt;="&amp;$A12,CD_Date,"&lt;="&amp;$A12),SUMIFS(CD_Abs,CD_Date,"&gt;="&amp;$A12,CD_Date,"&lt;="&amp;$A12,CD_Class,Trend_Class))+IF(Trend_Class="الكل",SUMIFS(CD_Exc,CD_Date,"&gt;="&amp;$A12,CD_Date,"&lt;="&amp;$A12),SUMIFS(CD_Exc,CD_Date,"&gt;="&amp;$A12,CD_Date,"&lt;="&amp;$A12,CD_Class,Trend_Class))+IF(Trend_Class="الكل",SUMIFS(CD_Late,CD_Date,"&gt;="&amp;$A12,CD_Date,"&lt;="&amp;$A12),SUMIFS(CD_Late,CD_Date,"&gt;="&amp;$A12,CD_Date,"&lt;="&amp;$A12,CD_Class,Trend_Class)))</f>
        <v/>
      </c>
      <c r="D12" s="53">
        <f>IF($A12="","",IF(Trend_Class="الكل",SUMIFS(CD_Pres,CD_Date,"&gt;="&amp;$A12,CD_Date,"&lt;="&amp;$A12),SUMIFS(CD_Pres,CD_Date,"&gt;="&amp;$A12,CD_Date,"&lt;="&amp;$A12,CD_Class,Trend_Class))+IF(Trend_Class="الكل",SUMIFS(CD_Late,CD_Date,"&gt;="&amp;$A12,CD_Date,"&lt;="&amp;$A12),SUMIFS(CD_Late,CD_Date,"&gt;="&amp;$A12,CD_Date,"&lt;="&amp;$A12,CD_Class,Trend_Class)))</f>
        <v/>
      </c>
      <c r="E12" s="53">
        <f>IF($A12="","",IF(Trend_Class="الكل",SUMIFS(CD_Abs,CD_Date,"&gt;="&amp;$A12,CD_Date,"&lt;="&amp;$A12),SUMIFS(CD_Abs,CD_Date,"&gt;="&amp;$A12,CD_Date,"&lt;="&amp;$A12,CD_Class,Trend_Class)))</f>
        <v/>
      </c>
      <c r="F12" s="53">
        <f>IF($A12="","",IF(Trend_Class="الكل",SUMIFS(CD_Exc,CD_Date,"&gt;="&amp;$A12,CD_Date,"&lt;="&amp;$A12),SUMIFS(CD_Exc,CD_Date,"&gt;="&amp;$A12,CD_Date,"&lt;="&amp;$A12,CD_Class,Trend_Class)))</f>
        <v/>
      </c>
      <c r="G12" s="53">
        <f>IF($A12="","",IF(Trend_Class="الكل",SUMIFS(CD_Late,CD_Date,"&gt;="&amp;$A12,CD_Date,"&lt;="&amp;$A12),SUMIFS(CD_Late,CD_Date,"&gt;="&amp;$A12,CD_Date,"&lt;="&amp;$A12,CD_Class,Trend_Class)))</f>
        <v/>
      </c>
      <c r="H12" s="54">
        <f>IF(OR($A12="",C12=0),"",(D12-IF(LateAsPresent="نعم",0,G12))/C12)</f>
        <v/>
      </c>
      <c r="S12" s="125" t="n">
        <v>6</v>
      </c>
      <c r="T12" s="125">
        <f>COUNTIFS(Cal_Week,6,Cal_Reg,"&gt;0")</f>
        <v/>
      </c>
      <c r="U12" s="125">
        <f>IF(T12&gt;0,COUNTIF($T$7:T12,"&gt;0"),"")</f>
        <v/>
      </c>
    </row>
    <row r="13">
      <c r="A13" s="128">
        <f>IF((Rec_Days-15+6)&lt;1,"",INDEX(Cal_Date,MATCH((Rec_Days-15+6),Cal_RecIdx,0)))</f>
        <v/>
      </c>
      <c r="B13" s="53">
        <f>IF(A13="","",INDEX(Cal_Day,MATCH(A13,Cal_Date,0)))</f>
        <v/>
      </c>
      <c r="C13" s="53">
        <f>IF($A13="","",IF(Trend_Class="الكل",SUMIFS(CD_Pres,CD_Date,"&gt;="&amp;$A13,CD_Date,"&lt;="&amp;$A13),SUMIFS(CD_Pres,CD_Date,"&gt;="&amp;$A13,CD_Date,"&lt;="&amp;$A13,CD_Class,Trend_Class))+IF(Trend_Class="الكل",SUMIFS(CD_Abs,CD_Date,"&gt;="&amp;$A13,CD_Date,"&lt;="&amp;$A13),SUMIFS(CD_Abs,CD_Date,"&gt;="&amp;$A13,CD_Date,"&lt;="&amp;$A13,CD_Class,Trend_Class))+IF(Trend_Class="الكل",SUMIFS(CD_Exc,CD_Date,"&gt;="&amp;$A13,CD_Date,"&lt;="&amp;$A13),SUMIFS(CD_Exc,CD_Date,"&gt;="&amp;$A13,CD_Date,"&lt;="&amp;$A13,CD_Class,Trend_Class))+IF(Trend_Class="الكل",SUMIFS(CD_Late,CD_Date,"&gt;="&amp;$A13,CD_Date,"&lt;="&amp;$A13),SUMIFS(CD_Late,CD_Date,"&gt;="&amp;$A13,CD_Date,"&lt;="&amp;$A13,CD_Class,Trend_Class)))</f>
        <v/>
      </c>
      <c r="D13" s="53">
        <f>IF($A13="","",IF(Trend_Class="الكل",SUMIFS(CD_Pres,CD_Date,"&gt;="&amp;$A13,CD_Date,"&lt;="&amp;$A13),SUMIFS(CD_Pres,CD_Date,"&gt;="&amp;$A13,CD_Date,"&lt;="&amp;$A13,CD_Class,Trend_Class))+IF(Trend_Class="الكل",SUMIFS(CD_Late,CD_Date,"&gt;="&amp;$A13,CD_Date,"&lt;="&amp;$A13),SUMIFS(CD_Late,CD_Date,"&gt;="&amp;$A13,CD_Date,"&lt;="&amp;$A13,CD_Class,Trend_Class)))</f>
        <v/>
      </c>
      <c r="E13" s="53">
        <f>IF($A13="","",IF(Trend_Class="الكل",SUMIFS(CD_Abs,CD_Date,"&gt;="&amp;$A13,CD_Date,"&lt;="&amp;$A13),SUMIFS(CD_Abs,CD_Date,"&gt;="&amp;$A13,CD_Date,"&lt;="&amp;$A13,CD_Class,Trend_Class)))</f>
        <v/>
      </c>
      <c r="F13" s="53">
        <f>IF($A13="","",IF(Trend_Class="الكل",SUMIFS(CD_Exc,CD_Date,"&gt;="&amp;$A13,CD_Date,"&lt;="&amp;$A13),SUMIFS(CD_Exc,CD_Date,"&gt;="&amp;$A13,CD_Date,"&lt;="&amp;$A13,CD_Class,Trend_Class)))</f>
        <v/>
      </c>
      <c r="G13" s="53">
        <f>IF($A13="","",IF(Trend_Class="الكل",SUMIFS(CD_Late,CD_Date,"&gt;="&amp;$A13,CD_Date,"&lt;="&amp;$A13),SUMIFS(CD_Late,CD_Date,"&gt;="&amp;$A13,CD_Date,"&lt;="&amp;$A13,CD_Class,Trend_Class)))</f>
        <v/>
      </c>
      <c r="H13" s="54">
        <f>IF(OR($A13="",C13=0),"",(D13-IF(LateAsPresent="نعم",0,G13))/C13)</f>
        <v/>
      </c>
      <c r="S13" s="125" t="n">
        <v>7</v>
      </c>
      <c r="T13" s="125">
        <f>COUNTIFS(Cal_Week,7,Cal_Reg,"&gt;0")</f>
        <v/>
      </c>
      <c r="U13" s="125">
        <f>IF(T13&gt;0,COUNTIF($T$7:T13,"&gt;0"),"")</f>
        <v/>
      </c>
    </row>
    <row r="14">
      <c r="A14" s="128">
        <f>IF((Rec_Days-15+7)&lt;1,"",INDEX(Cal_Date,MATCH((Rec_Days-15+7),Cal_RecIdx,0)))</f>
        <v/>
      </c>
      <c r="B14" s="53">
        <f>IF(A14="","",INDEX(Cal_Day,MATCH(A14,Cal_Date,0)))</f>
        <v/>
      </c>
      <c r="C14" s="53">
        <f>IF($A14="","",IF(Trend_Class="الكل",SUMIFS(CD_Pres,CD_Date,"&gt;="&amp;$A14,CD_Date,"&lt;="&amp;$A14),SUMIFS(CD_Pres,CD_Date,"&gt;="&amp;$A14,CD_Date,"&lt;="&amp;$A14,CD_Class,Trend_Class))+IF(Trend_Class="الكل",SUMIFS(CD_Abs,CD_Date,"&gt;="&amp;$A14,CD_Date,"&lt;="&amp;$A14),SUMIFS(CD_Abs,CD_Date,"&gt;="&amp;$A14,CD_Date,"&lt;="&amp;$A14,CD_Class,Trend_Class))+IF(Trend_Class="الكل",SUMIFS(CD_Exc,CD_Date,"&gt;="&amp;$A14,CD_Date,"&lt;="&amp;$A14),SUMIFS(CD_Exc,CD_Date,"&gt;="&amp;$A14,CD_Date,"&lt;="&amp;$A14,CD_Class,Trend_Class))+IF(Trend_Class="الكل",SUMIFS(CD_Late,CD_Date,"&gt;="&amp;$A14,CD_Date,"&lt;="&amp;$A14),SUMIFS(CD_Late,CD_Date,"&gt;="&amp;$A14,CD_Date,"&lt;="&amp;$A14,CD_Class,Trend_Class)))</f>
        <v/>
      </c>
      <c r="D14" s="53">
        <f>IF($A14="","",IF(Trend_Class="الكل",SUMIFS(CD_Pres,CD_Date,"&gt;="&amp;$A14,CD_Date,"&lt;="&amp;$A14),SUMIFS(CD_Pres,CD_Date,"&gt;="&amp;$A14,CD_Date,"&lt;="&amp;$A14,CD_Class,Trend_Class))+IF(Trend_Class="الكل",SUMIFS(CD_Late,CD_Date,"&gt;="&amp;$A14,CD_Date,"&lt;="&amp;$A14),SUMIFS(CD_Late,CD_Date,"&gt;="&amp;$A14,CD_Date,"&lt;="&amp;$A14,CD_Class,Trend_Class)))</f>
        <v/>
      </c>
      <c r="E14" s="53">
        <f>IF($A14="","",IF(Trend_Class="الكل",SUMIFS(CD_Abs,CD_Date,"&gt;="&amp;$A14,CD_Date,"&lt;="&amp;$A14),SUMIFS(CD_Abs,CD_Date,"&gt;="&amp;$A14,CD_Date,"&lt;="&amp;$A14,CD_Class,Trend_Class)))</f>
        <v/>
      </c>
      <c r="F14" s="53">
        <f>IF($A14="","",IF(Trend_Class="الكل",SUMIFS(CD_Exc,CD_Date,"&gt;="&amp;$A14,CD_Date,"&lt;="&amp;$A14),SUMIFS(CD_Exc,CD_Date,"&gt;="&amp;$A14,CD_Date,"&lt;="&amp;$A14,CD_Class,Trend_Class)))</f>
        <v/>
      </c>
      <c r="G14" s="53">
        <f>IF($A14="","",IF(Trend_Class="الكل",SUMIFS(CD_Late,CD_Date,"&gt;="&amp;$A14,CD_Date,"&lt;="&amp;$A14),SUMIFS(CD_Late,CD_Date,"&gt;="&amp;$A14,CD_Date,"&lt;="&amp;$A14,CD_Class,Trend_Class)))</f>
        <v/>
      </c>
      <c r="H14" s="54">
        <f>IF(OR($A14="",C14=0),"",(D14-IF(LateAsPresent="نعم",0,G14))/C14)</f>
        <v/>
      </c>
      <c r="S14" s="125" t="n">
        <v>8</v>
      </c>
      <c r="T14" s="125">
        <f>COUNTIFS(Cal_Week,8,Cal_Reg,"&gt;0")</f>
        <v/>
      </c>
      <c r="U14" s="125">
        <f>IF(T14&gt;0,COUNTIF($T$7:T14,"&gt;0"),"")</f>
        <v/>
      </c>
    </row>
    <row r="15">
      <c r="A15" s="128">
        <f>IF((Rec_Days-15+8)&lt;1,"",INDEX(Cal_Date,MATCH((Rec_Days-15+8),Cal_RecIdx,0)))</f>
        <v/>
      </c>
      <c r="B15" s="53">
        <f>IF(A15="","",INDEX(Cal_Day,MATCH(A15,Cal_Date,0)))</f>
        <v/>
      </c>
      <c r="C15" s="53">
        <f>IF($A15="","",IF(Trend_Class="الكل",SUMIFS(CD_Pres,CD_Date,"&gt;="&amp;$A15,CD_Date,"&lt;="&amp;$A15),SUMIFS(CD_Pres,CD_Date,"&gt;="&amp;$A15,CD_Date,"&lt;="&amp;$A15,CD_Class,Trend_Class))+IF(Trend_Class="الكل",SUMIFS(CD_Abs,CD_Date,"&gt;="&amp;$A15,CD_Date,"&lt;="&amp;$A15),SUMIFS(CD_Abs,CD_Date,"&gt;="&amp;$A15,CD_Date,"&lt;="&amp;$A15,CD_Class,Trend_Class))+IF(Trend_Class="الكل",SUMIFS(CD_Exc,CD_Date,"&gt;="&amp;$A15,CD_Date,"&lt;="&amp;$A15),SUMIFS(CD_Exc,CD_Date,"&gt;="&amp;$A15,CD_Date,"&lt;="&amp;$A15,CD_Class,Trend_Class))+IF(Trend_Class="الكل",SUMIFS(CD_Late,CD_Date,"&gt;="&amp;$A15,CD_Date,"&lt;="&amp;$A15),SUMIFS(CD_Late,CD_Date,"&gt;="&amp;$A15,CD_Date,"&lt;="&amp;$A15,CD_Class,Trend_Class)))</f>
        <v/>
      </c>
      <c r="D15" s="53">
        <f>IF($A15="","",IF(Trend_Class="الكل",SUMIFS(CD_Pres,CD_Date,"&gt;="&amp;$A15,CD_Date,"&lt;="&amp;$A15),SUMIFS(CD_Pres,CD_Date,"&gt;="&amp;$A15,CD_Date,"&lt;="&amp;$A15,CD_Class,Trend_Class))+IF(Trend_Class="الكل",SUMIFS(CD_Late,CD_Date,"&gt;="&amp;$A15,CD_Date,"&lt;="&amp;$A15),SUMIFS(CD_Late,CD_Date,"&gt;="&amp;$A15,CD_Date,"&lt;="&amp;$A15,CD_Class,Trend_Class)))</f>
        <v/>
      </c>
      <c r="E15" s="53">
        <f>IF($A15="","",IF(Trend_Class="الكل",SUMIFS(CD_Abs,CD_Date,"&gt;="&amp;$A15,CD_Date,"&lt;="&amp;$A15),SUMIFS(CD_Abs,CD_Date,"&gt;="&amp;$A15,CD_Date,"&lt;="&amp;$A15,CD_Class,Trend_Class)))</f>
        <v/>
      </c>
      <c r="F15" s="53">
        <f>IF($A15="","",IF(Trend_Class="الكل",SUMIFS(CD_Exc,CD_Date,"&gt;="&amp;$A15,CD_Date,"&lt;="&amp;$A15),SUMIFS(CD_Exc,CD_Date,"&gt;="&amp;$A15,CD_Date,"&lt;="&amp;$A15,CD_Class,Trend_Class)))</f>
        <v/>
      </c>
      <c r="G15" s="53">
        <f>IF($A15="","",IF(Trend_Class="الكل",SUMIFS(CD_Late,CD_Date,"&gt;="&amp;$A15,CD_Date,"&lt;="&amp;$A15),SUMIFS(CD_Late,CD_Date,"&gt;="&amp;$A15,CD_Date,"&lt;="&amp;$A15,CD_Class,Trend_Class)))</f>
        <v/>
      </c>
      <c r="H15" s="54">
        <f>IF(OR($A15="",C15=0),"",(D15-IF(LateAsPresent="نعم",0,G15))/C15)</f>
        <v/>
      </c>
      <c r="S15" s="125" t="n">
        <v>9</v>
      </c>
      <c r="T15" s="125">
        <f>COUNTIFS(Cal_Week,9,Cal_Reg,"&gt;0")</f>
        <v/>
      </c>
      <c r="U15" s="125">
        <f>IF(T15&gt;0,COUNTIF($T$7:T15,"&gt;0"),"")</f>
        <v/>
      </c>
    </row>
    <row r="16">
      <c r="A16" s="128">
        <f>IF((Rec_Days-15+9)&lt;1,"",INDEX(Cal_Date,MATCH((Rec_Days-15+9),Cal_RecIdx,0)))</f>
        <v/>
      </c>
      <c r="B16" s="53">
        <f>IF(A16="","",INDEX(Cal_Day,MATCH(A16,Cal_Date,0)))</f>
        <v/>
      </c>
      <c r="C16" s="53">
        <f>IF($A16="","",IF(Trend_Class="الكل",SUMIFS(CD_Pres,CD_Date,"&gt;="&amp;$A16,CD_Date,"&lt;="&amp;$A16),SUMIFS(CD_Pres,CD_Date,"&gt;="&amp;$A16,CD_Date,"&lt;="&amp;$A16,CD_Class,Trend_Class))+IF(Trend_Class="الكل",SUMIFS(CD_Abs,CD_Date,"&gt;="&amp;$A16,CD_Date,"&lt;="&amp;$A16),SUMIFS(CD_Abs,CD_Date,"&gt;="&amp;$A16,CD_Date,"&lt;="&amp;$A16,CD_Class,Trend_Class))+IF(Trend_Class="الكل",SUMIFS(CD_Exc,CD_Date,"&gt;="&amp;$A16,CD_Date,"&lt;="&amp;$A16),SUMIFS(CD_Exc,CD_Date,"&gt;="&amp;$A16,CD_Date,"&lt;="&amp;$A16,CD_Class,Trend_Class))+IF(Trend_Class="الكل",SUMIFS(CD_Late,CD_Date,"&gt;="&amp;$A16,CD_Date,"&lt;="&amp;$A16),SUMIFS(CD_Late,CD_Date,"&gt;="&amp;$A16,CD_Date,"&lt;="&amp;$A16,CD_Class,Trend_Class)))</f>
        <v/>
      </c>
      <c r="D16" s="53">
        <f>IF($A16="","",IF(Trend_Class="الكل",SUMIFS(CD_Pres,CD_Date,"&gt;="&amp;$A16,CD_Date,"&lt;="&amp;$A16),SUMIFS(CD_Pres,CD_Date,"&gt;="&amp;$A16,CD_Date,"&lt;="&amp;$A16,CD_Class,Trend_Class))+IF(Trend_Class="الكل",SUMIFS(CD_Late,CD_Date,"&gt;="&amp;$A16,CD_Date,"&lt;="&amp;$A16),SUMIFS(CD_Late,CD_Date,"&gt;="&amp;$A16,CD_Date,"&lt;="&amp;$A16,CD_Class,Trend_Class)))</f>
        <v/>
      </c>
      <c r="E16" s="53">
        <f>IF($A16="","",IF(Trend_Class="الكل",SUMIFS(CD_Abs,CD_Date,"&gt;="&amp;$A16,CD_Date,"&lt;="&amp;$A16),SUMIFS(CD_Abs,CD_Date,"&gt;="&amp;$A16,CD_Date,"&lt;="&amp;$A16,CD_Class,Trend_Class)))</f>
        <v/>
      </c>
      <c r="F16" s="53">
        <f>IF($A16="","",IF(Trend_Class="الكل",SUMIFS(CD_Exc,CD_Date,"&gt;="&amp;$A16,CD_Date,"&lt;="&amp;$A16),SUMIFS(CD_Exc,CD_Date,"&gt;="&amp;$A16,CD_Date,"&lt;="&amp;$A16,CD_Class,Trend_Class)))</f>
        <v/>
      </c>
      <c r="G16" s="53">
        <f>IF($A16="","",IF(Trend_Class="الكل",SUMIFS(CD_Late,CD_Date,"&gt;="&amp;$A16,CD_Date,"&lt;="&amp;$A16),SUMIFS(CD_Late,CD_Date,"&gt;="&amp;$A16,CD_Date,"&lt;="&amp;$A16,CD_Class,Trend_Class)))</f>
        <v/>
      </c>
      <c r="H16" s="54">
        <f>IF(OR($A16="",C16=0),"",(D16-IF(LateAsPresent="نعم",0,G16))/C16)</f>
        <v/>
      </c>
      <c r="S16" s="125" t="n">
        <v>10</v>
      </c>
      <c r="T16" s="125">
        <f>COUNTIFS(Cal_Week,10,Cal_Reg,"&gt;0")</f>
        <v/>
      </c>
      <c r="U16" s="125">
        <f>IF(T16&gt;0,COUNTIF($T$7:T16,"&gt;0"),"")</f>
        <v/>
      </c>
    </row>
    <row r="17">
      <c r="A17" s="128">
        <f>IF((Rec_Days-15+10)&lt;1,"",INDEX(Cal_Date,MATCH((Rec_Days-15+10),Cal_RecIdx,0)))</f>
        <v/>
      </c>
      <c r="B17" s="53">
        <f>IF(A17="","",INDEX(Cal_Day,MATCH(A17,Cal_Date,0)))</f>
        <v/>
      </c>
      <c r="C17" s="53">
        <f>IF($A17="","",IF(Trend_Class="الكل",SUMIFS(CD_Pres,CD_Date,"&gt;="&amp;$A17,CD_Date,"&lt;="&amp;$A17),SUMIFS(CD_Pres,CD_Date,"&gt;="&amp;$A17,CD_Date,"&lt;="&amp;$A17,CD_Class,Trend_Class))+IF(Trend_Class="الكل",SUMIFS(CD_Abs,CD_Date,"&gt;="&amp;$A17,CD_Date,"&lt;="&amp;$A17),SUMIFS(CD_Abs,CD_Date,"&gt;="&amp;$A17,CD_Date,"&lt;="&amp;$A17,CD_Class,Trend_Class))+IF(Trend_Class="الكل",SUMIFS(CD_Exc,CD_Date,"&gt;="&amp;$A17,CD_Date,"&lt;="&amp;$A17),SUMIFS(CD_Exc,CD_Date,"&gt;="&amp;$A17,CD_Date,"&lt;="&amp;$A17,CD_Class,Trend_Class))+IF(Trend_Class="الكل",SUMIFS(CD_Late,CD_Date,"&gt;="&amp;$A17,CD_Date,"&lt;="&amp;$A17),SUMIFS(CD_Late,CD_Date,"&gt;="&amp;$A17,CD_Date,"&lt;="&amp;$A17,CD_Class,Trend_Class)))</f>
        <v/>
      </c>
      <c r="D17" s="53">
        <f>IF($A17="","",IF(Trend_Class="الكل",SUMIFS(CD_Pres,CD_Date,"&gt;="&amp;$A17,CD_Date,"&lt;="&amp;$A17),SUMIFS(CD_Pres,CD_Date,"&gt;="&amp;$A17,CD_Date,"&lt;="&amp;$A17,CD_Class,Trend_Class))+IF(Trend_Class="الكل",SUMIFS(CD_Late,CD_Date,"&gt;="&amp;$A17,CD_Date,"&lt;="&amp;$A17),SUMIFS(CD_Late,CD_Date,"&gt;="&amp;$A17,CD_Date,"&lt;="&amp;$A17,CD_Class,Trend_Class)))</f>
        <v/>
      </c>
      <c r="E17" s="53">
        <f>IF($A17="","",IF(Trend_Class="الكل",SUMIFS(CD_Abs,CD_Date,"&gt;="&amp;$A17,CD_Date,"&lt;="&amp;$A17),SUMIFS(CD_Abs,CD_Date,"&gt;="&amp;$A17,CD_Date,"&lt;="&amp;$A17,CD_Class,Trend_Class)))</f>
        <v/>
      </c>
      <c r="F17" s="53">
        <f>IF($A17="","",IF(Trend_Class="الكل",SUMIFS(CD_Exc,CD_Date,"&gt;="&amp;$A17,CD_Date,"&lt;="&amp;$A17),SUMIFS(CD_Exc,CD_Date,"&gt;="&amp;$A17,CD_Date,"&lt;="&amp;$A17,CD_Class,Trend_Class)))</f>
        <v/>
      </c>
      <c r="G17" s="53">
        <f>IF($A17="","",IF(Trend_Class="الكل",SUMIFS(CD_Late,CD_Date,"&gt;="&amp;$A17,CD_Date,"&lt;="&amp;$A17),SUMIFS(CD_Late,CD_Date,"&gt;="&amp;$A17,CD_Date,"&lt;="&amp;$A17,CD_Class,Trend_Class)))</f>
        <v/>
      </c>
      <c r="H17" s="54">
        <f>IF(OR($A17="",C17=0),"",(D17-IF(LateAsPresent="نعم",0,G17))/C17)</f>
        <v/>
      </c>
      <c r="S17" s="125" t="n">
        <v>11</v>
      </c>
      <c r="T17" s="125">
        <f>COUNTIFS(Cal_Week,11,Cal_Reg,"&gt;0")</f>
        <v/>
      </c>
      <c r="U17" s="125">
        <f>IF(T17&gt;0,COUNTIF($T$7:T17,"&gt;0"),"")</f>
        <v/>
      </c>
    </row>
    <row r="18">
      <c r="A18" s="128">
        <f>IF((Rec_Days-15+11)&lt;1,"",INDEX(Cal_Date,MATCH((Rec_Days-15+11),Cal_RecIdx,0)))</f>
        <v/>
      </c>
      <c r="B18" s="53">
        <f>IF(A18="","",INDEX(Cal_Day,MATCH(A18,Cal_Date,0)))</f>
        <v/>
      </c>
      <c r="C18" s="53">
        <f>IF($A18="","",IF(Trend_Class="الكل",SUMIFS(CD_Pres,CD_Date,"&gt;="&amp;$A18,CD_Date,"&lt;="&amp;$A18),SUMIFS(CD_Pres,CD_Date,"&gt;="&amp;$A18,CD_Date,"&lt;="&amp;$A18,CD_Class,Trend_Class))+IF(Trend_Class="الكل",SUMIFS(CD_Abs,CD_Date,"&gt;="&amp;$A18,CD_Date,"&lt;="&amp;$A18),SUMIFS(CD_Abs,CD_Date,"&gt;="&amp;$A18,CD_Date,"&lt;="&amp;$A18,CD_Class,Trend_Class))+IF(Trend_Class="الكل",SUMIFS(CD_Exc,CD_Date,"&gt;="&amp;$A18,CD_Date,"&lt;="&amp;$A18),SUMIFS(CD_Exc,CD_Date,"&gt;="&amp;$A18,CD_Date,"&lt;="&amp;$A18,CD_Class,Trend_Class))+IF(Trend_Class="الكل",SUMIFS(CD_Late,CD_Date,"&gt;="&amp;$A18,CD_Date,"&lt;="&amp;$A18),SUMIFS(CD_Late,CD_Date,"&gt;="&amp;$A18,CD_Date,"&lt;="&amp;$A18,CD_Class,Trend_Class)))</f>
        <v/>
      </c>
      <c r="D18" s="53">
        <f>IF($A18="","",IF(Trend_Class="الكل",SUMIFS(CD_Pres,CD_Date,"&gt;="&amp;$A18,CD_Date,"&lt;="&amp;$A18),SUMIFS(CD_Pres,CD_Date,"&gt;="&amp;$A18,CD_Date,"&lt;="&amp;$A18,CD_Class,Trend_Class))+IF(Trend_Class="الكل",SUMIFS(CD_Late,CD_Date,"&gt;="&amp;$A18,CD_Date,"&lt;="&amp;$A18),SUMIFS(CD_Late,CD_Date,"&gt;="&amp;$A18,CD_Date,"&lt;="&amp;$A18,CD_Class,Trend_Class)))</f>
        <v/>
      </c>
      <c r="E18" s="53">
        <f>IF($A18="","",IF(Trend_Class="الكل",SUMIFS(CD_Abs,CD_Date,"&gt;="&amp;$A18,CD_Date,"&lt;="&amp;$A18),SUMIFS(CD_Abs,CD_Date,"&gt;="&amp;$A18,CD_Date,"&lt;="&amp;$A18,CD_Class,Trend_Class)))</f>
        <v/>
      </c>
      <c r="F18" s="53">
        <f>IF($A18="","",IF(Trend_Class="الكل",SUMIFS(CD_Exc,CD_Date,"&gt;="&amp;$A18,CD_Date,"&lt;="&amp;$A18),SUMIFS(CD_Exc,CD_Date,"&gt;="&amp;$A18,CD_Date,"&lt;="&amp;$A18,CD_Class,Trend_Class)))</f>
        <v/>
      </c>
      <c r="G18" s="53">
        <f>IF($A18="","",IF(Trend_Class="الكل",SUMIFS(CD_Late,CD_Date,"&gt;="&amp;$A18,CD_Date,"&lt;="&amp;$A18),SUMIFS(CD_Late,CD_Date,"&gt;="&amp;$A18,CD_Date,"&lt;="&amp;$A18,CD_Class,Trend_Class)))</f>
        <v/>
      </c>
      <c r="H18" s="54">
        <f>IF(OR($A18="",C18=0),"",(D18-IF(LateAsPresent="نعم",0,G18))/C18)</f>
        <v/>
      </c>
      <c r="S18" s="125" t="n">
        <v>12</v>
      </c>
      <c r="T18" s="125">
        <f>COUNTIFS(Cal_Week,12,Cal_Reg,"&gt;0")</f>
        <v/>
      </c>
      <c r="U18" s="125">
        <f>IF(T18&gt;0,COUNTIF($T$7:T18,"&gt;0"),"")</f>
        <v/>
      </c>
    </row>
    <row r="19">
      <c r="A19" s="128">
        <f>IF((Rec_Days-15+12)&lt;1,"",INDEX(Cal_Date,MATCH((Rec_Days-15+12),Cal_RecIdx,0)))</f>
        <v/>
      </c>
      <c r="B19" s="53">
        <f>IF(A19="","",INDEX(Cal_Day,MATCH(A19,Cal_Date,0)))</f>
        <v/>
      </c>
      <c r="C19" s="53">
        <f>IF($A19="","",IF(Trend_Class="الكل",SUMIFS(CD_Pres,CD_Date,"&gt;="&amp;$A19,CD_Date,"&lt;="&amp;$A19),SUMIFS(CD_Pres,CD_Date,"&gt;="&amp;$A19,CD_Date,"&lt;="&amp;$A19,CD_Class,Trend_Class))+IF(Trend_Class="الكل",SUMIFS(CD_Abs,CD_Date,"&gt;="&amp;$A19,CD_Date,"&lt;="&amp;$A19),SUMIFS(CD_Abs,CD_Date,"&gt;="&amp;$A19,CD_Date,"&lt;="&amp;$A19,CD_Class,Trend_Class))+IF(Trend_Class="الكل",SUMIFS(CD_Exc,CD_Date,"&gt;="&amp;$A19,CD_Date,"&lt;="&amp;$A19),SUMIFS(CD_Exc,CD_Date,"&gt;="&amp;$A19,CD_Date,"&lt;="&amp;$A19,CD_Class,Trend_Class))+IF(Trend_Class="الكل",SUMIFS(CD_Late,CD_Date,"&gt;="&amp;$A19,CD_Date,"&lt;="&amp;$A19),SUMIFS(CD_Late,CD_Date,"&gt;="&amp;$A19,CD_Date,"&lt;="&amp;$A19,CD_Class,Trend_Class)))</f>
        <v/>
      </c>
      <c r="D19" s="53">
        <f>IF($A19="","",IF(Trend_Class="الكل",SUMIFS(CD_Pres,CD_Date,"&gt;="&amp;$A19,CD_Date,"&lt;="&amp;$A19),SUMIFS(CD_Pres,CD_Date,"&gt;="&amp;$A19,CD_Date,"&lt;="&amp;$A19,CD_Class,Trend_Class))+IF(Trend_Class="الكل",SUMIFS(CD_Late,CD_Date,"&gt;="&amp;$A19,CD_Date,"&lt;="&amp;$A19),SUMIFS(CD_Late,CD_Date,"&gt;="&amp;$A19,CD_Date,"&lt;="&amp;$A19,CD_Class,Trend_Class)))</f>
        <v/>
      </c>
      <c r="E19" s="53">
        <f>IF($A19="","",IF(Trend_Class="الكل",SUMIFS(CD_Abs,CD_Date,"&gt;="&amp;$A19,CD_Date,"&lt;="&amp;$A19),SUMIFS(CD_Abs,CD_Date,"&gt;="&amp;$A19,CD_Date,"&lt;="&amp;$A19,CD_Class,Trend_Class)))</f>
        <v/>
      </c>
      <c r="F19" s="53">
        <f>IF($A19="","",IF(Trend_Class="الكل",SUMIFS(CD_Exc,CD_Date,"&gt;="&amp;$A19,CD_Date,"&lt;="&amp;$A19),SUMIFS(CD_Exc,CD_Date,"&gt;="&amp;$A19,CD_Date,"&lt;="&amp;$A19,CD_Class,Trend_Class)))</f>
        <v/>
      </c>
      <c r="G19" s="53">
        <f>IF($A19="","",IF(Trend_Class="الكل",SUMIFS(CD_Late,CD_Date,"&gt;="&amp;$A19,CD_Date,"&lt;="&amp;$A19),SUMIFS(CD_Late,CD_Date,"&gt;="&amp;$A19,CD_Date,"&lt;="&amp;$A19,CD_Class,Trend_Class)))</f>
        <v/>
      </c>
      <c r="H19" s="54">
        <f>IF(OR($A19="",C19=0),"",(D19-IF(LateAsPresent="نعم",0,G19))/C19)</f>
        <v/>
      </c>
      <c r="S19" s="125" t="n">
        <v>13</v>
      </c>
      <c r="T19" s="125">
        <f>COUNTIFS(Cal_Week,13,Cal_Reg,"&gt;0")</f>
        <v/>
      </c>
      <c r="U19" s="125">
        <f>IF(T19&gt;0,COUNTIF($T$7:T19,"&gt;0"),"")</f>
        <v/>
      </c>
    </row>
    <row r="20">
      <c r="A20" s="128">
        <f>IF((Rec_Days-15+13)&lt;1,"",INDEX(Cal_Date,MATCH((Rec_Days-15+13),Cal_RecIdx,0)))</f>
        <v/>
      </c>
      <c r="B20" s="53">
        <f>IF(A20="","",INDEX(Cal_Day,MATCH(A20,Cal_Date,0)))</f>
        <v/>
      </c>
      <c r="C20" s="53">
        <f>IF($A20="","",IF(Trend_Class="الكل",SUMIFS(CD_Pres,CD_Date,"&gt;="&amp;$A20,CD_Date,"&lt;="&amp;$A20),SUMIFS(CD_Pres,CD_Date,"&gt;="&amp;$A20,CD_Date,"&lt;="&amp;$A20,CD_Class,Trend_Class))+IF(Trend_Class="الكل",SUMIFS(CD_Abs,CD_Date,"&gt;="&amp;$A20,CD_Date,"&lt;="&amp;$A20),SUMIFS(CD_Abs,CD_Date,"&gt;="&amp;$A20,CD_Date,"&lt;="&amp;$A20,CD_Class,Trend_Class))+IF(Trend_Class="الكل",SUMIFS(CD_Exc,CD_Date,"&gt;="&amp;$A20,CD_Date,"&lt;="&amp;$A20),SUMIFS(CD_Exc,CD_Date,"&gt;="&amp;$A20,CD_Date,"&lt;="&amp;$A20,CD_Class,Trend_Class))+IF(Trend_Class="الكل",SUMIFS(CD_Late,CD_Date,"&gt;="&amp;$A20,CD_Date,"&lt;="&amp;$A20),SUMIFS(CD_Late,CD_Date,"&gt;="&amp;$A20,CD_Date,"&lt;="&amp;$A20,CD_Class,Trend_Class)))</f>
        <v/>
      </c>
      <c r="D20" s="53">
        <f>IF($A20="","",IF(Trend_Class="الكل",SUMIFS(CD_Pres,CD_Date,"&gt;="&amp;$A20,CD_Date,"&lt;="&amp;$A20),SUMIFS(CD_Pres,CD_Date,"&gt;="&amp;$A20,CD_Date,"&lt;="&amp;$A20,CD_Class,Trend_Class))+IF(Trend_Class="الكل",SUMIFS(CD_Late,CD_Date,"&gt;="&amp;$A20,CD_Date,"&lt;="&amp;$A20),SUMIFS(CD_Late,CD_Date,"&gt;="&amp;$A20,CD_Date,"&lt;="&amp;$A20,CD_Class,Trend_Class)))</f>
        <v/>
      </c>
      <c r="E20" s="53">
        <f>IF($A20="","",IF(Trend_Class="الكل",SUMIFS(CD_Abs,CD_Date,"&gt;="&amp;$A20,CD_Date,"&lt;="&amp;$A20),SUMIFS(CD_Abs,CD_Date,"&gt;="&amp;$A20,CD_Date,"&lt;="&amp;$A20,CD_Class,Trend_Class)))</f>
        <v/>
      </c>
      <c r="F20" s="53">
        <f>IF($A20="","",IF(Trend_Class="الكل",SUMIFS(CD_Exc,CD_Date,"&gt;="&amp;$A20,CD_Date,"&lt;="&amp;$A20),SUMIFS(CD_Exc,CD_Date,"&gt;="&amp;$A20,CD_Date,"&lt;="&amp;$A20,CD_Class,Trend_Class)))</f>
        <v/>
      </c>
      <c r="G20" s="53">
        <f>IF($A20="","",IF(Trend_Class="الكل",SUMIFS(CD_Late,CD_Date,"&gt;="&amp;$A20,CD_Date,"&lt;="&amp;$A20),SUMIFS(CD_Late,CD_Date,"&gt;="&amp;$A20,CD_Date,"&lt;="&amp;$A20,CD_Class,Trend_Class)))</f>
        <v/>
      </c>
      <c r="H20" s="54">
        <f>IF(OR($A20="",C20=0),"",(D20-IF(LateAsPresent="نعم",0,G20))/C20)</f>
        <v/>
      </c>
      <c r="S20" s="125" t="n">
        <v>14</v>
      </c>
      <c r="T20" s="125">
        <f>COUNTIFS(Cal_Week,14,Cal_Reg,"&gt;0")</f>
        <v/>
      </c>
      <c r="U20" s="125">
        <f>IF(T20&gt;0,COUNTIF($T$7:T20,"&gt;0"),"")</f>
        <v/>
      </c>
    </row>
    <row r="21">
      <c r="A21" s="128">
        <f>IF((Rec_Days-15+14)&lt;1,"",INDEX(Cal_Date,MATCH((Rec_Days-15+14),Cal_RecIdx,0)))</f>
        <v/>
      </c>
      <c r="B21" s="53">
        <f>IF(A21="","",INDEX(Cal_Day,MATCH(A21,Cal_Date,0)))</f>
        <v/>
      </c>
      <c r="C21" s="53">
        <f>IF($A21="","",IF(Trend_Class="الكل",SUMIFS(CD_Pres,CD_Date,"&gt;="&amp;$A21,CD_Date,"&lt;="&amp;$A21),SUMIFS(CD_Pres,CD_Date,"&gt;="&amp;$A21,CD_Date,"&lt;="&amp;$A21,CD_Class,Trend_Class))+IF(Trend_Class="الكل",SUMIFS(CD_Abs,CD_Date,"&gt;="&amp;$A21,CD_Date,"&lt;="&amp;$A21),SUMIFS(CD_Abs,CD_Date,"&gt;="&amp;$A21,CD_Date,"&lt;="&amp;$A21,CD_Class,Trend_Class))+IF(Trend_Class="الكل",SUMIFS(CD_Exc,CD_Date,"&gt;="&amp;$A21,CD_Date,"&lt;="&amp;$A21),SUMIFS(CD_Exc,CD_Date,"&gt;="&amp;$A21,CD_Date,"&lt;="&amp;$A21,CD_Class,Trend_Class))+IF(Trend_Class="الكل",SUMIFS(CD_Late,CD_Date,"&gt;="&amp;$A21,CD_Date,"&lt;="&amp;$A21),SUMIFS(CD_Late,CD_Date,"&gt;="&amp;$A21,CD_Date,"&lt;="&amp;$A21,CD_Class,Trend_Class)))</f>
        <v/>
      </c>
      <c r="D21" s="53">
        <f>IF($A21="","",IF(Trend_Class="الكل",SUMIFS(CD_Pres,CD_Date,"&gt;="&amp;$A21,CD_Date,"&lt;="&amp;$A21),SUMIFS(CD_Pres,CD_Date,"&gt;="&amp;$A21,CD_Date,"&lt;="&amp;$A21,CD_Class,Trend_Class))+IF(Trend_Class="الكل",SUMIFS(CD_Late,CD_Date,"&gt;="&amp;$A21,CD_Date,"&lt;="&amp;$A21),SUMIFS(CD_Late,CD_Date,"&gt;="&amp;$A21,CD_Date,"&lt;="&amp;$A21,CD_Class,Trend_Class)))</f>
        <v/>
      </c>
      <c r="E21" s="53">
        <f>IF($A21="","",IF(Trend_Class="الكل",SUMIFS(CD_Abs,CD_Date,"&gt;="&amp;$A21,CD_Date,"&lt;="&amp;$A21),SUMIFS(CD_Abs,CD_Date,"&gt;="&amp;$A21,CD_Date,"&lt;="&amp;$A21,CD_Class,Trend_Class)))</f>
        <v/>
      </c>
      <c r="F21" s="53">
        <f>IF($A21="","",IF(Trend_Class="الكل",SUMIFS(CD_Exc,CD_Date,"&gt;="&amp;$A21,CD_Date,"&lt;="&amp;$A21),SUMIFS(CD_Exc,CD_Date,"&gt;="&amp;$A21,CD_Date,"&lt;="&amp;$A21,CD_Class,Trend_Class)))</f>
        <v/>
      </c>
      <c r="G21" s="53">
        <f>IF($A21="","",IF(Trend_Class="الكل",SUMIFS(CD_Late,CD_Date,"&gt;="&amp;$A21,CD_Date,"&lt;="&amp;$A21),SUMIFS(CD_Late,CD_Date,"&gt;="&amp;$A21,CD_Date,"&lt;="&amp;$A21,CD_Class,Trend_Class)))</f>
        <v/>
      </c>
      <c r="H21" s="54">
        <f>IF(OR($A21="",C21=0),"",(D21-IF(LateAsPresent="نعم",0,G21))/C21)</f>
        <v/>
      </c>
      <c r="S21" s="125" t="n">
        <v>15</v>
      </c>
      <c r="T21" s="125">
        <f>COUNTIFS(Cal_Week,15,Cal_Reg,"&gt;0")</f>
        <v/>
      </c>
      <c r="U21" s="125">
        <f>IF(T21&gt;0,COUNTIF($T$7:T21,"&gt;0"),"")</f>
        <v/>
      </c>
    </row>
    <row r="22">
      <c r="A22" s="128">
        <f>IF((Rec_Days-15+15)&lt;1,"",INDEX(Cal_Date,MATCH((Rec_Days-15+15),Cal_RecIdx,0)))</f>
        <v/>
      </c>
      <c r="B22" s="53">
        <f>IF(A22="","",INDEX(Cal_Day,MATCH(A22,Cal_Date,0)))</f>
        <v/>
      </c>
      <c r="C22" s="53">
        <f>IF($A22="","",IF(Trend_Class="الكل",SUMIFS(CD_Pres,CD_Date,"&gt;="&amp;$A22,CD_Date,"&lt;="&amp;$A22),SUMIFS(CD_Pres,CD_Date,"&gt;="&amp;$A22,CD_Date,"&lt;="&amp;$A22,CD_Class,Trend_Class))+IF(Trend_Class="الكل",SUMIFS(CD_Abs,CD_Date,"&gt;="&amp;$A22,CD_Date,"&lt;="&amp;$A22),SUMIFS(CD_Abs,CD_Date,"&gt;="&amp;$A22,CD_Date,"&lt;="&amp;$A22,CD_Class,Trend_Class))+IF(Trend_Class="الكل",SUMIFS(CD_Exc,CD_Date,"&gt;="&amp;$A22,CD_Date,"&lt;="&amp;$A22),SUMIFS(CD_Exc,CD_Date,"&gt;="&amp;$A22,CD_Date,"&lt;="&amp;$A22,CD_Class,Trend_Class))+IF(Trend_Class="الكل",SUMIFS(CD_Late,CD_Date,"&gt;="&amp;$A22,CD_Date,"&lt;="&amp;$A22),SUMIFS(CD_Late,CD_Date,"&gt;="&amp;$A22,CD_Date,"&lt;="&amp;$A22,CD_Class,Trend_Class)))</f>
        <v/>
      </c>
      <c r="D22" s="53">
        <f>IF($A22="","",IF(Trend_Class="الكل",SUMIFS(CD_Pres,CD_Date,"&gt;="&amp;$A22,CD_Date,"&lt;="&amp;$A22),SUMIFS(CD_Pres,CD_Date,"&gt;="&amp;$A22,CD_Date,"&lt;="&amp;$A22,CD_Class,Trend_Class))+IF(Trend_Class="الكل",SUMIFS(CD_Late,CD_Date,"&gt;="&amp;$A22,CD_Date,"&lt;="&amp;$A22),SUMIFS(CD_Late,CD_Date,"&gt;="&amp;$A22,CD_Date,"&lt;="&amp;$A22,CD_Class,Trend_Class)))</f>
        <v/>
      </c>
      <c r="E22" s="53">
        <f>IF($A22="","",IF(Trend_Class="الكل",SUMIFS(CD_Abs,CD_Date,"&gt;="&amp;$A22,CD_Date,"&lt;="&amp;$A22),SUMIFS(CD_Abs,CD_Date,"&gt;="&amp;$A22,CD_Date,"&lt;="&amp;$A22,CD_Class,Trend_Class)))</f>
        <v/>
      </c>
      <c r="F22" s="53">
        <f>IF($A22="","",IF(Trend_Class="الكل",SUMIFS(CD_Exc,CD_Date,"&gt;="&amp;$A22,CD_Date,"&lt;="&amp;$A22),SUMIFS(CD_Exc,CD_Date,"&gt;="&amp;$A22,CD_Date,"&lt;="&amp;$A22,CD_Class,Trend_Class)))</f>
        <v/>
      </c>
      <c r="G22" s="53">
        <f>IF($A22="","",IF(Trend_Class="الكل",SUMIFS(CD_Late,CD_Date,"&gt;="&amp;$A22,CD_Date,"&lt;="&amp;$A22),SUMIFS(CD_Late,CD_Date,"&gt;="&amp;$A22,CD_Date,"&lt;="&amp;$A22,CD_Class,Trend_Class)))</f>
        <v/>
      </c>
      <c r="H22" s="54">
        <f>IF(OR($A22="",C22=0),"",(D22-IF(LateAsPresent="نعم",0,G22))/C22)</f>
        <v/>
      </c>
      <c r="S22" s="125" t="n">
        <v>16</v>
      </c>
      <c r="T22" s="125">
        <f>COUNTIFS(Cal_Week,16,Cal_Reg,"&gt;0")</f>
        <v/>
      </c>
      <c r="U22" s="125">
        <f>IF(T22&gt;0,COUNTIF($T$7:T22,"&gt;0"),"")</f>
        <v/>
      </c>
    </row>
    <row r="23">
      <c r="S23" s="125" t="n">
        <v>17</v>
      </c>
      <c r="T23" s="125">
        <f>COUNTIFS(Cal_Week,17,Cal_Reg,"&gt;0")</f>
        <v/>
      </c>
      <c r="U23" s="125">
        <f>IF(T23&gt;0,COUNTIF($T$7:T23,"&gt;0"),"")</f>
        <v/>
      </c>
    </row>
    <row r="24">
      <c r="S24" s="125" t="n">
        <v>18</v>
      </c>
      <c r="T24" s="125">
        <f>COUNTIFS(Cal_Week,18,Cal_Reg,"&gt;0")</f>
        <v/>
      </c>
      <c r="U24" s="125">
        <f>IF(T24&gt;0,COUNTIF($T$7:T24,"&gt;0"),"")</f>
        <v/>
      </c>
    </row>
    <row r="25">
      <c r="A25" s="21" t="inlineStr">
        <is>
          <t>الاتجاه الأسبوعي – آخر 10 أسابيع دراسية مسجَّلة   |   Weekly Attendance Trend</t>
        </is>
      </c>
      <c r="B25" s="22" t="n"/>
      <c r="C25" s="22" t="n"/>
      <c r="D25" s="22" t="n"/>
      <c r="E25" s="22" t="n"/>
      <c r="F25" s="22" t="n"/>
      <c r="G25" s="22" t="n"/>
      <c r="H25" s="22" t="n"/>
      <c r="S25" s="125" t="n">
        <v>19</v>
      </c>
      <c r="T25" s="125">
        <f>COUNTIFS(Cal_Week,19,Cal_Reg,"&gt;0")</f>
        <v/>
      </c>
      <c r="U25" s="125">
        <f>IF(T25&gt;0,COUNTIF($T$7:T25,"&gt;0"),"")</f>
        <v/>
      </c>
    </row>
    <row r="26" ht="28" customHeight="1">
      <c r="A26" s="33" t="inlineStr">
        <is>
          <t>الأسبوع</t>
        </is>
      </c>
      <c r="B26" s="33" t="inlineStr">
        <is>
          <t>من – إلى</t>
        </is>
      </c>
      <c r="C26" s="33" t="inlineStr">
        <is>
          <t>المسجَّلون</t>
        </is>
      </c>
      <c r="D26" s="33" t="inlineStr">
        <is>
          <t>الحاضرون</t>
        </is>
      </c>
      <c r="E26" s="33" t="inlineStr">
        <is>
          <t>غياب بدون عذر</t>
        </is>
      </c>
      <c r="F26" s="33" t="inlineStr">
        <is>
          <t>غياب بعذر</t>
        </is>
      </c>
      <c r="G26" s="33" t="inlineStr">
        <is>
          <t>متأخر</t>
        </is>
      </c>
      <c r="H26" s="33" t="inlineStr">
        <is>
          <t>نسبة الحضور</t>
        </is>
      </c>
      <c r="S26" s="125" t="n">
        <v>20</v>
      </c>
      <c r="T26" s="125">
        <f>COUNTIFS(Cal_Week,20,Cal_Reg,"&gt;0")</f>
        <v/>
      </c>
      <c r="U26" s="125">
        <f>IF(T26&gt;0,COUNTIF($T$7:T26,"&gt;0"),"")</f>
        <v/>
      </c>
    </row>
    <row r="27">
      <c r="A27" s="129">
        <f>IF((Rec_Weeks-10+1)&lt;1,"",INDEX($S$7:$S$50,MATCH((Rec_Weeks-10+1),$U$7:$U$50,0)))</f>
        <v/>
      </c>
      <c r="B27" s="53">
        <f>IF(A27="","",TEXT(I27,"dd/mm")&amp;" – "&amp;TEXT(J27,"dd/mm"))</f>
        <v/>
      </c>
      <c r="C27" s="53">
        <f>IF($A27="","",IF(Trend_Class="الكل",SUMIFS(CD_Pres,CD_Date,"&gt;="&amp;$I27,CD_Date,"&lt;="&amp;$J27),SUMIFS(CD_Pres,CD_Date,"&gt;="&amp;$I27,CD_Date,"&lt;="&amp;$J27,CD_Class,Trend_Class))+IF(Trend_Class="الكل",SUMIFS(CD_Abs,CD_Date,"&gt;="&amp;$I27,CD_Date,"&lt;="&amp;$J27),SUMIFS(CD_Abs,CD_Date,"&gt;="&amp;$I27,CD_Date,"&lt;="&amp;$J27,CD_Class,Trend_Class))+IF(Trend_Class="الكل",SUMIFS(CD_Exc,CD_Date,"&gt;="&amp;$I27,CD_Date,"&lt;="&amp;$J27),SUMIFS(CD_Exc,CD_Date,"&gt;="&amp;$I27,CD_Date,"&lt;="&amp;$J27,CD_Class,Trend_Class))+IF(Trend_Class="الكل",SUMIFS(CD_Late,CD_Date,"&gt;="&amp;$I27,CD_Date,"&lt;="&amp;$J27),SUMIFS(CD_Late,CD_Date,"&gt;="&amp;$I27,CD_Date,"&lt;="&amp;$J27,CD_Class,Trend_Class)))</f>
        <v/>
      </c>
      <c r="D27" s="53">
        <f>IF($A27="","",IF(Trend_Class="الكل",SUMIFS(CD_Pres,CD_Date,"&gt;="&amp;$I27,CD_Date,"&lt;="&amp;$J27),SUMIFS(CD_Pres,CD_Date,"&gt;="&amp;$I27,CD_Date,"&lt;="&amp;$J27,CD_Class,Trend_Class))+IF(Trend_Class="الكل",SUMIFS(CD_Late,CD_Date,"&gt;="&amp;$I27,CD_Date,"&lt;="&amp;$J27),SUMIFS(CD_Late,CD_Date,"&gt;="&amp;$I27,CD_Date,"&lt;="&amp;$J27,CD_Class,Trend_Class)))</f>
        <v/>
      </c>
      <c r="E27" s="53">
        <f>IF($A27="","",IF(Trend_Class="الكل",SUMIFS(CD_Abs,CD_Date,"&gt;="&amp;$I27,CD_Date,"&lt;="&amp;$J27),SUMIFS(CD_Abs,CD_Date,"&gt;="&amp;$I27,CD_Date,"&lt;="&amp;$J27,CD_Class,Trend_Class)))</f>
        <v/>
      </c>
      <c r="F27" s="53">
        <f>IF($A27="","",IF(Trend_Class="الكل",SUMIFS(CD_Exc,CD_Date,"&gt;="&amp;$I27,CD_Date,"&lt;="&amp;$J27),SUMIFS(CD_Exc,CD_Date,"&gt;="&amp;$I27,CD_Date,"&lt;="&amp;$J27,CD_Class,Trend_Class)))</f>
        <v/>
      </c>
      <c r="G27" s="53">
        <f>IF($A27="","",IF(Trend_Class="الكل",SUMIFS(CD_Late,CD_Date,"&gt;="&amp;$I27,CD_Date,"&lt;="&amp;$J27),SUMIFS(CD_Late,CD_Date,"&gt;="&amp;$I27,CD_Date,"&lt;="&amp;$J27,CD_Class,Trend_Class)))</f>
        <v/>
      </c>
      <c r="H27" s="54">
        <f>IF(OR($A27="",C27=0),"",(D27-IF(LateAsPresent="نعم",0,G27))/C27)</f>
        <v/>
      </c>
      <c r="I27" s="130">
        <f>IF(A27="","",YearStart+(A27-1)*7)</f>
        <v/>
      </c>
      <c r="J27" s="130">
        <f>IF(A27="","",I27+6)</f>
        <v/>
      </c>
      <c r="S27" s="125" t="n">
        <v>21</v>
      </c>
      <c r="T27" s="125">
        <f>COUNTIFS(Cal_Week,21,Cal_Reg,"&gt;0")</f>
        <v/>
      </c>
      <c r="U27" s="125">
        <f>IF(T27&gt;0,COUNTIF($T$7:T27,"&gt;0"),"")</f>
        <v/>
      </c>
    </row>
    <row r="28">
      <c r="A28" s="129">
        <f>IF((Rec_Weeks-10+2)&lt;1,"",INDEX($S$7:$S$50,MATCH((Rec_Weeks-10+2),$U$7:$U$50,0)))</f>
        <v/>
      </c>
      <c r="B28" s="53">
        <f>IF(A28="","",TEXT(I28,"dd/mm")&amp;" – "&amp;TEXT(J28,"dd/mm"))</f>
        <v/>
      </c>
      <c r="C28" s="53">
        <f>IF($A28="","",IF(Trend_Class="الكل",SUMIFS(CD_Pres,CD_Date,"&gt;="&amp;$I28,CD_Date,"&lt;="&amp;$J28),SUMIFS(CD_Pres,CD_Date,"&gt;="&amp;$I28,CD_Date,"&lt;="&amp;$J28,CD_Class,Trend_Class))+IF(Trend_Class="الكل",SUMIFS(CD_Abs,CD_Date,"&gt;="&amp;$I28,CD_Date,"&lt;="&amp;$J28),SUMIFS(CD_Abs,CD_Date,"&gt;="&amp;$I28,CD_Date,"&lt;="&amp;$J28,CD_Class,Trend_Class))+IF(Trend_Class="الكل",SUMIFS(CD_Exc,CD_Date,"&gt;="&amp;$I28,CD_Date,"&lt;="&amp;$J28),SUMIFS(CD_Exc,CD_Date,"&gt;="&amp;$I28,CD_Date,"&lt;="&amp;$J28,CD_Class,Trend_Class))+IF(Trend_Class="الكل",SUMIFS(CD_Late,CD_Date,"&gt;="&amp;$I28,CD_Date,"&lt;="&amp;$J28),SUMIFS(CD_Late,CD_Date,"&gt;="&amp;$I28,CD_Date,"&lt;="&amp;$J28,CD_Class,Trend_Class)))</f>
        <v/>
      </c>
      <c r="D28" s="53">
        <f>IF($A28="","",IF(Trend_Class="الكل",SUMIFS(CD_Pres,CD_Date,"&gt;="&amp;$I28,CD_Date,"&lt;="&amp;$J28),SUMIFS(CD_Pres,CD_Date,"&gt;="&amp;$I28,CD_Date,"&lt;="&amp;$J28,CD_Class,Trend_Class))+IF(Trend_Class="الكل",SUMIFS(CD_Late,CD_Date,"&gt;="&amp;$I28,CD_Date,"&lt;="&amp;$J28),SUMIFS(CD_Late,CD_Date,"&gt;="&amp;$I28,CD_Date,"&lt;="&amp;$J28,CD_Class,Trend_Class)))</f>
        <v/>
      </c>
      <c r="E28" s="53">
        <f>IF($A28="","",IF(Trend_Class="الكل",SUMIFS(CD_Abs,CD_Date,"&gt;="&amp;$I28,CD_Date,"&lt;="&amp;$J28),SUMIFS(CD_Abs,CD_Date,"&gt;="&amp;$I28,CD_Date,"&lt;="&amp;$J28,CD_Class,Trend_Class)))</f>
        <v/>
      </c>
      <c r="F28" s="53">
        <f>IF($A28="","",IF(Trend_Class="الكل",SUMIFS(CD_Exc,CD_Date,"&gt;="&amp;$I28,CD_Date,"&lt;="&amp;$J28),SUMIFS(CD_Exc,CD_Date,"&gt;="&amp;$I28,CD_Date,"&lt;="&amp;$J28,CD_Class,Trend_Class)))</f>
        <v/>
      </c>
      <c r="G28" s="53">
        <f>IF($A28="","",IF(Trend_Class="الكل",SUMIFS(CD_Late,CD_Date,"&gt;="&amp;$I28,CD_Date,"&lt;="&amp;$J28),SUMIFS(CD_Late,CD_Date,"&gt;="&amp;$I28,CD_Date,"&lt;="&amp;$J28,CD_Class,Trend_Class)))</f>
        <v/>
      </c>
      <c r="H28" s="54">
        <f>IF(OR($A28="",C28=0),"",(D28-IF(LateAsPresent="نعم",0,G28))/C28)</f>
        <v/>
      </c>
      <c r="I28" s="130">
        <f>IF(A28="","",YearStart+(A28-1)*7)</f>
        <v/>
      </c>
      <c r="J28" s="130">
        <f>IF(A28="","",I28+6)</f>
        <v/>
      </c>
      <c r="S28" s="125" t="n">
        <v>22</v>
      </c>
      <c r="T28" s="125">
        <f>COUNTIFS(Cal_Week,22,Cal_Reg,"&gt;0")</f>
        <v/>
      </c>
      <c r="U28" s="125">
        <f>IF(T28&gt;0,COUNTIF($T$7:T28,"&gt;0"),"")</f>
        <v/>
      </c>
    </row>
    <row r="29">
      <c r="A29" s="129">
        <f>IF((Rec_Weeks-10+3)&lt;1,"",INDEX($S$7:$S$50,MATCH((Rec_Weeks-10+3),$U$7:$U$50,0)))</f>
        <v/>
      </c>
      <c r="B29" s="53">
        <f>IF(A29="","",TEXT(I29,"dd/mm")&amp;" – "&amp;TEXT(J29,"dd/mm"))</f>
        <v/>
      </c>
      <c r="C29" s="53">
        <f>IF($A29="","",IF(Trend_Class="الكل",SUMIFS(CD_Pres,CD_Date,"&gt;="&amp;$I29,CD_Date,"&lt;="&amp;$J29),SUMIFS(CD_Pres,CD_Date,"&gt;="&amp;$I29,CD_Date,"&lt;="&amp;$J29,CD_Class,Trend_Class))+IF(Trend_Class="الكل",SUMIFS(CD_Abs,CD_Date,"&gt;="&amp;$I29,CD_Date,"&lt;="&amp;$J29),SUMIFS(CD_Abs,CD_Date,"&gt;="&amp;$I29,CD_Date,"&lt;="&amp;$J29,CD_Class,Trend_Class))+IF(Trend_Class="الكل",SUMIFS(CD_Exc,CD_Date,"&gt;="&amp;$I29,CD_Date,"&lt;="&amp;$J29),SUMIFS(CD_Exc,CD_Date,"&gt;="&amp;$I29,CD_Date,"&lt;="&amp;$J29,CD_Class,Trend_Class))+IF(Trend_Class="الكل",SUMIFS(CD_Late,CD_Date,"&gt;="&amp;$I29,CD_Date,"&lt;="&amp;$J29),SUMIFS(CD_Late,CD_Date,"&gt;="&amp;$I29,CD_Date,"&lt;="&amp;$J29,CD_Class,Trend_Class)))</f>
        <v/>
      </c>
      <c r="D29" s="53">
        <f>IF($A29="","",IF(Trend_Class="الكل",SUMIFS(CD_Pres,CD_Date,"&gt;="&amp;$I29,CD_Date,"&lt;="&amp;$J29),SUMIFS(CD_Pres,CD_Date,"&gt;="&amp;$I29,CD_Date,"&lt;="&amp;$J29,CD_Class,Trend_Class))+IF(Trend_Class="الكل",SUMIFS(CD_Late,CD_Date,"&gt;="&amp;$I29,CD_Date,"&lt;="&amp;$J29),SUMIFS(CD_Late,CD_Date,"&gt;="&amp;$I29,CD_Date,"&lt;="&amp;$J29,CD_Class,Trend_Class)))</f>
        <v/>
      </c>
      <c r="E29" s="53">
        <f>IF($A29="","",IF(Trend_Class="الكل",SUMIFS(CD_Abs,CD_Date,"&gt;="&amp;$I29,CD_Date,"&lt;="&amp;$J29),SUMIFS(CD_Abs,CD_Date,"&gt;="&amp;$I29,CD_Date,"&lt;="&amp;$J29,CD_Class,Trend_Class)))</f>
        <v/>
      </c>
      <c r="F29" s="53">
        <f>IF($A29="","",IF(Trend_Class="الكل",SUMIFS(CD_Exc,CD_Date,"&gt;="&amp;$I29,CD_Date,"&lt;="&amp;$J29),SUMIFS(CD_Exc,CD_Date,"&gt;="&amp;$I29,CD_Date,"&lt;="&amp;$J29,CD_Class,Trend_Class)))</f>
        <v/>
      </c>
      <c r="G29" s="53">
        <f>IF($A29="","",IF(Trend_Class="الكل",SUMIFS(CD_Late,CD_Date,"&gt;="&amp;$I29,CD_Date,"&lt;="&amp;$J29),SUMIFS(CD_Late,CD_Date,"&gt;="&amp;$I29,CD_Date,"&lt;="&amp;$J29,CD_Class,Trend_Class)))</f>
        <v/>
      </c>
      <c r="H29" s="54">
        <f>IF(OR($A29="",C29=0),"",(D29-IF(LateAsPresent="نعم",0,G29))/C29)</f>
        <v/>
      </c>
      <c r="I29" s="130">
        <f>IF(A29="","",YearStart+(A29-1)*7)</f>
        <v/>
      </c>
      <c r="J29" s="130">
        <f>IF(A29="","",I29+6)</f>
        <v/>
      </c>
      <c r="S29" s="125" t="n">
        <v>23</v>
      </c>
      <c r="T29" s="125">
        <f>COUNTIFS(Cal_Week,23,Cal_Reg,"&gt;0")</f>
        <v/>
      </c>
      <c r="U29" s="125">
        <f>IF(T29&gt;0,COUNTIF($T$7:T29,"&gt;0"),"")</f>
        <v/>
      </c>
    </row>
    <row r="30">
      <c r="A30" s="129">
        <f>IF((Rec_Weeks-10+4)&lt;1,"",INDEX($S$7:$S$50,MATCH((Rec_Weeks-10+4),$U$7:$U$50,0)))</f>
        <v/>
      </c>
      <c r="B30" s="53">
        <f>IF(A30="","",TEXT(I30,"dd/mm")&amp;" – "&amp;TEXT(J30,"dd/mm"))</f>
        <v/>
      </c>
      <c r="C30" s="53">
        <f>IF($A30="","",IF(Trend_Class="الكل",SUMIFS(CD_Pres,CD_Date,"&gt;="&amp;$I30,CD_Date,"&lt;="&amp;$J30),SUMIFS(CD_Pres,CD_Date,"&gt;="&amp;$I30,CD_Date,"&lt;="&amp;$J30,CD_Class,Trend_Class))+IF(Trend_Class="الكل",SUMIFS(CD_Abs,CD_Date,"&gt;="&amp;$I30,CD_Date,"&lt;="&amp;$J30),SUMIFS(CD_Abs,CD_Date,"&gt;="&amp;$I30,CD_Date,"&lt;="&amp;$J30,CD_Class,Trend_Class))+IF(Trend_Class="الكل",SUMIFS(CD_Exc,CD_Date,"&gt;="&amp;$I30,CD_Date,"&lt;="&amp;$J30),SUMIFS(CD_Exc,CD_Date,"&gt;="&amp;$I30,CD_Date,"&lt;="&amp;$J30,CD_Class,Trend_Class))+IF(Trend_Class="الكل",SUMIFS(CD_Late,CD_Date,"&gt;="&amp;$I30,CD_Date,"&lt;="&amp;$J30),SUMIFS(CD_Late,CD_Date,"&gt;="&amp;$I30,CD_Date,"&lt;="&amp;$J30,CD_Class,Trend_Class)))</f>
        <v/>
      </c>
      <c r="D30" s="53">
        <f>IF($A30="","",IF(Trend_Class="الكل",SUMIFS(CD_Pres,CD_Date,"&gt;="&amp;$I30,CD_Date,"&lt;="&amp;$J30),SUMIFS(CD_Pres,CD_Date,"&gt;="&amp;$I30,CD_Date,"&lt;="&amp;$J30,CD_Class,Trend_Class))+IF(Trend_Class="الكل",SUMIFS(CD_Late,CD_Date,"&gt;="&amp;$I30,CD_Date,"&lt;="&amp;$J30),SUMIFS(CD_Late,CD_Date,"&gt;="&amp;$I30,CD_Date,"&lt;="&amp;$J30,CD_Class,Trend_Class)))</f>
        <v/>
      </c>
      <c r="E30" s="53">
        <f>IF($A30="","",IF(Trend_Class="الكل",SUMIFS(CD_Abs,CD_Date,"&gt;="&amp;$I30,CD_Date,"&lt;="&amp;$J30),SUMIFS(CD_Abs,CD_Date,"&gt;="&amp;$I30,CD_Date,"&lt;="&amp;$J30,CD_Class,Trend_Class)))</f>
        <v/>
      </c>
      <c r="F30" s="53">
        <f>IF($A30="","",IF(Trend_Class="الكل",SUMIFS(CD_Exc,CD_Date,"&gt;="&amp;$I30,CD_Date,"&lt;="&amp;$J30),SUMIFS(CD_Exc,CD_Date,"&gt;="&amp;$I30,CD_Date,"&lt;="&amp;$J30,CD_Class,Trend_Class)))</f>
        <v/>
      </c>
      <c r="G30" s="53">
        <f>IF($A30="","",IF(Trend_Class="الكل",SUMIFS(CD_Late,CD_Date,"&gt;="&amp;$I30,CD_Date,"&lt;="&amp;$J30),SUMIFS(CD_Late,CD_Date,"&gt;="&amp;$I30,CD_Date,"&lt;="&amp;$J30,CD_Class,Trend_Class)))</f>
        <v/>
      </c>
      <c r="H30" s="54">
        <f>IF(OR($A30="",C30=0),"",(D30-IF(LateAsPresent="نعم",0,G30))/C30)</f>
        <v/>
      </c>
      <c r="I30" s="130">
        <f>IF(A30="","",YearStart+(A30-1)*7)</f>
        <v/>
      </c>
      <c r="J30" s="130">
        <f>IF(A30="","",I30+6)</f>
        <v/>
      </c>
      <c r="S30" s="125" t="n">
        <v>24</v>
      </c>
      <c r="T30" s="125">
        <f>COUNTIFS(Cal_Week,24,Cal_Reg,"&gt;0")</f>
        <v/>
      </c>
      <c r="U30" s="125">
        <f>IF(T30&gt;0,COUNTIF($T$7:T30,"&gt;0"),"")</f>
        <v/>
      </c>
    </row>
    <row r="31">
      <c r="A31" s="129">
        <f>IF((Rec_Weeks-10+5)&lt;1,"",INDEX($S$7:$S$50,MATCH((Rec_Weeks-10+5),$U$7:$U$50,0)))</f>
        <v/>
      </c>
      <c r="B31" s="53">
        <f>IF(A31="","",TEXT(I31,"dd/mm")&amp;" – "&amp;TEXT(J31,"dd/mm"))</f>
        <v/>
      </c>
      <c r="C31" s="53">
        <f>IF($A31="","",IF(Trend_Class="الكل",SUMIFS(CD_Pres,CD_Date,"&gt;="&amp;$I31,CD_Date,"&lt;="&amp;$J31),SUMIFS(CD_Pres,CD_Date,"&gt;="&amp;$I31,CD_Date,"&lt;="&amp;$J31,CD_Class,Trend_Class))+IF(Trend_Class="الكل",SUMIFS(CD_Abs,CD_Date,"&gt;="&amp;$I31,CD_Date,"&lt;="&amp;$J31),SUMIFS(CD_Abs,CD_Date,"&gt;="&amp;$I31,CD_Date,"&lt;="&amp;$J31,CD_Class,Trend_Class))+IF(Trend_Class="الكل",SUMIFS(CD_Exc,CD_Date,"&gt;="&amp;$I31,CD_Date,"&lt;="&amp;$J31),SUMIFS(CD_Exc,CD_Date,"&gt;="&amp;$I31,CD_Date,"&lt;="&amp;$J31,CD_Class,Trend_Class))+IF(Trend_Class="الكل",SUMIFS(CD_Late,CD_Date,"&gt;="&amp;$I31,CD_Date,"&lt;="&amp;$J31),SUMIFS(CD_Late,CD_Date,"&gt;="&amp;$I31,CD_Date,"&lt;="&amp;$J31,CD_Class,Trend_Class)))</f>
        <v/>
      </c>
      <c r="D31" s="53">
        <f>IF($A31="","",IF(Trend_Class="الكل",SUMIFS(CD_Pres,CD_Date,"&gt;="&amp;$I31,CD_Date,"&lt;="&amp;$J31),SUMIFS(CD_Pres,CD_Date,"&gt;="&amp;$I31,CD_Date,"&lt;="&amp;$J31,CD_Class,Trend_Class))+IF(Trend_Class="الكل",SUMIFS(CD_Late,CD_Date,"&gt;="&amp;$I31,CD_Date,"&lt;="&amp;$J31),SUMIFS(CD_Late,CD_Date,"&gt;="&amp;$I31,CD_Date,"&lt;="&amp;$J31,CD_Class,Trend_Class)))</f>
        <v/>
      </c>
      <c r="E31" s="53">
        <f>IF($A31="","",IF(Trend_Class="الكل",SUMIFS(CD_Abs,CD_Date,"&gt;="&amp;$I31,CD_Date,"&lt;="&amp;$J31),SUMIFS(CD_Abs,CD_Date,"&gt;="&amp;$I31,CD_Date,"&lt;="&amp;$J31,CD_Class,Trend_Class)))</f>
        <v/>
      </c>
      <c r="F31" s="53">
        <f>IF($A31="","",IF(Trend_Class="الكل",SUMIFS(CD_Exc,CD_Date,"&gt;="&amp;$I31,CD_Date,"&lt;="&amp;$J31),SUMIFS(CD_Exc,CD_Date,"&gt;="&amp;$I31,CD_Date,"&lt;="&amp;$J31,CD_Class,Trend_Class)))</f>
        <v/>
      </c>
      <c r="G31" s="53">
        <f>IF($A31="","",IF(Trend_Class="الكل",SUMIFS(CD_Late,CD_Date,"&gt;="&amp;$I31,CD_Date,"&lt;="&amp;$J31),SUMIFS(CD_Late,CD_Date,"&gt;="&amp;$I31,CD_Date,"&lt;="&amp;$J31,CD_Class,Trend_Class)))</f>
        <v/>
      </c>
      <c r="H31" s="54">
        <f>IF(OR($A31="",C31=0),"",(D31-IF(LateAsPresent="نعم",0,G31))/C31)</f>
        <v/>
      </c>
      <c r="I31" s="130">
        <f>IF(A31="","",YearStart+(A31-1)*7)</f>
        <v/>
      </c>
      <c r="J31" s="130">
        <f>IF(A31="","",I31+6)</f>
        <v/>
      </c>
      <c r="S31" s="125" t="n">
        <v>25</v>
      </c>
      <c r="T31" s="125">
        <f>COUNTIFS(Cal_Week,25,Cal_Reg,"&gt;0")</f>
        <v/>
      </c>
      <c r="U31" s="125">
        <f>IF(T31&gt;0,COUNTIF($T$7:T31,"&gt;0"),"")</f>
        <v/>
      </c>
    </row>
    <row r="32">
      <c r="A32" s="129">
        <f>IF((Rec_Weeks-10+6)&lt;1,"",INDEX($S$7:$S$50,MATCH((Rec_Weeks-10+6),$U$7:$U$50,0)))</f>
        <v/>
      </c>
      <c r="B32" s="53">
        <f>IF(A32="","",TEXT(I32,"dd/mm")&amp;" – "&amp;TEXT(J32,"dd/mm"))</f>
        <v/>
      </c>
      <c r="C32" s="53">
        <f>IF($A32="","",IF(Trend_Class="الكل",SUMIFS(CD_Pres,CD_Date,"&gt;="&amp;$I32,CD_Date,"&lt;="&amp;$J32),SUMIFS(CD_Pres,CD_Date,"&gt;="&amp;$I32,CD_Date,"&lt;="&amp;$J32,CD_Class,Trend_Class))+IF(Trend_Class="الكل",SUMIFS(CD_Abs,CD_Date,"&gt;="&amp;$I32,CD_Date,"&lt;="&amp;$J32),SUMIFS(CD_Abs,CD_Date,"&gt;="&amp;$I32,CD_Date,"&lt;="&amp;$J32,CD_Class,Trend_Class))+IF(Trend_Class="الكل",SUMIFS(CD_Exc,CD_Date,"&gt;="&amp;$I32,CD_Date,"&lt;="&amp;$J32),SUMIFS(CD_Exc,CD_Date,"&gt;="&amp;$I32,CD_Date,"&lt;="&amp;$J32,CD_Class,Trend_Class))+IF(Trend_Class="الكل",SUMIFS(CD_Late,CD_Date,"&gt;="&amp;$I32,CD_Date,"&lt;="&amp;$J32),SUMIFS(CD_Late,CD_Date,"&gt;="&amp;$I32,CD_Date,"&lt;="&amp;$J32,CD_Class,Trend_Class)))</f>
        <v/>
      </c>
      <c r="D32" s="53">
        <f>IF($A32="","",IF(Trend_Class="الكل",SUMIFS(CD_Pres,CD_Date,"&gt;="&amp;$I32,CD_Date,"&lt;="&amp;$J32),SUMIFS(CD_Pres,CD_Date,"&gt;="&amp;$I32,CD_Date,"&lt;="&amp;$J32,CD_Class,Trend_Class))+IF(Trend_Class="الكل",SUMIFS(CD_Late,CD_Date,"&gt;="&amp;$I32,CD_Date,"&lt;="&amp;$J32),SUMIFS(CD_Late,CD_Date,"&gt;="&amp;$I32,CD_Date,"&lt;="&amp;$J32,CD_Class,Trend_Class)))</f>
        <v/>
      </c>
      <c r="E32" s="53">
        <f>IF($A32="","",IF(Trend_Class="الكل",SUMIFS(CD_Abs,CD_Date,"&gt;="&amp;$I32,CD_Date,"&lt;="&amp;$J32),SUMIFS(CD_Abs,CD_Date,"&gt;="&amp;$I32,CD_Date,"&lt;="&amp;$J32,CD_Class,Trend_Class)))</f>
        <v/>
      </c>
      <c r="F32" s="53">
        <f>IF($A32="","",IF(Trend_Class="الكل",SUMIFS(CD_Exc,CD_Date,"&gt;="&amp;$I32,CD_Date,"&lt;="&amp;$J32),SUMIFS(CD_Exc,CD_Date,"&gt;="&amp;$I32,CD_Date,"&lt;="&amp;$J32,CD_Class,Trend_Class)))</f>
        <v/>
      </c>
      <c r="G32" s="53">
        <f>IF($A32="","",IF(Trend_Class="الكل",SUMIFS(CD_Late,CD_Date,"&gt;="&amp;$I32,CD_Date,"&lt;="&amp;$J32),SUMIFS(CD_Late,CD_Date,"&gt;="&amp;$I32,CD_Date,"&lt;="&amp;$J32,CD_Class,Trend_Class)))</f>
        <v/>
      </c>
      <c r="H32" s="54">
        <f>IF(OR($A32="",C32=0),"",(D32-IF(LateAsPresent="نعم",0,G32))/C32)</f>
        <v/>
      </c>
      <c r="I32" s="130">
        <f>IF(A32="","",YearStart+(A32-1)*7)</f>
        <v/>
      </c>
      <c r="J32" s="130">
        <f>IF(A32="","",I32+6)</f>
        <v/>
      </c>
      <c r="S32" s="125" t="n">
        <v>26</v>
      </c>
      <c r="T32" s="125">
        <f>COUNTIFS(Cal_Week,26,Cal_Reg,"&gt;0")</f>
        <v/>
      </c>
      <c r="U32" s="125">
        <f>IF(T32&gt;0,COUNTIF($T$7:T32,"&gt;0"),"")</f>
        <v/>
      </c>
    </row>
    <row r="33">
      <c r="A33" s="129">
        <f>IF((Rec_Weeks-10+7)&lt;1,"",INDEX($S$7:$S$50,MATCH((Rec_Weeks-10+7),$U$7:$U$50,0)))</f>
        <v/>
      </c>
      <c r="B33" s="53">
        <f>IF(A33="","",TEXT(I33,"dd/mm")&amp;" – "&amp;TEXT(J33,"dd/mm"))</f>
        <v/>
      </c>
      <c r="C33" s="53">
        <f>IF($A33="","",IF(Trend_Class="الكل",SUMIFS(CD_Pres,CD_Date,"&gt;="&amp;$I33,CD_Date,"&lt;="&amp;$J33),SUMIFS(CD_Pres,CD_Date,"&gt;="&amp;$I33,CD_Date,"&lt;="&amp;$J33,CD_Class,Trend_Class))+IF(Trend_Class="الكل",SUMIFS(CD_Abs,CD_Date,"&gt;="&amp;$I33,CD_Date,"&lt;="&amp;$J33),SUMIFS(CD_Abs,CD_Date,"&gt;="&amp;$I33,CD_Date,"&lt;="&amp;$J33,CD_Class,Trend_Class))+IF(Trend_Class="الكل",SUMIFS(CD_Exc,CD_Date,"&gt;="&amp;$I33,CD_Date,"&lt;="&amp;$J33),SUMIFS(CD_Exc,CD_Date,"&gt;="&amp;$I33,CD_Date,"&lt;="&amp;$J33,CD_Class,Trend_Class))+IF(Trend_Class="الكل",SUMIFS(CD_Late,CD_Date,"&gt;="&amp;$I33,CD_Date,"&lt;="&amp;$J33),SUMIFS(CD_Late,CD_Date,"&gt;="&amp;$I33,CD_Date,"&lt;="&amp;$J33,CD_Class,Trend_Class)))</f>
        <v/>
      </c>
      <c r="D33" s="53">
        <f>IF($A33="","",IF(Trend_Class="الكل",SUMIFS(CD_Pres,CD_Date,"&gt;="&amp;$I33,CD_Date,"&lt;="&amp;$J33),SUMIFS(CD_Pres,CD_Date,"&gt;="&amp;$I33,CD_Date,"&lt;="&amp;$J33,CD_Class,Trend_Class))+IF(Trend_Class="الكل",SUMIFS(CD_Late,CD_Date,"&gt;="&amp;$I33,CD_Date,"&lt;="&amp;$J33),SUMIFS(CD_Late,CD_Date,"&gt;="&amp;$I33,CD_Date,"&lt;="&amp;$J33,CD_Class,Trend_Class)))</f>
        <v/>
      </c>
      <c r="E33" s="53">
        <f>IF($A33="","",IF(Trend_Class="الكل",SUMIFS(CD_Abs,CD_Date,"&gt;="&amp;$I33,CD_Date,"&lt;="&amp;$J33),SUMIFS(CD_Abs,CD_Date,"&gt;="&amp;$I33,CD_Date,"&lt;="&amp;$J33,CD_Class,Trend_Class)))</f>
        <v/>
      </c>
      <c r="F33" s="53">
        <f>IF($A33="","",IF(Trend_Class="الكل",SUMIFS(CD_Exc,CD_Date,"&gt;="&amp;$I33,CD_Date,"&lt;="&amp;$J33),SUMIFS(CD_Exc,CD_Date,"&gt;="&amp;$I33,CD_Date,"&lt;="&amp;$J33,CD_Class,Trend_Class)))</f>
        <v/>
      </c>
      <c r="G33" s="53">
        <f>IF($A33="","",IF(Trend_Class="الكل",SUMIFS(CD_Late,CD_Date,"&gt;="&amp;$I33,CD_Date,"&lt;="&amp;$J33),SUMIFS(CD_Late,CD_Date,"&gt;="&amp;$I33,CD_Date,"&lt;="&amp;$J33,CD_Class,Trend_Class)))</f>
        <v/>
      </c>
      <c r="H33" s="54">
        <f>IF(OR($A33="",C33=0),"",(D33-IF(LateAsPresent="نعم",0,G33))/C33)</f>
        <v/>
      </c>
      <c r="I33" s="130">
        <f>IF(A33="","",YearStart+(A33-1)*7)</f>
        <v/>
      </c>
      <c r="J33" s="130">
        <f>IF(A33="","",I33+6)</f>
        <v/>
      </c>
      <c r="S33" s="125" t="n">
        <v>27</v>
      </c>
      <c r="T33" s="125">
        <f>COUNTIFS(Cal_Week,27,Cal_Reg,"&gt;0")</f>
        <v/>
      </c>
      <c r="U33" s="125">
        <f>IF(T33&gt;0,COUNTIF($T$7:T33,"&gt;0"),"")</f>
        <v/>
      </c>
    </row>
    <row r="34">
      <c r="A34" s="129">
        <f>IF((Rec_Weeks-10+8)&lt;1,"",INDEX($S$7:$S$50,MATCH((Rec_Weeks-10+8),$U$7:$U$50,0)))</f>
        <v/>
      </c>
      <c r="B34" s="53">
        <f>IF(A34="","",TEXT(I34,"dd/mm")&amp;" – "&amp;TEXT(J34,"dd/mm"))</f>
        <v/>
      </c>
      <c r="C34" s="53">
        <f>IF($A34="","",IF(Trend_Class="الكل",SUMIFS(CD_Pres,CD_Date,"&gt;="&amp;$I34,CD_Date,"&lt;="&amp;$J34),SUMIFS(CD_Pres,CD_Date,"&gt;="&amp;$I34,CD_Date,"&lt;="&amp;$J34,CD_Class,Trend_Class))+IF(Trend_Class="الكل",SUMIFS(CD_Abs,CD_Date,"&gt;="&amp;$I34,CD_Date,"&lt;="&amp;$J34),SUMIFS(CD_Abs,CD_Date,"&gt;="&amp;$I34,CD_Date,"&lt;="&amp;$J34,CD_Class,Trend_Class))+IF(Trend_Class="الكل",SUMIFS(CD_Exc,CD_Date,"&gt;="&amp;$I34,CD_Date,"&lt;="&amp;$J34),SUMIFS(CD_Exc,CD_Date,"&gt;="&amp;$I34,CD_Date,"&lt;="&amp;$J34,CD_Class,Trend_Class))+IF(Trend_Class="الكل",SUMIFS(CD_Late,CD_Date,"&gt;="&amp;$I34,CD_Date,"&lt;="&amp;$J34),SUMIFS(CD_Late,CD_Date,"&gt;="&amp;$I34,CD_Date,"&lt;="&amp;$J34,CD_Class,Trend_Class)))</f>
        <v/>
      </c>
      <c r="D34" s="53">
        <f>IF($A34="","",IF(Trend_Class="الكل",SUMIFS(CD_Pres,CD_Date,"&gt;="&amp;$I34,CD_Date,"&lt;="&amp;$J34),SUMIFS(CD_Pres,CD_Date,"&gt;="&amp;$I34,CD_Date,"&lt;="&amp;$J34,CD_Class,Trend_Class))+IF(Trend_Class="الكل",SUMIFS(CD_Late,CD_Date,"&gt;="&amp;$I34,CD_Date,"&lt;="&amp;$J34),SUMIFS(CD_Late,CD_Date,"&gt;="&amp;$I34,CD_Date,"&lt;="&amp;$J34,CD_Class,Trend_Class)))</f>
        <v/>
      </c>
      <c r="E34" s="53">
        <f>IF($A34="","",IF(Trend_Class="الكل",SUMIFS(CD_Abs,CD_Date,"&gt;="&amp;$I34,CD_Date,"&lt;="&amp;$J34),SUMIFS(CD_Abs,CD_Date,"&gt;="&amp;$I34,CD_Date,"&lt;="&amp;$J34,CD_Class,Trend_Class)))</f>
        <v/>
      </c>
      <c r="F34" s="53">
        <f>IF($A34="","",IF(Trend_Class="الكل",SUMIFS(CD_Exc,CD_Date,"&gt;="&amp;$I34,CD_Date,"&lt;="&amp;$J34),SUMIFS(CD_Exc,CD_Date,"&gt;="&amp;$I34,CD_Date,"&lt;="&amp;$J34,CD_Class,Trend_Class)))</f>
        <v/>
      </c>
      <c r="G34" s="53">
        <f>IF($A34="","",IF(Trend_Class="الكل",SUMIFS(CD_Late,CD_Date,"&gt;="&amp;$I34,CD_Date,"&lt;="&amp;$J34),SUMIFS(CD_Late,CD_Date,"&gt;="&amp;$I34,CD_Date,"&lt;="&amp;$J34,CD_Class,Trend_Class)))</f>
        <v/>
      </c>
      <c r="H34" s="54">
        <f>IF(OR($A34="",C34=0),"",(D34-IF(LateAsPresent="نعم",0,G34))/C34)</f>
        <v/>
      </c>
      <c r="I34" s="130">
        <f>IF(A34="","",YearStart+(A34-1)*7)</f>
        <v/>
      </c>
      <c r="J34" s="130">
        <f>IF(A34="","",I34+6)</f>
        <v/>
      </c>
      <c r="S34" s="125" t="n">
        <v>28</v>
      </c>
      <c r="T34" s="125">
        <f>COUNTIFS(Cal_Week,28,Cal_Reg,"&gt;0")</f>
        <v/>
      </c>
      <c r="U34" s="125">
        <f>IF(T34&gt;0,COUNTIF($T$7:T34,"&gt;0"),"")</f>
        <v/>
      </c>
    </row>
    <row r="35">
      <c r="A35" s="129">
        <f>IF((Rec_Weeks-10+9)&lt;1,"",INDEX($S$7:$S$50,MATCH((Rec_Weeks-10+9),$U$7:$U$50,0)))</f>
        <v/>
      </c>
      <c r="B35" s="53">
        <f>IF(A35="","",TEXT(I35,"dd/mm")&amp;" – "&amp;TEXT(J35,"dd/mm"))</f>
        <v/>
      </c>
      <c r="C35" s="53">
        <f>IF($A35="","",IF(Trend_Class="الكل",SUMIFS(CD_Pres,CD_Date,"&gt;="&amp;$I35,CD_Date,"&lt;="&amp;$J35),SUMIFS(CD_Pres,CD_Date,"&gt;="&amp;$I35,CD_Date,"&lt;="&amp;$J35,CD_Class,Trend_Class))+IF(Trend_Class="الكل",SUMIFS(CD_Abs,CD_Date,"&gt;="&amp;$I35,CD_Date,"&lt;="&amp;$J35),SUMIFS(CD_Abs,CD_Date,"&gt;="&amp;$I35,CD_Date,"&lt;="&amp;$J35,CD_Class,Trend_Class))+IF(Trend_Class="الكل",SUMIFS(CD_Exc,CD_Date,"&gt;="&amp;$I35,CD_Date,"&lt;="&amp;$J35),SUMIFS(CD_Exc,CD_Date,"&gt;="&amp;$I35,CD_Date,"&lt;="&amp;$J35,CD_Class,Trend_Class))+IF(Trend_Class="الكل",SUMIFS(CD_Late,CD_Date,"&gt;="&amp;$I35,CD_Date,"&lt;="&amp;$J35),SUMIFS(CD_Late,CD_Date,"&gt;="&amp;$I35,CD_Date,"&lt;="&amp;$J35,CD_Class,Trend_Class)))</f>
        <v/>
      </c>
      <c r="D35" s="53">
        <f>IF($A35="","",IF(Trend_Class="الكل",SUMIFS(CD_Pres,CD_Date,"&gt;="&amp;$I35,CD_Date,"&lt;="&amp;$J35),SUMIFS(CD_Pres,CD_Date,"&gt;="&amp;$I35,CD_Date,"&lt;="&amp;$J35,CD_Class,Trend_Class))+IF(Trend_Class="الكل",SUMIFS(CD_Late,CD_Date,"&gt;="&amp;$I35,CD_Date,"&lt;="&amp;$J35),SUMIFS(CD_Late,CD_Date,"&gt;="&amp;$I35,CD_Date,"&lt;="&amp;$J35,CD_Class,Trend_Class)))</f>
        <v/>
      </c>
      <c r="E35" s="53">
        <f>IF($A35="","",IF(Trend_Class="الكل",SUMIFS(CD_Abs,CD_Date,"&gt;="&amp;$I35,CD_Date,"&lt;="&amp;$J35),SUMIFS(CD_Abs,CD_Date,"&gt;="&amp;$I35,CD_Date,"&lt;="&amp;$J35,CD_Class,Trend_Class)))</f>
        <v/>
      </c>
      <c r="F35" s="53">
        <f>IF($A35="","",IF(Trend_Class="الكل",SUMIFS(CD_Exc,CD_Date,"&gt;="&amp;$I35,CD_Date,"&lt;="&amp;$J35),SUMIFS(CD_Exc,CD_Date,"&gt;="&amp;$I35,CD_Date,"&lt;="&amp;$J35,CD_Class,Trend_Class)))</f>
        <v/>
      </c>
      <c r="G35" s="53">
        <f>IF($A35="","",IF(Trend_Class="الكل",SUMIFS(CD_Late,CD_Date,"&gt;="&amp;$I35,CD_Date,"&lt;="&amp;$J35),SUMIFS(CD_Late,CD_Date,"&gt;="&amp;$I35,CD_Date,"&lt;="&amp;$J35,CD_Class,Trend_Class)))</f>
        <v/>
      </c>
      <c r="H35" s="54">
        <f>IF(OR($A35="",C35=0),"",(D35-IF(LateAsPresent="نعم",0,G35))/C35)</f>
        <v/>
      </c>
      <c r="I35" s="130">
        <f>IF(A35="","",YearStart+(A35-1)*7)</f>
        <v/>
      </c>
      <c r="J35" s="130">
        <f>IF(A35="","",I35+6)</f>
        <v/>
      </c>
      <c r="S35" s="125" t="n">
        <v>29</v>
      </c>
      <c r="T35" s="125">
        <f>COUNTIFS(Cal_Week,29,Cal_Reg,"&gt;0")</f>
        <v/>
      </c>
      <c r="U35" s="125">
        <f>IF(T35&gt;0,COUNTIF($T$7:T35,"&gt;0"),"")</f>
        <v/>
      </c>
    </row>
    <row r="36">
      <c r="A36" s="129">
        <f>IF((Rec_Weeks-10+10)&lt;1,"",INDEX($S$7:$S$50,MATCH((Rec_Weeks-10+10),$U$7:$U$50,0)))</f>
        <v/>
      </c>
      <c r="B36" s="53">
        <f>IF(A36="","",TEXT(I36,"dd/mm")&amp;" – "&amp;TEXT(J36,"dd/mm"))</f>
        <v/>
      </c>
      <c r="C36" s="53">
        <f>IF($A36="","",IF(Trend_Class="الكل",SUMIFS(CD_Pres,CD_Date,"&gt;="&amp;$I36,CD_Date,"&lt;="&amp;$J36),SUMIFS(CD_Pres,CD_Date,"&gt;="&amp;$I36,CD_Date,"&lt;="&amp;$J36,CD_Class,Trend_Class))+IF(Trend_Class="الكل",SUMIFS(CD_Abs,CD_Date,"&gt;="&amp;$I36,CD_Date,"&lt;="&amp;$J36),SUMIFS(CD_Abs,CD_Date,"&gt;="&amp;$I36,CD_Date,"&lt;="&amp;$J36,CD_Class,Trend_Class))+IF(Trend_Class="الكل",SUMIFS(CD_Exc,CD_Date,"&gt;="&amp;$I36,CD_Date,"&lt;="&amp;$J36),SUMIFS(CD_Exc,CD_Date,"&gt;="&amp;$I36,CD_Date,"&lt;="&amp;$J36,CD_Class,Trend_Class))+IF(Trend_Class="الكل",SUMIFS(CD_Late,CD_Date,"&gt;="&amp;$I36,CD_Date,"&lt;="&amp;$J36),SUMIFS(CD_Late,CD_Date,"&gt;="&amp;$I36,CD_Date,"&lt;="&amp;$J36,CD_Class,Trend_Class)))</f>
        <v/>
      </c>
      <c r="D36" s="53">
        <f>IF($A36="","",IF(Trend_Class="الكل",SUMIFS(CD_Pres,CD_Date,"&gt;="&amp;$I36,CD_Date,"&lt;="&amp;$J36),SUMIFS(CD_Pres,CD_Date,"&gt;="&amp;$I36,CD_Date,"&lt;="&amp;$J36,CD_Class,Trend_Class))+IF(Trend_Class="الكل",SUMIFS(CD_Late,CD_Date,"&gt;="&amp;$I36,CD_Date,"&lt;="&amp;$J36),SUMIFS(CD_Late,CD_Date,"&gt;="&amp;$I36,CD_Date,"&lt;="&amp;$J36,CD_Class,Trend_Class)))</f>
        <v/>
      </c>
      <c r="E36" s="53">
        <f>IF($A36="","",IF(Trend_Class="الكل",SUMIFS(CD_Abs,CD_Date,"&gt;="&amp;$I36,CD_Date,"&lt;="&amp;$J36),SUMIFS(CD_Abs,CD_Date,"&gt;="&amp;$I36,CD_Date,"&lt;="&amp;$J36,CD_Class,Trend_Class)))</f>
        <v/>
      </c>
      <c r="F36" s="53">
        <f>IF($A36="","",IF(Trend_Class="الكل",SUMIFS(CD_Exc,CD_Date,"&gt;="&amp;$I36,CD_Date,"&lt;="&amp;$J36),SUMIFS(CD_Exc,CD_Date,"&gt;="&amp;$I36,CD_Date,"&lt;="&amp;$J36,CD_Class,Trend_Class)))</f>
        <v/>
      </c>
      <c r="G36" s="53">
        <f>IF($A36="","",IF(Trend_Class="الكل",SUMIFS(CD_Late,CD_Date,"&gt;="&amp;$I36,CD_Date,"&lt;="&amp;$J36),SUMIFS(CD_Late,CD_Date,"&gt;="&amp;$I36,CD_Date,"&lt;="&amp;$J36,CD_Class,Trend_Class)))</f>
        <v/>
      </c>
      <c r="H36" s="54">
        <f>IF(OR($A36="",C36=0),"",(D36-IF(LateAsPresent="نعم",0,G36))/C36)</f>
        <v/>
      </c>
      <c r="I36" s="130">
        <f>IF(A36="","",YearStart+(A36-1)*7)</f>
        <v/>
      </c>
      <c r="J36" s="130">
        <f>IF(A36="","",I36+6)</f>
        <v/>
      </c>
      <c r="S36" s="125" t="n">
        <v>30</v>
      </c>
      <c r="T36" s="125">
        <f>COUNTIFS(Cal_Week,30,Cal_Reg,"&gt;0")</f>
        <v/>
      </c>
      <c r="U36" s="125">
        <f>IF(T36&gt;0,COUNTIF($T$7:T36,"&gt;0"),"")</f>
        <v/>
      </c>
    </row>
    <row r="37">
      <c r="S37" s="125" t="n">
        <v>31</v>
      </c>
      <c r="T37" s="125">
        <f>COUNTIFS(Cal_Week,31,Cal_Reg,"&gt;0")</f>
        <v/>
      </c>
      <c r="U37" s="125">
        <f>IF(T37&gt;0,COUNTIF($T$7:T37,"&gt;0"),"")</f>
        <v/>
      </c>
    </row>
    <row r="38">
      <c r="S38" s="125" t="n">
        <v>32</v>
      </c>
      <c r="T38" s="125">
        <f>COUNTIFS(Cal_Week,32,Cal_Reg,"&gt;0")</f>
        <v/>
      </c>
      <c r="U38" s="125">
        <f>IF(T38&gt;0,COUNTIF($T$7:T38,"&gt;0"),"")</f>
        <v/>
      </c>
    </row>
    <row r="39">
      <c r="A39" s="21" t="inlineStr">
        <is>
          <t>التحليل الشهري   |   Monthly Attendance Overview</t>
        </is>
      </c>
      <c r="B39" s="22" t="n"/>
      <c r="C39" s="22" t="n"/>
      <c r="D39" s="22" t="n"/>
      <c r="E39" s="22" t="n"/>
      <c r="F39" s="22" t="n"/>
      <c r="G39" s="22" t="n"/>
      <c r="H39" s="22" t="n"/>
      <c r="S39" s="125" t="n">
        <v>33</v>
      </c>
      <c r="T39" s="125">
        <f>COUNTIFS(Cal_Week,33,Cal_Reg,"&gt;0")</f>
        <v/>
      </c>
      <c r="U39" s="125">
        <f>IF(T39&gt;0,COUNTIF($T$7:T39,"&gt;0"),"")</f>
        <v/>
      </c>
    </row>
    <row r="40" ht="28" customHeight="1">
      <c r="A40" s="33" t="inlineStr">
        <is>
          <t>الشهر</t>
        </is>
      </c>
      <c r="B40" s="33" t="inlineStr">
        <is>
          <t>أيام الدراسة المسجَّلة</t>
        </is>
      </c>
      <c r="C40" s="33" t="inlineStr">
        <is>
          <t>المسجَّلون (طفل×يوم)</t>
        </is>
      </c>
      <c r="D40" s="33" t="inlineStr">
        <is>
          <t>الحضور</t>
        </is>
      </c>
      <c r="E40" s="33" t="inlineStr">
        <is>
          <t>غياب بدون عذر</t>
        </is>
      </c>
      <c r="F40" s="33" t="inlineStr">
        <is>
          <t>غياب بعذر</t>
        </is>
      </c>
      <c r="G40" s="33" t="inlineStr">
        <is>
          <t>متأخر</t>
        </is>
      </c>
      <c r="H40" s="33" t="inlineStr">
        <is>
          <t>متوسط نسبة الحضور</t>
        </is>
      </c>
      <c r="S40" s="125" t="n">
        <v>34</v>
      </c>
      <c r="T40" s="125">
        <f>COUNTIFS(Cal_Week,34,Cal_Reg,"&gt;0")</f>
        <v/>
      </c>
      <c r="U40" s="125">
        <f>IF(T40&gt;0,COUNTIF($T$7:T40,"&gt;0"),"")</f>
        <v/>
      </c>
    </row>
    <row r="41">
      <c r="A41" s="131" t="inlineStr">
        <is>
          <t>أغسطس 2026</t>
        </is>
      </c>
      <c r="B41" s="53">
        <f>COUNTIFS(Cal_Date,"&gt;="&amp;I41,Cal_Date,"&lt;="&amp;J41,Cal_Reg,"&gt;0")</f>
        <v/>
      </c>
      <c r="C41" s="53">
        <f>IF($A41="","",IF(Trend_Class="الكل",SUMIFS(CD_Pres,CD_Date,"&gt;="&amp;$I41,CD_Date,"&lt;="&amp;$J41),SUMIFS(CD_Pres,CD_Date,"&gt;="&amp;$I41,CD_Date,"&lt;="&amp;$J41,CD_Class,Trend_Class))+IF(Trend_Class="الكل",SUMIFS(CD_Abs,CD_Date,"&gt;="&amp;$I41,CD_Date,"&lt;="&amp;$J41),SUMIFS(CD_Abs,CD_Date,"&gt;="&amp;$I41,CD_Date,"&lt;="&amp;$J41,CD_Class,Trend_Class))+IF(Trend_Class="الكل",SUMIFS(CD_Exc,CD_Date,"&gt;="&amp;$I41,CD_Date,"&lt;="&amp;$J41),SUMIFS(CD_Exc,CD_Date,"&gt;="&amp;$I41,CD_Date,"&lt;="&amp;$J41,CD_Class,Trend_Class))+IF(Trend_Class="الكل",SUMIFS(CD_Late,CD_Date,"&gt;="&amp;$I41,CD_Date,"&lt;="&amp;$J41),SUMIFS(CD_Late,CD_Date,"&gt;="&amp;$I41,CD_Date,"&lt;="&amp;$J41,CD_Class,Trend_Class)))</f>
        <v/>
      </c>
      <c r="D41" s="53">
        <f>IF($A41="","",IF(Trend_Class="الكل",SUMIFS(CD_Pres,CD_Date,"&gt;="&amp;$I41,CD_Date,"&lt;="&amp;$J41),SUMIFS(CD_Pres,CD_Date,"&gt;="&amp;$I41,CD_Date,"&lt;="&amp;$J41,CD_Class,Trend_Class))+IF(Trend_Class="الكل",SUMIFS(CD_Late,CD_Date,"&gt;="&amp;$I41,CD_Date,"&lt;="&amp;$J41),SUMIFS(CD_Late,CD_Date,"&gt;="&amp;$I41,CD_Date,"&lt;="&amp;$J41,CD_Class,Trend_Class)))</f>
        <v/>
      </c>
      <c r="E41" s="53">
        <f>IF($A41="","",IF(Trend_Class="الكل",SUMIFS(CD_Abs,CD_Date,"&gt;="&amp;$I41,CD_Date,"&lt;="&amp;$J41),SUMIFS(CD_Abs,CD_Date,"&gt;="&amp;$I41,CD_Date,"&lt;="&amp;$J41,CD_Class,Trend_Class)))</f>
        <v/>
      </c>
      <c r="F41" s="53">
        <f>IF($A41="","",IF(Trend_Class="الكل",SUMIFS(CD_Exc,CD_Date,"&gt;="&amp;$I41,CD_Date,"&lt;="&amp;$J41),SUMIFS(CD_Exc,CD_Date,"&gt;="&amp;$I41,CD_Date,"&lt;="&amp;$J41,CD_Class,Trend_Class)))</f>
        <v/>
      </c>
      <c r="G41" s="53">
        <f>IF($A41="","",IF(Trend_Class="الكل",SUMIFS(CD_Late,CD_Date,"&gt;="&amp;$I41,CD_Date,"&lt;="&amp;$J41),SUMIFS(CD_Late,CD_Date,"&gt;="&amp;$I41,CD_Date,"&lt;="&amp;$J41,CD_Class,Trend_Class)))</f>
        <v/>
      </c>
      <c r="H41" s="54">
        <f>IF(OR($A41="",C41=0),"",(D41-IF(LateAsPresent="نعم",0,G41))/C41)</f>
        <v/>
      </c>
      <c r="I41" s="130" t="n">
        <v>46235</v>
      </c>
      <c r="J41" s="130">
        <f>EOMONTH(I41,0)</f>
        <v/>
      </c>
      <c r="S41" s="125" t="n">
        <v>35</v>
      </c>
      <c r="T41" s="125">
        <f>COUNTIFS(Cal_Week,35,Cal_Reg,"&gt;0")</f>
        <v/>
      </c>
      <c r="U41" s="125">
        <f>IF(T41&gt;0,COUNTIF($T$7:T41,"&gt;0"),"")</f>
        <v/>
      </c>
    </row>
    <row r="42">
      <c r="A42" s="131" t="inlineStr">
        <is>
          <t>سبتمبر 2026</t>
        </is>
      </c>
      <c r="B42" s="53">
        <f>COUNTIFS(Cal_Date,"&gt;="&amp;I42,Cal_Date,"&lt;="&amp;J42,Cal_Reg,"&gt;0")</f>
        <v/>
      </c>
      <c r="C42" s="53">
        <f>IF($A42="","",IF(Trend_Class="الكل",SUMIFS(CD_Pres,CD_Date,"&gt;="&amp;$I42,CD_Date,"&lt;="&amp;$J42),SUMIFS(CD_Pres,CD_Date,"&gt;="&amp;$I42,CD_Date,"&lt;="&amp;$J42,CD_Class,Trend_Class))+IF(Trend_Class="الكل",SUMIFS(CD_Abs,CD_Date,"&gt;="&amp;$I42,CD_Date,"&lt;="&amp;$J42),SUMIFS(CD_Abs,CD_Date,"&gt;="&amp;$I42,CD_Date,"&lt;="&amp;$J42,CD_Class,Trend_Class))+IF(Trend_Class="الكل",SUMIFS(CD_Exc,CD_Date,"&gt;="&amp;$I42,CD_Date,"&lt;="&amp;$J42),SUMIFS(CD_Exc,CD_Date,"&gt;="&amp;$I42,CD_Date,"&lt;="&amp;$J42,CD_Class,Trend_Class))+IF(Trend_Class="الكل",SUMIFS(CD_Late,CD_Date,"&gt;="&amp;$I42,CD_Date,"&lt;="&amp;$J42),SUMIFS(CD_Late,CD_Date,"&gt;="&amp;$I42,CD_Date,"&lt;="&amp;$J42,CD_Class,Trend_Class)))</f>
        <v/>
      </c>
      <c r="D42" s="53">
        <f>IF($A42="","",IF(Trend_Class="الكل",SUMIFS(CD_Pres,CD_Date,"&gt;="&amp;$I42,CD_Date,"&lt;="&amp;$J42),SUMIFS(CD_Pres,CD_Date,"&gt;="&amp;$I42,CD_Date,"&lt;="&amp;$J42,CD_Class,Trend_Class))+IF(Trend_Class="الكل",SUMIFS(CD_Late,CD_Date,"&gt;="&amp;$I42,CD_Date,"&lt;="&amp;$J42),SUMIFS(CD_Late,CD_Date,"&gt;="&amp;$I42,CD_Date,"&lt;="&amp;$J42,CD_Class,Trend_Class)))</f>
        <v/>
      </c>
      <c r="E42" s="53">
        <f>IF($A42="","",IF(Trend_Class="الكل",SUMIFS(CD_Abs,CD_Date,"&gt;="&amp;$I42,CD_Date,"&lt;="&amp;$J42),SUMIFS(CD_Abs,CD_Date,"&gt;="&amp;$I42,CD_Date,"&lt;="&amp;$J42,CD_Class,Trend_Class)))</f>
        <v/>
      </c>
      <c r="F42" s="53">
        <f>IF($A42="","",IF(Trend_Class="الكل",SUMIFS(CD_Exc,CD_Date,"&gt;="&amp;$I42,CD_Date,"&lt;="&amp;$J42),SUMIFS(CD_Exc,CD_Date,"&gt;="&amp;$I42,CD_Date,"&lt;="&amp;$J42,CD_Class,Trend_Class)))</f>
        <v/>
      </c>
      <c r="G42" s="53">
        <f>IF($A42="","",IF(Trend_Class="الكل",SUMIFS(CD_Late,CD_Date,"&gt;="&amp;$I42,CD_Date,"&lt;="&amp;$J42),SUMIFS(CD_Late,CD_Date,"&gt;="&amp;$I42,CD_Date,"&lt;="&amp;$J42,CD_Class,Trend_Class)))</f>
        <v/>
      </c>
      <c r="H42" s="54">
        <f>IF(OR($A42="",C42=0),"",(D42-IF(LateAsPresent="نعم",0,G42))/C42)</f>
        <v/>
      </c>
      <c r="I42" s="130" t="n">
        <v>46266</v>
      </c>
      <c r="J42" s="130">
        <f>EOMONTH(I42,0)</f>
        <v/>
      </c>
      <c r="S42" s="125" t="n">
        <v>36</v>
      </c>
      <c r="T42" s="125">
        <f>COUNTIFS(Cal_Week,36,Cal_Reg,"&gt;0")</f>
        <v/>
      </c>
      <c r="U42" s="125">
        <f>IF(T42&gt;0,COUNTIF($T$7:T42,"&gt;0"),"")</f>
        <v/>
      </c>
    </row>
    <row r="43">
      <c r="A43" s="131" t="inlineStr">
        <is>
          <t>أكتوبر 2026</t>
        </is>
      </c>
      <c r="B43" s="53">
        <f>COUNTIFS(Cal_Date,"&gt;="&amp;I43,Cal_Date,"&lt;="&amp;J43,Cal_Reg,"&gt;0")</f>
        <v/>
      </c>
      <c r="C43" s="53">
        <f>IF($A43="","",IF(Trend_Class="الكل",SUMIFS(CD_Pres,CD_Date,"&gt;="&amp;$I43,CD_Date,"&lt;="&amp;$J43),SUMIFS(CD_Pres,CD_Date,"&gt;="&amp;$I43,CD_Date,"&lt;="&amp;$J43,CD_Class,Trend_Class))+IF(Trend_Class="الكل",SUMIFS(CD_Abs,CD_Date,"&gt;="&amp;$I43,CD_Date,"&lt;="&amp;$J43),SUMIFS(CD_Abs,CD_Date,"&gt;="&amp;$I43,CD_Date,"&lt;="&amp;$J43,CD_Class,Trend_Class))+IF(Trend_Class="الكل",SUMIFS(CD_Exc,CD_Date,"&gt;="&amp;$I43,CD_Date,"&lt;="&amp;$J43),SUMIFS(CD_Exc,CD_Date,"&gt;="&amp;$I43,CD_Date,"&lt;="&amp;$J43,CD_Class,Trend_Class))+IF(Trend_Class="الكل",SUMIFS(CD_Late,CD_Date,"&gt;="&amp;$I43,CD_Date,"&lt;="&amp;$J43),SUMIFS(CD_Late,CD_Date,"&gt;="&amp;$I43,CD_Date,"&lt;="&amp;$J43,CD_Class,Trend_Class)))</f>
        <v/>
      </c>
      <c r="D43" s="53">
        <f>IF($A43="","",IF(Trend_Class="الكل",SUMIFS(CD_Pres,CD_Date,"&gt;="&amp;$I43,CD_Date,"&lt;="&amp;$J43),SUMIFS(CD_Pres,CD_Date,"&gt;="&amp;$I43,CD_Date,"&lt;="&amp;$J43,CD_Class,Trend_Class))+IF(Trend_Class="الكل",SUMIFS(CD_Late,CD_Date,"&gt;="&amp;$I43,CD_Date,"&lt;="&amp;$J43),SUMIFS(CD_Late,CD_Date,"&gt;="&amp;$I43,CD_Date,"&lt;="&amp;$J43,CD_Class,Trend_Class)))</f>
        <v/>
      </c>
      <c r="E43" s="53">
        <f>IF($A43="","",IF(Trend_Class="الكل",SUMIFS(CD_Abs,CD_Date,"&gt;="&amp;$I43,CD_Date,"&lt;="&amp;$J43),SUMIFS(CD_Abs,CD_Date,"&gt;="&amp;$I43,CD_Date,"&lt;="&amp;$J43,CD_Class,Trend_Class)))</f>
        <v/>
      </c>
      <c r="F43" s="53">
        <f>IF($A43="","",IF(Trend_Class="الكل",SUMIFS(CD_Exc,CD_Date,"&gt;="&amp;$I43,CD_Date,"&lt;="&amp;$J43),SUMIFS(CD_Exc,CD_Date,"&gt;="&amp;$I43,CD_Date,"&lt;="&amp;$J43,CD_Class,Trend_Class)))</f>
        <v/>
      </c>
      <c r="G43" s="53">
        <f>IF($A43="","",IF(Trend_Class="الكل",SUMIFS(CD_Late,CD_Date,"&gt;="&amp;$I43,CD_Date,"&lt;="&amp;$J43),SUMIFS(CD_Late,CD_Date,"&gt;="&amp;$I43,CD_Date,"&lt;="&amp;$J43,CD_Class,Trend_Class)))</f>
        <v/>
      </c>
      <c r="H43" s="54">
        <f>IF(OR($A43="",C43=0),"",(D43-IF(LateAsPresent="نعم",0,G43))/C43)</f>
        <v/>
      </c>
      <c r="I43" s="130" t="n">
        <v>46296</v>
      </c>
      <c r="J43" s="130">
        <f>EOMONTH(I43,0)</f>
        <v/>
      </c>
      <c r="S43" s="125" t="n">
        <v>37</v>
      </c>
      <c r="T43" s="125">
        <f>COUNTIFS(Cal_Week,37,Cal_Reg,"&gt;0")</f>
        <v/>
      </c>
      <c r="U43" s="125">
        <f>IF(T43&gt;0,COUNTIF($T$7:T43,"&gt;0"),"")</f>
        <v/>
      </c>
    </row>
    <row r="44">
      <c r="A44" s="131" t="inlineStr">
        <is>
          <t>نوفمبر 2026</t>
        </is>
      </c>
      <c r="B44" s="53">
        <f>COUNTIFS(Cal_Date,"&gt;="&amp;I44,Cal_Date,"&lt;="&amp;J44,Cal_Reg,"&gt;0")</f>
        <v/>
      </c>
      <c r="C44" s="53">
        <f>IF($A44="","",IF(Trend_Class="الكل",SUMIFS(CD_Pres,CD_Date,"&gt;="&amp;$I44,CD_Date,"&lt;="&amp;$J44),SUMIFS(CD_Pres,CD_Date,"&gt;="&amp;$I44,CD_Date,"&lt;="&amp;$J44,CD_Class,Trend_Class))+IF(Trend_Class="الكل",SUMIFS(CD_Abs,CD_Date,"&gt;="&amp;$I44,CD_Date,"&lt;="&amp;$J44),SUMIFS(CD_Abs,CD_Date,"&gt;="&amp;$I44,CD_Date,"&lt;="&amp;$J44,CD_Class,Trend_Class))+IF(Trend_Class="الكل",SUMIFS(CD_Exc,CD_Date,"&gt;="&amp;$I44,CD_Date,"&lt;="&amp;$J44),SUMIFS(CD_Exc,CD_Date,"&gt;="&amp;$I44,CD_Date,"&lt;="&amp;$J44,CD_Class,Trend_Class))+IF(Trend_Class="الكل",SUMIFS(CD_Late,CD_Date,"&gt;="&amp;$I44,CD_Date,"&lt;="&amp;$J44),SUMIFS(CD_Late,CD_Date,"&gt;="&amp;$I44,CD_Date,"&lt;="&amp;$J44,CD_Class,Trend_Class)))</f>
        <v/>
      </c>
      <c r="D44" s="53">
        <f>IF($A44="","",IF(Trend_Class="الكل",SUMIFS(CD_Pres,CD_Date,"&gt;="&amp;$I44,CD_Date,"&lt;="&amp;$J44),SUMIFS(CD_Pres,CD_Date,"&gt;="&amp;$I44,CD_Date,"&lt;="&amp;$J44,CD_Class,Trend_Class))+IF(Trend_Class="الكل",SUMIFS(CD_Late,CD_Date,"&gt;="&amp;$I44,CD_Date,"&lt;="&amp;$J44),SUMIFS(CD_Late,CD_Date,"&gt;="&amp;$I44,CD_Date,"&lt;="&amp;$J44,CD_Class,Trend_Class)))</f>
        <v/>
      </c>
      <c r="E44" s="53">
        <f>IF($A44="","",IF(Trend_Class="الكل",SUMIFS(CD_Abs,CD_Date,"&gt;="&amp;$I44,CD_Date,"&lt;="&amp;$J44),SUMIFS(CD_Abs,CD_Date,"&gt;="&amp;$I44,CD_Date,"&lt;="&amp;$J44,CD_Class,Trend_Class)))</f>
        <v/>
      </c>
      <c r="F44" s="53">
        <f>IF($A44="","",IF(Trend_Class="الكل",SUMIFS(CD_Exc,CD_Date,"&gt;="&amp;$I44,CD_Date,"&lt;="&amp;$J44),SUMIFS(CD_Exc,CD_Date,"&gt;="&amp;$I44,CD_Date,"&lt;="&amp;$J44,CD_Class,Trend_Class)))</f>
        <v/>
      </c>
      <c r="G44" s="53">
        <f>IF($A44="","",IF(Trend_Class="الكل",SUMIFS(CD_Late,CD_Date,"&gt;="&amp;$I44,CD_Date,"&lt;="&amp;$J44),SUMIFS(CD_Late,CD_Date,"&gt;="&amp;$I44,CD_Date,"&lt;="&amp;$J44,CD_Class,Trend_Class)))</f>
        <v/>
      </c>
      <c r="H44" s="54">
        <f>IF(OR($A44="",C44=0),"",(D44-IF(LateAsPresent="نعم",0,G44))/C44)</f>
        <v/>
      </c>
      <c r="I44" s="130" t="n">
        <v>46327</v>
      </c>
      <c r="J44" s="130">
        <f>EOMONTH(I44,0)</f>
        <v/>
      </c>
      <c r="S44" s="125" t="n">
        <v>38</v>
      </c>
      <c r="T44" s="125">
        <f>COUNTIFS(Cal_Week,38,Cal_Reg,"&gt;0")</f>
        <v/>
      </c>
      <c r="U44" s="125">
        <f>IF(T44&gt;0,COUNTIF($T$7:T44,"&gt;0"),"")</f>
        <v/>
      </c>
    </row>
    <row r="45">
      <c r="A45" s="131" t="inlineStr">
        <is>
          <t>ديسمبر 2026</t>
        </is>
      </c>
      <c r="B45" s="53">
        <f>COUNTIFS(Cal_Date,"&gt;="&amp;I45,Cal_Date,"&lt;="&amp;J45,Cal_Reg,"&gt;0")</f>
        <v/>
      </c>
      <c r="C45" s="53">
        <f>IF($A45="","",IF(Trend_Class="الكل",SUMIFS(CD_Pres,CD_Date,"&gt;="&amp;$I45,CD_Date,"&lt;="&amp;$J45),SUMIFS(CD_Pres,CD_Date,"&gt;="&amp;$I45,CD_Date,"&lt;="&amp;$J45,CD_Class,Trend_Class))+IF(Trend_Class="الكل",SUMIFS(CD_Abs,CD_Date,"&gt;="&amp;$I45,CD_Date,"&lt;="&amp;$J45),SUMIFS(CD_Abs,CD_Date,"&gt;="&amp;$I45,CD_Date,"&lt;="&amp;$J45,CD_Class,Trend_Class))+IF(Trend_Class="الكل",SUMIFS(CD_Exc,CD_Date,"&gt;="&amp;$I45,CD_Date,"&lt;="&amp;$J45),SUMIFS(CD_Exc,CD_Date,"&gt;="&amp;$I45,CD_Date,"&lt;="&amp;$J45,CD_Class,Trend_Class))+IF(Trend_Class="الكل",SUMIFS(CD_Late,CD_Date,"&gt;="&amp;$I45,CD_Date,"&lt;="&amp;$J45),SUMIFS(CD_Late,CD_Date,"&gt;="&amp;$I45,CD_Date,"&lt;="&amp;$J45,CD_Class,Trend_Class)))</f>
        <v/>
      </c>
      <c r="D45" s="53">
        <f>IF($A45="","",IF(Trend_Class="الكل",SUMIFS(CD_Pres,CD_Date,"&gt;="&amp;$I45,CD_Date,"&lt;="&amp;$J45),SUMIFS(CD_Pres,CD_Date,"&gt;="&amp;$I45,CD_Date,"&lt;="&amp;$J45,CD_Class,Trend_Class))+IF(Trend_Class="الكل",SUMIFS(CD_Late,CD_Date,"&gt;="&amp;$I45,CD_Date,"&lt;="&amp;$J45),SUMIFS(CD_Late,CD_Date,"&gt;="&amp;$I45,CD_Date,"&lt;="&amp;$J45,CD_Class,Trend_Class)))</f>
        <v/>
      </c>
      <c r="E45" s="53">
        <f>IF($A45="","",IF(Trend_Class="الكل",SUMIFS(CD_Abs,CD_Date,"&gt;="&amp;$I45,CD_Date,"&lt;="&amp;$J45),SUMIFS(CD_Abs,CD_Date,"&gt;="&amp;$I45,CD_Date,"&lt;="&amp;$J45,CD_Class,Trend_Class)))</f>
        <v/>
      </c>
      <c r="F45" s="53">
        <f>IF($A45="","",IF(Trend_Class="الكل",SUMIFS(CD_Exc,CD_Date,"&gt;="&amp;$I45,CD_Date,"&lt;="&amp;$J45),SUMIFS(CD_Exc,CD_Date,"&gt;="&amp;$I45,CD_Date,"&lt;="&amp;$J45,CD_Class,Trend_Class)))</f>
        <v/>
      </c>
      <c r="G45" s="53">
        <f>IF($A45="","",IF(Trend_Class="الكل",SUMIFS(CD_Late,CD_Date,"&gt;="&amp;$I45,CD_Date,"&lt;="&amp;$J45),SUMIFS(CD_Late,CD_Date,"&gt;="&amp;$I45,CD_Date,"&lt;="&amp;$J45,CD_Class,Trend_Class)))</f>
        <v/>
      </c>
      <c r="H45" s="54">
        <f>IF(OR($A45="",C45=0),"",(D45-IF(LateAsPresent="نعم",0,G45))/C45)</f>
        <v/>
      </c>
      <c r="I45" s="130" t="n">
        <v>46357</v>
      </c>
      <c r="J45" s="130">
        <f>EOMONTH(I45,0)</f>
        <v/>
      </c>
      <c r="S45" s="125" t="n">
        <v>39</v>
      </c>
      <c r="T45" s="125">
        <f>COUNTIFS(Cal_Week,39,Cal_Reg,"&gt;0")</f>
        <v/>
      </c>
      <c r="U45" s="125">
        <f>IF(T45&gt;0,COUNTIF($T$7:T45,"&gt;0"),"")</f>
        <v/>
      </c>
    </row>
    <row r="46">
      <c r="A46" s="131" t="inlineStr">
        <is>
          <t>يناير 2027</t>
        </is>
      </c>
      <c r="B46" s="53">
        <f>COUNTIFS(Cal_Date,"&gt;="&amp;I46,Cal_Date,"&lt;="&amp;J46,Cal_Reg,"&gt;0")</f>
        <v/>
      </c>
      <c r="C46" s="53">
        <f>IF($A46="","",IF(Trend_Class="الكل",SUMIFS(CD_Pres,CD_Date,"&gt;="&amp;$I46,CD_Date,"&lt;="&amp;$J46),SUMIFS(CD_Pres,CD_Date,"&gt;="&amp;$I46,CD_Date,"&lt;="&amp;$J46,CD_Class,Trend_Class))+IF(Trend_Class="الكل",SUMIFS(CD_Abs,CD_Date,"&gt;="&amp;$I46,CD_Date,"&lt;="&amp;$J46),SUMIFS(CD_Abs,CD_Date,"&gt;="&amp;$I46,CD_Date,"&lt;="&amp;$J46,CD_Class,Trend_Class))+IF(Trend_Class="الكل",SUMIFS(CD_Exc,CD_Date,"&gt;="&amp;$I46,CD_Date,"&lt;="&amp;$J46),SUMIFS(CD_Exc,CD_Date,"&gt;="&amp;$I46,CD_Date,"&lt;="&amp;$J46,CD_Class,Trend_Class))+IF(Trend_Class="الكل",SUMIFS(CD_Late,CD_Date,"&gt;="&amp;$I46,CD_Date,"&lt;="&amp;$J46),SUMIFS(CD_Late,CD_Date,"&gt;="&amp;$I46,CD_Date,"&lt;="&amp;$J46,CD_Class,Trend_Class)))</f>
        <v/>
      </c>
      <c r="D46" s="53">
        <f>IF($A46="","",IF(Trend_Class="الكل",SUMIFS(CD_Pres,CD_Date,"&gt;="&amp;$I46,CD_Date,"&lt;="&amp;$J46),SUMIFS(CD_Pres,CD_Date,"&gt;="&amp;$I46,CD_Date,"&lt;="&amp;$J46,CD_Class,Trend_Class))+IF(Trend_Class="الكل",SUMIFS(CD_Late,CD_Date,"&gt;="&amp;$I46,CD_Date,"&lt;="&amp;$J46),SUMIFS(CD_Late,CD_Date,"&gt;="&amp;$I46,CD_Date,"&lt;="&amp;$J46,CD_Class,Trend_Class)))</f>
        <v/>
      </c>
      <c r="E46" s="53">
        <f>IF($A46="","",IF(Trend_Class="الكل",SUMIFS(CD_Abs,CD_Date,"&gt;="&amp;$I46,CD_Date,"&lt;="&amp;$J46),SUMIFS(CD_Abs,CD_Date,"&gt;="&amp;$I46,CD_Date,"&lt;="&amp;$J46,CD_Class,Trend_Class)))</f>
        <v/>
      </c>
      <c r="F46" s="53">
        <f>IF($A46="","",IF(Trend_Class="الكل",SUMIFS(CD_Exc,CD_Date,"&gt;="&amp;$I46,CD_Date,"&lt;="&amp;$J46),SUMIFS(CD_Exc,CD_Date,"&gt;="&amp;$I46,CD_Date,"&lt;="&amp;$J46,CD_Class,Trend_Class)))</f>
        <v/>
      </c>
      <c r="G46" s="53">
        <f>IF($A46="","",IF(Trend_Class="الكل",SUMIFS(CD_Late,CD_Date,"&gt;="&amp;$I46,CD_Date,"&lt;="&amp;$J46),SUMIFS(CD_Late,CD_Date,"&gt;="&amp;$I46,CD_Date,"&lt;="&amp;$J46,CD_Class,Trend_Class)))</f>
        <v/>
      </c>
      <c r="H46" s="54">
        <f>IF(OR($A46="",C46=0),"",(D46-IF(LateAsPresent="نعم",0,G46))/C46)</f>
        <v/>
      </c>
      <c r="I46" s="130" t="n">
        <v>46388</v>
      </c>
      <c r="J46" s="130">
        <f>EOMONTH(I46,0)</f>
        <v/>
      </c>
      <c r="S46" s="125" t="n">
        <v>40</v>
      </c>
      <c r="T46" s="125">
        <f>COUNTIFS(Cal_Week,40,Cal_Reg,"&gt;0")</f>
        <v/>
      </c>
      <c r="U46" s="125">
        <f>IF(T46&gt;0,COUNTIF($T$7:T46,"&gt;0"),"")</f>
        <v/>
      </c>
    </row>
    <row r="47">
      <c r="A47" s="131" t="inlineStr">
        <is>
          <t>فبراير 2027</t>
        </is>
      </c>
      <c r="B47" s="53">
        <f>COUNTIFS(Cal_Date,"&gt;="&amp;I47,Cal_Date,"&lt;="&amp;J47,Cal_Reg,"&gt;0")</f>
        <v/>
      </c>
      <c r="C47" s="53">
        <f>IF($A47="","",IF(Trend_Class="الكل",SUMIFS(CD_Pres,CD_Date,"&gt;="&amp;$I47,CD_Date,"&lt;="&amp;$J47),SUMIFS(CD_Pres,CD_Date,"&gt;="&amp;$I47,CD_Date,"&lt;="&amp;$J47,CD_Class,Trend_Class))+IF(Trend_Class="الكل",SUMIFS(CD_Abs,CD_Date,"&gt;="&amp;$I47,CD_Date,"&lt;="&amp;$J47),SUMIFS(CD_Abs,CD_Date,"&gt;="&amp;$I47,CD_Date,"&lt;="&amp;$J47,CD_Class,Trend_Class))+IF(Trend_Class="الكل",SUMIFS(CD_Exc,CD_Date,"&gt;="&amp;$I47,CD_Date,"&lt;="&amp;$J47),SUMIFS(CD_Exc,CD_Date,"&gt;="&amp;$I47,CD_Date,"&lt;="&amp;$J47,CD_Class,Trend_Class))+IF(Trend_Class="الكل",SUMIFS(CD_Late,CD_Date,"&gt;="&amp;$I47,CD_Date,"&lt;="&amp;$J47),SUMIFS(CD_Late,CD_Date,"&gt;="&amp;$I47,CD_Date,"&lt;="&amp;$J47,CD_Class,Trend_Class)))</f>
        <v/>
      </c>
      <c r="D47" s="53">
        <f>IF($A47="","",IF(Trend_Class="الكل",SUMIFS(CD_Pres,CD_Date,"&gt;="&amp;$I47,CD_Date,"&lt;="&amp;$J47),SUMIFS(CD_Pres,CD_Date,"&gt;="&amp;$I47,CD_Date,"&lt;="&amp;$J47,CD_Class,Trend_Class))+IF(Trend_Class="الكل",SUMIFS(CD_Late,CD_Date,"&gt;="&amp;$I47,CD_Date,"&lt;="&amp;$J47),SUMIFS(CD_Late,CD_Date,"&gt;="&amp;$I47,CD_Date,"&lt;="&amp;$J47,CD_Class,Trend_Class)))</f>
        <v/>
      </c>
      <c r="E47" s="53">
        <f>IF($A47="","",IF(Trend_Class="الكل",SUMIFS(CD_Abs,CD_Date,"&gt;="&amp;$I47,CD_Date,"&lt;="&amp;$J47),SUMIFS(CD_Abs,CD_Date,"&gt;="&amp;$I47,CD_Date,"&lt;="&amp;$J47,CD_Class,Trend_Class)))</f>
        <v/>
      </c>
      <c r="F47" s="53">
        <f>IF($A47="","",IF(Trend_Class="الكل",SUMIFS(CD_Exc,CD_Date,"&gt;="&amp;$I47,CD_Date,"&lt;="&amp;$J47),SUMIFS(CD_Exc,CD_Date,"&gt;="&amp;$I47,CD_Date,"&lt;="&amp;$J47,CD_Class,Trend_Class)))</f>
        <v/>
      </c>
      <c r="G47" s="53">
        <f>IF($A47="","",IF(Trend_Class="الكل",SUMIFS(CD_Late,CD_Date,"&gt;="&amp;$I47,CD_Date,"&lt;="&amp;$J47),SUMIFS(CD_Late,CD_Date,"&gt;="&amp;$I47,CD_Date,"&lt;="&amp;$J47,CD_Class,Trend_Class)))</f>
        <v/>
      </c>
      <c r="H47" s="54">
        <f>IF(OR($A47="",C47=0),"",(D47-IF(LateAsPresent="نعم",0,G47))/C47)</f>
        <v/>
      </c>
      <c r="I47" s="130" t="n">
        <v>46419</v>
      </c>
      <c r="J47" s="130">
        <f>EOMONTH(I47,0)</f>
        <v/>
      </c>
      <c r="S47" s="125" t="n">
        <v>41</v>
      </c>
      <c r="T47" s="125">
        <f>COUNTIFS(Cal_Week,41,Cal_Reg,"&gt;0")</f>
        <v/>
      </c>
      <c r="U47" s="125">
        <f>IF(T47&gt;0,COUNTIF($T$7:T47,"&gt;0"),"")</f>
        <v/>
      </c>
    </row>
    <row r="48">
      <c r="A48" s="131" t="inlineStr">
        <is>
          <t>مارس 2027</t>
        </is>
      </c>
      <c r="B48" s="53">
        <f>COUNTIFS(Cal_Date,"&gt;="&amp;I48,Cal_Date,"&lt;="&amp;J48,Cal_Reg,"&gt;0")</f>
        <v/>
      </c>
      <c r="C48" s="53">
        <f>IF($A48="","",IF(Trend_Class="الكل",SUMIFS(CD_Pres,CD_Date,"&gt;="&amp;$I48,CD_Date,"&lt;="&amp;$J48),SUMIFS(CD_Pres,CD_Date,"&gt;="&amp;$I48,CD_Date,"&lt;="&amp;$J48,CD_Class,Trend_Class))+IF(Trend_Class="الكل",SUMIFS(CD_Abs,CD_Date,"&gt;="&amp;$I48,CD_Date,"&lt;="&amp;$J48),SUMIFS(CD_Abs,CD_Date,"&gt;="&amp;$I48,CD_Date,"&lt;="&amp;$J48,CD_Class,Trend_Class))+IF(Trend_Class="الكل",SUMIFS(CD_Exc,CD_Date,"&gt;="&amp;$I48,CD_Date,"&lt;="&amp;$J48),SUMIFS(CD_Exc,CD_Date,"&gt;="&amp;$I48,CD_Date,"&lt;="&amp;$J48,CD_Class,Trend_Class))+IF(Trend_Class="الكل",SUMIFS(CD_Late,CD_Date,"&gt;="&amp;$I48,CD_Date,"&lt;="&amp;$J48),SUMIFS(CD_Late,CD_Date,"&gt;="&amp;$I48,CD_Date,"&lt;="&amp;$J48,CD_Class,Trend_Class)))</f>
        <v/>
      </c>
      <c r="D48" s="53">
        <f>IF($A48="","",IF(Trend_Class="الكل",SUMIFS(CD_Pres,CD_Date,"&gt;="&amp;$I48,CD_Date,"&lt;="&amp;$J48),SUMIFS(CD_Pres,CD_Date,"&gt;="&amp;$I48,CD_Date,"&lt;="&amp;$J48,CD_Class,Trend_Class))+IF(Trend_Class="الكل",SUMIFS(CD_Late,CD_Date,"&gt;="&amp;$I48,CD_Date,"&lt;="&amp;$J48),SUMIFS(CD_Late,CD_Date,"&gt;="&amp;$I48,CD_Date,"&lt;="&amp;$J48,CD_Class,Trend_Class)))</f>
        <v/>
      </c>
      <c r="E48" s="53">
        <f>IF($A48="","",IF(Trend_Class="الكل",SUMIFS(CD_Abs,CD_Date,"&gt;="&amp;$I48,CD_Date,"&lt;="&amp;$J48),SUMIFS(CD_Abs,CD_Date,"&gt;="&amp;$I48,CD_Date,"&lt;="&amp;$J48,CD_Class,Trend_Class)))</f>
        <v/>
      </c>
      <c r="F48" s="53">
        <f>IF($A48="","",IF(Trend_Class="الكل",SUMIFS(CD_Exc,CD_Date,"&gt;="&amp;$I48,CD_Date,"&lt;="&amp;$J48),SUMIFS(CD_Exc,CD_Date,"&gt;="&amp;$I48,CD_Date,"&lt;="&amp;$J48,CD_Class,Trend_Class)))</f>
        <v/>
      </c>
      <c r="G48" s="53">
        <f>IF($A48="","",IF(Trend_Class="الكل",SUMIFS(CD_Late,CD_Date,"&gt;="&amp;$I48,CD_Date,"&lt;="&amp;$J48),SUMIFS(CD_Late,CD_Date,"&gt;="&amp;$I48,CD_Date,"&lt;="&amp;$J48,CD_Class,Trend_Class)))</f>
        <v/>
      </c>
      <c r="H48" s="54">
        <f>IF(OR($A48="",C48=0),"",(D48-IF(LateAsPresent="نعم",0,G48))/C48)</f>
        <v/>
      </c>
      <c r="I48" s="130" t="n">
        <v>46447</v>
      </c>
      <c r="J48" s="130">
        <f>EOMONTH(I48,0)</f>
        <v/>
      </c>
      <c r="S48" s="125" t="n">
        <v>42</v>
      </c>
      <c r="T48" s="125">
        <f>COUNTIFS(Cal_Week,42,Cal_Reg,"&gt;0")</f>
        <v/>
      </c>
      <c r="U48" s="125">
        <f>IF(T48&gt;0,COUNTIF($T$7:T48,"&gt;0"),"")</f>
        <v/>
      </c>
    </row>
    <row r="49">
      <c r="A49" s="131" t="inlineStr">
        <is>
          <t>أبريل 2027</t>
        </is>
      </c>
      <c r="B49" s="53">
        <f>COUNTIFS(Cal_Date,"&gt;="&amp;I49,Cal_Date,"&lt;="&amp;J49,Cal_Reg,"&gt;0")</f>
        <v/>
      </c>
      <c r="C49" s="53">
        <f>IF($A49="","",IF(Trend_Class="الكل",SUMIFS(CD_Pres,CD_Date,"&gt;="&amp;$I49,CD_Date,"&lt;="&amp;$J49),SUMIFS(CD_Pres,CD_Date,"&gt;="&amp;$I49,CD_Date,"&lt;="&amp;$J49,CD_Class,Trend_Class))+IF(Trend_Class="الكل",SUMIFS(CD_Abs,CD_Date,"&gt;="&amp;$I49,CD_Date,"&lt;="&amp;$J49),SUMIFS(CD_Abs,CD_Date,"&gt;="&amp;$I49,CD_Date,"&lt;="&amp;$J49,CD_Class,Trend_Class))+IF(Trend_Class="الكل",SUMIFS(CD_Exc,CD_Date,"&gt;="&amp;$I49,CD_Date,"&lt;="&amp;$J49),SUMIFS(CD_Exc,CD_Date,"&gt;="&amp;$I49,CD_Date,"&lt;="&amp;$J49,CD_Class,Trend_Class))+IF(Trend_Class="الكل",SUMIFS(CD_Late,CD_Date,"&gt;="&amp;$I49,CD_Date,"&lt;="&amp;$J49),SUMIFS(CD_Late,CD_Date,"&gt;="&amp;$I49,CD_Date,"&lt;="&amp;$J49,CD_Class,Trend_Class)))</f>
        <v/>
      </c>
      <c r="D49" s="53">
        <f>IF($A49="","",IF(Trend_Class="الكل",SUMIFS(CD_Pres,CD_Date,"&gt;="&amp;$I49,CD_Date,"&lt;="&amp;$J49),SUMIFS(CD_Pres,CD_Date,"&gt;="&amp;$I49,CD_Date,"&lt;="&amp;$J49,CD_Class,Trend_Class))+IF(Trend_Class="الكل",SUMIFS(CD_Late,CD_Date,"&gt;="&amp;$I49,CD_Date,"&lt;="&amp;$J49),SUMIFS(CD_Late,CD_Date,"&gt;="&amp;$I49,CD_Date,"&lt;="&amp;$J49,CD_Class,Trend_Class)))</f>
        <v/>
      </c>
      <c r="E49" s="53">
        <f>IF($A49="","",IF(Trend_Class="الكل",SUMIFS(CD_Abs,CD_Date,"&gt;="&amp;$I49,CD_Date,"&lt;="&amp;$J49),SUMIFS(CD_Abs,CD_Date,"&gt;="&amp;$I49,CD_Date,"&lt;="&amp;$J49,CD_Class,Trend_Class)))</f>
        <v/>
      </c>
      <c r="F49" s="53">
        <f>IF($A49="","",IF(Trend_Class="الكل",SUMIFS(CD_Exc,CD_Date,"&gt;="&amp;$I49,CD_Date,"&lt;="&amp;$J49),SUMIFS(CD_Exc,CD_Date,"&gt;="&amp;$I49,CD_Date,"&lt;="&amp;$J49,CD_Class,Trend_Class)))</f>
        <v/>
      </c>
      <c r="G49" s="53">
        <f>IF($A49="","",IF(Trend_Class="الكل",SUMIFS(CD_Late,CD_Date,"&gt;="&amp;$I49,CD_Date,"&lt;="&amp;$J49),SUMIFS(CD_Late,CD_Date,"&gt;="&amp;$I49,CD_Date,"&lt;="&amp;$J49,CD_Class,Trend_Class)))</f>
        <v/>
      </c>
      <c r="H49" s="54">
        <f>IF(OR($A49="",C49=0),"",(D49-IF(LateAsPresent="نعم",0,G49))/C49)</f>
        <v/>
      </c>
      <c r="I49" s="130" t="n">
        <v>46478</v>
      </c>
      <c r="J49" s="130">
        <f>EOMONTH(I49,0)</f>
        <v/>
      </c>
      <c r="S49" s="125" t="n">
        <v>43</v>
      </c>
      <c r="T49" s="125">
        <f>COUNTIFS(Cal_Week,43,Cal_Reg,"&gt;0")</f>
        <v/>
      </c>
      <c r="U49" s="125">
        <f>IF(T49&gt;0,COUNTIF($T$7:T49,"&gt;0"),"")</f>
        <v/>
      </c>
    </row>
    <row r="50">
      <c r="A50" s="131" t="inlineStr">
        <is>
          <t>مايو 2027</t>
        </is>
      </c>
      <c r="B50" s="53">
        <f>COUNTIFS(Cal_Date,"&gt;="&amp;I50,Cal_Date,"&lt;="&amp;J50,Cal_Reg,"&gt;0")</f>
        <v/>
      </c>
      <c r="C50" s="53">
        <f>IF($A50="","",IF(Trend_Class="الكل",SUMIFS(CD_Pres,CD_Date,"&gt;="&amp;$I50,CD_Date,"&lt;="&amp;$J50),SUMIFS(CD_Pres,CD_Date,"&gt;="&amp;$I50,CD_Date,"&lt;="&amp;$J50,CD_Class,Trend_Class))+IF(Trend_Class="الكل",SUMIFS(CD_Abs,CD_Date,"&gt;="&amp;$I50,CD_Date,"&lt;="&amp;$J50),SUMIFS(CD_Abs,CD_Date,"&gt;="&amp;$I50,CD_Date,"&lt;="&amp;$J50,CD_Class,Trend_Class))+IF(Trend_Class="الكل",SUMIFS(CD_Exc,CD_Date,"&gt;="&amp;$I50,CD_Date,"&lt;="&amp;$J50),SUMIFS(CD_Exc,CD_Date,"&gt;="&amp;$I50,CD_Date,"&lt;="&amp;$J50,CD_Class,Trend_Class))+IF(Trend_Class="الكل",SUMIFS(CD_Late,CD_Date,"&gt;="&amp;$I50,CD_Date,"&lt;="&amp;$J50),SUMIFS(CD_Late,CD_Date,"&gt;="&amp;$I50,CD_Date,"&lt;="&amp;$J50,CD_Class,Trend_Class)))</f>
        <v/>
      </c>
      <c r="D50" s="53">
        <f>IF($A50="","",IF(Trend_Class="الكل",SUMIFS(CD_Pres,CD_Date,"&gt;="&amp;$I50,CD_Date,"&lt;="&amp;$J50),SUMIFS(CD_Pres,CD_Date,"&gt;="&amp;$I50,CD_Date,"&lt;="&amp;$J50,CD_Class,Trend_Class))+IF(Trend_Class="الكل",SUMIFS(CD_Late,CD_Date,"&gt;="&amp;$I50,CD_Date,"&lt;="&amp;$J50),SUMIFS(CD_Late,CD_Date,"&gt;="&amp;$I50,CD_Date,"&lt;="&amp;$J50,CD_Class,Trend_Class)))</f>
        <v/>
      </c>
      <c r="E50" s="53">
        <f>IF($A50="","",IF(Trend_Class="الكل",SUMIFS(CD_Abs,CD_Date,"&gt;="&amp;$I50,CD_Date,"&lt;="&amp;$J50),SUMIFS(CD_Abs,CD_Date,"&gt;="&amp;$I50,CD_Date,"&lt;="&amp;$J50,CD_Class,Trend_Class)))</f>
        <v/>
      </c>
      <c r="F50" s="53">
        <f>IF($A50="","",IF(Trend_Class="الكل",SUMIFS(CD_Exc,CD_Date,"&gt;="&amp;$I50,CD_Date,"&lt;="&amp;$J50),SUMIFS(CD_Exc,CD_Date,"&gt;="&amp;$I50,CD_Date,"&lt;="&amp;$J50,CD_Class,Trend_Class)))</f>
        <v/>
      </c>
      <c r="G50" s="53">
        <f>IF($A50="","",IF(Trend_Class="الكل",SUMIFS(CD_Late,CD_Date,"&gt;="&amp;$I50,CD_Date,"&lt;="&amp;$J50),SUMIFS(CD_Late,CD_Date,"&gt;="&amp;$I50,CD_Date,"&lt;="&amp;$J50,CD_Class,Trend_Class)))</f>
        <v/>
      </c>
      <c r="H50" s="54">
        <f>IF(OR($A50="",C50=0),"",(D50-IF(LateAsPresent="نعم",0,G50))/C50)</f>
        <v/>
      </c>
      <c r="I50" s="130" t="n">
        <v>46508</v>
      </c>
      <c r="J50" s="130">
        <f>EOMONTH(I50,0)</f>
        <v/>
      </c>
      <c r="S50" s="125" t="n">
        <v>44</v>
      </c>
      <c r="T50" s="125">
        <f>COUNTIFS(Cal_Week,44,Cal_Reg,"&gt;0")</f>
        <v/>
      </c>
      <c r="U50" s="125">
        <f>IF(T50&gt;0,COUNTIF($T$7:T50,"&gt;0"),"")</f>
        <v/>
      </c>
    </row>
    <row r="51">
      <c r="A51" s="131" t="inlineStr">
        <is>
          <t>يونيو 2027</t>
        </is>
      </c>
      <c r="B51" s="53">
        <f>COUNTIFS(Cal_Date,"&gt;="&amp;I51,Cal_Date,"&lt;="&amp;J51,Cal_Reg,"&gt;0")</f>
        <v/>
      </c>
      <c r="C51" s="53">
        <f>IF($A51="","",IF(Trend_Class="الكل",SUMIFS(CD_Pres,CD_Date,"&gt;="&amp;$I51,CD_Date,"&lt;="&amp;$J51),SUMIFS(CD_Pres,CD_Date,"&gt;="&amp;$I51,CD_Date,"&lt;="&amp;$J51,CD_Class,Trend_Class))+IF(Trend_Class="الكل",SUMIFS(CD_Abs,CD_Date,"&gt;="&amp;$I51,CD_Date,"&lt;="&amp;$J51),SUMIFS(CD_Abs,CD_Date,"&gt;="&amp;$I51,CD_Date,"&lt;="&amp;$J51,CD_Class,Trend_Class))+IF(Trend_Class="الكل",SUMIFS(CD_Exc,CD_Date,"&gt;="&amp;$I51,CD_Date,"&lt;="&amp;$J51),SUMIFS(CD_Exc,CD_Date,"&gt;="&amp;$I51,CD_Date,"&lt;="&amp;$J51,CD_Class,Trend_Class))+IF(Trend_Class="الكل",SUMIFS(CD_Late,CD_Date,"&gt;="&amp;$I51,CD_Date,"&lt;="&amp;$J51),SUMIFS(CD_Late,CD_Date,"&gt;="&amp;$I51,CD_Date,"&lt;="&amp;$J51,CD_Class,Trend_Class)))</f>
        <v/>
      </c>
      <c r="D51" s="53">
        <f>IF($A51="","",IF(Trend_Class="الكل",SUMIFS(CD_Pres,CD_Date,"&gt;="&amp;$I51,CD_Date,"&lt;="&amp;$J51),SUMIFS(CD_Pres,CD_Date,"&gt;="&amp;$I51,CD_Date,"&lt;="&amp;$J51,CD_Class,Trend_Class))+IF(Trend_Class="الكل",SUMIFS(CD_Late,CD_Date,"&gt;="&amp;$I51,CD_Date,"&lt;="&amp;$J51),SUMIFS(CD_Late,CD_Date,"&gt;="&amp;$I51,CD_Date,"&lt;="&amp;$J51,CD_Class,Trend_Class)))</f>
        <v/>
      </c>
      <c r="E51" s="53">
        <f>IF($A51="","",IF(Trend_Class="الكل",SUMIFS(CD_Abs,CD_Date,"&gt;="&amp;$I51,CD_Date,"&lt;="&amp;$J51),SUMIFS(CD_Abs,CD_Date,"&gt;="&amp;$I51,CD_Date,"&lt;="&amp;$J51,CD_Class,Trend_Class)))</f>
        <v/>
      </c>
      <c r="F51" s="53">
        <f>IF($A51="","",IF(Trend_Class="الكل",SUMIFS(CD_Exc,CD_Date,"&gt;="&amp;$I51,CD_Date,"&lt;="&amp;$J51),SUMIFS(CD_Exc,CD_Date,"&gt;="&amp;$I51,CD_Date,"&lt;="&amp;$J51,CD_Class,Trend_Class)))</f>
        <v/>
      </c>
      <c r="G51" s="53">
        <f>IF($A51="","",IF(Trend_Class="الكل",SUMIFS(CD_Late,CD_Date,"&gt;="&amp;$I51,CD_Date,"&lt;="&amp;$J51),SUMIFS(CD_Late,CD_Date,"&gt;="&amp;$I51,CD_Date,"&lt;="&amp;$J51,CD_Class,Trend_Class)))</f>
        <v/>
      </c>
      <c r="H51" s="54">
        <f>IF(OR($A51="",C51=0),"",(D51-IF(LateAsPresent="نعم",0,G51))/C51)</f>
        <v/>
      </c>
      <c r="I51" s="130" t="n">
        <v>46539</v>
      </c>
      <c r="J51" s="130">
        <f>EOMONTH(I51,0)</f>
        <v/>
      </c>
    </row>
    <row r="54">
      <c r="A54" s="21" t="inlineStr">
        <is>
          <t>الفصول الدراسية والعام   |   Terms &amp; academic year</t>
        </is>
      </c>
      <c r="B54" s="22" t="n"/>
      <c r="C54" s="22" t="n"/>
      <c r="D54" s="22" t="n"/>
      <c r="E54" s="22" t="n"/>
      <c r="F54" s="22" t="n"/>
      <c r="G54" s="22" t="n"/>
      <c r="H54" s="22" t="n"/>
    </row>
    <row r="55" ht="28" customHeight="1">
      <c r="A55" s="33" t="inlineStr">
        <is>
          <t>الفترة</t>
        </is>
      </c>
      <c r="B55" s="33" t="inlineStr">
        <is>
          <t>أيام الدراسة المسجَّلة</t>
        </is>
      </c>
      <c r="C55" s="33" t="inlineStr">
        <is>
          <t>المسجَّلون (طفل×يوم)</t>
        </is>
      </c>
      <c r="D55" s="33" t="inlineStr">
        <is>
          <t>الحضور</t>
        </is>
      </c>
      <c r="E55" s="33" t="inlineStr">
        <is>
          <t>غياب بدون عذر</t>
        </is>
      </c>
      <c r="F55" s="33" t="inlineStr">
        <is>
          <t>غياب بعذر</t>
        </is>
      </c>
      <c r="G55" s="33" t="inlineStr">
        <is>
          <t>متأخر</t>
        </is>
      </c>
      <c r="H55" s="33" t="inlineStr">
        <is>
          <t>متوسط نسبة الحضور</t>
        </is>
      </c>
    </row>
    <row r="56">
      <c r="A56" s="131">
        <f>INDEX(TermNames,1)</f>
        <v/>
      </c>
      <c r="B56" s="53">
        <f>COUNTIFS(Cal_Date,"&gt;="&amp;I56,Cal_Date,"&lt;="&amp;J56,Cal_Reg,"&gt;0")</f>
        <v/>
      </c>
      <c r="C56" s="53">
        <f>IF($A56="","",IF(Trend_Class="الكل",SUMIFS(CD_Pres,CD_Date,"&gt;="&amp;$I56,CD_Date,"&lt;="&amp;$J56),SUMIFS(CD_Pres,CD_Date,"&gt;="&amp;$I56,CD_Date,"&lt;="&amp;$J56,CD_Class,Trend_Class))+IF(Trend_Class="الكل",SUMIFS(CD_Abs,CD_Date,"&gt;="&amp;$I56,CD_Date,"&lt;="&amp;$J56),SUMIFS(CD_Abs,CD_Date,"&gt;="&amp;$I56,CD_Date,"&lt;="&amp;$J56,CD_Class,Trend_Class))+IF(Trend_Class="الكل",SUMIFS(CD_Exc,CD_Date,"&gt;="&amp;$I56,CD_Date,"&lt;="&amp;$J56),SUMIFS(CD_Exc,CD_Date,"&gt;="&amp;$I56,CD_Date,"&lt;="&amp;$J56,CD_Class,Trend_Class))+IF(Trend_Class="الكل",SUMIFS(CD_Late,CD_Date,"&gt;="&amp;$I56,CD_Date,"&lt;="&amp;$J56),SUMIFS(CD_Late,CD_Date,"&gt;="&amp;$I56,CD_Date,"&lt;="&amp;$J56,CD_Class,Trend_Class)))</f>
        <v/>
      </c>
      <c r="D56" s="53">
        <f>IF($A56="","",IF(Trend_Class="الكل",SUMIFS(CD_Pres,CD_Date,"&gt;="&amp;$I56,CD_Date,"&lt;="&amp;$J56),SUMIFS(CD_Pres,CD_Date,"&gt;="&amp;$I56,CD_Date,"&lt;="&amp;$J56,CD_Class,Trend_Class))+IF(Trend_Class="الكل",SUMIFS(CD_Late,CD_Date,"&gt;="&amp;$I56,CD_Date,"&lt;="&amp;$J56),SUMIFS(CD_Late,CD_Date,"&gt;="&amp;$I56,CD_Date,"&lt;="&amp;$J56,CD_Class,Trend_Class)))</f>
        <v/>
      </c>
      <c r="E56" s="53">
        <f>IF($A56="","",IF(Trend_Class="الكل",SUMIFS(CD_Abs,CD_Date,"&gt;="&amp;$I56,CD_Date,"&lt;="&amp;$J56),SUMIFS(CD_Abs,CD_Date,"&gt;="&amp;$I56,CD_Date,"&lt;="&amp;$J56,CD_Class,Trend_Class)))</f>
        <v/>
      </c>
      <c r="F56" s="53">
        <f>IF($A56="","",IF(Trend_Class="الكل",SUMIFS(CD_Exc,CD_Date,"&gt;="&amp;$I56,CD_Date,"&lt;="&amp;$J56),SUMIFS(CD_Exc,CD_Date,"&gt;="&amp;$I56,CD_Date,"&lt;="&amp;$J56,CD_Class,Trend_Class)))</f>
        <v/>
      </c>
      <c r="G56" s="53">
        <f>IF($A56="","",IF(Trend_Class="الكل",SUMIFS(CD_Late,CD_Date,"&gt;="&amp;$I56,CD_Date,"&lt;="&amp;$J56),SUMIFS(CD_Late,CD_Date,"&gt;="&amp;$I56,CD_Date,"&lt;="&amp;$J56,CD_Class,Trend_Class)))</f>
        <v/>
      </c>
      <c r="H56" s="54">
        <f>IF(OR($A56="",C56=0),"",(D56-IF(LateAsPresent="نعم",0,G56))/C56)</f>
        <v/>
      </c>
      <c r="I56" s="130">
        <f>INDEX(TermStart,1)</f>
        <v/>
      </c>
      <c r="J56" s="130">
        <f>INDEX(TermEnd,1)</f>
        <v/>
      </c>
    </row>
    <row r="57">
      <c r="A57" s="131">
        <f>INDEX(TermNames,2)</f>
        <v/>
      </c>
      <c r="B57" s="53">
        <f>COUNTIFS(Cal_Date,"&gt;="&amp;I57,Cal_Date,"&lt;="&amp;J57,Cal_Reg,"&gt;0")</f>
        <v/>
      </c>
      <c r="C57" s="53">
        <f>IF($A57="","",IF(Trend_Class="الكل",SUMIFS(CD_Pres,CD_Date,"&gt;="&amp;$I57,CD_Date,"&lt;="&amp;$J57),SUMIFS(CD_Pres,CD_Date,"&gt;="&amp;$I57,CD_Date,"&lt;="&amp;$J57,CD_Class,Trend_Class))+IF(Trend_Class="الكل",SUMIFS(CD_Abs,CD_Date,"&gt;="&amp;$I57,CD_Date,"&lt;="&amp;$J57),SUMIFS(CD_Abs,CD_Date,"&gt;="&amp;$I57,CD_Date,"&lt;="&amp;$J57,CD_Class,Trend_Class))+IF(Trend_Class="الكل",SUMIFS(CD_Exc,CD_Date,"&gt;="&amp;$I57,CD_Date,"&lt;="&amp;$J57),SUMIFS(CD_Exc,CD_Date,"&gt;="&amp;$I57,CD_Date,"&lt;="&amp;$J57,CD_Class,Trend_Class))+IF(Trend_Class="الكل",SUMIFS(CD_Late,CD_Date,"&gt;="&amp;$I57,CD_Date,"&lt;="&amp;$J57),SUMIFS(CD_Late,CD_Date,"&gt;="&amp;$I57,CD_Date,"&lt;="&amp;$J57,CD_Class,Trend_Class)))</f>
        <v/>
      </c>
      <c r="D57" s="53">
        <f>IF($A57="","",IF(Trend_Class="الكل",SUMIFS(CD_Pres,CD_Date,"&gt;="&amp;$I57,CD_Date,"&lt;="&amp;$J57),SUMIFS(CD_Pres,CD_Date,"&gt;="&amp;$I57,CD_Date,"&lt;="&amp;$J57,CD_Class,Trend_Class))+IF(Trend_Class="الكل",SUMIFS(CD_Late,CD_Date,"&gt;="&amp;$I57,CD_Date,"&lt;="&amp;$J57),SUMIFS(CD_Late,CD_Date,"&gt;="&amp;$I57,CD_Date,"&lt;="&amp;$J57,CD_Class,Trend_Class)))</f>
        <v/>
      </c>
      <c r="E57" s="53">
        <f>IF($A57="","",IF(Trend_Class="الكل",SUMIFS(CD_Abs,CD_Date,"&gt;="&amp;$I57,CD_Date,"&lt;="&amp;$J57),SUMIFS(CD_Abs,CD_Date,"&gt;="&amp;$I57,CD_Date,"&lt;="&amp;$J57,CD_Class,Trend_Class)))</f>
        <v/>
      </c>
      <c r="F57" s="53">
        <f>IF($A57="","",IF(Trend_Class="الكل",SUMIFS(CD_Exc,CD_Date,"&gt;="&amp;$I57,CD_Date,"&lt;="&amp;$J57),SUMIFS(CD_Exc,CD_Date,"&gt;="&amp;$I57,CD_Date,"&lt;="&amp;$J57,CD_Class,Trend_Class)))</f>
        <v/>
      </c>
      <c r="G57" s="53">
        <f>IF($A57="","",IF(Trend_Class="الكل",SUMIFS(CD_Late,CD_Date,"&gt;="&amp;$I57,CD_Date,"&lt;="&amp;$J57),SUMIFS(CD_Late,CD_Date,"&gt;="&amp;$I57,CD_Date,"&lt;="&amp;$J57,CD_Class,Trend_Class)))</f>
        <v/>
      </c>
      <c r="H57" s="54">
        <f>IF(OR($A57="",C57=0),"",(D57-IF(LateAsPresent="نعم",0,G57))/C57)</f>
        <v/>
      </c>
      <c r="I57" s="130">
        <f>INDEX(TermStart,2)</f>
        <v/>
      </c>
      <c r="J57" s="130">
        <f>INDEX(TermEnd,2)</f>
        <v/>
      </c>
    </row>
    <row r="58">
      <c r="A58" s="131">
        <f>INDEX(TermNames,3)</f>
        <v/>
      </c>
      <c r="B58" s="53">
        <f>COUNTIFS(Cal_Date,"&gt;="&amp;I58,Cal_Date,"&lt;="&amp;J58,Cal_Reg,"&gt;0")</f>
        <v/>
      </c>
      <c r="C58" s="53">
        <f>IF($A58="","",IF(Trend_Class="الكل",SUMIFS(CD_Pres,CD_Date,"&gt;="&amp;$I58,CD_Date,"&lt;="&amp;$J58),SUMIFS(CD_Pres,CD_Date,"&gt;="&amp;$I58,CD_Date,"&lt;="&amp;$J58,CD_Class,Trend_Class))+IF(Trend_Class="الكل",SUMIFS(CD_Abs,CD_Date,"&gt;="&amp;$I58,CD_Date,"&lt;="&amp;$J58),SUMIFS(CD_Abs,CD_Date,"&gt;="&amp;$I58,CD_Date,"&lt;="&amp;$J58,CD_Class,Trend_Class))+IF(Trend_Class="الكل",SUMIFS(CD_Exc,CD_Date,"&gt;="&amp;$I58,CD_Date,"&lt;="&amp;$J58),SUMIFS(CD_Exc,CD_Date,"&gt;="&amp;$I58,CD_Date,"&lt;="&amp;$J58,CD_Class,Trend_Class))+IF(Trend_Class="الكل",SUMIFS(CD_Late,CD_Date,"&gt;="&amp;$I58,CD_Date,"&lt;="&amp;$J58),SUMIFS(CD_Late,CD_Date,"&gt;="&amp;$I58,CD_Date,"&lt;="&amp;$J58,CD_Class,Trend_Class)))</f>
        <v/>
      </c>
      <c r="D58" s="53">
        <f>IF($A58="","",IF(Trend_Class="الكل",SUMIFS(CD_Pres,CD_Date,"&gt;="&amp;$I58,CD_Date,"&lt;="&amp;$J58),SUMIFS(CD_Pres,CD_Date,"&gt;="&amp;$I58,CD_Date,"&lt;="&amp;$J58,CD_Class,Trend_Class))+IF(Trend_Class="الكل",SUMIFS(CD_Late,CD_Date,"&gt;="&amp;$I58,CD_Date,"&lt;="&amp;$J58),SUMIFS(CD_Late,CD_Date,"&gt;="&amp;$I58,CD_Date,"&lt;="&amp;$J58,CD_Class,Trend_Class)))</f>
        <v/>
      </c>
      <c r="E58" s="53">
        <f>IF($A58="","",IF(Trend_Class="الكل",SUMIFS(CD_Abs,CD_Date,"&gt;="&amp;$I58,CD_Date,"&lt;="&amp;$J58),SUMIFS(CD_Abs,CD_Date,"&gt;="&amp;$I58,CD_Date,"&lt;="&amp;$J58,CD_Class,Trend_Class)))</f>
        <v/>
      </c>
      <c r="F58" s="53">
        <f>IF($A58="","",IF(Trend_Class="الكل",SUMIFS(CD_Exc,CD_Date,"&gt;="&amp;$I58,CD_Date,"&lt;="&amp;$J58),SUMIFS(CD_Exc,CD_Date,"&gt;="&amp;$I58,CD_Date,"&lt;="&amp;$J58,CD_Class,Trend_Class)))</f>
        <v/>
      </c>
      <c r="G58" s="53">
        <f>IF($A58="","",IF(Trend_Class="الكل",SUMIFS(CD_Late,CD_Date,"&gt;="&amp;$I58,CD_Date,"&lt;="&amp;$J58),SUMIFS(CD_Late,CD_Date,"&gt;="&amp;$I58,CD_Date,"&lt;="&amp;$J58,CD_Class,Trend_Class)))</f>
        <v/>
      </c>
      <c r="H58" s="54">
        <f>IF(OR($A58="",C58=0),"",(D58-IF(LateAsPresent="نعم",0,G58))/C58)</f>
        <v/>
      </c>
      <c r="I58" s="130">
        <f>INDEX(TermStart,3)</f>
        <v/>
      </c>
      <c r="J58" s="130">
        <f>INDEX(TermEnd,3)</f>
        <v/>
      </c>
    </row>
    <row r="59">
      <c r="A59" s="132">
        <f>"العام الدراسي "&amp;AcademicYear</f>
        <v/>
      </c>
      <c r="B59" s="53">
        <f>COUNTIFS(Cal_Date,"&gt;="&amp;I59,Cal_Date,"&lt;="&amp;J59,Cal_Reg,"&gt;0")</f>
        <v/>
      </c>
      <c r="C59" s="53">
        <f>IF($A59="","",IF(Trend_Class="الكل",SUMIFS(CD_Pres,CD_Date,"&gt;="&amp;$I59,CD_Date,"&lt;="&amp;$J59),SUMIFS(CD_Pres,CD_Date,"&gt;="&amp;$I59,CD_Date,"&lt;="&amp;$J59,CD_Class,Trend_Class))+IF(Trend_Class="الكل",SUMIFS(CD_Abs,CD_Date,"&gt;="&amp;$I59,CD_Date,"&lt;="&amp;$J59),SUMIFS(CD_Abs,CD_Date,"&gt;="&amp;$I59,CD_Date,"&lt;="&amp;$J59,CD_Class,Trend_Class))+IF(Trend_Class="الكل",SUMIFS(CD_Exc,CD_Date,"&gt;="&amp;$I59,CD_Date,"&lt;="&amp;$J59),SUMIFS(CD_Exc,CD_Date,"&gt;="&amp;$I59,CD_Date,"&lt;="&amp;$J59,CD_Class,Trend_Class))+IF(Trend_Class="الكل",SUMIFS(CD_Late,CD_Date,"&gt;="&amp;$I59,CD_Date,"&lt;="&amp;$J59),SUMIFS(CD_Late,CD_Date,"&gt;="&amp;$I59,CD_Date,"&lt;="&amp;$J59,CD_Class,Trend_Class)))</f>
        <v/>
      </c>
      <c r="D59" s="53">
        <f>IF($A59="","",IF(Trend_Class="الكل",SUMIFS(CD_Pres,CD_Date,"&gt;="&amp;$I59,CD_Date,"&lt;="&amp;$J59),SUMIFS(CD_Pres,CD_Date,"&gt;="&amp;$I59,CD_Date,"&lt;="&amp;$J59,CD_Class,Trend_Class))+IF(Trend_Class="الكل",SUMIFS(CD_Late,CD_Date,"&gt;="&amp;$I59,CD_Date,"&lt;="&amp;$J59),SUMIFS(CD_Late,CD_Date,"&gt;="&amp;$I59,CD_Date,"&lt;="&amp;$J59,CD_Class,Trend_Class)))</f>
        <v/>
      </c>
      <c r="E59" s="53">
        <f>IF($A59="","",IF(Trend_Class="الكل",SUMIFS(CD_Abs,CD_Date,"&gt;="&amp;$I59,CD_Date,"&lt;="&amp;$J59),SUMIFS(CD_Abs,CD_Date,"&gt;="&amp;$I59,CD_Date,"&lt;="&amp;$J59,CD_Class,Trend_Class)))</f>
        <v/>
      </c>
      <c r="F59" s="53">
        <f>IF($A59="","",IF(Trend_Class="الكل",SUMIFS(CD_Exc,CD_Date,"&gt;="&amp;$I59,CD_Date,"&lt;="&amp;$J59),SUMIFS(CD_Exc,CD_Date,"&gt;="&amp;$I59,CD_Date,"&lt;="&amp;$J59,CD_Class,Trend_Class)))</f>
        <v/>
      </c>
      <c r="G59" s="53">
        <f>IF($A59="","",IF(Trend_Class="الكل",SUMIFS(CD_Late,CD_Date,"&gt;="&amp;$I59,CD_Date,"&lt;="&amp;$J59),SUMIFS(CD_Late,CD_Date,"&gt;="&amp;$I59,CD_Date,"&lt;="&amp;$J59,CD_Class,Trend_Class)))</f>
        <v/>
      </c>
      <c r="H59" s="54">
        <f>IF(OR($A59="",C59=0),"",(D59-IF(LateAsPresent="نعم",0,G59))/C59)</f>
        <v/>
      </c>
      <c r="I59" s="130">
        <f>YearStart</f>
        <v/>
      </c>
      <c r="J59" s="130">
        <f>YearEnd</f>
        <v/>
      </c>
    </row>
    <row r="62">
      <c r="A62" s="21" t="inlineStr">
        <is>
          <t>نسبة الحضور الشهرية حسب الصف   |   Monthly attendance rate by class</t>
        </is>
      </c>
      <c r="B62" s="22" t="n"/>
      <c r="C62" s="22" t="n"/>
      <c r="D62" s="22" t="n"/>
      <c r="E62" s="22" t="n"/>
      <c r="F62" s="22" t="n"/>
      <c r="G62" s="22" t="n"/>
      <c r="H62" s="22" t="n"/>
    </row>
    <row r="63" ht="28" customHeight="1">
      <c r="A63" s="33" t="inlineStr">
        <is>
          <t>الشهر</t>
        </is>
      </c>
      <c r="B63" s="33">
        <f>INDEX(ClassList,1)</f>
        <v/>
      </c>
      <c r="C63" s="33">
        <f>INDEX(ClassList,2)</f>
        <v/>
      </c>
      <c r="D63" s="33">
        <f>INDEX(ClassList,3)</f>
        <v/>
      </c>
      <c r="E63" s="33">
        <f>INDEX(ClassList,4)</f>
        <v/>
      </c>
      <c r="F63" s="33">
        <f>INDEX(ClassList,5)</f>
        <v/>
      </c>
      <c r="G63" s="33">
        <f>INDEX(ClassList,6)</f>
        <v/>
      </c>
      <c r="H63" s="33">
        <f>INDEX(ClassList,7)</f>
        <v/>
      </c>
    </row>
    <row r="64">
      <c r="A64" s="131">
        <f>A41</f>
        <v/>
      </c>
      <c r="B64" s="133">
        <f>IF(INDEX(ClassActive,1)&lt;&gt;"نعم","",IF((SUMIFS(CD_Reg,CD_Class,B$63,CD_Date,"&gt;="&amp;$I41,CD_Date,"&lt;="&amp;$J41))=0,"",(SUMIFS(CD_Pres,CD_Class,B$63,CD_Date,"&gt;="&amp;$I41,CD_Date,"&lt;="&amp;$J41)+IF(LateAsPresent="نعم",SUMIFS(CD_Late,CD_Class,B$63,CD_Date,"&gt;="&amp;$I41,CD_Date,"&lt;="&amp;$J41),0))/(SUMIFS(CD_Reg,CD_Class,B$63,CD_Date,"&gt;="&amp;$I41,CD_Date,"&lt;="&amp;$J41))))</f>
        <v/>
      </c>
      <c r="C64" s="133">
        <f>IF(INDEX(ClassActive,2)&lt;&gt;"نعم","",IF((SUMIFS(CD_Reg,CD_Class,C$63,CD_Date,"&gt;="&amp;$I41,CD_Date,"&lt;="&amp;$J41))=0,"",(SUMIFS(CD_Pres,CD_Class,C$63,CD_Date,"&gt;="&amp;$I41,CD_Date,"&lt;="&amp;$J41)+IF(LateAsPresent="نعم",SUMIFS(CD_Late,CD_Class,C$63,CD_Date,"&gt;="&amp;$I41,CD_Date,"&lt;="&amp;$J41),0))/(SUMIFS(CD_Reg,CD_Class,C$63,CD_Date,"&gt;="&amp;$I41,CD_Date,"&lt;="&amp;$J41))))</f>
        <v/>
      </c>
      <c r="D64" s="133">
        <f>IF(INDEX(ClassActive,3)&lt;&gt;"نعم","",IF((SUMIFS(CD_Reg,CD_Class,D$63,CD_Date,"&gt;="&amp;$I41,CD_Date,"&lt;="&amp;$J41))=0,"",(SUMIFS(CD_Pres,CD_Class,D$63,CD_Date,"&gt;="&amp;$I41,CD_Date,"&lt;="&amp;$J41)+IF(LateAsPresent="نعم",SUMIFS(CD_Late,CD_Class,D$63,CD_Date,"&gt;="&amp;$I41,CD_Date,"&lt;="&amp;$J41),0))/(SUMIFS(CD_Reg,CD_Class,D$63,CD_Date,"&gt;="&amp;$I41,CD_Date,"&lt;="&amp;$J41))))</f>
        <v/>
      </c>
      <c r="E64" s="133">
        <f>IF(INDEX(ClassActive,4)&lt;&gt;"نعم","",IF((SUMIFS(CD_Reg,CD_Class,E$63,CD_Date,"&gt;="&amp;$I41,CD_Date,"&lt;="&amp;$J41))=0,"",(SUMIFS(CD_Pres,CD_Class,E$63,CD_Date,"&gt;="&amp;$I41,CD_Date,"&lt;="&amp;$J41)+IF(LateAsPresent="نعم",SUMIFS(CD_Late,CD_Class,E$63,CD_Date,"&gt;="&amp;$I41,CD_Date,"&lt;="&amp;$J41),0))/(SUMIFS(CD_Reg,CD_Class,E$63,CD_Date,"&gt;="&amp;$I41,CD_Date,"&lt;="&amp;$J41))))</f>
        <v/>
      </c>
      <c r="F64" s="133">
        <f>IF(INDEX(ClassActive,5)&lt;&gt;"نعم","",IF((SUMIFS(CD_Reg,CD_Class,F$63,CD_Date,"&gt;="&amp;$I41,CD_Date,"&lt;="&amp;$J41))=0,"",(SUMIFS(CD_Pres,CD_Class,F$63,CD_Date,"&gt;="&amp;$I41,CD_Date,"&lt;="&amp;$J41)+IF(LateAsPresent="نعم",SUMIFS(CD_Late,CD_Class,F$63,CD_Date,"&gt;="&amp;$I41,CD_Date,"&lt;="&amp;$J41),0))/(SUMIFS(CD_Reg,CD_Class,F$63,CD_Date,"&gt;="&amp;$I41,CD_Date,"&lt;="&amp;$J41))))</f>
        <v/>
      </c>
      <c r="G64" s="133">
        <f>IF(INDEX(ClassActive,6)&lt;&gt;"نعم","",IF((SUMIFS(CD_Reg,CD_Class,G$63,CD_Date,"&gt;="&amp;$I41,CD_Date,"&lt;="&amp;$J41))=0,"",(SUMIFS(CD_Pres,CD_Class,G$63,CD_Date,"&gt;="&amp;$I41,CD_Date,"&lt;="&amp;$J41)+IF(LateAsPresent="نعم",SUMIFS(CD_Late,CD_Class,G$63,CD_Date,"&gt;="&amp;$I41,CD_Date,"&lt;="&amp;$J41),0))/(SUMIFS(CD_Reg,CD_Class,G$63,CD_Date,"&gt;="&amp;$I41,CD_Date,"&lt;="&amp;$J41))))</f>
        <v/>
      </c>
      <c r="H64" s="133">
        <f>IF(INDEX(ClassActive,7)&lt;&gt;"نعم","",IF((SUMIFS(CD_Reg,CD_Class,H$63,CD_Date,"&gt;="&amp;$I41,CD_Date,"&lt;="&amp;$J41))=0,"",(SUMIFS(CD_Pres,CD_Class,H$63,CD_Date,"&gt;="&amp;$I41,CD_Date,"&lt;="&amp;$J41)+IF(LateAsPresent="نعم",SUMIFS(CD_Late,CD_Class,H$63,CD_Date,"&gt;="&amp;$I41,CD_Date,"&lt;="&amp;$J41),0))/(SUMIFS(CD_Reg,CD_Class,H$63,CD_Date,"&gt;="&amp;$I41,CD_Date,"&lt;="&amp;$J41))))</f>
        <v/>
      </c>
    </row>
    <row r="65">
      <c r="A65" s="131">
        <f>A42</f>
        <v/>
      </c>
      <c r="B65" s="133">
        <f>IF(INDEX(ClassActive,1)&lt;&gt;"نعم","",IF((SUMIFS(CD_Reg,CD_Class,B$63,CD_Date,"&gt;="&amp;$I42,CD_Date,"&lt;="&amp;$J42))=0,"",(SUMIFS(CD_Pres,CD_Class,B$63,CD_Date,"&gt;="&amp;$I42,CD_Date,"&lt;="&amp;$J42)+IF(LateAsPresent="نعم",SUMIFS(CD_Late,CD_Class,B$63,CD_Date,"&gt;="&amp;$I42,CD_Date,"&lt;="&amp;$J42),0))/(SUMIFS(CD_Reg,CD_Class,B$63,CD_Date,"&gt;="&amp;$I42,CD_Date,"&lt;="&amp;$J42))))</f>
        <v/>
      </c>
      <c r="C65" s="133">
        <f>IF(INDEX(ClassActive,2)&lt;&gt;"نعم","",IF((SUMIFS(CD_Reg,CD_Class,C$63,CD_Date,"&gt;="&amp;$I42,CD_Date,"&lt;="&amp;$J42))=0,"",(SUMIFS(CD_Pres,CD_Class,C$63,CD_Date,"&gt;="&amp;$I42,CD_Date,"&lt;="&amp;$J42)+IF(LateAsPresent="نعم",SUMIFS(CD_Late,CD_Class,C$63,CD_Date,"&gt;="&amp;$I42,CD_Date,"&lt;="&amp;$J42),0))/(SUMIFS(CD_Reg,CD_Class,C$63,CD_Date,"&gt;="&amp;$I42,CD_Date,"&lt;="&amp;$J42))))</f>
        <v/>
      </c>
      <c r="D65" s="133">
        <f>IF(INDEX(ClassActive,3)&lt;&gt;"نعم","",IF((SUMIFS(CD_Reg,CD_Class,D$63,CD_Date,"&gt;="&amp;$I42,CD_Date,"&lt;="&amp;$J42))=0,"",(SUMIFS(CD_Pres,CD_Class,D$63,CD_Date,"&gt;="&amp;$I42,CD_Date,"&lt;="&amp;$J42)+IF(LateAsPresent="نعم",SUMIFS(CD_Late,CD_Class,D$63,CD_Date,"&gt;="&amp;$I42,CD_Date,"&lt;="&amp;$J42),0))/(SUMIFS(CD_Reg,CD_Class,D$63,CD_Date,"&gt;="&amp;$I42,CD_Date,"&lt;="&amp;$J42))))</f>
        <v/>
      </c>
      <c r="E65" s="133">
        <f>IF(INDEX(ClassActive,4)&lt;&gt;"نعم","",IF((SUMIFS(CD_Reg,CD_Class,E$63,CD_Date,"&gt;="&amp;$I42,CD_Date,"&lt;="&amp;$J42))=0,"",(SUMIFS(CD_Pres,CD_Class,E$63,CD_Date,"&gt;="&amp;$I42,CD_Date,"&lt;="&amp;$J42)+IF(LateAsPresent="نعم",SUMIFS(CD_Late,CD_Class,E$63,CD_Date,"&gt;="&amp;$I42,CD_Date,"&lt;="&amp;$J42),0))/(SUMIFS(CD_Reg,CD_Class,E$63,CD_Date,"&gt;="&amp;$I42,CD_Date,"&lt;="&amp;$J42))))</f>
        <v/>
      </c>
      <c r="F65" s="133">
        <f>IF(INDEX(ClassActive,5)&lt;&gt;"نعم","",IF((SUMIFS(CD_Reg,CD_Class,F$63,CD_Date,"&gt;="&amp;$I42,CD_Date,"&lt;="&amp;$J42))=0,"",(SUMIFS(CD_Pres,CD_Class,F$63,CD_Date,"&gt;="&amp;$I42,CD_Date,"&lt;="&amp;$J42)+IF(LateAsPresent="نعم",SUMIFS(CD_Late,CD_Class,F$63,CD_Date,"&gt;="&amp;$I42,CD_Date,"&lt;="&amp;$J42),0))/(SUMIFS(CD_Reg,CD_Class,F$63,CD_Date,"&gt;="&amp;$I42,CD_Date,"&lt;="&amp;$J42))))</f>
        <v/>
      </c>
      <c r="G65" s="133">
        <f>IF(INDEX(ClassActive,6)&lt;&gt;"نعم","",IF((SUMIFS(CD_Reg,CD_Class,G$63,CD_Date,"&gt;="&amp;$I42,CD_Date,"&lt;="&amp;$J42))=0,"",(SUMIFS(CD_Pres,CD_Class,G$63,CD_Date,"&gt;="&amp;$I42,CD_Date,"&lt;="&amp;$J42)+IF(LateAsPresent="نعم",SUMIFS(CD_Late,CD_Class,G$63,CD_Date,"&gt;="&amp;$I42,CD_Date,"&lt;="&amp;$J42),0))/(SUMIFS(CD_Reg,CD_Class,G$63,CD_Date,"&gt;="&amp;$I42,CD_Date,"&lt;="&amp;$J42))))</f>
        <v/>
      </c>
      <c r="H65" s="133">
        <f>IF(INDEX(ClassActive,7)&lt;&gt;"نعم","",IF((SUMIFS(CD_Reg,CD_Class,H$63,CD_Date,"&gt;="&amp;$I42,CD_Date,"&lt;="&amp;$J42))=0,"",(SUMIFS(CD_Pres,CD_Class,H$63,CD_Date,"&gt;="&amp;$I42,CD_Date,"&lt;="&amp;$J42)+IF(LateAsPresent="نعم",SUMIFS(CD_Late,CD_Class,H$63,CD_Date,"&gt;="&amp;$I42,CD_Date,"&lt;="&amp;$J42),0))/(SUMIFS(CD_Reg,CD_Class,H$63,CD_Date,"&gt;="&amp;$I42,CD_Date,"&lt;="&amp;$J42))))</f>
        <v/>
      </c>
    </row>
    <row r="66">
      <c r="A66" s="131">
        <f>A43</f>
        <v/>
      </c>
      <c r="B66" s="133">
        <f>IF(INDEX(ClassActive,1)&lt;&gt;"نعم","",IF((SUMIFS(CD_Reg,CD_Class,B$63,CD_Date,"&gt;="&amp;$I43,CD_Date,"&lt;="&amp;$J43))=0,"",(SUMIFS(CD_Pres,CD_Class,B$63,CD_Date,"&gt;="&amp;$I43,CD_Date,"&lt;="&amp;$J43)+IF(LateAsPresent="نعم",SUMIFS(CD_Late,CD_Class,B$63,CD_Date,"&gt;="&amp;$I43,CD_Date,"&lt;="&amp;$J43),0))/(SUMIFS(CD_Reg,CD_Class,B$63,CD_Date,"&gt;="&amp;$I43,CD_Date,"&lt;="&amp;$J43))))</f>
        <v/>
      </c>
      <c r="C66" s="133">
        <f>IF(INDEX(ClassActive,2)&lt;&gt;"نعم","",IF((SUMIFS(CD_Reg,CD_Class,C$63,CD_Date,"&gt;="&amp;$I43,CD_Date,"&lt;="&amp;$J43))=0,"",(SUMIFS(CD_Pres,CD_Class,C$63,CD_Date,"&gt;="&amp;$I43,CD_Date,"&lt;="&amp;$J43)+IF(LateAsPresent="نعم",SUMIFS(CD_Late,CD_Class,C$63,CD_Date,"&gt;="&amp;$I43,CD_Date,"&lt;="&amp;$J43),0))/(SUMIFS(CD_Reg,CD_Class,C$63,CD_Date,"&gt;="&amp;$I43,CD_Date,"&lt;="&amp;$J43))))</f>
        <v/>
      </c>
      <c r="D66" s="133">
        <f>IF(INDEX(ClassActive,3)&lt;&gt;"نعم","",IF((SUMIFS(CD_Reg,CD_Class,D$63,CD_Date,"&gt;="&amp;$I43,CD_Date,"&lt;="&amp;$J43))=0,"",(SUMIFS(CD_Pres,CD_Class,D$63,CD_Date,"&gt;="&amp;$I43,CD_Date,"&lt;="&amp;$J43)+IF(LateAsPresent="نعم",SUMIFS(CD_Late,CD_Class,D$63,CD_Date,"&gt;="&amp;$I43,CD_Date,"&lt;="&amp;$J43),0))/(SUMIFS(CD_Reg,CD_Class,D$63,CD_Date,"&gt;="&amp;$I43,CD_Date,"&lt;="&amp;$J43))))</f>
        <v/>
      </c>
      <c r="E66" s="133">
        <f>IF(INDEX(ClassActive,4)&lt;&gt;"نعم","",IF((SUMIFS(CD_Reg,CD_Class,E$63,CD_Date,"&gt;="&amp;$I43,CD_Date,"&lt;="&amp;$J43))=0,"",(SUMIFS(CD_Pres,CD_Class,E$63,CD_Date,"&gt;="&amp;$I43,CD_Date,"&lt;="&amp;$J43)+IF(LateAsPresent="نعم",SUMIFS(CD_Late,CD_Class,E$63,CD_Date,"&gt;="&amp;$I43,CD_Date,"&lt;="&amp;$J43),0))/(SUMIFS(CD_Reg,CD_Class,E$63,CD_Date,"&gt;="&amp;$I43,CD_Date,"&lt;="&amp;$J43))))</f>
        <v/>
      </c>
      <c r="F66" s="133">
        <f>IF(INDEX(ClassActive,5)&lt;&gt;"نعم","",IF((SUMIFS(CD_Reg,CD_Class,F$63,CD_Date,"&gt;="&amp;$I43,CD_Date,"&lt;="&amp;$J43))=0,"",(SUMIFS(CD_Pres,CD_Class,F$63,CD_Date,"&gt;="&amp;$I43,CD_Date,"&lt;="&amp;$J43)+IF(LateAsPresent="نعم",SUMIFS(CD_Late,CD_Class,F$63,CD_Date,"&gt;="&amp;$I43,CD_Date,"&lt;="&amp;$J43),0))/(SUMIFS(CD_Reg,CD_Class,F$63,CD_Date,"&gt;="&amp;$I43,CD_Date,"&lt;="&amp;$J43))))</f>
        <v/>
      </c>
      <c r="G66" s="133">
        <f>IF(INDEX(ClassActive,6)&lt;&gt;"نعم","",IF((SUMIFS(CD_Reg,CD_Class,G$63,CD_Date,"&gt;="&amp;$I43,CD_Date,"&lt;="&amp;$J43))=0,"",(SUMIFS(CD_Pres,CD_Class,G$63,CD_Date,"&gt;="&amp;$I43,CD_Date,"&lt;="&amp;$J43)+IF(LateAsPresent="نعم",SUMIFS(CD_Late,CD_Class,G$63,CD_Date,"&gt;="&amp;$I43,CD_Date,"&lt;="&amp;$J43),0))/(SUMIFS(CD_Reg,CD_Class,G$63,CD_Date,"&gt;="&amp;$I43,CD_Date,"&lt;="&amp;$J43))))</f>
        <v/>
      </c>
      <c r="H66" s="133">
        <f>IF(INDEX(ClassActive,7)&lt;&gt;"نعم","",IF((SUMIFS(CD_Reg,CD_Class,H$63,CD_Date,"&gt;="&amp;$I43,CD_Date,"&lt;="&amp;$J43))=0,"",(SUMIFS(CD_Pres,CD_Class,H$63,CD_Date,"&gt;="&amp;$I43,CD_Date,"&lt;="&amp;$J43)+IF(LateAsPresent="نعم",SUMIFS(CD_Late,CD_Class,H$63,CD_Date,"&gt;="&amp;$I43,CD_Date,"&lt;="&amp;$J43),0))/(SUMIFS(CD_Reg,CD_Class,H$63,CD_Date,"&gt;="&amp;$I43,CD_Date,"&lt;="&amp;$J43))))</f>
        <v/>
      </c>
    </row>
    <row r="67">
      <c r="A67" s="131">
        <f>A44</f>
        <v/>
      </c>
      <c r="B67" s="133">
        <f>IF(INDEX(ClassActive,1)&lt;&gt;"نعم","",IF((SUMIFS(CD_Reg,CD_Class,B$63,CD_Date,"&gt;="&amp;$I44,CD_Date,"&lt;="&amp;$J44))=0,"",(SUMIFS(CD_Pres,CD_Class,B$63,CD_Date,"&gt;="&amp;$I44,CD_Date,"&lt;="&amp;$J44)+IF(LateAsPresent="نعم",SUMIFS(CD_Late,CD_Class,B$63,CD_Date,"&gt;="&amp;$I44,CD_Date,"&lt;="&amp;$J44),0))/(SUMIFS(CD_Reg,CD_Class,B$63,CD_Date,"&gt;="&amp;$I44,CD_Date,"&lt;="&amp;$J44))))</f>
        <v/>
      </c>
      <c r="C67" s="133">
        <f>IF(INDEX(ClassActive,2)&lt;&gt;"نعم","",IF((SUMIFS(CD_Reg,CD_Class,C$63,CD_Date,"&gt;="&amp;$I44,CD_Date,"&lt;="&amp;$J44))=0,"",(SUMIFS(CD_Pres,CD_Class,C$63,CD_Date,"&gt;="&amp;$I44,CD_Date,"&lt;="&amp;$J44)+IF(LateAsPresent="نعم",SUMIFS(CD_Late,CD_Class,C$63,CD_Date,"&gt;="&amp;$I44,CD_Date,"&lt;="&amp;$J44),0))/(SUMIFS(CD_Reg,CD_Class,C$63,CD_Date,"&gt;="&amp;$I44,CD_Date,"&lt;="&amp;$J44))))</f>
        <v/>
      </c>
      <c r="D67" s="133">
        <f>IF(INDEX(ClassActive,3)&lt;&gt;"نعم","",IF((SUMIFS(CD_Reg,CD_Class,D$63,CD_Date,"&gt;="&amp;$I44,CD_Date,"&lt;="&amp;$J44))=0,"",(SUMIFS(CD_Pres,CD_Class,D$63,CD_Date,"&gt;="&amp;$I44,CD_Date,"&lt;="&amp;$J44)+IF(LateAsPresent="نعم",SUMIFS(CD_Late,CD_Class,D$63,CD_Date,"&gt;="&amp;$I44,CD_Date,"&lt;="&amp;$J44),0))/(SUMIFS(CD_Reg,CD_Class,D$63,CD_Date,"&gt;="&amp;$I44,CD_Date,"&lt;="&amp;$J44))))</f>
        <v/>
      </c>
      <c r="E67" s="133">
        <f>IF(INDEX(ClassActive,4)&lt;&gt;"نعم","",IF((SUMIFS(CD_Reg,CD_Class,E$63,CD_Date,"&gt;="&amp;$I44,CD_Date,"&lt;="&amp;$J44))=0,"",(SUMIFS(CD_Pres,CD_Class,E$63,CD_Date,"&gt;="&amp;$I44,CD_Date,"&lt;="&amp;$J44)+IF(LateAsPresent="نعم",SUMIFS(CD_Late,CD_Class,E$63,CD_Date,"&gt;="&amp;$I44,CD_Date,"&lt;="&amp;$J44),0))/(SUMIFS(CD_Reg,CD_Class,E$63,CD_Date,"&gt;="&amp;$I44,CD_Date,"&lt;="&amp;$J44))))</f>
        <v/>
      </c>
      <c r="F67" s="133">
        <f>IF(INDEX(ClassActive,5)&lt;&gt;"نعم","",IF((SUMIFS(CD_Reg,CD_Class,F$63,CD_Date,"&gt;="&amp;$I44,CD_Date,"&lt;="&amp;$J44))=0,"",(SUMIFS(CD_Pres,CD_Class,F$63,CD_Date,"&gt;="&amp;$I44,CD_Date,"&lt;="&amp;$J44)+IF(LateAsPresent="نعم",SUMIFS(CD_Late,CD_Class,F$63,CD_Date,"&gt;="&amp;$I44,CD_Date,"&lt;="&amp;$J44),0))/(SUMIFS(CD_Reg,CD_Class,F$63,CD_Date,"&gt;="&amp;$I44,CD_Date,"&lt;="&amp;$J44))))</f>
        <v/>
      </c>
      <c r="G67" s="133">
        <f>IF(INDEX(ClassActive,6)&lt;&gt;"نعم","",IF((SUMIFS(CD_Reg,CD_Class,G$63,CD_Date,"&gt;="&amp;$I44,CD_Date,"&lt;="&amp;$J44))=0,"",(SUMIFS(CD_Pres,CD_Class,G$63,CD_Date,"&gt;="&amp;$I44,CD_Date,"&lt;="&amp;$J44)+IF(LateAsPresent="نعم",SUMIFS(CD_Late,CD_Class,G$63,CD_Date,"&gt;="&amp;$I44,CD_Date,"&lt;="&amp;$J44),0))/(SUMIFS(CD_Reg,CD_Class,G$63,CD_Date,"&gt;="&amp;$I44,CD_Date,"&lt;="&amp;$J44))))</f>
        <v/>
      </c>
      <c r="H67" s="133">
        <f>IF(INDEX(ClassActive,7)&lt;&gt;"نعم","",IF((SUMIFS(CD_Reg,CD_Class,H$63,CD_Date,"&gt;="&amp;$I44,CD_Date,"&lt;="&amp;$J44))=0,"",(SUMIFS(CD_Pres,CD_Class,H$63,CD_Date,"&gt;="&amp;$I44,CD_Date,"&lt;="&amp;$J44)+IF(LateAsPresent="نعم",SUMIFS(CD_Late,CD_Class,H$63,CD_Date,"&gt;="&amp;$I44,CD_Date,"&lt;="&amp;$J44),0))/(SUMIFS(CD_Reg,CD_Class,H$63,CD_Date,"&gt;="&amp;$I44,CD_Date,"&lt;="&amp;$J44))))</f>
        <v/>
      </c>
    </row>
    <row r="68">
      <c r="A68" s="131">
        <f>A45</f>
        <v/>
      </c>
      <c r="B68" s="133">
        <f>IF(INDEX(ClassActive,1)&lt;&gt;"نعم","",IF((SUMIFS(CD_Reg,CD_Class,B$63,CD_Date,"&gt;="&amp;$I45,CD_Date,"&lt;="&amp;$J45))=0,"",(SUMIFS(CD_Pres,CD_Class,B$63,CD_Date,"&gt;="&amp;$I45,CD_Date,"&lt;="&amp;$J45)+IF(LateAsPresent="نعم",SUMIFS(CD_Late,CD_Class,B$63,CD_Date,"&gt;="&amp;$I45,CD_Date,"&lt;="&amp;$J45),0))/(SUMIFS(CD_Reg,CD_Class,B$63,CD_Date,"&gt;="&amp;$I45,CD_Date,"&lt;="&amp;$J45))))</f>
        <v/>
      </c>
      <c r="C68" s="133">
        <f>IF(INDEX(ClassActive,2)&lt;&gt;"نعم","",IF((SUMIFS(CD_Reg,CD_Class,C$63,CD_Date,"&gt;="&amp;$I45,CD_Date,"&lt;="&amp;$J45))=0,"",(SUMIFS(CD_Pres,CD_Class,C$63,CD_Date,"&gt;="&amp;$I45,CD_Date,"&lt;="&amp;$J45)+IF(LateAsPresent="نعم",SUMIFS(CD_Late,CD_Class,C$63,CD_Date,"&gt;="&amp;$I45,CD_Date,"&lt;="&amp;$J45),0))/(SUMIFS(CD_Reg,CD_Class,C$63,CD_Date,"&gt;="&amp;$I45,CD_Date,"&lt;="&amp;$J45))))</f>
        <v/>
      </c>
      <c r="D68" s="133">
        <f>IF(INDEX(ClassActive,3)&lt;&gt;"نعم","",IF((SUMIFS(CD_Reg,CD_Class,D$63,CD_Date,"&gt;="&amp;$I45,CD_Date,"&lt;="&amp;$J45))=0,"",(SUMIFS(CD_Pres,CD_Class,D$63,CD_Date,"&gt;="&amp;$I45,CD_Date,"&lt;="&amp;$J45)+IF(LateAsPresent="نعم",SUMIFS(CD_Late,CD_Class,D$63,CD_Date,"&gt;="&amp;$I45,CD_Date,"&lt;="&amp;$J45),0))/(SUMIFS(CD_Reg,CD_Class,D$63,CD_Date,"&gt;="&amp;$I45,CD_Date,"&lt;="&amp;$J45))))</f>
        <v/>
      </c>
      <c r="E68" s="133">
        <f>IF(INDEX(ClassActive,4)&lt;&gt;"نعم","",IF((SUMIFS(CD_Reg,CD_Class,E$63,CD_Date,"&gt;="&amp;$I45,CD_Date,"&lt;="&amp;$J45))=0,"",(SUMIFS(CD_Pres,CD_Class,E$63,CD_Date,"&gt;="&amp;$I45,CD_Date,"&lt;="&amp;$J45)+IF(LateAsPresent="نعم",SUMIFS(CD_Late,CD_Class,E$63,CD_Date,"&gt;="&amp;$I45,CD_Date,"&lt;="&amp;$J45),0))/(SUMIFS(CD_Reg,CD_Class,E$63,CD_Date,"&gt;="&amp;$I45,CD_Date,"&lt;="&amp;$J45))))</f>
        <v/>
      </c>
      <c r="F68" s="133">
        <f>IF(INDEX(ClassActive,5)&lt;&gt;"نعم","",IF((SUMIFS(CD_Reg,CD_Class,F$63,CD_Date,"&gt;="&amp;$I45,CD_Date,"&lt;="&amp;$J45))=0,"",(SUMIFS(CD_Pres,CD_Class,F$63,CD_Date,"&gt;="&amp;$I45,CD_Date,"&lt;="&amp;$J45)+IF(LateAsPresent="نعم",SUMIFS(CD_Late,CD_Class,F$63,CD_Date,"&gt;="&amp;$I45,CD_Date,"&lt;="&amp;$J45),0))/(SUMIFS(CD_Reg,CD_Class,F$63,CD_Date,"&gt;="&amp;$I45,CD_Date,"&lt;="&amp;$J45))))</f>
        <v/>
      </c>
      <c r="G68" s="133">
        <f>IF(INDEX(ClassActive,6)&lt;&gt;"نعم","",IF((SUMIFS(CD_Reg,CD_Class,G$63,CD_Date,"&gt;="&amp;$I45,CD_Date,"&lt;="&amp;$J45))=0,"",(SUMIFS(CD_Pres,CD_Class,G$63,CD_Date,"&gt;="&amp;$I45,CD_Date,"&lt;="&amp;$J45)+IF(LateAsPresent="نعم",SUMIFS(CD_Late,CD_Class,G$63,CD_Date,"&gt;="&amp;$I45,CD_Date,"&lt;="&amp;$J45),0))/(SUMIFS(CD_Reg,CD_Class,G$63,CD_Date,"&gt;="&amp;$I45,CD_Date,"&lt;="&amp;$J45))))</f>
        <v/>
      </c>
      <c r="H68" s="133">
        <f>IF(INDEX(ClassActive,7)&lt;&gt;"نعم","",IF((SUMIFS(CD_Reg,CD_Class,H$63,CD_Date,"&gt;="&amp;$I45,CD_Date,"&lt;="&amp;$J45))=0,"",(SUMIFS(CD_Pres,CD_Class,H$63,CD_Date,"&gt;="&amp;$I45,CD_Date,"&lt;="&amp;$J45)+IF(LateAsPresent="نعم",SUMIFS(CD_Late,CD_Class,H$63,CD_Date,"&gt;="&amp;$I45,CD_Date,"&lt;="&amp;$J45),0))/(SUMIFS(CD_Reg,CD_Class,H$63,CD_Date,"&gt;="&amp;$I45,CD_Date,"&lt;="&amp;$J45))))</f>
        <v/>
      </c>
    </row>
    <row r="69">
      <c r="A69" s="131">
        <f>A46</f>
        <v/>
      </c>
      <c r="B69" s="133">
        <f>IF(INDEX(ClassActive,1)&lt;&gt;"نعم","",IF((SUMIFS(CD_Reg,CD_Class,B$63,CD_Date,"&gt;="&amp;$I46,CD_Date,"&lt;="&amp;$J46))=0,"",(SUMIFS(CD_Pres,CD_Class,B$63,CD_Date,"&gt;="&amp;$I46,CD_Date,"&lt;="&amp;$J46)+IF(LateAsPresent="نعم",SUMIFS(CD_Late,CD_Class,B$63,CD_Date,"&gt;="&amp;$I46,CD_Date,"&lt;="&amp;$J46),0))/(SUMIFS(CD_Reg,CD_Class,B$63,CD_Date,"&gt;="&amp;$I46,CD_Date,"&lt;="&amp;$J46))))</f>
        <v/>
      </c>
      <c r="C69" s="133">
        <f>IF(INDEX(ClassActive,2)&lt;&gt;"نعم","",IF((SUMIFS(CD_Reg,CD_Class,C$63,CD_Date,"&gt;="&amp;$I46,CD_Date,"&lt;="&amp;$J46))=0,"",(SUMIFS(CD_Pres,CD_Class,C$63,CD_Date,"&gt;="&amp;$I46,CD_Date,"&lt;="&amp;$J46)+IF(LateAsPresent="نعم",SUMIFS(CD_Late,CD_Class,C$63,CD_Date,"&gt;="&amp;$I46,CD_Date,"&lt;="&amp;$J46),0))/(SUMIFS(CD_Reg,CD_Class,C$63,CD_Date,"&gt;="&amp;$I46,CD_Date,"&lt;="&amp;$J46))))</f>
        <v/>
      </c>
      <c r="D69" s="133">
        <f>IF(INDEX(ClassActive,3)&lt;&gt;"نعم","",IF((SUMIFS(CD_Reg,CD_Class,D$63,CD_Date,"&gt;="&amp;$I46,CD_Date,"&lt;="&amp;$J46))=0,"",(SUMIFS(CD_Pres,CD_Class,D$63,CD_Date,"&gt;="&amp;$I46,CD_Date,"&lt;="&amp;$J46)+IF(LateAsPresent="نعم",SUMIFS(CD_Late,CD_Class,D$63,CD_Date,"&gt;="&amp;$I46,CD_Date,"&lt;="&amp;$J46),0))/(SUMIFS(CD_Reg,CD_Class,D$63,CD_Date,"&gt;="&amp;$I46,CD_Date,"&lt;="&amp;$J46))))</f>
        <v/>
      </c>
      <c r="E69" s="133">
        <f>IF(INDEX(ClassActive,4)&lt;&gt;"نعم","",IF((SUMIFS(CD_Reg,CD_Class,E$63,CD_Date,"&gt;="&amp;$I46,CD_Date,"&lt;="&amp;$J46))=0,"",(SUMIFS(CD_Pres,CD_Class,E$63,CD_Date,"&gt;="&amp;$I46,CD_Date,"&lt;="&amp;$J46)+IF(LateAsPresent="نعم",SUMIFS(CD_Late,CD_Class,E$63,CD_Date,"&gt;="&amp;$I46,CD_Date,"&lt;="&amp;$J46),0))/(SUMIFS(CD_Reg,CD_Class,E$63,CD_Date,"&gt;="&amp;$I46,CD_Date,"&lt;="&amp;$J46))))</f>
        <v/>
      </c>
      <c r="F69" s="133">
        <f>IF(INDEX(ClassActive,5)&lt;&gt;"نعم","",IF((SUMIFS(CD_Reg,CD_Class,F$63,CD_Date,"&gt;="&amp;$I46,CD_Date,"&lt;="&amp;$J46))=0,"",(SUMIFS(CD_Pres,CD_Class,F$63,CD_Date,"&gt;="&amp;$I46,CD_Date,"&lt;="&amp;$J46)+IF(LateAsPresent="نعم",SUMIFS(CD_Late,CD_Class,F$63,CD_Date,"&gt;="&amp;$I46,CD_Date,"&lt;="&amp;$J46),0))/(SUMIFS(CD_Reg,CD_Class,F$63,CD_Date,"&gt;="&amp;$I46,CD_Date,"&lt;="&amp;$J46))))</f>
        <v/>
      </c>
      <c r="G69" s="133">
        <f>IF(INDEX(ClassActive,6)&lt;&gt;"نعم","",IF((SUMIFS(CD_Reg,CD_Class,G$63,CD_Date,"&gt;="&amp;$I46,CD_Date,"&lt;="&amp;$J46))=0,"",(SUMIFS(CD_Pres,CD_Class,G$63,CD_Date,"&gt;="&amp;$I46,CD_Date,"&lt;="&amp;$J46)+IF(LateAsPresent="نعم",SUMIFS(CD_Late,CD_Class,G$63,CD_Date,"&gt;="&amp;$I46,CD_Date,"&lt;="&amp;$J46),0))/(SUMIFS(CD_Reg,CD_Class,G$63,CD_Date,"&gt;="&amp;$I46,CD_Date,"&lt;="&amp;$J46))))</f>
        <v/>
      </c>
      <c r="H69" s="133">
        <f>IF(INDEX(ClassActive,7)&lt;&gt;"نعم","",IF((SUMIFS(CD_Reg,CD_Class,H$63,CD_Date,"&gt;="&amp;$I46,CD_Date,"&lt;="&amp;$J46))=0,"",(SUMIFS(CD_Pres,CD_Class,H$63,CD_Date,"&gt;="&amp;$I46,CD_Date,"&lt;="&amp;$J46)+IF(LateAsPresent="نعم",SUMIFS(CD_Late,CD_Class,H$63,CD_Date,"&gt;="&amp;$I46,CD_Date,"&lt;="&amp;$J46),0))/(SUMIFS(CD_Reg,CD_Class,H$63,CD_Date,"&gt;="&amp;$I46,CD_Date,"&lt;="&amp;$J46))))</f>
        <v/>
      </c>
    </row>
    <row r="70">
      <c r="A70" s="131">
        <f>A47</f>
        <v/>
      </c>
      <c r="B70" s="133">
        <f>IF(INDEX(ClassActive,1)&lt;&gt;"نعم","",IF((SUMIFS(CD_Reg,CD_Class,B$63,CD_Date,"&gt;="&amp;$I47,CD_Date,"&lt;="&amp;$J47))=0,"",(SUMIFS(CD_Pres,CD_Class,B$63,CD_Date,"&gt;="&amp;$I47,CD_Date,"&lt;="&amp;$J47)+IF(LateAsPresent="نعم",SUMIFS(CD_Late,CD_Class,B$63,CD_Date,"&gt;="&amp;$I47,CD_Date,"&lt;="&amp;$J47),0))/(SUMIFS(CD_Reg,CD_Class,B$63,CD_Date,"&gt;="&amp;$I47,CD_Date,"&lt;="&amp;$J47))))</f>
        <v/>
      </c>
      <c r="C70" s="133">
        <f>IF(INDEX(ClassActive,2)&lt;&gt;"نعم","",IF((SUMIFS(CD_Reg,CD_Class,C$63,CD_Date,"&gt;="&amp;$I47,CD_Date,"&lt;="&amp;$J47))=0,"",(SUMIFS(CD_Pres,CD_Class,C$63,CD_Date,"&gt;="&amp;$I47,CD_Date,"&lt;="&amp;$J47)+IF(LateAsPresent="نعم",SUMIFS(CD_Late,CD_Class,C$63,CD_Date,"&gt;="&amp;$I47,CD_Date,"&lt;="&amp;$J47),0))/(SUMIFS(CD_Reg,CD_Class,C$63,CD_Date,"&gt;="&amp;$I47,CD_Date,"&lt;="&amp;$J47))))</f>
        <v/>
      </c>
      <c r="D70" s="133">
        <f>IF(INDEX(ClassActive,3)&lt;&gt;"نعم","",IF((SUMIFS(CD_Reg,CD_Class,D$63,CD_Date,"&gt;="&amp;$I47,CD_Date,"&lt;="&amp;$J47))=0,"",(SUMIFS(CD_Pres,CD_Class,D$63,CD_Date,"&gt;="&amp;$I47,CD_Date,"&lt;="&amp;$J47)+IF(LateAsPresent="نعم",SUMIFS(CD_Late,CD_Class,D$63,CD_Date,"&gt;="&amp;$I47,CD_Date,"&lt;="&amp;$J47),0))/(SUMIFS(CD_Reg,CD_Class,D$63,CD_Date,"&gt;="&amp;$I47,CD_Date,"&lt;="&amp;$J47))))</f>
        <v/>
      </c>
      <c r="E70" s="133">
        <f>IF(INDEX(ClassActive,4)&lt;&gt;"نعم","",IF((SUMIFS(CD_Reg,CD_Class,E$63,CD_Date,"&gt;="&amp;$I47,CD_Date,"&lt;="&amp;$J47))=0,"",(SUMIFS(CD_Pres,CD_Class,E$63,CD_Date,"&gt;="&amp;$I47,CD_Date,"&lt;="&amp;$J47)+IF(LateAsPresent="نعم",SUMIFS(CD_Late,CD_Class,E$63,CD_Date,"&gt;="&amp;$I47,CD_Date,"&lt;="&amp;$J47),0))/(SUMIFS(CD_Reg,CD_Class,E$63,CD_Date,"&gt;="&amp;$I47,CD_Date,"&lt;="&amp;$J47))))</f>
        <v/>
      </c>
      <c r="F70" s="133">
        <f>IF(INDEX(ClassActive,5)&lt;&gt;"نعم","",IF((SUMIFS(CD_Reg,CD_Class,F$63,CD_Date,"&gt;="&amp;$I47,CD_Date,"&lt;="&amp;$J47))=0,"",(SUMIFS(CD_Pres,CD_Class,F$63,CD_Date,"&gt;="&amp;$I47,CD_Date,"&lt;="&amp;$J47)+IF(LateAsPresent="نعم",SUMIFS(CD_Late,CD_Class,F$63,CD_Date,"&gt;="&amp;$I47,CD_Date,"&lt;="&amp;$J47),0))/(SUMIFS(CD_Reg,CD_Class,F$63,CD_Date,"&gt;="&amp;$I47,CD_Date,"&lt;="&amp;$J47))))</f>
        <v/>
      </c>
      <c r="G70" s="133">
        <f>IF(INDEX(ClassActive,6)&lt;&gt;"نعم","",IF((SUMIFS(CD_Reg,CD_Class,G$63,CD_Date,"&gt;="&amp;$I47,CD_Date,"&lt;="&amp;$J47))=0,"",(SUMIFS(CD_Pres,CD_Class,G$63,CD_Date,"&gt;="&amp;$I47,CD_Date,"&lt;="&amp;$J47)+IF(LateAsPresent="نعم",SUMIFS(CD_Late,CD_Class,G$63,CD_Date,"&gt;="&amp;$I47,CD_Date,"&lt;="&amp;$J47),0))/(SUMIFS(CD_Reg,CD_Class,G$63,CD_Date,"&gt;="&amp;$I47,CD_Date,"&lt;="&amp;$J47))))</f>
        <v/>
      </c>
      <c r="H70" s="133">
        <f>IF(INDEX(ClassActive,7)&lt;&gt;"نعم","",IF((SUMIFS(CD_Reg,CD_Class,H$63,CD_Date,"&gt;="&amp;$I47,CD_Date,"&lt;="&amp;$J47))=0,"",(SUMIFS(CD_Pres,CD_Class,H$63,CD_Date,"&gt;="&amp;$I47,CD_Date,"&lt;="&amp;$J47)+IF(LateAsPresent="نعم",SUMIFS(CD_Late,CD_Class,H$63,CD_Date,"&gt;="&amp;$I47,CD_Date,"&lt;="&amp;$J47),0))/(SUMIFS(CD_Reg,CD_Class,H$63,CD_Date,"&gt;="&amp;$I47,CD_Date,"&lt;="&amp;$J47))))</f>
        <v/>
      </c>
    </row>
    <row r="71">
      <c r="A71" s="131">
        <f>A48</f>
        <v/>
      </c>
      <c r="B71" s="133">
        <f>IF(INDEX(ClassActive,1)&lt;&gt;"نعم","",IF((SUMIFS(CD_Reg,CD_Class,B$63,CD_Date,"&gt;="&amp;$I48,CD_Date,"&lt;="&amp;$J48))=0,"",(SUMIFS(CD_Pres,CD_Class,B$63,CD_Date,"&gt;="&amp;$I48,CD_Date,"&lt;="&amp;$J48)+IF(LateAsPresent="نعم",SUMIFS(CD_Late,CD_Class,B$63,CD_Date,"&gt;="&amp;$I48,CD_Date,"&lt;="&amp;$J48),0))/(SUMIFS(CD_Reg,CD_Class,B$63,CD_Date,"&gt;="&amp;$I48,CD_Date,"&lt;="&amp;$J48))))</f>
        <v/>
      </c>
      <c r="C71" s="133">
        <f>IF(INDEX(ClassActive,2)&lt;&gt;"نعم","",IF((SUMIFS(CD_Reg,CD_Class,C$63,CD_Date,"&gt;="&amp;$I48,CD_Date,"&lt;="&amp;$J48))=0,"",(SUMIFS(CD_Pres,CD_Class,C$63,CD_Date,"&gt;="&amp;$I48,CD_Date,"&lt;="&amp;$J48)+IF(LateAsPresent="نعم",SUMIFS(CD_Late,CD_Class,C$63,CD_Date,"&gt;="&amp;$I48,CD_Date,"&lt;="&amp;$J48),0))/(SUMIFS(CD_Reg,CD_Class,C$63,CD_Date,"&gt;="&amp;$I48,CD_Date,"&lt;="&amp;$J48))))</f>
        <v/>
      </c>
      <c r="D71" s="133">
        <f>IF(INDEX(ClassActive,3)&lt;&gt;"نعم","",IF((SUMIFS(CD_Reg,CD_Class,D$63,CD_Date,"&gt;="&amp;$I48,CD_Date,"&lt;="&amp;$J48))=0,"",(SUMIFS(CD_Pres,CD_Class,D$63,CD_Date,"&gt;="&amp;$I48,CD_Date,"&lt;="&amp;$J48)+IF(LateAsPresent="نعم",SUMIFS(CD_Late,CD_Class,D$63,CD_Date,"&gt;="&amp;$I48,CD_Date,"&lt;="&amp;$J48),0))/(SUMIFS(CD_Reg,CD_Class,D$63,CD_Date,"&gt;="&amp;$I48,CD_Date,"&lt;="&amp;$J48))))</f>
        <v/>
      </c>
      <c r="E71" s="133">
        <f>IF(INDEX(ClassActive,4)&lt;&gt;"نعم","",IF((SUMIFS(CD_Reg,CD_Class,E$63,CD_Date,"&gt;="&amp;$I48,CD_Date,"&lt;="&amp;$J48))=0,"",(SUMIFS(CD_Pres,CD_Class,E$63,CD_Date,"&gt;="&amp;$I48,CD_Date,"&lt;="&amp;$J48)+IF(LateAsPresent="نعم",SUMIFS(CD_Late,CD_Class,E$63,CD_Date,"&gt;="&amp;$I48,CD_Date,"&lt;="&amp;$J48),0))/(SUMIFS(CD_Reg,CD_Class,E$63,CD_Date,"&gt;="&amp;$I48,CD_Date,"&lt;="&amp;$J48))))</f>
        <v/>
      </c>
      <c r="F71" s="133">
        <f>IF(INDEX(ClassActive,5)&lt;&gt;"نعم","",IF((SUMIFS(CD_Reg,CD_Class,F$63,CD_Date,"&gt;="&amp;$I48,CD_Date,"&lt;="&amp;$J48))=0,"",(SUMIFS(CD_Pres,CD_Class,F$63,CD_Date,"&gt;="&amp;$I48,CD_Date,"&lt;="&amp;$J48)+IF(LateAsPresent="نعم",SUMIFS(CD_Late,CD_Class,F$63,CD_Date,"&gt;="&amp;$I48,CD_Date,"&lt;="&amp;$J48),0))/(SUMIFS(CD_Reg,CD_Class,F$63,CD_Date,"&gt;="&amp;$I48,CD_Date,"&lt;="&amp;$J48))))</f>
        <v/>
      </c>
      <c r="G71" s="133">
        <f>IF(INDEX(ClassActive,6)&lt;&gt;"نعم","",IF((SUMIFS(CD_Reg,CD_Class,G$63,CD_Date,"&gt;="&amp;$I48,CD_Date,"&lt;="&amp;$J48))=0,"",(SUMIFS(CD_Pres,CD_Class,G$63,CD_Date,"&gt;="&amp;$I48,CD_Date,"&lt;="&amp;$J48)+IF(LateAsPresent="نعم",SUMIFS(CD_Late,CD_Class,G$63,CD_Date,"&gt;="&amp;$I48,CD_Date,"&lt;="&amp;$J48),0))/(SUMIFS(CD_Reg,CD_Class,G$63,CD_Date,"&gt;="&amp;$I48,CD_Date,"&lt;="&amp;$J48))))</f>
        <v/>
      </c>
      <c r="H71" s="133">
        <f>IF(INDEX(ClassActive,7)&lt;&gt;"نعم","",IF((SUMIFS(CD_Reg,CD_Class,H$63,CD_Date,"&gt;="&amp;$I48,CD_Date,"&lt;="&amp;$J48))=0,"",(SUMIFS(CD_Pres,CD_Class,H$63,CD_Date,"&gt;="&amp;$I48,CD_Date,"&lt;="&amp;$J48)+IF(LateAsPresent="نعم",SUMIFS(CD_Late,CD_Class,H$63,CD_Date,"&gt;="&amp;$I48,CD_Date,"&lt;="&amp;$J48),0))/(SUMIFS(CD_Reg,CD_Class,H$63,CD_Date,"&gt;="&amp;$I48,CD_Date,"&lt;="&amp;$J48))))</f>
        <v/>
      </c>
    </row>
    <row r="72">
      <c r="A72" s="131">
        <f>A49</f>
        <v/>
      </c>
      <c r="B72" s="133">
        <f>IF(INDEX(ClassActive,1)&lt;&gt;"نعم","",IF((SUMIFS(CD_Reg,CD_Class,B$63,CD_Date,"&gt;="&amp;$I49,CD_Date,"&lt;="&amp;$J49))=0,"",(SUMIFS(CD_Pres,CD_Class,B$63,CD_Date,"&gt;="&amp;$I49,CD_Date,"&lt;="&amp;$J49)+IF(LateAsPresent="نعم",SUMIFS(CD_Late,CD_Class,B$63,CD_Date,"&gt;="&amp;$I49,CD_Date,"&lt;="&amp;$J49),0))/(SUMIFS(CD_Reg,CD_Class,B$63,CD_Date,"&gt;="&amp;$I49,CD_Date,"&lt;="&amp;$J49))))</f>
        <v/>
      </c>
      <c r="C72" s="133">
        <f>IF(INDEX(ClassActive,2)&lt;&gt;"نعم","",IF((SUMIFS(CD_Reg,CD_Class,C$63,CD_Date,"&gt;="&amp;$I49,CD_Date,"&lt;="&amp;$J49))=0,"",(SUMIFS(CD_Pres,CD_Class,C$63,CD_Date,"&gt;="&amp;$I49,CD_Date,"&lt;="&amp;$J49)+IF(LateAsPresent="نعم",SUMIFS(CD_Late,CD_Class,C$63,CD_Date,"&gt;="&amp;$I49,CD_Date,"&lt;="&amp;$J49),0))/(SUMIFS(CD_Reg,CD_Class,C$63,CD_Date,"&gt;="&amp;$I49,CD_Date,"&lt;="&amp;$J49))))</f>
        <v/>
      </c>
      <c r="D72" s="133">
        <f>IF(INDEX(ClassActive,3)&lt;&gt;"نعم","",IF((SUMIFS(CD_Reg,CD_Class,D$63,CD_Date,"&gt;="&amp;$I49,CD_Date,"&lt;="&amp;$J49))=0,"",(SUMIFS(CD_Pres,CD_Class,D$63,CD_Date,"&gt;="&amp;$I49,CD_Date,"&lt;="&amp;$J49)+IF(LateAsPresent="نعم",SUMIFS(CD_Late,CD_Class,D$63,CD_Date,"&gt;="&amp;$I49,CD_Date,"&lt;="&amp;$J49),0))/(SUMIFS(CD_Reg,CD_Class,D$63,CD_Date,"&gt;="&amp;$I49,CD_Date,"&lt;="&amp;$J49))))</f>
        <v/>
      </c>
      <c r="E72" s="133">
        <f>IF(INDEX(ClassActive,4)&lt;&gt;"نعم","",IF((SUMIFS(CD_Reg,CD_Class,E$63,CD_Date,"&gt;="&amp;$I49,CD_Date,"&lt;="&amp;$J49))=0,"",(SUMIFS(CD_Pres,CD_Class,E$63,CD_Date,"&gt;="&amp;$I49,CD_Date,"&lt;="&amp;$J49)+IF(LateAsPresent="نعم",SUMIFS(CD_Late,CD_Class,E$63,CD_Date,"&gt;="&amp;$I49,CD_Date,"&lt;="&amp;$J49),0))/(SUMIFS(CD_Reg,CD_Class,E$63,CD_Date,"&gt;="&amp;$I49,CD_Date,"&lt;="&amp;$J49))))</f>
        <v/>
      </c>
      <c r="F72" s="133">
        <f>IF(INDEX(ClassActive,5)&lt;&gt;"نعم","",IF((SUMIFS(CD_Reg,CD_Class,F$63,CD_Date,"&gt;="&amp;$I49,CD_Date,"&lt;="&amp;$J49))=0,"",(SUMIFS(CD_Pres,CD_Class,F$63,CD_Date,"&gt;="&amp;$I49,CD_Date,"&lt;="&amp;$J49)+IF(LateAsPresent="نعم",SUMIFS(CD_Late,CD_Class,F$63,CD_Date,"&gt;="&amp;$I49,CD_Date,"&lt;="&amp;$J49),0))/(SUMIFS(CD_Reg,CD_Class,F$63,CD_Date,"&gt;="&amp;$I49,CD_Date,"&lt;="&amp;$J49))))</f>
        <v/>
      </c>
      <c r="G72" s="133">
        <f>IF(INDEX(ClassActive,6)&lt;&gt;"نعم","",IF((SUMIFS(CD_Reg,CD_Class,G$63,CD_Date,"&gt;="&amp;$I49,CD_Date,"&lt;="&amp;$J49))=0,"",(SUMIFS(CD_Pres,CD_Class,G$63,CD_Date,"&gt;="&amp;$I49,CD_Date,"&lt;="&amp;$J49)+IF(LateAsPresent="نعم",SUMIFS(CD_Late,CD_Class,G$63,CD_Date,"&gt;="&amp;$I49,CD_Date,"&lt;="&amp;$J49),0))/(SUMIFS(CD_Reg,CD_Class,G$63,CD_Date,"&gt;="&amp;$I49,CD_Date,"&lt;="&amp;$J49))))</f>
        <v/>
      </c>
      <c r="H72" s="133">
        <f>IF(INDEX(ClassActive,7)&lt;&gt;"نعم","",IF((SUMIFS(CD_Reg,CD_Class,H$63,CD_Date,"&gt;="&amp;$I49,CD_Date,"&lt;="&amp;$J49))=0,"",(SUMIFS(CD_Pres,CD_Class,H$63,CD_Date,"&gt;="&amp;$I49,CD_Date,"&lt;="&amp;$J49)+IF(LateAsPresent="نعم",SUMIFS(CD_Late,CD_Class,H$63,CD_Date,"&gt;="&amp;$I49,CD_Date,"&lt;="&amp;$J49),0))/(SUMIFS(CD_Reg,CD_Class,H$63,CD_Date,"&gt;="&amp;$I49,CD_Date,"&lt;="&amp;$J49))))</f>
        <v/>
      </c>
    </row>
    <row r="73">
      <c r="A73" s="131">
        <f>A50</f>
        <v/>
      </c>
      <c r="B73" s="133">
        <f>IF(INDEX(ClassActive,1)&lt;&gt;"نعم","",IF((SUMIFS(CD_Reg,CD_Class,B$63,CD_Date,"&gt;="&amp;$I50,CD_Date,"&lt;="&amp;$J50))=0,"",(SUMIFS(CD_Pres,CD_Class,B$63,CD_Date,"&gt;="&amp;$I50,CD_Date,"&lt;="&amp;$J50)+IF(LateAsPresent="نعم",SUMIFS(CD_Late,CD_Class,B$63,CD_Date,"&gt;="&amp;$I50,CD_Date,"&lt;="&amp;$J50),0))/(SUMIFS(CD_Reg,CD_Class,B$63,CD_Date,"&gt;="&amp;$I50,CD_Date,"&lt;="&amp;$J50))))</f>
        <v/>
      </c>
      <c r="C73" s="133">
        <f>IF(INDEX(ClassActive,2)&lt;&gt;"نعم","",IF((SUMIFS(CD_Reg,CD_Class,C$63,CD_Date,"&gt;="&amp;$I50,CD_Date,"&lt;="&amp;$J50))=0,"",(SUMIFS(CD_Pres,CD_Class,C$63,CD_Date,"&gt;="&amp;$I50,CD_Date,"&lt;="&amp;$J50)+IF(LateAsPresent="نعم",SUMIFS(CD_Late,CD_Class,C$63,CD_Date,"&gt;="&amp;$I50,CD_Date,"&lt;="&amp;$J50),0))/(SUMIFS(CD_Reg,CD_Class,C$63,CD_Date,"&gt;="&amp;$I50,CD_Date,"&lt;="&amp;$J50))))</f>
        <v/>
      </c>
      <c r="D73" s="133">
        <f>IF(INDEX(ClassActive,3)&lt;&gt;"نعم","",IF((SUMIFS(CD_Reg,CD_Class,D$63,CD_Date,"&gt;="&amp;$I50,CD_Date,"&lt;="&amp;$J50))=0,"",(SUMIFS(CD_Pres,CD_Class,D$63,CD_Date,"&gt;="&amp;$I50,CD_Date,"&lt;="&amp;$J50)+IF(LateAsPresent="نعم",SUMIFS(CD_Late,CD_Class,D$63,CD_Date,"&gt;="&amp;$I50,CD_Date,"&lt;="&amp;$J50),0))/(SUMIFS(CD_Reg,CD_Class,D$63,CD_Date,"&gt;="&amp;$I50,CD_Date,"&lt;="&amp;$J50))))</f>
        <v/>
      </c>
      <c r="E73" s="133">
        <f>IF(INDEX(ClassActive,4)&lt;&gt;"نعم","",IF((SUMIFS(CD_Reg,CD_Class,E$63,CD_Date,"&gt;="&amp;$I50,CD_Date,"&lt;="&amp;$J50))=0,"",(SUMIFS(CD_Pres,CD_Class,E$63,CD_Date,"&gt;="&amp;$I50,CD_Date,"&lt;="&amp;$J50)+IF(LateAsPresent="نعم",SUMIFS(CD_Late,CD_Class,E$63,CD_Date,"&gt;="&amp;$I50,CD_Date,"&lt;="&amp;$J50),0))/(SUMIFS(CD_Reg,CD_Class,E$63,CD_Date,"&gt;="&amp;$I50,CD_Date,"&lt;="&amp;$J50))))</f>
        <v/>
      </c>
      <c r="F73" s="133">
        <f>IF(INDEX(ClassActive,5)&lt;&gt;"نعم","",IF((SUMIFS(CD_Reg,CD_Class,F$63,CD_Date,"&gt;="&amp;$I50,CD_Date,"&lt;="&amp;$J50))=0,"",(SUMIFS(CD_Pres,CD_Class,F$63,CD_Date,"&gt;="&amp;$I50,CD_Date,"&lt;="&amp;$J50)+IF(LateAsPresent="نعم",SUMIFS(CD_Late,CD_Class,F$63,CD_Date,"&gt;="&amp;$I50,CD_Date,"&lt;="&amp;$J50),0))/(SUMIFS(CD_Reg,CD_Class,F$63,CD_Date,"&gt;="&amp;$I50,CD_Date,"&lt;="&amp;$J50))))</f>
        <v/>
      </c>
      <c r="G73" s="133">
        <f>IF(INDEX(ClassActive,6)&lt;&gt;"نعم","",IF((SUMIFS(CD_Reg,CD_Class,G$63,CD_Date,"&gt;="&amp;$I50,CD_Date,"&lt;="&amp;$J50))=0,"",(SUMIFS(CD_Pres,CD_Class,G$63,CD_Date,"&gt;="&amp;$I50,CD_Date,"&lt;="&amp;$J50)+IF(LateAsPresent="نعم",SUMIFS(CD_Late,CD_Class,G$63,CD_Date,"&gt;="&amp;$I50,CD_Date,"&lt;="&amp;$J50),0))/(SUMIFS(CD_Reg,CD_Class,G$63,CD_Date,"&gt;="&amp;$I50,CD_Date,"&lt;="&amp;$J50))))</f>
        <v/>
      </c>
      <c r="H73" s="133">
        <f>IF(INDEX(ClassActive,7)&lt;&gt;"نعم","",IF((SUMIFS(CD_Reg,CD_Class,H$63,CD_Date,"&gt;="&amp;$I50,CD_Date,"&lt;="&amp;$J50))=0,"",(SUMIFS(CD_Pres,CD_Class,H$63,CD_Date,"&gt;="&amp;$I50,CD_Date,"&lt;="&amp;$J50)+IF(LateAsPresent="نعم",SUMIFS(CD_Late,CD_Class,H$63,CD_Date,"&gt;="&amp;$I50,CD_Date,"&lt;="&amp;$J50),0))/(SUMIFS(CD_Reg,CD_Class,H$63,CD_Date,"&gt;="&amp;$I50,CD_Date,"&lt;="&amp;$J50))))</f>
        <v/>
      </c>
    </row>
    <row r="74">
      <c r="A74" s="131">
        <f>A51</f>
        <v/>
      </c>
      <c r="B74" s="133">
        <f>IF(INDEX(ClassActive,1)&lt;&gt;"نعم","",IF((SUMIFS(CD_Reg,CD_Class,B$63,CD_Date,"&gt;="&amp;$I51,CD_Date,"&lt;="&amp;$J51))=0,"",(SUMIFS(CD_Pres,CD_Class,B$63,CD_Date,"&gt;="&amp;$I51,CD_Date,"&lt;="&amp;$J51)+IF(LateAsPresent="نعم",SUMIFS(CD_Late,CD_Class,B$63,CD_Date,"&gt;="&amp;$I51,CD_Date,"&lt;="&amp;$J51),0))/(SUMIFS(CD_Reg,CD_Class,B$63,CD_Date,"&gt;="&amp;$I51,CD_Date,"&lt;="&amp;$J51))))</f>
        <v/>
      </c>
      <c r="C74" s="133">
        <f>IF(INDEX(ClassActive,2)&lt;&gt;"نعم","",IF((SUMIFS(CD_Reg,CD_Class,C$63,CD_Date,"&gt;="&amp;$I51,CD_Date,"&lt;="&amp;$J51))=0,"",(SUMIFS(CD_Pres,CD_Class,C$63,CD_Date,"&gt;="&amp;$I51,CD_Date,"&lt;="&amp;$J51)+IF(LateAsPresent="نعم",SUMIFS(CD_Late,CD_Class,C$63,CD_Date,"&gt;="&amp;$I51,CD_Date,"&lt;="&amp;$J51),0))/(SUMIFS(CD_Reg,CD_Class,C$63,CD_Date,"&gt;="&amp;$I51,CD_Date,"&lt;="&amp;$J51))))</f>
        <v/>
      </c>
      <c r="D74" s="133">
        <f>IF(INDEX(ClassActive,3)&lt;&gt;"نعم","",IF((SUMIFS(CD_Reg,CD_Class,D$63,CD_Date,"&gt;="&amp;$I51,CD_Date,"&lt;="&amp;$J51))=0,"",(SUMIFS(CD_Pres,CD_Class,D$63,CD_Date,"&gt;="&amp;$I51,CD_Date,"&lt;="&amp;$J51)+IF(LateAsPresent="نعم",SUMIFS(CD_Late,CD_Class,D$63,CD_Date,"&gt;="&amp;$I51,CD_Date,"&lt;="&amp;$J51),0))/(SUMIFS(CD_Reg,CD_Class,D$63,CD_Date,"&gt;="&amp;$I51,CD_Date,"&lt;="&amp;$J51))))</f>
        <v/>
      </c>
      <c r="E74" s="133">
        <f>IF(INDEX(ClassActive,4)&lt;&gt;"نعم","",IF((SUMIFS(CD_Reg,CD_Class,E$63,CD_Date,"&gt;="&amp;$I51,CD_Date,"&lt;="&amp;$J51))=0,"",(SUMIFS(CD_Pres,CD_Class,E$63,CD_Date,"&gt;="&amp;$I51,CD_Date,"&lt;="&amp;$J51)+IF(LateAsPresent="نعم",SUMIFS(CD_Late,CD_Class,E$63,CD_Date,"&gt;="&amp;$I51,CD_Date,"&lt;="&amp;$J51),0))/(SUMIFS(CD_Reg,CD_Class,E$63,CD_Date,"&gt;="&amp;$I51,CD_Date,"&lt;="&amp;$J51))))</f>
        <v/>
      </c>
      <c r="F74" s="133">
        <f>IF(INDEX(ClassActive,5)&lt;&gt;"نعم","",IF((SUMIFS(CD_Reg,CD_Class,F$63,CD_Date,"&gt;="&amp;$I51,CD_Date,"&lt;="&amp;$J51))=0,"",(SUMIFS(CD_Pres,CD_Class,F$63,CD_Date,"&gt;="&amp;$I51,CD_Date,"&lt;="&amp;$J51)+IF(LateAsPresent="نعم",SUMIFS(CD_Late,CD_Class,F$63,CD_Date,"&gt;="&amp;$I51,CD_Date,"&lt;="&amp;$J51),0))/(SUMIFS(CD_Reg,CD_Class,F$63,CD_Date,"&gt;="&amp;$I51,CD_Date,"&lt;="&amp;$J51))))</f>
        <v/>
      </c>
      <c r="G74" s="133">
        <f>IF(INDEX(ClassActive,6)&lt;&gt;"نعم","",IF((SUMIFS(CD_Reg,CD_Class,G$63,CD_Date,"&gt;="&amp;$I51,CD_Date,"&lt;="&amp;$J51))=0,"",(SUMIFS(CD_Pres,CD_Class,G$63,CD_Date,"&gt;="&amp;$I51,CD_Date,"&lt;="&amp;$J51)+IF(LateAsPresent="نعم",SUMIFS(CD_Late,CD_Class,G$63,CD_Date,"&gt;="&amp;$I51,CD_Date,"&lt;="&amp;$J51),0))/(SUMIFS(CD_Reg,CD_Class,G$63,CD_Date,"&gt;="&amp;$I51,CD_Date,"&lt;="&amp;$J51))))</f>
        <v/>
      </c>
      <c r="H74" s="133">
        <f>IF(INDEX(ClassActive,7)&lt;&gt;"نعم","",IF((SUMIFS(CD_Reg,CD_Class,H$63,CD_Date,"&gt;="&amp;$I51,CD_Date,"&lt;="&amp;$J51))=0,"",(SUMIFS(CD_Pres,CD_Class,H$63,CD_Date,"&gt;="&amp;$I51,CD_Date,"&lt;="&amp;$J51)+IF(LateAsPresent="نعم",SUMIFS(CD_Late,CD_Class,H$63,CD_Date,"&gt;="&amp;$I51,CD_Date,"&lt;="&amp;$J51),0))/(SUMIFS(CD_Reg,CD_Class,H$63,CD_Date,"&gt;="&amp;$I51,CD_Date,"&lt;="&amp;$J51))))</f>
        <v/>
      </c>
    </row>
    <row r="75">
      <c r="A75" s="46" t="inlineStr">
        <is>
          <t>التلوين: أحمر &lt; 80% · أصفر ≈ 90% · أخضر = 100%. الخلايا الفارغة = لا توجد بيانات مسجَّلة.</t>
        </is>
      </c>
    </row>
  </sheetData>
  <sheetProtection selectLockedCells="0" selectUnlockedCells="0" sheet="1" objects="0" insertRows="1" insertHyperlinks="1" autoFilter="0" scenarios="0" formatColumns="0" deleteColumns="1" insertColumns="1" pivotTables="1" deleteRows="1" formatCells="1" formatRows="0" sort="0"/>
  <conditionalFormatting sqref="B64:H74">
    <cfRule type="colorScale" priority="1">
      <colorScale>
        <cfvo type="num" val="0.8"/>
        <cfvo type="num" val="0.9"/>
        <cfvo type="num" val="1"/>
        <color rgb="00F8B4B4"/>
        <color rgb="00FFF4CC"/>
        <color rgb="00C8E6C9"/>
      </colorScale>
    </cfRule>
  </conditionalFormatting>
  <dataValidations count="1">
    <dataValidation sqref="B4" showDropDown="0" showInputMessage="1" showErrorMessage="1" allowBlank="0" type="list">
      <formula1>'الإعدادات'!$G$42:$G$49</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001F3A5F"/>
    <outlinePr summaryBelow="1" summaryRight="1"/>
    <pageSetUpPr fitToPage="1"/>
  </sheetPr>
  <dimension ref="A1:K110"/>
  <sheetViews>
    <sheetView showGridLines="0" rightToLeft="1" zoomScale="100" workbookViewId="0">
      <selection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2" customWidth="1" min="6" max="6"/>
    <col width="14" customWidth="1" min="7" max="7"/>
    <col width="18" customWidth="1" min="8" max="8"/>
    <col width="20" customWidth="1" min="10" max="10"/>
    <col width="14" customWidth="1" min="11" max="11"/>
  </cols>
  <sheetData>
    <row r="1" ht="46" customHeight="1">
      <c r="A1" s="1">
        <f>SchoolName</f>
        <v/>
      </c>
    </row>
    <row r="2" ht="30" customHeight="1">
      <c r="A2" s="2">
        <f>"نطاق "&amp;SchoolZone</f>
        <v/>
      </c>
      <c r="J2" s="134" t="inlineStr">
        <is>
          <t>التاريخ الفعّال</t>
        </is>
      </c>
      <c r="K2" s="130">
        <f>IF(Rpt_DateInput="",LastRecorded,Rpt_DateInput)</f>
        <v/>
      </c>
    </row>
    <row r="3" ht="26" customHeight="1">
      <c r="A3" s="135">
        <f>"ملخص الحضور والغياب – "&amp;SectionName&amp;"   |   KG1 Attendance Summary"</f>
        <v/>
      </c>
      <c r="B3" s="136" t="n"/>
      <c r="C3" s="136" t="n"/>
      <c r="D3" s="136" t="n"/>
      <c r="E3" s="136" t="n"/>
      <c r="F3" s="136" t="n"/>
      <c r="G3" s="136" t="n"/>
      <c r="H3" s="136" t="n"/>
      <c r="J3" s="134" t="inlineStr">
        <is>
          <t>بداية الفترة</t>
        </is>
      </c>
      <c r="K3" s="130">
        <f>IF(Rpt_Period="يوم",Rpt_Date,IF(Rpt_Period="الأسبوع",Rpt_Date-WEEKDAY(Rpt_Date,2)+1,IF(Rpt_Period="الشهر",DATE(YEAR(Rpt_Date),MONTH(Rpt_Date),1),IF(Rpt_Period="الفصل الدراسي",IFERROR(INDEX(TermStart,MATCH(Rpt_Date,TermStart,1)),YearStart),YearStart))))</f>
        <v/>
      </c>
    </row>
    <row r="4">
      <c r="A4" s="4" t="inlineStr">
        <is>
          <t>نوع التقرير</t>
        </is>
      </c>
      <c r="B4" s="6" t="inlineStr">
        <is>
          <t>يوم</t>
        </is>
      </c>
      <c r="C4" s="4" t="inlineStr">
        <is>
          <t>التاريخ</t>
        </is>
      </c>
      <c r="D4" s="5" t="n"/>
      <c r="E4" s="4" t="inlineStr">
        <is>
          <t>الصف</t>
        </is>
      </c>
      <c r="F4" s="6" t="inlineStr">
        <is>
          <t>الكل</t>
        </is>
      </c>
      <c r="G4" s="137">
        <f>"تاريخ الطباعة: "&amp;TEXT(TODAY(),"dd/mm/yyyy")</f>
        <v/>
      </c>
      <c r="J4" s="134" t="inlineStr">
        <is>
          <t>نهاية الفترة</t>
        </is>
      </c>
      <c r="K4" s="130">
        <f>IF(Rpt_Period="يوم",Rpt_Date,IF(Rpt_Period="الأسبوع",Rpt_PStart+6,IF(Rpt_Period="الشهر",EOMONTH(Rpt_Date,0),IF(Rpt_Period="الفصل الدراسي",IFERROR(INDEX(TermEnd,MATCH(Rpt_Date,TermStart,1)),YearEnd),YearEnd))))</f>
        <v/>
      </c>
    </row>
    <row r="5" ht="22" customHeight="1">
      <c r="A5" s="138">
        <f>"تقرير "&amp;IF(Rpt_Period="يوم","يومي",IF(Rpt_Period="الأسبوع","أسبوعي",IF(Rpt_Period="الشهر","شهري",IF(Rpt_Period="الفصل الدراسي","فصلي","سنوي"))))&amp;"  ("&amp;TEXT(Rpt_PStart,"dd/mm/yyyy")&amp;" – "&amp;TEXT(Rpt_PEnd,"dd/mm/yyyy")&amp;")   |   الصف: "&amp;Rpt_Class</f>
        <v/>
      </c>
      <c r="J5" s="134" t="inlineStr">
        <is>
          <t>ترتيب اليوم</t>
        </is>
      </c>
      <c r="K5" s="40">
        <f>IFERROR(MATCH(Rpt_Date,Cal_Date,0),0)</f>
        <v/>
      </c>
    </row>
    <row r="6">
      <c r="A6" s="46" t="inlineStr">
        <is>
          <t>🖨 للطباعة: اختاري نوع التقرير (يوم / الأسبوع / الشهر / الفصل / العام) والتاريخ والصف في الخلايا الصفراء ثم اضغطي Ctrl+P — الصفحة مضبوطة على A4.</t>
        </is>
      </c>
      <c r="J6" s="134" t="inlineStr">
        <is>
          <t>أول يوم دوام في الفترة</t>
        </is>
      </c>
      <c r="K6" s="40">
        <f>COUNTIF(Cal_Date,"&lt;"&amp;Rpt_PStart)+1</f>
        <v/>
      </c>
    </row>
    <row r="7">
      <c r="A7" s="139" t="inlineStr">
        <is>
          <t>عدد الأطفال</t>
        </is>
      </c>
      <c r="B7" s="140" t="n"/>
      <c r="D7" s="139" t="inlineStr">
        <is>
          <t>الأيام المسجَّلة في الفترة</t>
        </is>
      </c>
      <c r="E7" s="140" t="n"/>
      <c r="G7" s="139" t="inlineStr">
        <is>
          <t>نسبة الحضور</t>
        </is>
      </c>
      <c r="H7" s="140" t="n"/>
    </row>
    <row r="8" ht="26" customHeight="1">
      <c r="A8" s="141">
        <f>SUM(Stu_RptIn)</f>
        <v/>
      </c>
      <c r="B8" s="140" t="n"/>
      <c r="D8" s="141">
        <f>COUNTIFS(Cal_Date,"&gt;="&amp;Rpt_PStart,Cal_Date,"&lt;="&amp;Rpt_PEnd,Cal_Reg,"&gt;0")</f>
        <v/>
      </c>
      <c r="E8" s="140" t="n"/>
      <c r="G8" s="142">
        <f>IF(SUM(Stu_RTot)=0,"—",SUM(Stu_RAtt)/SUM(Stu_RTot))</f>
        <v/>
      </c>
      <c r="H8" s="140" t="n"/>
    </row>
    <row r="10">
      <c r="A10" s="139" t="inlineStr">
        <is>
          <t>إجمالي حالات الغياب في الفترة</t>
        </is>
      </c>
      <c r="B10" s="140" t="n"/>
      <c r="D10" s="139">
        <f>"حالات المتابعة ("&amp;Thr_FollowUp&amp;"+)"</f>
        <v/>
      </c>
      <c r="E10" s="140" t="n"/>
      <c r="G10" s="139">
        <f>"حالات حرجة ("&amp;Thr_Critical&amp;"+)"</f>
        <v/>
      </c>
      <c r="H10" s="140" t="n"/>
    </row>
    <row r="11" ht="26" customHeight="1">
      <c r="A11" s="141">
        <f>SUM(Stu_RAbs)</f>
        <v/>
      </c>
      <c r="B11" s="140" t="n"/>
      <c r="D11" s="141">
        <f>COUNTIFS(Stu_RptIn,1,Stu_Level,"&gt;="&amp;Thr_FollowUp)</f>
        <v/>
      </c>
      <c r="E11" s="140" t="n"/>
      <c r="G11" s="141">
        <f>COUNTIFS(Stu_RptIn,1,Stu_Level,"&gt;="&amp;Thr_Critical)</f>
        <v/>
      </c>
      <c r="H11" s="140" t="n"/>
    </row>
    <row r="13">
      <c r="A13" s="21" t="inlineStr">
        <is>
          <t>ملخص الصفوف في الفترة</t>
        </is>
      </c>
      <c r="B13" s="22" t="n"/>
      <c r="C13" s="22" t="n"/>
      <c r="D13" s="22" t="n"/>
      <c r="E13" s="22" t="n"/>
      <c r="F13" s="22" t="n"/>
      <c r="G13" s="22" t="n"/>
      <c r="H13" s="22" t="n"/>
    </row>
    <row r="14" ht="28" customHeight="1">
      <c r="A14" s="33" t="inlineStr">
        <is>
          <t>الصف</t>
        </is>
      </c>
      <c r="B14" s="33" t="inlineStr">
        <is>
          <t>عدد الأطفال</t>
        </is>
      </c>
      <c r="C14" s="33" t="inlineStr">
        <is>
          <t>نسبة الحضور</t>
        </is>
      </c>
      <c r="D14" s="33" t="inlineStr">
        <is>
          <t>الغياب (بدون عذر)</t>
        </is>
      </c>
      <c r="E14" s="33" t="inlineStr">
        <is>
          <t>غياب بعذر</t>
        </is>
      </c>
      <c r="F14" s="33">
        <f>"حالات "&amp;Thr_FollowUp&amp;"+"</f>
        <v/>
      </c>
      <c r="G14" s="33">
        <f>"حالات "&amp;Thr_Critical&amp;"+"</f>
        <v/>
      </c>
    </row>
    <row r="15">
      <c r="A15" s="143">
        <f>IF(INDEX(ClassActive,1)&lt;&gt;"نعم","",IF(OR(Rpt_Class="الكل",Rpt_Class=INDEX(ClassList,1)),INDEX(ClassList,1),""))</f>
        <v/>
      </c>
      <c r="B15" s="106">
        <f>IF($A15="","",COUNTIFS(Stu_Class,$A15,Stu_StStatus,"نشط"))</f>
        <v/>
      </c>
      <c r="C15" s="144">
        <f>IF($A15="","",IF((SUMIFS(CD_Pres,CD_Class,$A15,CD_Date,"&gt;="&amp;Rpt_PStart,CD_Date,"&lt;="&amp;Rpt_PEnd)+SUMIFS(CD_Abs,CD_Class,$A15,CD_Date,"&gt;="&amp;Rpt_PStart,CD_Date,"&lt;="&amp;Rpt_PEnd)+SUMIFS(CD_Exc,CD_Class,$A15,CD_Date,"&gt;="&amp;Rpt_PStart,CD_Date,"&lt;="&amp;Rpt_PEnd)+SUMIFS(CD_Late,CD_Class,$A15,CD_Date,"&gt;="&amp;Rpt_PStart,CD_Date,"&lt;="&amp;Rpt_PEnd))=0,"—",(SUMIFS(CD_Pres,CD_Class,$A15,CD_Date,"&gt;="&amp;Rpt_PStart,CD_Date,"&lt;="&amp;Rpt_PEnd)+IF(LateAsPresent="نعم",SUMIFS(CD_Late,CD_Class,$A15,CD_Date,"&gt;="&amp;Rpt_PStart,CD_Date,"&lt;="&amp;Rpt_PEnd),0))/(SUMIFS(CD_Pres,CD_Class,$A15,CD_Date,"&gt;="&amp;Rpt_PStart,CD_Date,"&lt;="&amp;Rpt_PEnd)+SUMIFS(CD_Abs,CD_Class,$A15,CD_Date,"&gt;="&amp;Rpt_PStart,CD_Date,"&lt;="&amp;Rpt_PEnd)+SUMIFS(CD_Exc,CD_Class,$A15,CD_Date,"&gt;="&amp;Rpt_PStart,CD_Date,"&lt;="&amp;Rpt_PEnd)+SUMIFS(CD_Late,CD_Class,$A15,CD_Date,"&gt;="&amp;Rpt_PStart,CD_Date,"&lt;="&amp;Rpt_PEnd))))</f>
        <v/>
      </c>
      <c r="D15" s="106">
        <f>IF($A15="","",SUMIFS(CD_Abs,CD_Class,$A15,CD_Date,"&gt;="&amp;Rpt_PStart,CD_Date,"&lt;="&amp;Rpt_PEnd))</f>
        <v/>
      </c>
      <c r="E15" s="106">
        <f>IF($A15="","",SUMIFS(CD_Exc,CD_Class,$A15,CD_Date,"&gt;="&amp;Rpt_PStart,CD_Date,"&lt;="&amp;Rpt_PEnd))</f>
        <v/>
      </c>
      <c r="F15" s="106">
        <f>IF($A15="","",COUNTIFS(Stu_Class,$A15,Stu_StStatus,"نشط",Stu_Level,"&gt;="&amp;Thr_FollowUp))</f>
        <v/>
      </c>
      <c r="G15" s="106">
        <f>IF($A15="","",COUNTIFS(Stu_Class,$A15,Stu_StStatus,"نشط",Stu_Level,"&gt;="&amp;Thr_Critical))</f>
        <v/>
      </c>
    </row>
    <row r="16">
      <c r="A16" s="143">
        <f>IF(INDEX(ClassActive,2)&lt;&gt;"نعم","",IF(OR(Rpt_Class="الكل",Rpt_Class=INDEX(ClassList,2)),INDEX(ClassList,2),""))</f>
        <v/>
      </c>
      <c r="B16" s="106">
        <f>IF($A16="","",COUNTIFS(Stu_Class,$A16,Stu_StStatus,"نشط"))</f>
        <v/>
      </c>
      <c r="C16" s="144">
        <f>IF($A16="","",IF((SUMIFS(CD_Pres,CD_Class,$A16,CD_Date,"&gt;="&amp;Rpt_PStart,CD_Date,"&lt;="&amp;Rpt_PEnd)+SUMIFS(CD_Abs,CD_Class,$A16,CD_Date,"&gt;="&amp;Rpt_PStart,CD_Date,"&lt;="&amp;Rpt_PEnd)+SUMIFS(CD_Exc,CD_Class,$A16,CD_Date,"&gt;="&amp;Rpt_PStart,CD_Date,"&lt;="&amp;Rpt_PEnd)+SUMIFS(CD_Late,CD_Class,$A16,CD_Date,"&gt;="&amp;Rpt_PStart,CD_Date,"&lt;="&amp;Rpt_PEnd))=0,"—",(SUMIFS(CD_Pres,CD_Class,$A16,CD_Date,"&gt;="&amp;Rpt_PStart,CD_Date,"&lt;="&amp;Rpt_PEnd)+IF(LateAsPresent="نعم",SUMIFS(CD_Late,CD_Class,$A16,CD_Date,"&gt;="&amp;Rpt_PStart,CD_Date,"&lt;="&amp;Rpt_PEnd),0))/(SUMIFS(CD_Pres,CD_Class,$A16,CD_Date,"&gt;="&amp;Rpt_PStart,CD_Date,"&lt;="&amp;Rpt_PEnd)+SUMIFS(CD_Abs,CD_Class,$A16,CD_Date,"&gt;="&amp;Rpt_PStart,CD_Date,"&lt;="&amp;Rpt_PEnd)+SUMIFS(CD_Exc,CD_Class,$A16,CD_Date,"&gt;="&amp;Rpt_PStart,CD_Date,"&lt;="&amp;Rpt_PEnd)+SUMIFS(CD_Late,CD_Class,$A16,CD_Date,"&gt;="&amp;Rpt_PStart,CD_Date,"&lt;="&amp;Rpt_PEnd))))</f>
        <v/>
      </c>
      <c r="D16" s="106">
        <f>IF($A16="","",SUMIFS(CD_Abs,CD_Class,$A16,CD_Date,"&gt;="&amp;Rpt_PStart,CD_Date,"&lt;="&amp;Rpt_PEnd))</f>
        <v/>
      </c>
      <c r="E16" s="106">
        <f>IF($A16="","",SUMIFS(CD_Exc,CD_Class,$A16,CD_Date,"&gt;="&amp;Rpt_PStart,CD_Date,"&lt;="&amp;Rpt_PEnd))</f>
        <v/>
      </c>
      <c r="F16" s="106">
        <f>IF($A16="","",COUNTIFS(Stu_Class,$A16,Stu_StStatus,"نشط",Stu_Level,"&gt;="&amp;Thr_FollowUp))</f>
        <v/>
      </c>
      <c r="G16" s="106">
        <f>IF($A16="","",COUNTIFS(Stu_Class,$A16,Stu_StStatus,"نشط",Stu_Level,"&gt;="&amp;Thr_Critical))</f>
        <v/>
      </c>
    </row>
    <row r="17">
      <c r="A17" s="143">
        <f>IF(INDEX(ClassActive,3)&lt;&gt;"نعم","",IF(OR(Rpt_Class="الكل",Rpt_Class=INDEX(ClassList,3)),INDEX(ClassList,3),""))</f>
        <v/>
      </c>
      <c r="B17" s="106">
        <f>IF($A17="","",COUNTIFS(Stu_Class,$A17,Stu_StStatus,"نشط"))</f>
        <v/>
      </c>
      <c r="C17" s="144">
        <f>IF($A17="","",IF((SUMIFS(CD_Pres,CD_Class,$A17,CD_Date,"&gt;="&amp;Rpt_PStart,CD_Date,"&lt;="&amp;Rpt_PEnd)+SUMIFS(CD_Abs,CD_Class,$A17,CD_Date,"&gt;="&amp;Rpt_PStart,CD_Date,"&lt;="&amp;Rpt_PEnd)+SUMIFS(CD_Exc,CD_Class,$A17,CD_Date,"&gt;="&amp;Rpt_PStart,CD_Date,"&lt;="&amp;Rpt_PEnd)+SUMIFS(CD_Late,CD_Class,$A17,CD_Date,"&gt;="&amp;Rpt_PStart,CD_Date,"&lt;="&amp;Rpt_PEnd))=0,"—",(SUMIFS(CD_Pres,CD_Class,$A17,CD_Date,"&gt;="&amp;Rpt_PStart,CD_Date,"&lt;="&amp;Rpt_PEnd)+IF(LateAsPresent="نعم",SUMIFS(CD_Late,CD_Class,$A17,CD_Date,"&gt;="&amp;Rpt_PStart,CD_Date,"&lt;="&amp;Rpt_PEnd),0))/(SUMIFS(CD_Pres,CD_Class,$A17,CD_Date,"&gt;="&amp;Rpt_PStart,CD_Date,"&lt;="&amp;Rpt_PEnd)+SUMIFS(CD_Abs,CD_Class,$A17,CD_Date,"&gt;="&amp;Rpt_PStart,CD_Date,"&lt;="&amp;Rpt_PEnd)+SUMIFS(CD_Exc,CD_Class,$A17,CD_Date,"&gt;="&amp;Rpt_PStart,CD_Date,"&lt;="&amp;Rpt_PEnd)+SUMIFS(CD_Late,CD_Class,$A17,CD_Date,"&gt;="&amp;Rpt_PStart,CD_Date,"&lt;="&amp;Rpt_PEnd))))</f>
        <v/>
      </c>
      <c r="D17" s="106">
        <f>IF($A17="","",SUMIFS(CD_Abs,CD_Class,$A17,CD_Date,"&gt;="&amp;Rpt_PStart,CD_Date,"&lt;="&amp;Rpt_PEnd))</f>
        <v/>
      </c>
      <c r="E17" s="106">
        <f>IF($A17="","",SUMIFS(CD_Exc,CD_Class,$A17,CD_Date,"&gt;="&amp;Rpt_PStart,CD_Date,"&lt;="&amp;Rpt_PEnd))</f>
        <v/>
      </c>
      <c r="F17" s="106">
        <f>IF($A17="","",COUNTIFS(Stu_Class,$A17,Stu_StStatus,"نشط",Stu_Level,"&gt;="&amp;Thr_FollowUp))</f>
        <v/>
      </c>
      <c r="G17" s="106">
        <f>IF($A17="","",COUNTIFS(Stu_Class,$A17,Stu_StStatus,"نشط",Stu_Level,"&gt;="&amp;Thr_Critical))</f>
        <v/>
      </c>
    </row>
    <row r="18">
      <c r="A18" s="143">
        <f>IF(INDEX(ClassActive,4)&lt;&gt;"نعم","",IF(OR(Rpt_Class="الكل",Rpt_Class=INDEX(ClassList,4)),INDEX(ClassList,4),""))</f>
        <v/>
      </c>
      <c r="B18" s="106">
        <f>IF($A18="","",COUNTIFS(Stu_Class,$A18,Stu_StStatus,"نشط"))</f>
        <v/>
      </c>
      <c r="C18" s="144">
        <f>IF($A18="","",IF((SUMIFS(CD_Pres,CD_Class,$A18,CD_Date,"&gt;="&amp;Rpt_PStart,CD_Date,"&lt;="&amp;Rpt_PEnd)+SUMIFS(CD_Abs,CD_Class,$A18,CD_Date,"&gt;="&amp;Rpt_PStart,CD_Date,"&lt;="&amp;Rpt_PEnd)+SUMIFS(CD_Exc,CD_Class,$A18,CD_Date,"&gt;="&amp;Rpt_PStart,CD_Date,"&lt;="&amp;Rpt_PEnd)+SUMIFS(CD_Late,CD_Class,$A18,CD_Date,"&gt;="&amp;Rpt_PStart,CD_Date,"&lt;="&amp;Rpt_PEnd))=0,"—",(SUMIFS(CD_Pres,CD_Class,$A18,CD_Date,"&gt;="&amp;Rpt_PStart,CD_Date,"&lt;="&amp;Rpt_PEnd)+IF(LateAsPresent="نعم",SUMIFS(CD_Late,CD_Class,$A18,CD_Date,"&gt;="&amp;Rpt_PStart,CD_Date,"&lt;="&amp;Rpt_PEnd),0))/(SUMIFS(CD_Pres,CD_Class,$A18,CD_Date,"&gt;="&amp;Rpt_PStart,CD_Date,"&lt;="&amp;Rpt_PEnd)+SUMIFS(CD_Abs,CD_Class,$A18,CD_Date,"&gt;="&amp;Rpt_PStart,CD_Date,"&lt;="&amp;Rpt_PEnd)+SUMIFS(CD_Exc,CD_Class,$A18,CD_Date,"&gt;="&amp;Rpt_PStart,CD_Date,"&lt;="&amp;Rpt_PEnd)+SUMIFS(CD_Late,CD_Class,$A18,CD_Date,"&gt;="&amp;Rpt_PStart,CD_Date,"&lt;="&amp;Rpt_PEnd))))</f>
        <v/>
      </c>
      <c r="D18" s="106">
        <f>IF($A18="","",SUMIFS(CD_Abs,CD_Class,$A18,CD_Date,"&gt;="&amp;Rpt_PStart,CD_Date,"&lt;="&amp;Rpt_PEnd))</f>
        <v/>
      </c>
      <c r="E18" s="106">
        <f>IF($A18="","",SUMIFS(CD_Exc,CD_Class,$A18,CD_Date,"&gt;="&amp;Rpt_PStart,CD_Date,"&lt;="&amp;Rpt_PEnd))</f>
        <v/>
      </c>
      <c r="F18" s="106">
        <f>IF($A18="","",COUNTIFS(Stu_Class,$A18,Stu_StStatus,"نشط",Stu_Level,"&gt;="&amp;Thr_FollowUp))</f>
        <v/>
      </c>
      <c r="G18" s="106">
        <f>IF($A18="","",COUNTIFS(Stu_Class,$A18,Stu_StStatus,"نشط",Stu_Level,"&gt;="&amp;Thr_Critical))</f>
        <v/>
      </c>
    </row>
    <row r="19">
      <c r="A19" s="143">
        <f>IF(INDEX(ClassActive,5)&lt;&gt;"نعم","",IF(OR(Rpt_Class="الكل",Rpt_Class=INDEX(ClassList,5)),INDEX(ClassList,5),""))</f>
        <v/>
      </c>
      <c r="B19" s="106">
        <f>IF($A19="","",COUNTIFS(Stu_Class,$A19,Stu_StStatus,"نشط"))</f>
        <v/>
      </c>
      <c r="C19" s="144">
        <f>IF($A19="","",IF((SUMIFS(CD_Pres,CD_Class,$A19,CD_Date,"&gt;="&amp;Rpt_PStart,CD_Date,"&lt;="&amp;Rpt_PEnd)+SUMIFS(CD_Abs,CD_Class,$A19,CD_Date,"&gt;="&amp;Rpt_PStart,CD_Date,"&lt;="&amp;Rpt_PEnd)+SUMIFS(CD_Exc,CD_Class,$A19,CD_Date,"&gt;="&amp;Rpt_PStart,CD_Date,"&lt;="&amp;Rpt_PEnd)+SUMIFS(CD_Late,CD_Class,$A19,CD_Date,"&gt;="&amp;Rpt_PStart,CD_Date,"&lt;="&amp;Rpt_PEnd))=0,"—",(SUMIFS(CD_Pres,CD_Class,$A19,CD_Date,"&gt;="&amp;Rpt_PStart,CD_Date,"&lt;="&amp;Rpt_PEnd)+IF(LateAsPresent="نعم",SUMIFS(CD_Late,CD_Class,$A19,CD_Date,"&gt;="&amp;Rpt_PStart,CD_Date,"&lt;="&amp;Rpt_PEnd),0))/(SUMIFS(CD_Pres,CD_Class,$A19,CD_Date,"&gt;="&amp;Rpt_PStart,CD_Date,"&lt;="&amp;Rpt_PEnd)+SUMIFS(CD_Abs,CD_Class,$A19,CD_Date,"&gt;="&amp;Rpt_PStart,CD_Date,"&lt;="&amp;Rpt_PEnd)+SUMIFS(CD_Exc,CD_Class,$A19,CD_Date,"&gt;="&amp;Rpt_PStart,CD_Date,"&lt;="&amp;Rpt_PEnd)+SUMIFS(CD_Late,CD_Class,$A19,CD_Date,"&gt;="&amp;Rpt_PStart,CD_Date,"&lt;="&amp;Rpt_PEnd))))</f>
        <v/>
      </c>
      <c r="D19" s="106">
        <f>IF($A19="","",SUMIFS(CD_Abs,CD_Class,$A19,CD_Date,"&gt;="&amp;Rpt_PStart,CD_Date,"&lt;="&amp;Rpt_PEnd))</f>
        <v/>
      </c>
      <c r="E19" s="106">
        <f>IF($A19="","",SUMIFS(CD_Exc,CD_Class,$A19,CD_Date,"&gt;="&amp;Rpt_PStart,CD_Date,"&lt;="&amp;Rpt_PEnd))</f>
        <v/>
      </c>
      <c r="F19" s="106">
        <f>IF($A19="","",COUNTIFS(Stu_Class,$A19,Stu_StStatus,"نشط",Stu_Level,"&gt;="&amp;Thr_FollowUp))</f>
        <v/>
      </c>
      <c r="G19" s="106">
        <f>IF($A19="","",COUNTIFS(Stu_Class,$A19,Stu_StStatus,"نشط",Stu_Level,"&gt;="&amp;Thr_Critical))</f>
        <v/>
      </c>
    </row>
    <row r="20">
      <c r="A20" s="143">
        <f>IF(INDEX(ClassActive,6)&lt;&gt;"نعم","",IF(OR(Rpt_Class="الكل",Rpt_Class=INDEX(ClassList,6)),INDEX(ClassList,6),""))</f>
        <v/>
      </c>
      <c r="B20" s="106">
        <f>IF($A20="","",COUNTIFS(Stu_Class,$A20,Stu_StStatus,"نشط"))</f>
        <v/>
      </c>
      <c r="C20" s="144">
        <f>IF($A20="","",IF((SUMIFS(CD_Pres,CD_Class,$A20,CD_Date,"&gt;="&amp;Rpt_PStart,CD_Date,"&lt;="&amp;Rpt_PEnd)+SUMIFS(CD_Abs,CD_Class,$A20,CD_Date,"&gt;="&amp;Rpt_PStart,CD_Date,"&lt;="&amp;Rpt_PEnd)+SUMIFS(CD_Exc,CD_Class,$A20,CD_Date,"&gt;="&amp;Rpt_PStart,CD_Date,"&lt;="&amp;Rpt_PEnd)+SUMIFS(CD_Late,CD_Class,$A20,CD_Date,"&gt;="&amp;Rpt_PStart,CD_Date,"&lt;="&amp;Rpt_PEnd))=0,"—",(SUMIFS(CD_Pres,CD_Class,$A20,CD_Date,"&gt;="&amp;Rpt_PStart,CD_Date,"&lt;="&amp;Rpt_PEnd)+IF(LateAsPresent="نعم",SUMIFS(CD_Late,CD_Class,$A20,CD_Date,"&gt;="&amp;Rpt_PStart,CD_Date,"&lt;="&amp;Rpt_PEnd),0))/(SUMIFS(CD_Pres,CD_Class,$A20,CD_Date,"&gt;="&amp;Rpt_PStart,CD_Date,"&lt;="&amp;Rpt_PEnd)+SUMIFS(CD_Abs,CD_Class,$A20,CD_Date,"&gt;="&amp;Rpt_PStart,CD_Date,"&lt;="&amp;Rpt_PEnd)+SUMIFS(CD_Exc,CD_Class,$A20,CD_Date,"&gt;="&amp;Rpt_PStart,CD_Date,"&lt;="&amp;Rpt_PEnd)+SUMIFS(CD_Late,CD_Class,$A20,CD_Date,"&gt;="&amp;Rpt_PStart,CD_Date,"&lt;="&amp;Rpt_PEnd))))</f>
        <v/>
      </c>
      <c r="D20" s="106">
        <f>IF($A20="","",SUMIFS(CD_Abs,CD_Class,$A20,CD_Date,"&gt;="&amp;Rpt_PStart,CD_Date,"&lt;="&amp;Rpt_PEnd))</f>
        <v/>
      </c>
      <c r="E20" s="106">
        <f>IF($A20="","",SUMIFS(CD_Exc,CD_Class,$A20,CD_Date,"&gt;="&amp;Rpt_PStart,CD_Date,"&lt;="&amp;Rpt_PEnd))</f>
        <v/>
      </c>
      <c r="F20" s="106">
        <f>IF($A20="","",COUNTIFS(Stu_Class,$A20,Stu_StStatus,"نشط",Stu_Level,"&gt;="&amp;Thr_FollowUp))</f>
        <v/>
      </c>
      <c r="G20" s="106">
        <f>IF($A20="","",COUNTIFS(Stu_Class,$A20,Stu_StStatus,"نشط",Stu_Level,"&gt;="&amp;Thr_Critical))</f>
        <v/>
      </c>
    </row>
    <row r="21">
      <c r="A21" s="143">
        <f>IF(INDEX(ClassActive,7)&lt;&gt;"نعم","",IF(OR(Rpt_Class="الكل",Rpt_Class=INDEX(ClassList,7)),INDEX(ClassList,7),""))</f>
        <v/>
      </c>
      <c r="B21" s="106">
        <f>IF($A21="","",COUNTIFS(Stu_Class,$A21,Stu_StStatus,"نشط"))</f>
        <v/>
      </c>
      <c r="C21" s="144">
        <f>IF($A21="","",IF((SUMIFS(CD_Pres,CD_Class,$A21,CD_Date,"&gt;="&amp;Rpt_PStart,CD_Date,"&lt;="&amp;Rpt_PEnd)+SUMIFS(CD_Abs,CD_Class,$A21,CD_Date,"&gt;="&amp;Rpt_PStart,CD_Date,"&lt;="&amp;Rpt_PEnd)+SUMIFS(CD_Exc,CD_Class,$A21,CD_Date,"&gt;="&amp;Rpt_PStart,CD_Date,"&lt;="&amp;Rpt_PEnd)+SUMIFS(CD_Late,CD_Class,$A21,CD_Date,"&gt;="&amp;Rpt_PStart,CD_Date,"&lt;="&amp;Rpt_PEnd))=0,"—",(SUMIFS(CD_Pres,CD_Class,$A21,CD_Date,"&gt;="&amp;Rpt_PStart,CD_Date,"&lt;="&amp;Rpt_PEnd)+IF(LateAsPresent="نعم",SUMIFS(CD_Late,CD_Class,$A21,CD_Date,"&gt;="&amp;Rpt_PStart,CD_Date,"&lt;="&amp;Rpt_PEnd),0))/(SUMIFS(CD_Pres,CD_Class,$A21,CD_Date,"&gt;="&amp;Rpt_PStart,CD_Date,"&lt;="&amp;Rpt_PEnd)+SUMIFS(CD_Abs,CD_Class,$A21,CD_Date,"&gt;="&amp;Rpt_PStart,CD_Date,"&lt;="&amp;Rpt_PEnd)+SUMIFS(CD_Exc,CD_Class,$A21,CD_Date,"&gt;="&amp;Rpt_PStart,CD_Date,"&lt;="&amp;Rpt_PEnd)+SUMIFS(CD_Late,CD_Class,$A21,CD_Date,"&gt;="&amp;Rpt_PStart,CD_Date,"&lt;="&amp;Rpt_PEnd))))</f>
        <v/>
      </c>
      <c r="D21" s="106">
        <f>IF($A21="","",SUMIFS(CD_Abs,CD_Class,$A21,CD_Date,"&gt;="&amp;Rpt_PStart,CD_Date,"&lt;="&amp;Rpt_PEnd))</f>
        <v/>
      </c>
      <c r="E21" s="106">
        <f>IF($A21="","",SUMIFS(CD_Exc,CD_Class,$A21,CD_Date,"&gt;="&amp;Rpt_PStart,CD_Date,"&lt;="&amp;Rpt_PEnd))</f>
        <v/>
      </c>
      <c r="F21" s="106">
        <f>IF($A21="","",COUNTIFS(Stu_Class,$A21,Stu_StStatus,"نشط",Stu_Level,"&gt;="&amp;Thr_FollowUp))</f>
        <v/>
      </c>
      <c r="G21" s="106">
        <f>IF($A21="","",COUNTIFS(Stu_Class,$A21,Stu_StStatus,"نشط",Stu_Level,"&gt;="&amp;Thr_Critical))</f>
        <v/>
      </c>
    </row>
    <row r="24">
      <c r="A24" s="21" t="inlineStr">
        <is>
          <t>أهم الحالات التي تحتاج إلى متابعة (مرتبة حسب إجمالي الغياب)</t>
        </is>
      </c>
      <c r="B24" s="22" t="n"/>
      <c r="C24" s="22" t="n"/>
      <c r="D24" s="22" t="n"/>
      <c r="E24" s="22" t="n"/>
      <c r="F24" s="22" t="n"/>
      <c r="G24" s="22" t="n"/>
      <c r="H24" s="22" t="n"/>
    </row>
    <row r="25" ht="28" customHeight="1">
      <c r="A25" s="33" t="inlineStr">
        <is>
          <t>اسم الطفل</t>
        </is>
      </c>
      <c r="B25" s="33" t="inlineStr">
        <is>
          <t>الصف</t>
        </is>
      </c>
      <c r="C25" s="33" t="inlineStr">
        <is>
          <t>إجمالي الغياب</t>
        </is>
      </c>
      <c r="D25" s="33" t="inlineStr">
        <is>
          <t>نسبة الحضور</t>
        </is>
      </c>
      <c r="E25" s="33" t="inlineStr">
        <is>
          <t>المستوى</t>
        </is>
      </c>
      <c r="F25" s="33" t="inlineStr">
        <is>
          <t>تم التواصل؟</t>
        </is>
      </c>
      <c r="G25" s="33" t="inlineStr">
        <is>
          <t>الإجراء المطلوب</t>
        </is>
      </c>
      <c r="H25" s="121" t="n"/>
    </row>
    <row r="26">
      <c r="A26" s="78">
        <f>IF($J26="","",INDEX(Stu_Name,$J26))</f>
        <v/>
      </c>
      <c r="B26" s="106">
        <f>IF($J26="","",INDEX(Stu_Class,$J26))</f>
        <v/>
      </c>
      <c r="C26" s="143">
        <f>IF($J26="","",INDEX(Stu_Abs,$J26))</f>
        <v/>
      </c>
      <c r="D26" s="145">
        <f>IF($J26="","",INDEX(Stu_Rate,$J26))</f>
        <v/>
      </c>
      <c r="E26" s="143">
        <f>IF($J26="","",INDEX(Stu_Status,$J26))</f>
        <v/>
      </c>
      <c r="F26" s="143">
        <f>IF($J26="","",INDEX(Stu_Contacted,$J26))</f>
        <v/>
      </c>
      <c r="G26" s="146">
        <f>IF($J26="","",INDEX(Stu_Action,$J26))</f>
        <v/>
      </c>
      <c r="J26" s="40">
        <f>IFERROR(MATCH(LARGE(Stu_KeyRpt,1),Stu_KeyRpt,0),"")</f>
        <v/>
      </c>
      <c r="K26" s="40">
        <f>IF($J26="","",INDEX(Stu_Level,$J26))</f>
        <v/>
      </c>
    </row>
    <row r="27">
      <c r="A27" s="78">
        <f>IF($J27="","",INDEX(Stu_Name,$J27))</f>
        <v/>
      </c>
      <c r="B27" s="106">
        <f>IF($J27="","",INDEX(Stu_Class,$J27))</f>
        <v/>
      </c>
      <c r="C27" s="143">
        <f>IF($J27="","",INDEX(Stu_Abs,$J27))</f>
        <v/>
      </c>
      <c r="D27" s="145">
        <f>IF($J27="","",INDEX(Stu_Rate,$J27))</f>
        <v/>
      </c>
      <c r="E27" s="143">
        <f>IF($J27="","",INDEX(Stu_Status,$J27))</f>
        <v/>
      </c>
      <c r="F27" s="143">
        <f>IF($J27="","",INDEX(Stu_Contacted,$J27))</f>
        <v/>
      </c>
      <c r="G27" s="146">
        <f>IF($J27="","",INDEX(Stu_Action,$J27))</f>
        <v/>
      </c>
      <c r="J27" s="40">
        <f>IFERROR(MATCH(LARGE(Stu_KeyRpt,2),Stu_KeyRpt,0),"")</f>
        <v/>
      </c>
      <c r="K27" s="40">
        <f>IF($J27="","",INDEX(Stu_Level,$J27))</f>
        <v/>
      </c>
    </row>
    <row r="28">
      <c r="A28" s="78">
        <f>IF($J28="","",INDEX(Stu_Name,$J28))</f>
        <v/>
      </c>
      <c r="B28" s="106">
        <f>IF($J28="","",INDEX(Stu_Class,$J28))</f>
        <v/>
      </c>
      <c r="C28" s="143">
        <f>IF($J28="","",INDEX(Stu_Abs,$J28))</f>
        <v/>
      </c>
      <c r="D28" s="145">
        <f>IF($J28="","",INDEX(Stu_Rate,$J28))</f>
        <v/>
      </c>
      <c r="E28" s="143">
        <f>IF($J28="","",INDEX(Stu_Status,$J28))</f>
        <v/>
      </c>
      <c r="F28" s="143">
        <f>IF($J28="","",INDEX(Stu_Contacted,$J28))</f>
        <v/>
      </c>
      <c r="G28" s="146">
        <f>IF($J28="","",INDEX(Stu_Action,$J28))</f>
        <v/>
      </c>
      <c r="J28" s="40">
        <f>IFERROR(MATCH(LARGE(Stu_KeyRpt,3),Stu_KeyRpt,0),"")</f>
        <v/>
      </c>
      <c r="K28" s="40">
        <f>IF($J28="","",INDEX(Stu_Level,$J28))</f>
        <v/>
      </c>
    </row>
    <row r="29">
      <c r="A29" s="78">
        <f>IF($J29="","",INDEX(Stu_Name,$J29))</f>
        <v/>
      </c>
      <c r="B29" s="106">
        <f>IF($J29="","",INDEX(Stu_Class,$J29))</f>
        <v/>
      </c>
      <c r="C29" s="143">
        <f>IF($J29="","",INDEX(Stu_Abs,$J29))</f>
        <v/>
      </c>
      <c r="D29" s="145">
        <f>IF($J29="","",INDEX(Stu_Rate,$J29))</f>
        <v/>
      </c>
      <c r="E29" s="143">
        <f>IF($J29="","",INDEX(Stu_Status,$J29))</f>
        <v/>
      </c>
      <c r="F29" s="143">
        <f>IF($J29="","",INDEX(Stu_Contacted,$J29))</f>
        <v/>
      </c>
      <c r="G29" s="146">
        <f>IF($J29="","",INDEX(Stu_Action,$J29))</f>
        <v/>
      </c>
      <c r="J29" s="40">
        <f>IFERROR(MATCH(LARGE(Stu_KeyRpt,4),Stu_KeyRpt,0),"")</f>
        <v/>
      </c>
      <c r="K29" s="40">
        <f>IF($J29="","",INDEX(Stu_Level,$J29))</f>
        <v/>
      </c>
    </row>
    <row r="30">
      <c r="A30" s="78">
        <f>IF($J30="","",INDEX(Stu_Name,$J30))</f>
        <v/>
      </c>
      <c r="B30" s="106">
        <f>IF($J30="","",INDEX(Stu_Class,$J30))</f>
        <v/>
      </c>
      <c r="C30" s="143">
        <f>IF($J30="","",INDEX(Stu_Abs,$J30))</f>
        <v/>
      </c>
      <c r="D30" s="145">
        <f>IF($J30="","",INDEX(Stu_Rate,$J30))</f>
        <v/>
      </c>
      <c r="E30" s="143">
        <f>IF($J30="","",INDEX(Stu_Status,$J30))</f>
        <v/>
      </c>
      <c r="F30" s="143">
        <f>IF($J30="","",INDEX(Stu_Contacted,$J30))</f>
        <v/>
      </c>
      <c r="G30" s="146">
        <f>IF($J30="","",INDEX(Stu_Action,$J30))</f>
        <v/>
      </c>
      <c r="J30" s="40">
        <f>IFERROR(MATCH(LARGE(Stu_KeyRpt,5),Stu_KeyRpt,0),"")</f>
        <v/>
      </c>
      <c r="K30" s="40">
        <f>IF($J30="","",INDEX(Stu_Level,$J30))</f>
        <v/>
      </c>
    </row>
    <row r="31">
      <c r="A31" s="78">
        <f>IF($J31="","",INDEX(Stu_Name,$J31))</f>
        <v/>
      </c>
      <c r="B31" s="106">
        <f>IF($J31="","",INDEX(Stu_Class,$J31))</f>
        <v/>
      </c>
      <c r="C31" s="143">
        <f>IF($J31="","",INDEX(Stu_Abs,$J31))</f>
        <v/>
      </c>
      <c r="D31" s="145">
        <f>IF($J31="","",INDEX(Stu_Rate,$J31))</f>
        <v/>
      </c>
      <c r="E31" s="143">
        <f>IF($J31="","",INDEX(Stu_Status,$J31))</f>
        <v/>
      </c>
      <c r="F31" s="143">
        <f>IF($J31="","",INDEX(Stu_Contacted,$J31))</f>
        <v/>
      </c>
      <c r="G31" s="146">
        <f>IF($J31="","",INDEX(Stu_Action,$J31))</f>
        <v/>
      </c>
      <c r="J31" s="40">
        <f>IFERROR(MATCH(LARGE(Stu_KeyRpt,6),Stu_KeyRpt,0),"")</f>
        <v/>
      </c>
      <c r="K31" s="40">
        <f>IF($J31="","",INDEX(Stu_Level,$J31))</f>
        <v/>
      </c>
    </row>
    <row r="32">
      <c r="A32" s="78">
        <f>IF($J32="","",INDEX(Stu_Name,$J32))</f>
        <v/>
      </c>
      <c r="B32" s="106">
        <f>IF($J32="","",INDEX(Stu_Class,$J32))</f>
        <v/>
      </c>
      <c r="C32" s="143">
        <f>IF($J32="","",INDEX(Stu_Abs,$J32))</f>
        <v/>
      </c>
      <c r="D32" s="145">
        <f>IF($J32="","",INDEX(Stu_Rate,$J32))</f>
        <v/>
      </c>
      <c r="E32" s="143">
        <f>IF($J32="","",INDEX(Stu_Status,$J32))</f>
        <v/>
      </c>
      <c r="F32" s="143">
        <f>IF($J32="","",INDEX(Stu_Contacted,$J32))</f>
        <v/>
      </c>
      <c r="G32" s="146">
        <f>IF($J32="","",INDEX(Stu_Action,$J32))</f>
        <v/>
      </c>
      <c r="J32" s="40">
        <f>IFERROR(MATCH(LARGE(Stu_KeyRpt,7),Stu_KeyRpt,0),"")</f>
        <v/>
      </c>
      <c r="K32" s="40">
        <f>IF($J32="","",INDEX(Stu_Level,$J32))</f>
        <v/>
      </c>
    </row>
    <row r="33">
      <c r="A33" s="78">
        <f>IF($J33="","",INDEX(Stu_Name,$J33))</f>
        <v/>
      </c>
      <c r="B33" s="106">
        <f>IF($J33="","",INDEX(Stu_Class,$J33))</f>
        <v/>
      </c>
      <c r="C33" s="143">
        <f>IF($J33="","",INDEX(Stu_Abs,$J33))</f>
        <v/>
      </c>
      <c r="D33" s="145">
        <f>IF($J33="","",INDEX(Stu_Rate,$J33))</f>
        <v/>
      </c>
      <c r="E33" s="143">
        <f>IF($J33="","",INDEX(Stu_Status,$J33))</f>
        <v/>
      </c>
      <c r="F33" s="143">
        <f>IF($J33="","",INDEX(Stu_Contacted,$J33))</f>
        <v/>
      </c>
      <c r="G33" s="146">
        <f>IF($J33="","",INDEX(Stu_Action,$J33))</f>
        <v/>
      </c>
      <c r="J33" s="40">
        <f>IFERROR(MATCH(LARGE(Stu_KeyRpt,8),Stu_KeyRpt,0),"")</f>
        <v/>
      </c>
      <c r="K33" s="40">
        <f>IF($J33="","",INDEX(Stu_Level,$J33))</f>
        <v/>
      </c>
    </row>
    <row r="34">
      <c r="A34" s="78">
        <f>IF($J34="","",INDEX(Stu_Name,$J34))</f>
        <v/>
      </c>
      <c r="B34" s="106">
        <f>IF($J34="","",INDEX(Stu_Class,$J34))</f>
        <v/>
      </c>
      <c r="C34" s="143">
        <f>IF($J34="","",INDEX(Stu_Abs,$J34))</f>
        <v/>
      </c>
      <c r="D34" s="145">
        <f>IF($J34="","",INDEX(Stu_Rate,$J34))</f>
        <v/>
      </c>
      <c r="E34" s="143">
        <f>IF($J34="","",INDEX(Stu_Status,$J34))</f>
        <v/>
      </c>
      <c r="F34" s="143">
        <f>IF($J34="","",INDEX(Stu_Contacted,$J34))</f>
        <v/>
      </c>
      <c r="G34" s="146">
        <f>IF($J34="","",INDEX(Stu_Action,$J34))</f>
        <v/>
      </c>
      <c r="J34" s="40">
        <f>IFERROR(MATCH(LARGE(Stu_KeyRpt,9),Stu_KeyRpt,0),"")</f>
        <v/>
      </c>
      <c r="K34" s="40">
        <f>IF($J34="","",INDEX(Stu_Level,$J34))</f>
        <v/>
      </c>
    </row>
    <row r="35">
      <c r="A35" s="78">
        <f>IF($J35="","",INDEX(Stu_Name,$J35))</f>
        <v/>
      </c>
      <c r="B35" s="106">
        <f>IF($J35="","",INDEX(Stu_Class,$J35))</f>
        <v/>
      </c>
      <c r="C35" s="143">
        <f>IF($J35="","",INDEX(Stu_Abs,$J35))</f>
        <v/>
      </c>
      <c r="D35" s="145">
        <f>IF($J35="","",INDEX(Stu_Rate,$J35))</f>
        <v/>
      </c>
      <c r="E35" s="143">
        <f>IF($J35="","",INDEX(Stu_Status,$J35))</f>
        <v/>
      </c>
      <c r="F35" s="143">
        <f>IF($J35="","",INDEX(Stu_Contacted,$J35))</f>
        <v/>
      </c>
      <c r="G35" s="146">
        <f>IF($J35="","",INDEX(Stu_Action,$J35))</f>
        <v/>
      </c>
      <c r="J35" s="40">
        <f>IFERROR(MATCH(LARGE(Stu_KeyRpt,10),Stu_KeyRpt,0),"")</f>
        <v/>
      </c>
      <c r="K35" s="40">
        <f>IF($J35="","",INDEX(Stu_Level,$J35))</f>
        <v/>
      </c>
    </row>
    <row r="36">
      <c r="A36" s="78">
        <f>IF($J36="","",INDEX(Stu_Name,$J36))</f>
        <v/>
      </c>
      <c r="B36" s="106">
        <f>IF($J36="","",INDEX(Stu_Class,$J36))</f>
        <v/>
      </c>
      <c r="C36" s="143">
        <f>IF($J36="","",INDEX(Stu_Abs,$J36))</f>
        <v/>
      </c>
      <c r="D36" s="145">
        <f>IF($J36="","",INDEX(Stu_Rate,$J36))</f>
        <v/>
      </c>
      <c r="E36" s="143">
        <f>IF($J36="","",INDEX(Stu_Status,$J36))</f>
        <v/>
      </c>
      <c r="F36" s="143">
        <f>IF($J36="","",INDEX(Stu_Contacted,$J36))</f>
        <v/>
      </c>
      <c r="G36" s="146">
        <f>IF($J36="","",INDEX(Stu_Action,$J36))</f>
        <v/>
      </c>
      <c r="J36" s="40">
        <f>IFERROR(MATCH(LARGE(Stu_KeyRpt,11),Stu_KeyRpt,0),"")</f>
        <v/>
      </c>
      <c r="K36" s="40">
        <f>IF($J36="","",INDEX(Stu_Level,$J36))</f>
        <v/>
      </c>
    </row>
    <row r="37">
      <c r="A37" s="78">
        <f>IF($J37="","",INDEX(Stu_Name,$J37))</f>
        <v/>
      </c>
      <c r="B37" s="106">
        <f>IF($J37="","",INDEX(Stu_Class,$J37))</f>
        <v/>
      </c>
      <c r="C37" s="143">
        <f>IF($J37="","",INDEX(Stu_Abs,$J37))</f>
        <v/>
      </c>
      <c r="D37" s="145">
        <f>IF($J37="","",INDEX(Stu_Rate,$J37))</f>
        <v/>
      </c>
      <c r="E37" s="143">
        <f>IF($J37="","",INDEX(Stu_Status,$J37))</f>
        <v/>
      </c>
      <c r="F37" s="143">
        <f>IF($J37="","",INDEX(Stu_Contacted,$J37))</f>
        <v/>
      </c>
      <c r="G37" s="146">
        <f>IF($J37="","",INDEX(Stu_Action,$J37))</f>
        <v/>
      </c>
      <c r="J37" s="40">
        <f>IFERROR(MATCH(LARGE(Stu_KeyRpt,12),Stu_KeyRpt,0),"")</f>
        <v/>
      </c>
      <c r="K37" s="40">
        <f>IF($J37="","",INDEX(Stu_Level,$J37))</f>
        <v/>
      </c>
    </row>
    <row r="38">
      <c r="A38" s="78">
        <f>IF($J38="","",INDEX(Stu_Name,$J38))</f>
        <v/>
      </c>
      <c r="B38" s="106">
        <f>IF($J38="","",INDEX(Stu_Class,$J38))</f>
        <v/>
      </c>
      <c r="C38" s="143">
        <f>IF($J38="","",INDEX(Stu_Abs,$J38))</f>
        <v/>
      </c>
      <c r="D38" s="145">
        <f>IF($J38="","",INDEX(Stu_Rate,$J38))</f>
        <v/>
      </c>
      <c r="E38" s="143">
        <f>IF($J38="","",INDEX(Stu_Status,$J38))</f>
        <v/>
      </c>
      <c r="F38" s="143">
        <f>IF($J38="","",INDEX(Stu_Contacted,$J38))</f>
        <v/>
      </c>
      <c r="G38" s="146">
        <f>IF($J38="","",INDEX(Stu_Action,$J38))</f>
        <v/>
      </c>
      <c r="J38" s="40">
        <f>IFERROR(MATCH(LARGE(Stu_KeyRpt,13),Stu_KeyRpt,0),"")</f>
        <v/>
      </c>
      <c r="K38" s="40">
        <f>IF($J38="","",INDEX(Stu_Level,$J38))</f>
        <v/>
      </c>
    </row>
    <row r="39">
      <c r="A39" s="78">
        <f>IF($J39="","",INDEX(Stu_Name,$J39))</f>
        <v/>
      </c>
      <c r="B39" s="106">
        <f>IF($J39="","",INDEX(Stu_Class,$J39))</f>
        <v/>
      </c>
      <c r="C39" s="143">
        <f>IF($J39="","",INDEX(Stu_Abs,$J39))</f>
        <v/>
      </c>
      <c r="D39" s="145">
        <f>IF($J39="","",INDEX(Stu_Rate,$J39))</f>
        <v/>
      </c>
      <c r="E39" s="143">
        <f>IF($J39="","",INDEX(Stu_Status,$J39))</f>
        <v/>
      </c>
      <c r="F39" s="143">
        <f>IF($J39="","",INDEX(Stu_Contacted,$J39))</f>
        <v/>
      </c>
      <c r="G39" s="146">
        <f>IF($J39="","",INDEX(Stu_Action,$J39))</f>
        <v/>
      </c>
      <c r="J39" s="40">
        <f>IFERROR(MATCH(LARGE(Stu_KeyRpt,14),Stu_KeyRpt,0),"")</f>
        <v/>
      </c>
      <c r="K39" s="40">
        <f>IF($J39="","",INDEX(Stu_Level,$J39))</f>
        <v/>
      </c>
    </row>
    <row r="40">
      <c r="A40" s="78">
        <f>IF($J40="","",INDEX(Stu_Name,$J40))</f>
        <v/>
      </c>
      <c r="B40" s="106">
        <f>IF($J40="","",INDEX(Stu_Class,$J40))</f>
        <v/>
      </c>
      <c r="C40" s="143">
        <f>IF($J40="","",INDEX(Stu_Abs,$J40))</f>
        <v/>
      </c>
      <c r="D40" s="145">
        <f>IF($J40="","",INDEX(Stu_Rate,$J40))</f>
        <v/>
      </c>
      <c r="E40" s="143">
        <f>IF($J40="","",INDEX(Stu_Status,$J40))</f>
        <v/>
      </c>
      <c r="F40" s="143">
        <f>IF($J40="","",INDEX(Stu_Contacted,$J40))</f>
        <v/>
      </c>
      <c r="G40" s="146">
        <f>IF($J40="","",INDEX(Stu_Action,$J40))</f>
        <v/>
      </c>
      <c r="J40" s="40">
        <f>IFERROR(MATCH(LARGE(Stu_KeyRpt,15),Stu_KeyRpt,0),"")</f>
        <v/>
      </c>
      <c r="K40" s="40">
        <f>IF($J40="","",INDEX(Stu_Level,$J40))</f>
        <v/>
      </c>
    </row>
    <row r="41">
      <c r="A41" s="32">
        <f>IF(COUNT(Stu_KeyRpt)=0,"لا توجد حالات تحتاج إلى متابعة ✓",IF(COUNT(Stu_KeyRpt)&gt;15,"تُعرض أول 15 حالة من أصل "&amp;COUNT(Stu_KeyRpt)&amp;" – القائمة الكاملة في ورقة «قائمة المتابعة»",""))</f>
        <v/>
      </c>
    </row>
    <row r="44">
      <c r="A44" s="21" t="inlineStr">
        <is>
          <t>تفصيل أيام الفترة (للتقرير اليومي والأسبوعي والشهري)</t>
        </is>
      </c>
      <c r="B44" s="22" t="n"/>
      <c r="C44" s="22" t="n"/>
      <c r="D44" s="22" t="n"/>
      <c r="E44" s="22" t="n"/>
      <c r="F44" s="22" t="n"/>
      <c r="G44" s="22" t="n"/>
      <c r="H44" s="22" t="n"/>
    </row>
    <row r="45" ht="28" customHeight="1">
      <c r="A45" s="33" t="inlineStr">
        <is>
          <t>التاريخ</t>
        </is>
      </c>
      <c r="B45" s="33" t="inlineStr">
        <is>
          <t>اليوم</t>
        </is>
      </c>
      <c r="C45" s="33" t="inlineStr">
        <is>
          <t>المسجَّلون</t>
        </is>
      </c>
      <c r="D45" s="33" t="inlineStr">
        <is>
          <t>الحاضرون</t>
        </is>
      </c>
      <c r="E45" s="33" t="inlineStr">
        <is>
          <t>غياب بدون عذر</t>
        </is>
      </c>
      <c r="F45" s="33" t="inlineStr">
        <is>
          <t>غياب بعذر</t>
        </is>
      </c>
      <c r="G45" s="33" t="inlineStr">
        <is>
          <t>متأخر</t>
        </is>
      </c>
      <c r="H45" s="33" t="inlineStr">
        <is>
          <t>نسبة الحضور</t>
        </is>
      </c>
    </row>
    <row r="46">
      <c r="A46" s="147">
        <f>IF(OR(Rpt_Period="يوم",Rpt_Period="الأسبوع",Rpt_Period="الشهر"),IFERROR(IF(INDEX(Cal_Date,Rpt_First+0)&gt;Rpt_PEnd,"",INDEX(Cal_Date,Rpt_First+0)),""),"")</f>
        <v/>
      </c>
      <c r="B46" s="148">
        <f>IF(A46="","",INDEX(Cal_Day,MATCH(A46,Cal_Date,0)))</f>
        <v/>
      </c>
      <c r="C46" s="148">
        <f>IF(A46="","",IF(Rpt_Class="الكل",SUMIFS(CD_Pres,CD_Date,A46),SUMIFS(CD_Pres,CD_Date,A46,CD_Class,Rpt_Class))+IF(Rpt_Class="الكل",SUMIFS(CD_Abs,CD_Date,A46),SUMIFS(CD_Abs,CD_Date,A46,CD_Class,Rpt_Class))+IF(Rpt_Class="الكل",SUMIFS(CD_Exc,CD_Date,A46),SUMIFS(CD_Exc,CD_Date,A46,CD_Class,Rpt_Class))+IF(Rpt_Class="الكل",SUMIFS(CD_Late,CD_Date,A46),SUMIFS(CD_Late,CD_Date,A46,CD_Class,Rpt_Class)))</f>
        <v/>
      </c>
      <c r="D46" s="148">
        <f>IF(A46="","",IF(Rpt_Class="الكل",SUMIFS(CD_Pres,CD_Date,A46),SUMIFS(CD_Pres,CD_Date,A46,CD_Class,Rpt_Class))+IF(Rpt_Class="الكل",SUMIFS(CD_Late,CD_Date,A46),SUMIFS(CD_Late,CD_Date,A46,CD_Class,Rpt_Class)))</f>
        <v/>
      </c>
      <c r="E46" s="148">
        <f>IF(A46="","",IF(Rpt_Class="الكل",SUMIFS(CD_Abs,CD_Date,A46),SUMIFS(CD_Abs,CD_Date,A46,CD_Class,Rpt_Class)))</f>
        <v/>
      </c>
      <c r="F46" s="148">
        <f>IF(A46="","",IF(Rpt_Class="الكل",SUMIFS(CD_Exc,CD_Date,A46),SUMIFS(CD_Exc,CD_Date,A46,CD_Class,Rpt_Class)))</f>
        <v/>
      </c>
      <c r="G46" s="148">
        <f>IF(A46="","",IF(Rpt_Class="الكل",SUMIFS(CD_Late,CD_Date,A46),SUMIFS(CD_Late,CD_Date,A46,CD_Class,Rpt_Class)))</f>
        <v/>
      </c>
      <c r="H46" s="149">
        <f>IF(OR(A46="",C46=0),"",(D46-IF(LateAsPresent="نعم",0,G46))/C46)</f>
        <v/>
      </c>
    </row>
    <row r="47">
      <c r="A47" s="147">
        <f>IF(OR(Rpt_Period="يوم",Rpt_Period="الأسبوع",Rpt_Period="الشهر"),IFERROR(IF(INDEX(Cal_Date,Rpt_First+1)&gt;Rpt_PEnd,"",INDEX(Cal_Date,Rpt_First+1)),""),"")</f>
        <v/>
      </c>
      <c r="B47" s="148">
        <f>IF(A47="","",INDEX(Cal_Day,MATCH(A47,Cal_Date,0)))</f>
        <v/>
      </c>
      <c r="C47" s="148">
        <f>IF(A47="","",IF(Rpt_Class="الكل",SUMIFS(CD_Pres,CD_Date,A47),SUMIFS(CD_Pres,CD_Date,A47,CD_Class,Rpt_Class))+IF(Rpt_Class="الكل",SUMIFS(CD_Abs,CD_Date,A47),SUMIFS(CD_Abs,CD_Date,A47,CD_Class,Rpt_Class))+IF(Rpt_Class="الكل",SUMIFS(CD_Exc,CD_Date,A47),SUMIFS(CD_Exc,CD_Date,A47,CD_Class,Rpt_Class))+IF(Rpt_Class="الكل",SUMIFS(CD_Late,CD_Date,A47),SUMIFS(CD_Late,CD_Date,A47,CD_Class,Rpt_Class)))</f>
        <v/>
      </c>
      <c r="D47" s="148">
        <f>IF(A47="","",IF(Rpt_Class="الكل",SUMIFS(CD_Pres,CD_Date,A47),SUMIFS(CD_Pres,CD_Date,A47,CD_Class,Rpt_Class))+IF(Rpt_Class="الكل",SUMIFS(CD_Late,CD_Date,A47),SUMIFS(CD_Late,CD_Date,A47,CD_Class,Rpt_Class)))</f>
        <v/>
      </c>
      <c r="E47" s="148">
        <f>IF(A47="","",IF(Rpt_Class="الكل",SUMIFS(CD_Abs,CD_Date,A47),SUMIFS(CD_Abs,CD_Date,A47,CD_Class,Rpt_Class)))</f>
        <v/>
      </c>
      <c r="F47" s="148">
        <f>IF(A47="","",IF(Rpt_Class="الكل",SUMIFS(CD_Exc,CD_Date,A47),SUMIFS(CD_Exc,CD_Date,A47,CD_Class,Rpt_Class)))</f>
        <v/>
      </c>
      <c r="G47" s="148">
        <f>IF(A47="","",IF(Rpt_Class="الكل",SUMIFS(CD_Late,CD_Date,A47),SUMIFS(CD_Late,CD_Date,A47,CD_Class,Rpt_Class)))</f>
        <v/>
      </c>
      <c r="H47" s="149">
        <f>IF(OR(A47="",C47=0),"",(D47-IF(LateAsPresent="نعم",0,G47))/C47)</f>
        <v/>
      </c>
    </row>
    <row r="48">
      <c r="A48" s="147">
        <f>IF(OR(Rpt_Period="يوم",Rpt_Period="الأسبوع",Rpt_Period="الشهر"),IFERROR(IF(INDEX(Cal_Date,Rpt_First+2)&gt;Rpt_PEnd,"",INDEX(Cal_Date,Rpt_First+2)),""),"")</f>
        <v/>
      </c>
      <c r="B48" s="148">
        <f>IF(A48="","",INDEX(Cal_Day,MATCH(A48,Cal_Date,0)))</f>
        <v/>
      </c>
      <c r="C48" s="148">
        <f>IF(A48="","",IF(Rpt_Class="الكل",SUMIFS(CD_Pres,CD_Date,A48),SUMIFS(CD_Pres,CD_Date,A48,CD_Class,Rpt_Class))+IF(Rpt_Class="الكل",SUMIFS(CD_Abs,CD_Date,A48),SUMIFS(CD_Abs,CD_Date,A48,CD_Class,Rpt_Class))+IF(Rpt_Class="الكل",SUMIFS(CD_Exc,CD_Date,A48),SUMIFS(CD_Exc,CD_Date,A48,CD_Class,Rpt_Class))+IF(Rpt_Class="الكل",SUMIFS(CD_Late,CD_Date,A48),SUMIFS(CD_Late,CD_Date,A48,CD_Class,Rpt_Class)))</f>
        <v/>
      </c>
      <c r="D48" s="148">
        <f>IF(A48="","",IF(Rpt_Class="الكل",SUMIFS(CD_Pres,CD_Date,A48),SUMIFS(CD_Pres,CD_Date,A48,CD_Class,Rpt_Class))+IF(Rpt_Class="الكل",SUMIFS(CD_Late,CD_Date,A48),SUMIFS(CD_Late,CD_Date,A48,CD_Class,Rpt_Class)))</f>
        <v/>
      </c>
      <c r="E48" s="148">
        <f>IF(A48="","",IF(Rpt_Class="الكل",SUMIFS(CD_Abs,CD_Date,A48),SUMIFS(CD_Abs,CD_Date,A48,CD_Class,Rpt_Class)))</f>
        <v/>
      </c>
      <c r="F48" s="148">
        <f>IF(A48="","",IF(Rpt_Class="الكل",SUMIFS(CD_Exc,CD_Date,A48),SUMIFS(CD_Exc,CD_Date,A48,CD_Class,Rpt_Class)))</f>
        <v/>
      </c>
      <c r="G48" s="148">
        <f>IF(A48="","",IF(Rpt_Class="الكل",SUMIFS(CD_Late,CD_Date,A48),SUMIFS(CD_Late,CD_Date,A48,CD_Class,Rpt_Class)))</f>
        <v/>
      </c>
      <c r="H48" s="149">
        <f>IF(OR(A48="",C48=0),"",(D48-IF(LateAsPresent="نعم",0,G48))/C48)</f>
        <v/>
      </c>
    </row>
    <row r="49">
      <c r="A49" s="147">
        <f>IF(OR(Rpt_Period="يوم",Rpt_Period="الأسبوع",Rpt_Period="الشهر"),IFERROR(IF(INDEX(Cal_Date,Rpt_First+3)&gt;Rpt_PEnd,"",INDEX(Cal_Date,Rpt_First+3)),""),"")</f>
        <v/>
      </c>
      <c r="B49" s="148">
        <f>IF(A49="","",INDEX(Cal_Day,MATCH(A49,Cal_Date,0)))</f>
        <v/>
      </c>
      <c r="C49" s="148">
        <f>IF(A49="","",IF(Rpt_Class="الكل",SUMIFS(CD_Pres,CD_Date,A49),SUMIFS(CD_Pres,CD_Date,A49,CD_Class,Rpt_Class))+IF(Rpt_Class="الكل",SUMIFS(CD_Abs,CD_Date,A49),SUMIFS(CD_Abs,CD_Date,A49,CD_Class,Rpt_Class))+IF(Rpt_Class="الكل",SUMIFS(CD_Exc,CD_Date,A49),SUMIFS(CD_Exc,CD_Date,A49,CD_Class,Rpt_Class))+IF(Rpt_Class="الكل",SUMIFS(CD_Late,CD_Date,A49),SUMIFS(CD_Late,CD_Date,A49,CD_Class,Rpt_Class)))</f>
        <v/>
      </c>
      <c r="D49" s="148">
        <f>IF(A49="","",IF(Rpt_Class="الكل",SUMIFS(CD_Pres,CD_Date,A49),SUMIFS(CD_Pres,CD_Date,A49,CD_Class,Rpt_Class))+IF(Rpt_Class="الكل",SUMIFS(CD_Late,CD_Date,A49),SUMIFS(CD_Late,CD_Date,A49,CD_Class,Rpt_Class)))</f>
        <v/>
      </c>
      <c r="E49" s="148">
        <f>IF(A49="","",IF(Rpt_Class="الكل",SUMIFS(CD_Abs,CD_Date,A49),SUMIFS(CD_Abs,CD_Date,A49,CD_Class,Rpt_Class)))</f>
        <v/>
      </c>
      <c r="F49" s="148">
        <f>IF(A49="","",IF(Rpt_Class="الكل",SUMIFS(CD_Exc,CD_Date,A49),SUMIFS(CD_Exc,CD_Date,A49,CD_Class,Rpt_Class)))</f>
        <v/>
      </c>
      <c r="G49" s="148">
        <f>IF(A49="","",IF(Rpt_Class="الكل",SUMIFS(CD_Late,CD_Date,A49),SUMIFS(CD_Late,CD_Date,A49,CD_Class,Rpt_Class)))</f>
        <v/>
      </c>
      <c r="H49" s="149">
        <f>IF(OR(A49="",C49=0),"",(D49-IF(LateAsPresent="نعم",0,G49))/C49)</f>
        <v/>
      </c>
    </row>
    <row r="50">
      <c r="A50" s="147">
        <f>IF(OR(Rpt_Period="يوم",Rpt_Period="الأسبوع",Rpt_Period="الشهر"),IFERROR(IF(INDEX(Cal_Date,Rpt_First+4)&gt;Rpt_PEnd,"",INDEX(Cal_Date,Rpt_First+4)),""),"")</f>
        <v/>
      </c>
      <c r="B50" s="148">
        <f>IF(A50="","",INDEX(Cal_Day,MATCH(A50,Cal_Date,0)))</f>
        <v/>
      </c>
      <c r="C50" s="148">
        <f>IF(A50="","",IF(Rpt_Class="الكل",SUMIFS(CD_Pres,CD_Date,A50),SUMIFS(CD_Pres,CD_Date,A50,CD_Class,Rpt_Class))+IF(Rpt_Class="الكل",SUMIFS(CD_Abs,CD_Date,A50),SUMIFS(CD_Abs,CD_Date,A50,CD_Class,Rpt_Class))+IF(Rpt_Class="الكل",SUMIFS(CD_Exc,CD_Date,A50),SUMIFS(CD_Exc,CD_Date,A50,CD_Class,Rpt_Class))+IF(Rpt_Class="الكل",SUMIFS(CD_Late,CD_Date,A50),SUMIFS(CD_Late,CD_Date,A50,CD_Class,Rpt_Class)))</f>
        <v/>
      </c>
      <c r="D50" s="148">
        <f>IF(A50="","",IF(Rpt_Class="الكل",SUMIFS(CD_Pres,CD_Date,A50),SUMIFS(CD_Pres,CD_Date,A50,CD_Class,Rpt_Class))+IF(Rpt_Class="الكل",SUMIFS(CD_Late,CD_Date,A50),SUMIFS(CD_Late,CD_Date,A50,CD_Class,Rpt_Class)))</f>
        <v/>
      </c>
      <c r="E50" s="148">
        <f>IF(A50="","",IF(Rpt_Class="الكل",SUMIFS(CD_Abs,CD_Date,A50),SUMIFS(CD_Abs,CD_Date,A50,CD_Class,Rpt_Class)))</f>
        <v/>
      </c>
      <c r="F50" s="148">
        <f>IF(A50="","",IF(Rpt_Class="الكل",SUMIFS(CD_Exc,CD_Date,A50),SUMIFS(CD_Exc,CD_Date,A50,CD_Class,Rpt_Class)))</f>
        <v/>
      </c>
      <c r="G50" s="148">
        <f>IF(A50="","",IF(Rpt_Class="الكل",SUMIFS(CD_Late,CD_Date,A50),SUMIFS(CD_Late,CD_Date,A50,CD_Class,Rpt_Class)))</f>
        <v/>
      </c>
      <c r="H50" s="149">
        <f>IF(OR(A50="",C50=0),"",(D50-IF(LateAsPresent="نعم",0,G50))/C50)</f>
        <v/>
      </c>
    </row>
    <row r="51">
      <c r="A51" s="147">
        <f>IF(OR(Rpt_Period="يوم",Rpt_Period="الأسبوع",Rpt_Period="الشهر"),IFERROR(IF(INDEX(Cal_Date,Rpt_First+5)&gt;Rpt_PEnd,"",INDEX(Cal_Date,Rpt_First+5)),""),"")</f>
        <v/>
      </c>
      <c r="B51" s="148">
        <f>IF(A51="","",INDEX(Cal_Day,MATCH(A51,Cal_Date,0)))</f>
        <v/>
      </c>
      <c r="C51" s="148">
        <f>IF(A51="","",IF(Rpt_Class="الكل",SUMIFS(CD_Pres,CD_Date,A51),SUMIFS(CD_Pres,CD_Date,A51,CD_Class,Rpt_Class))+IF(Rpt_Class="الكل",SUMIFS(CD_Abs,CD_Date,A51),SUMIFS(CD_Abs,CD_Date,A51,CD_Class,Rpt_Class))+IF(Rpt_Class="الكل",SUMIFS(CD_Exc,CD_Date,A51),SUMIFS(CD_Exc,CD_Date,A51,CD_Class,Rpt_Class))+IF(Rpt_Class="الكل",SUMIFS(CD_Late,CD_Date,A51),SUMIFS(CD_Late,CD_Date,A51,CD_Class,Rpt_Class)))</f>
        <v/>
      </c>
      <c r="D51" s="148">
        <f>IF(A51="","",IF(Rpt_Class="الكل",SUMIFS(CD_Pres,CD_Date,A51),SUMIFS(CD_Pres,CD_Date,A51,CD_Class,Rpt_Class))+IF(Rpt_Class="الكل",SUMIFS(CD_Late,CD_Date,A51),SUMIFS(CD_Late,CD_Date,A51,CD_Class,Rpt_Class)))</f>
        <v/>
      </c>
      <c r="E51" s="148">
        <f>IF(A51="","",IF(Rpt_Class="الكل",SUMIFS(CD_Abs,CD_Date,A51),SUMIFS(CD_Abs,CD_Date,A51,CD_Class,Rpt_Class)))</f>
        <v/>
      </c>
      <c r="F51" s="148">
        <f>IF(A51="","",IF(Rpt_Class="الكل",SUMIFS(CD_Exc,CD_Date,A51),SUMIFS(CD_Exc,CD_Date,A51,CD_Class,Rpt_Class)))</f>
        <v/>
      </c>
      <c r="G51" s="148">
        <f>IF(A51="","",IF(Rpt_Class="الكل",SUMIFS(CD_Late,CD_Date,A51),SUMIFS(CD_Late,CD_Date,A51,CD_Class,Rpt_Class)))</f>
        <v/>
      </c>
      <c r="H51" s="149">
        <f>IF(OR(A51="",C51=0),"",(D51-IF(LateAsPresent="نعم",0,G51))/C51)</f>
        <v/>
      </c>
    </row>
    <row r="52">
      <c r="A52" s="147">
        <f>IF(OR(Rpt_Period="يوم",Rpt_Period="الأسبوع",Rpt_Period="الشهر"),IFERROR(IF(INDEX(Cal_Date,Rpt_First+6)&gt;Rpt_PEnd,"",INDEX(Cal_Date,Rpt_First+6)),""),"")</f>
        <v/>
      </c>
      <c r="B52" s="148">
        <f>IF(A52="","",INDEX(Cal_Day,MATCH(A52,Cal_Date,0)))</f>
        <v/>
      </c>
      <c r="C52" s="148">
        <f>IF(A52="","",IF(Rpt_Class="الكل",SUMIFS(CD_Pres,CD_Date,A52),SUMIFS(CD_Pres,CD_Date,A52,CD_Class,Rpt_Class))+IF(Rpt_Class="الكل",SUMIFS(CD_Abs,CD_Date,A52),SUMIFS(CD_Abs,CD_Date,A52,CD_Class,Rpt_Class))+IF(Rpt_Class="الكل",SUMIFS(CD_Exc,CD_Date,A52),SUMIFS(CD_Exc,CD_Date,A52,CD_Class,Rpt_Class))+IF(Rpt_Class="الكل",SUMIFS(CD_Late,CD_Date,A52),SUMIFS(CD_Late,CD_Date,A52,CD_Class,Rpt_Class)))</f>
        <v/>
      </c>
      <c r="D52" s="148">
        <f>IF(A52="","",IF(Rpt_Class="الكل",SUMIFS(CD_Pres,CD_Date,A52),SUMIFS(CD_Pres,CD_Date,A52,CD_Class,Rpt_Class))+IF(Rpt_Class="الكل",SUMIFS(CD_Late,CD_Date,A52),SUMIFS(CD_Late,CD_Date,A52,CD_Class,Rpt_Class)))</f>
        <v/>
      </c>
      <c r="E52" s="148">
        <f>IF(A52="","",IF(Rpt_Class="الكل",SUMIFS(CD_Abs,CD_Date,A52),SUMIFS(CD_Abs,CD_Date,A52,CD_Class,Rpt_Class)))</f>
        <v/>
      </c>
      <c r="F52" s="148">
        <f>IF(A52="","",IF(Rpt_Class="الكل",SUMIFS(CD_Exc,CD_Date,A52),SUMIFS(CD_Exc,CD_Date,A52,CD_Class,Rpt_Class)))</f>
        <v/>
      </c>
      <c r="G52" s="148">
        <f>IF(A52="","",IF(Rpt_Class="الكل",SUMIFS(CD_Late,CD_Date,A52),SUMIFS(CD_Late,CD_Date,A52,CD_Class,Rpt_Class)))</f>
        <v/>
      </c>
      <c r="H52" s="149">
        <f>IF(OR(A52="",C52=0),"",(D52-IF(LateAsPresent="نعم",0,G52))/C52)</f>
        <v/>
      </c>
    </row>
    <row r="53">
      <c r="A53" s="147">
        <f>IF(OR(Rpt_Period="يوم",Rpt_Period="الأسبوع",Rpt_Period="الشهر"),IFERROR(IF(INDEX(Cal_Date,Rpt_First+7)&gt;Rpt_PEnd,"",INDEX(Cal_Date,Rpt_First+7)),""),"")</f>
        <v/>
      </c>
      <c r="B53" s="148">
        <f>IF(A53="","",INDEX(Cal_Day,MATCH(A53,Cal_Date,0)))</f>
        <v/>
      </c>
      <c r="C53" s="148">
        <f>IF(A53="","",IF(Rpt_Class="الكل",SUMIFS(CD_Pres,CD_Date,A53),SUMIFS(CD_Pres,CD_Date,A53,CD_Class,Rpt_Class))+IF(Rpt_Class="الكل",SUMIFS(CD_Abs,CD_Date,A53),SUMIFS(CD_Abs,CD_Date,A53,CD_Class,Rpt_Class))+IF(Rpt_Class="الكل",SUMIFS(CD_Exc,CD_Date,A53),SUMIFS(CD_Exc,CD_Date,A53,CD_Class,Rpt_Class))+IF(Rpt_Class="الكل",SUMIFS(CD_Late,CD_Date,A53),SUMIFS(CD_Late,CD_Date,A53,CD_Class,Rpt_Class)))</f>
        <v/>
      </c>
      <c r="D53" s="148">
        <f>IF(A53="","",IF(Rpt_Class="الكل",SUMIFS(CD_Pres,CD_Date,A53),SUMIFS(CD_Pres,CD_Date,A53,CD_Class,Rpt_Class))+IF(Rpt_Class="الكل",SUMIFS(CD_Late,CD_Date,A53),SUMIFS(CD_Late,CD_Date,A53,CD_Class,Rpt_Class)))</f>
        <v/>
      </c>
      <c r="E53" s="148">
        <f>IF(A53="","",IF(Rpt_Class="الكل",SUMIFS(CD_Abs,CD_Date,A53),SUMIFS(CD_Abs,CD_Date,A53,CD_Class,Rpt_Class)))</f>
        <v/>
      </c>
      <c r="F53" s="148">
        <f>IF(A53="","",IF(Rpt_Class="الكل",SUMIFS(CD_Exc,CD_Date,A53),SUMIFS(CD_Exc,CD_Date,A53,CD_Class,Rpt_Class)))</f>
        <v/>
      </c>
      <c r="G53" s="148">
        <f>IF(A53="","",IF(Rpt_Class="الكل",SUMIFS(CD_Late,CD_Date,A53),SUMIFS(CD_Late,CD_Date,A53,CD_Class,Rpt_Class)))</f>
        <v/>
      </c>
      <c r="H53" s="149">
        <f>IF(OR(A53="",C53=0),"",(D53-IF(LateAsPresent="نعم",0,G53))/C53)</f>
        <v/>
      </c>
    </row>
    <row r="54">
      <c r="A54" s="147">
        <f>IF(OR(Rpt_Period="يوم",Rpt_Period="الأسبوع",Rpt_Period="الشهر"),IFERROR(IF(INDEX(Cal_Date,Rpt_First+8)&gt;Rpt_PEnd,"",INDEX(Cal_Date,Rpt_First+8)),""),"")</f>
        <v/>
      </c>
      <c r="B54" s="148">
        <f>IF(A54="","",INDEX(Cal_Day,MATCH(A54,Cal_Date,0)))</f>
        <v/>
      </c>
      <c r="C54" s="148">
        <f>IF(A54="","",IF(Rpt_Class="الكل",SUMIFS(CD_Pres,CD_Date,A54),SUMIFS(CD_Pres,CD_Date,A54,CD_Class,Rpt_Class))+IF(Rpt_Class="الكل",SUMIFS(CD_Abs,CD_Date,A54),SUMIFS(CD_Abs,CD_Date,A54,CD_Class,Rpt_Class))+IF(Rpt_Class="الكل",SUMIFS(CD_Exc,CD_Date,A54),SUMIFS(CD_Exc,CD_Date,A54,CD_Class,Rpt_Class))+IF(Rpt_Class="الكل",SUMIFS(CD_Late,CD_Date,A54),SUMIFS(CD_Late,CD_Date,A54,CD_Class,Rpt_Class)))</f>
        <v/>
      </c>
      <c r="D54" s="148">
        <f>IF(A54="","",IF(Rpt_Class="الكل",SUMIFS(CD_Pres,CD_Date,A54),SUMIFS(CD_Pres,CD_Date,A54,CD_Class,Rpt_Class))+IF(Rpt_Class="الكل",SUMIFS(CD_Late,CD_Date,A54),SUMIFS(CD_Late,CD_Date,A54,CD_Class,Rpt_Class)))</f>
        <v/>
      </c>
      <c r="E54" s="148">
        <f>IF(A54="","",IF(Rpt_Class="الكل",SUMIFS(CD_Abs,CD_Date,A54),SUMIFS(CD_Abs,CD_Date,A54,CD_Class,Rpt_Class)))</f>
        <v/>
      </c>
      <c r="F54" s="148">
        <f>IF(A54="","",IF(Rpt_Class="الكل",SUMIFS(CD_Exc,CD_Date,A54),SUMIFS(CD_Exc,CD_Date,A54,CD_Class,Rpt_Class)))</f>
        <v/>
      </c>
      <c r="G54" s="148">
        <f>IF(A54="","",IF(Rpt_Class="الكل",SUMIFS(CD_Late,CD_Date,A54),SUMIFS(CD_Late,CD_Date,A54,CD_Class,Rpt_Class)))</f>
        <v/>
      </c>
      <c r="H54" s="149">
        <f>IF(OR(A54="",C54=0),"",(D54-IF(LateAsPresent="نعم",0,G54))/C54)</f>
        <v/>
      </c>
    </row>
    <row r="55">
      <c r="A55" s="147">
        <f>IF(OR(Rpt_Period="يوم",Rpt_Period="الأسبوع",Rpt_Period="الشهر"),IFERROR(IF(INDEX(Cal_Date,Rpt_First+9)&gt;Rpt_PEnd,"",INDEX(Cal_Date,Rpt_First+9)),""),"")</f>
        <v/>
      </c>
      <c r="B55" s="148">
        <f>IF(A55="","",INDEX(Cal_Day,MATCH(A55,Cal_Date,0)))</f>
        <v/>
      </c>
      <c r="C55" s="148">
        <f>IF(A55="","",IF(Rpt_Class="الكل",SUMIFS(CD_Pres,CD_Date,A55),SUMIFS(CD_Pres,CD_Date,A55,CD_Class,Rpt_Class))+IF(Rpt_Class="الكل",SUMIFS(CD_Abs,CD_Date,A55),SUMIFS(CD_Abs,CD_Date,A55,CD_Class,Rpt_Class))+IF(Rpt_Class="الكل",SUMIFS(CD_Exc,CD_Date,A55),SUMIFS(CD_Exc,CD_Date,A55,CD_Class,Rpt_Class))+IF(Rpt_Class="الكل",SUMIFS(CD_Late,CD_Date,A55),SUMIFS(CD_Late,CD_Date,A55,CD_Class,Rpt_Class)))</f>
        <v/>
      </c>
      <c r="D55" s="148">
        <f>IF(A55="","",IF(Rpt_Class="الكل",SUMIFS(CD_Pres,CD_Date,A55),SUMIFS(CD_Pres,CD_Date,A55,CD_Class,Rpt_Class))+IF(Rpt_Class="الكل",SUMIFS(CD_Late,CD_Date,A55),SUMIFS(CD_Late,CD_Date,A55,CD_Class,Rpt_Class)))</f>
        <v/>
      </c>
      <c r="E55" s="148">
        <f>IF(A55="","",IF(Rpt_Class="الكل",SUMIFS(CD_Abs,CD_Date,A55),SUMIFS(CD_Abs,CD_Date,A55,CD_Class,Rpt_Class)))</f>
        <v/>
      </c>
      <c r="F55" s="148">
        <f>IF(A55="","",IF(Rpt_Class="الكل",SUMIFS(CD_Exc,CD_Date,A55),SUMIFS(CD_Exc,CD_Date,A55,CD_Class,Rpt_Class)))</f>
        <v/>
      </c>
      <c r="G55" s="148">
        <f>IF(A55="","",IF(Rpt_Class="الكل",SUMIFS(CD_Late,CD_Date,A55),SUMIFS(CD_Late,CD_Date,A55,CD_Class,Rpt_Class)))</f>
        <v/>
      </c>
      <c r="H55" s="149">
        <f>IF(OR(A55="",C55=0),"",(D55-IF(LateAsPresent="نعم",0,G55))/C55)</f>
        <v/>
      </c>
    </row>
    <row r="56">
      <c r="A56" s="147">
        <f>IF(OR(Rpt_Period="يوم",Rpt_Period="الأسبوع",Rpt_Period="الشهر"),IFERROR(IF(INDEX(Cal_Date,Rpt_First+10)&gt;Rpt_PEnd,"",INDEX(Cal_Date,Rpt_First+10)),""),"")</f>
        <v/>
      </c>
      <c r="B56" s="148">
        <f>IF(A56="","",INDEX(Cal_Day,MATCH(A56,Cal_Date,0)))</f>
        <v/>
      </c>
      <c r="C56" s="148">
        <f>IF(A56="","",IF(Rpt_Class="الكل",SUMIFS(CD_Pres,CD_Date,A56),SUMIFS(CD_Pres,CD_Date,A56,CD_Class,Rpt_Class))+IF(Rpt_Class="الكل",SUMIFS(CD_Abs,CD_Date,A56),SUMIFS(CD_Abs,CD_Date,A56,CD_Class,Rpt_Class))+IF(Rpt_Class="الكل",SUMIFS(CD_Exc,CD_Date,A56),SUMIFS(CD_Exc,CD_Date,A56,CD_Class,Rpt_Class))+IF(Rpt_Class="الكل",SUMIFS(CD_Late,CD_Date,A56),SUMIFS(CD_Late,CD_Date,A56,CD_Class,Rpt_Class)))</f>
        <v/>
      </c>
      <c r="D56" s="148">
        <f>IF(A56="","",IF(Rpt_Class="الكل",SUMIFS(CD_Pres,CD_Date,A56),SUMIFS(CD_Pres,CD_Date,A56,CD_Class,Rpt_Class))+IF(Rpt_Class="الكل",SUMIFS(CD_Late,CD_Date,A56),SUMIFS(CD_Late,CD_Date,A56,CD_Class,Rpt_Class)))</f>
        <v/>
      </c>
      <c r="E56" s="148">
        <f>IF(A56="","",IF(Rpt_Class="الكل",SUMIFS(CD_Abs,CD_Date,A56),SUMIFS(CD_Abs,CD_Date,A56,CD_Class,Rpt_Class)))</f>
        <v/>
      </c>
      <c r="F56" s="148">
        <f>IF(A56="","",IF(Rpt_Class="الكل",SUMIFS(CD_Exc,CD_Date,A56),SUMIFS(CD_Exc,CD_Date,A56,CD_Class,Rpt_Class)))</f>
        <v/>
      </c>
      <c r="G56" s="148">
        <f>IF(A56="","",IF(Rpt_Class="الكل",SUMIFS(CD_Late,CD_Date,A56),SUMIFS(CD_Late,CD_Date,A56,CD_Class,Rpt_Class)))</f>
        <v/>
      </c>
      <c r="H56" s="149">
        <f>IF(OR(A56="",C56=0),"",(D56-IF(LateAsPresent="نعم",0,G56))/C56)</f>
        <v/>
      </c>
    </row>
    <row r="57">
      <c r="A57" s="147">
        <f>IF(OR(Rpt_Period="يوم",Rpt_Period="الأسبوع",Rpt_Period="الشهر"),IFERROR(IF(INDEX(Cal_Date,Rpt_First+11)&gt;Rpt_PEnd,"",INDEX(Cal_Date,Rpt_First+11)),""),"")</f>
        <v/>
      </c>
      <c r="B57" s="148">
        <f>IF(A57="","",INDEX(Cal_Day,MATCH(A57,Cal_Date,0)))</f>
        <v/>
      </c>
      <c r="C57" s="148">
        <f>IF(A57="","",IF(Rpt_Class="الكل",SUMIFS(CD_Pres,CD_Date,A57),SUMIFS(CD_Pres,CD_Date,A57,CD_Class,Rpt_Class))+IF(Rpt_Class="الكل",SUMIFS(CD_Abs,CD_Date,A57),SUMIFS(CD_Abs,CD_Date,A57,CD_Class,Rpt_Class))+IF(Rpt_Class="الكل",SUMIFS(CD_Exc,CD_Date,A57),SUMIFS(CD_Exc,CD_Date,A57,CD_Class,Rpt_Class))+IF(Rpt_Class="الكل",SUMIFS(CD_Late,CD_Date,A57),SUMIFS(CD_Late,CD_Date,A57,CD_Class,Rpt_Class)))</f>
        <v/>
      </c>
      <c r="D57" s="148">
        <f>IF(A57="","",IF(Rpt_Class="الكل",SUMIFS(CD_Pres,CD_Date,A57),SUMIFS(CD_Pres,CD_Date,A57,CD_Class,Rpt_Class))+IF(Rpt_Class="الكل",SUMIFS(CD_Late,CD_Date,A57),SUMIFS(CD_Late,CD_Date,A57,CD_Class,Rpt_Class)))</f>
        <v/>
      </c>
      <c r="E57" s="148">
        <f>IF(A57="","",IF(Rpt_Class="الكل",SUMIFS(CD_Abs,CD_Date,A57),SUMIFS(CD_Abs,CD_Date,A57,CD_Class,Rpt_Class)))</f>
        <v/>
      </c>
      <c r="F57" s="148">
        <f>IF(A57="","",IF(Rpt_Class="الكل",SUMIFS(CD_Exc,CD_Date,A57),SUMIFS(CD_Exc,CD_Date,A57,CD_Class,Rpt_Class)))</f>
        <v/>
      </c>
      <c r="G57" s="148">
        <f>IF(A57="","",IF(Rpt_Class="الكل",SUMIFS(CD_Late,CD_Date,A57),SUMIFS(CD_Late,CD_Date,A57,CD_Class,Rpt_Class)))</f>
        <v/>
      </c>
      <c r="H57" s="149">
        <f>IF(OR(A57="",C57=0),"",(D57-IF(LateAsPresent="نعم",0,G57))/C57)</f>
        <v/>
      </c>
    </row>
    <row r="58">
      <c r="A58" s="147">
        <f>IF(OR(Rpt_Period="يوم",Rpt_Period="الأسبوع",Rpt_Period="الشهر"),IFERROR(IF(INDEX(Cal_Date,Rpt_First+12)&gt;Rpt_PEnd,"",INDEX(Cal_Date,Rpt_First+12)),""),"")</f>
        <v/>
      </c>
      <c r="B58" s="148">
        <f>IF(A58="","",INDEX(Cal_Day,MATCH(A58,Cal_Date,0)))</f>
        <v/>
      </c>
      <c r="C58" s="148">
        <f>IF(A58="","",IF(Rpt_Class="الكل",SUMIFS(CD_Pres,CD_Date,A58),SUMIFS(CD_Pres,CD_Date,A58,CD_Class,Rpt_Class))+IF(Rpt_Class="الكل",SUMIFS(CD_Abs,CD_Date,A58),SUMIFS(CD_Abs,CD_Date,A58,CD_Class,Rpt_Class))+IF(Rpt_Class="الكل",SUMIFS(CD_Exc,CD_Date,A58),SUMIFS(CD_Exc,CD_Date,A58,CD_Class,Rpt_Class))+IF(Rpt_Class="الكل",SUMIFS(CD_Late,CD_Date,A58),SUMIFS(CD_Late,CD_Date,A58,CD_Class,Rpt_Class)))</f>
        <v/>
      </c>
      <c r="D58" s="148">
        <f>IF(A58="","",IF(Rpt_Class="الكل",SUMIFS(CD_Pres,CD_Date,A58),SUMIFS(CD_Pres,CD_Date,A58,CD_Class,Rpt_Class))+IF(Rpt_Class="الكل",SUMIFS(CD_Late,CD_Date,A58),SUMIFS(CD_Late,CD_Date,A58,CD_Class,Rpt_Class)))</f>
        <v/>
      </c>
      <c r="E58" s="148">
        <f>IF(A58="","",IF(Rpt_Class="الكل",SUMIFS(CD_Abs,CD_Date,A58),SUMIFS(CD_Abs,CD_Date,A58,CD_Class,Rpt_Class)))</f>
        <v/>
      </c>
      <c r="F58" s="148">
        <f>IF(A58="","",IF(Rpt_Class="الكل",SUMIFS(CD_Exc,CD_Date,A58),SUMIFS(CD_Exc,CD_Date,A58,CD_Class,Rpt_Class)))</f>
        <v/>
      </c>
      <c r="G58" s="148">
        <f>IF(A58="","",IF(Rpt_Class="الكل",SUMIFS(CD_Late,CD_Date,A58),SUMIFS(CD_Late,CD_Date,A58,CD_Class,Rpt_Class)))</f>
        <v/>
      </c>
      <c r="H58" s="149">
        <f>IF(OR(A58="",C58=0),"",(D58-IF(LateAsPresent="نعم",0,G58))/C58)</f>
        <v/>
      </c>
    </row>
    <row r="59">
      <c r="A59" s="147">
        <f>IF(OR(Rpt_Period="يوم",Rpt_Period="الأسبوع",Rpt_Period="الشهر"),IFERROR(IF(INDEX(Cal_Date,Rpt_First+13)&gt;Rpt_PEnd,"",INDEX(Cal_Date,Rpt_First+13)),""),"")</f>
        <v/>
      </c>
      <c r="B59" s="148">
        <f>IF(A59="","",INDEX(Cal_Day,MATCH(A59,Cal_Date,0)))</f>
        <v/>
      </c>
      <c r="C59" s="148">
        <f>IF(A59="","",IF(Rpt_Class="الكل",SUMIFS(CD_Pres,CD_Date,A59),SUMIFS(CD_Pres,CD_Date,A59,CD_Class,Rpt_Class))+IF(Rpt_Class="الكل",SUMIFS(CD_Abs,CD_Date,A59),SUMIFS(CD_Abs,CD_Date,A59,CD_Class,Rpt_Class))+IF(Rpt_Class="الكل",SUMIFS(CD_Exc,CD_Date,A59),SUMIFS(CD_Exc,CD_Date,A59,CD_Class,Rpt_Class))+IF(Rpt_Class="الكل",SUMIFS(CD_Late,CD_Date,A59),SUMIFS(CD_Late,CD_Date,A59,CD_Class,Rpt_Class)))</f>
        <v/>
      </c>
      <c r="D59" s="148">
        <f>IF(A59="","",IF(Rpt_Class="الكل",SUMIFS(CD_Pres,CD_Date,A59),SUMIFS(CD_Pres,CD_Date,A59,CD_Class,Rpt_Class))+IF(Rpt_Class="الكل",SUMIFS(CD_Late,CD_Date,A59),SUMIFS(CD_Late,CD_Date,A59,CD_Class,Rpt_Class)))</f>
        <v/>
      </c>
      <c r="E59" s="148">
        <f>IF(A59="","",IF(Rpt_Class="الكل",SUMIFS(CD_Abs,CD_Date,A59),SUMIFS(CD_Abs,CD_Date,A59,CD_Class,Rpt_Class)))</f>
        <v/>
      </c>
      <c r="F59" s="148">
        <f>IF(A59="","",IF(Rpt_Class="الكل",SUMIFS(CD_Exc,CD_Date,A59),SUMIFS(CD_Exc,CD_Date,A59,CD_Class,Rpt_Class)))</f>
        <v/>
      </c>
      <c r="G59" s="148">
        <f>IF(A59="","",IF(Rpt_Class="الكل",SUMIFS(CD_Late,CD_Date,A59),SUMIFS(CD_Late,CD_Date,A59,CD_Class,Rpt_Class)))</f>
        <v/>
      </c>
      <c r="H59" s="149">
        <f>IF(OR(A59="",C59=0),"",(D59-IF(LateAsPresent="نعم",0,G59))/C59)</f>
        <v/>
      </c>
    </row>
    <row r="60">
      <c r="A60" s="147">
        <f>IF(OR(Rpt_Period="يوم",Rpt_Period="الأسبوع",Rpt_Period="الشهر"),IFERROR(IF(INDEX(Cal_Date,Rpt_First+14)&gt;Rpt_PEnd,"",INDEX(Cal_Date,Rpt_First+14)),""),"")</f>
        <v/>
      </c>
      <c r="B60" s="148">
        <f>IF(A60="","",INDEX(Cal_Day,MATCH(A60,Cal_Date,0)))</f>
        <v/>
      </c>
      <c r="C60" s="148">
        <f>IF(A60="","",IF(Rpt_Class="الكل",SUMIFS(CD_Pres,CD_Date,A60),SUMIFS(CD_Pres,CD_Date,A60,CD_Class,Rpt_Class))+IF(Rpt_Class="الكل",SUMIFS(CD_Abs,CD_Date,A60),SUMIFS(CD_Abs,CD_Date,A60,CD_Class,Rpt_Class))+IF(Rpt_Class="الكل",SUMIFS(CD_Exc,CD_Date,A60),SUMIFS(CD_Exc,CD_Date,A60,CD_Class,Rpt_Class))+IF(Rpt_Class="الكل",SUMIFS(CD_Late,CD_Date,A60),SUMIFS(CD_Late,CD_Date,A60,CD_Class,Rpt_Class)))</f>
        <v/>
      </c>
      <c r="D60" s="148">
        <f>IF(A60="","",IF(Rpt_Class="الكل",SUMIFS(CD_Pres,CD_Date,A60),SUMIFS(CD_Pres,CD_Date,A60,CD_Class,Rpt_Class))+IF(Rpt_Class="الكل",SUMIFS(CD_Late,CD_Date,A60),SUMIFS(CD_Late,CD_Date,A60,CD_Class,Rpt_Class)))</f>
        <v/>
      </c>
      <c r="E60" s="148">
        <f>IF(A60="","",IF(Rpt_Class="الكل",SUMIFS(CD_Abs,CD_Date,A60),SUMIFS(CD_Abs,CD_Date,A60,CD_Class,Rpt_Class)))</f>
        <v/>
      </c>
      <c r="F60" s="148">
        <f>IF(A60="","",IF(Rpt_Class="الكل",SUMIFS(CD_Exc,CD_Date,A60),SUMIFS(CD_Exc,CD_Date,A60,CD_Class,Rpt_Class)))</f>
        <v/>
      </c>
      <c r="G60" s="148">
        <f>IF(A60="","",IF(Rpt_Class="الكل",SUMIFS(CD_Late,CD_Date,A60),SUMIFS(CD_Late,CD_Date,A60,CD_Class,Rpt_Class)))</f>
        <v/>
      </c>
      <c r="H60" s="149">
        <f>IF(OR(A60="",C60=0),"",(D60-IF(LateAsPresent="نعم",0,G60))/C60)</f>
        <v/>
      </c>
    </row>
    <row r="61">
      <c r="A61" s="147">
        <f>IF(OR(Rpt_Period="يوم",Rpt_Period="الأسبوع",Rpt_Period="الشهر"),IFERROR(IF(INDEX(Cal_Date,Rpt_First+15)&gt;Rpt_PEnd,"",INDEX(Cal_Date,Rpt_First+15)),""),"")</f>
        <v/>
      </c>
      <c r="B61" s="148">
        <f>IF(A61="","",INDEX(Cal_Day,MATCH(A61,Cal_Date,0)))</f>
        <v/>
      </c>
      <c r="C61" s="148">
        <f>IF(A61="","",IF(Rpt_Class="الكل",SUMIFS(CD_Pres,CD_Date,A61),SUMIFS(CD_Pres,CD_Date,A61,CD_Class,Rpt_Class))+IF(Rpt_Class="الكل",SUMIFS(CD_Abs,CD_Date,A61),SUMIFS(CD_Abs,CD_Date,A61,CD_Class,Rpt_Class))+IF(Rpt_Class="الكل",SUMIFS(CD_Exc,CD_Date,A61),SUMIFS(CD_Exc,CD_Date,A61,CD_Class,Rpt_Class))+IF(Rpt_Class="الكل",SUMIFS(CD_Late,CD_Date,A61),SUMIFS(CD_Late,CD_Date,A61,CD_Class,Rpt_Class)))</f>
        <v/>
      </c>
      <c r="D61" s="148">
        <f>IF(A61="","",IF(Rpt_Class="الكل",SUMIFS(CD_Pres,CD_Date,A61),SUMIFS(CD_Pres,CD_Date,A61,CD_Class,Rpt_Class))+IF(Rpt_Class="الكل",SUMIFS(CD_Late,CD_Date,A61),SUMIFS(CD_Late,CD_Date,A61,CD_Class,Rpt_Class)))</f>
        <v/>
      </c>
      <c r="E61" s="148">
        <f>IF(A61="","",IF(Rpt_Class="الكل",SUMIFS(CD_Abs,CD_Date,A61),SUMIFS(CD_Abs,CD_Date,A61,CD_Class,Rpt_Class)))</f>
        <v/>
      </c>
      <c r="F61" s="148">
        <f>IF(A61="","",IF(Rpt_Class="الكل",SUMIFS(CD_Exc,CD_Date,A61),SUMIFS(CD_Exc,CD_Date,A61,CD_Class,Rpt_Class)))</f>
        <v/>
      </c>
      <c r="G61" s="148">
        <f>IF(A61="","",IF(Rpt_Class="الكل",SUMIFS(CD_Late,CD_Date,A61),SUMIFS(CD_Late,CD_Date,A61,CD_Class,Rpt_Class)))</f>
        <v/>
      </c>
      <c r="H61" s="149">
        <f>IF(OR(A61="",C61=0),"",(D61-IF(LateAsPresent="نعم",0,G61))/C61)</f>
        <v/>
      </c>
    </row>
    <row r="62">
      <c r="A62" s="147">
        <f>IF(OR(Rpt_Period="يوم",Rpt_Period="الأسبوع",Rpt_Period="الشهر"),IFERROR(IF(INDEX(Cal_Date,Rpt_First+16)&gt;Rpt_PEnd,"",INDEX(Cal_Date,Rpt_First+16)),""),"")</f>
        <v/>
      </c>
      <c r="B62" s="148">
        <f>IF(A62="","",INDEX(Cal_Day,MATCH(A62,Cal_Date,0)))</f>
        <v/>
      </c>
      <c r="C62" s="148">
        <f>IF(A62="","",IF(Rpt_Class="الكل",SUMIFS(CD_Pres,CD_Date,A62),SUMIFS(CD_Pres,CD_Date,A62,CD_Class,Rpt_Class))+IF(Rpt_Class="الكل",SUMIFS(CD_Abs,CD_Date,A62),SUMIFS(CD_Abs,CD_Date,A62,CD_Class,Rpt_Class))+IF(Rpt_Class="الكل",SUMIFS(CD_Exc,CD_Date,A62),SUMIFS(CD_Exc,CD_Date,A62,CD_Class,Rpt_Class))+IF(Rpt_Class="الكل",SUMIFS(CD_Late,CD_Date,A62),SUMIFS(CD_Late,CD_Date,A62,CD_Class,Rpt_Class)))</f>
        <v/>
      </c>
      <c r="D62" s="148">
        <f>IF(A62="","",IF(Rpt_Class="الكل",SUMIFS(CD_Pres,CD_Date,A62),SUMIFS(CD_Pres,CD_Date,A62,CD_Class,Rpt_Class))+IF(Rpt_Class="الكل",SUMIFS(CD_Late,CD_Date,A62),SUMIFS(CD_Late,CD_Date,A62,CD_Class,Rpt_Class)))</f>
        <v/>
      </c>
      <c r="E62" s="148">
        <f>IF(A62="","",IF(Rpt_Class="الكل",SUMIFS(CD_Abs,CD_Date,A62),SUMIFS(CD_Abs,CD_Date,A62,CD_Class,Rpt_Class)))</f>
        <v/>
      </c>
      <c r="F62" s="148">
        <f>IF(A62="","",IF(Rpt_Class="الكل",SUMIFS(CD_Exc,CD_Date,A62),SUMIFS(CD_Exc,CD_Date,A62,CD_Class,Rpt_Class)))</f>
        <v/>
      </c>
      <c r="G62" s="148">
        <f>IF(A62="","",IF(Rpt_Class="الكل",SUMIFS(CD_Late,CD_Date,A62),SUMIFS(CD_Late,CD_Date,A62,CD_Class,Rpt_Class)))</f>
        <v/>
      </c>
      <c r="H62" s="149">
        <f>IF(OR(A62="",C62=0),"",(D62-IF(LateAsPresent="نعم",0,G62))/C62)</f>
        <v/>
      </c>
    </row>
    <row r="63">
      <c r="A63" s="147">
        <f>IF(OR(Rpt_Period="يوم",Rpt_Period="الأسبوع",Rpt_Period="الشهر"),IFERROR(IF(INDEX(Cal_Date,Rpt_First+17)&gt;Rpt_PEnd,"",INDEX(Cal_Date,Rpt_First+17)),""),"")</f>
        <v/>
      </c>
      <c r="B63" s="148">
        <f>IF(A63="","",INDEX(Cal_Day,MATCH(A63,Cal_Date,0)))</f>
        <v/>
      </c>
      <c r="C63" s="148">
        <f>IF(A63="","",IF(Rpt_Class="الكل",SUMIFS(CD_Pres,CD_Date,A63),SUMIFS(CD_Pres,CD_Date,A63,CD_Class,Rpt_Class))+IF(Rpt_Class="الكل",SUMIFS(CD_Abs,CD_Date,A63),SUMIFS(CD_Abs,CD_Date,A63,CD_Class,Rpt_Class))+IF(Rpt_Class="الكل",SUMIFS(CD_Exc,CD_Date,A63),SUMIFS(CD_Exc,CD_Date,A63,CD_Class,Rpt_Class))+IF(Rpt_Class="الكل",SUMIFS(CD_Late,CD_Date,A63),SUMIFS(CD_Late,CD_Date,A63,CD_Class,Rpt_Class)))</f>
        <v/>
      </c>
      <c r="D63" s="148">
        <f>IF(A63="","",IF(Rpt_Class="الكل",SUMIFS(CD_Pres,CD_Date,A63),SUMIFS(CD_Pres,CD_Date,A63,CD_Class,Rpt_Class))+IF(Rpt_Class="الكل",SUMIFS(CD_Late,CD_Date,A63),SUMIFS(CD_Late,CD_Date,A63,CD_Class,Rpt_Class)))</f>
        <v/>
      </c>
      <c r="E63" s="148">
        <f>IF(A63="","",IF(Rpt_Class="الكل",SUMIFS(CD_Abs,CD_Date,A63),SUMIFS(CD_Abs,CD_Date,A63,CD_Class,Rpt_Class)))</f>
        <v/>
      </c>
      <c r="F63" s="148">
        <f>IF(A63="","",IF(Rpt_Class="الكل",SUMIFS(CD_Exc,CD_Date,A63),SUMIFS(CD_Exc,CD_Date,A63,CD_Class,Rpt_Class)))</f>
        <v/>
      </c>
      <c r="G63" s="148">
        <f>IF(A63="","",IF(Rpt_Class="الكل",SUMIFS(CD_Late,CD_Date,A63),SUMIFS(CD_Late,CD_Date,A63,CD_Class,Rpt_Class)))</f>
        <v/>
      </c>
      <c r="H63" s="149">
        <f>IF(OR(A63="",C63=0),"",(D63-IF(LateAsPresent="نعم",0,G63))/C63)</f>
        <v/>
      </c>
    </row>
    <row r="64">
      <c r="A64" s="147">
        <f>IF(OR(Rpt_Period="يوم",Rpt_Period="الأسبوع",Rpt_Period="الشهر"),IFERROR(IF(INDEX(Cal_Date,Rpt_First+18)&gt;Rpt_PEnd,"",INDEX(Cal_Date,Rpt_First+18)),""),"")</f>
        <v/>
      </c>
      <c r="B64" s="148">
        <f>IF(A64="","",INDEX(Cal_Day,MATCH(A64,Cal_Date,0)))</f>
        <v/>
      </c>
      <c r="C64" s="148">
        <f>IF(A64="","",IF(Rpt_Class="الكل",SUMIFS(CD_Pres,CD_Date,A64),SUMIFS(CD_Pres,CD_Date,A64,CD_Class,Rpt_Class))+IF(Rpt_Class="الكل",SUMIFS(CD_Abs,CD_Date,A64),SUMIFS(CD_Abs,CD_Date,A64,CD_Class,Rpt_Class))+IF(Rpt_Class="الكل",SUMIFS(CD_Exc,CD_Date,A64),SUMIFS(CD_Exc,CD_Date,A64,CD_Class,Rpt_Class))+IF(Rpt_Class="الكل",SUMIFS(CD_Late,CD_Date,A64),SUMIFS(CD_Late,CD_Date,A64,CD_Class,Rpt_Class)))</f>
        <v/>
      </c>
      <c r="D64" s="148">
        <f>IF(A64="","",IF(Rpt_Class="الكل",SUMIFS(CD_Pres,CD_Date,A64),SUMIFS(CD_Pres,CD_Date,A64,CD_Class,Rpt_Class))+IF(Rpt_Class="الكل",SUMIFS(CD_Late,CD_Date,A64),SUMIFS(CD_Late,CD_Date,A64,CD_Class,Rpt_Class)))</f>
        <v/>
      </c>
      <c r="E64" s="148">
        <f>IF(A64="","",IF(Rpt_Class="الكل",SUMIFS(CD_Abs,CD_Date,A64),SUMIFS(CD_Abs,CD_Date,A64,CD_Class,Rpt_Class)))</f>
        <v/>
      </c>
      <c r="F64" s="148">
        <f>IF(A64="","",IF(Rpt_Class="الكل",SUMIFS(CD_Exc,CD_Date,A64),SUMIFS(CD_Exc,CD_Date,A64,CD_Class,Rpt_Class)))</f>
        <v/>
      </c>
      <c r="G64" s="148">
        <f>IF(A64="","",IF(Rpt_Class="الكل",SUMIFS(CD_Late,CD_Date,A64),SUMIFS(CD_Late,CD_Date,A64,CD_Class,Rpt_Class)))</f>
        <v/>
      </c>
      <c r="H64" s="149">
        <f>IF(OR(A64="",C64=0),"",(D64-IF(LateAsPresent="نعم",0,G64))/C64)</f>
        <v/>
      </c>
    </row>
    <row r="65">
      <c r="A65" s="147">
        <f>IF(OR(Rpt_Period="يوم",Rpt_Period="الأسبوع",Rpt_Period="الشهر"),IFERROR(IF(INDEX(Cal_Date,Rpt_First+19)&gt;Rpt_PEnd,"",INDEX(Cal_Date,Rpt_First+19)),""),"")</f>
        <v/>
      </c>
      <c r="B65" s="148">
        <f>IF(A65="","",INDEX(Cal_Day,MATCH(A65,Cal_Date,0)))</f>
        <v/>
      </c>
      <c r="C65" s="148">
        <f>IF(A65="","",IF(Rpt_Class="الكل",SUMIFS(CD_Pres,CD_Date,A65),SUMIFS(CD_Pres,CD_Date,A65,CD_Class,Rpt_Class))+IF(Rpt_Class="الكل",SUMIFS(CD_Abs,CD_Date,A65),SUMIFS(CD_Abs,CD_Date,A65,CD_Class,Rpt_Class))+IF(Rpt_Class="الكل",SUMIFS(CD_Exc,CD_Date,A65),SUMIFS(CD_Exc,CD_Date,A65,CD_Class,Rpt_Class))+IF(Rpt_Class="الكل",SUMIFS(CD_Late,CD_Date,A65),SUMIFS(CD_Late,CD_Date,A65,CD_Class,Rpt_Class)))</f>
        <v/>
      </c>
      <c r="D65" s="148">
        <f>IF(A65="","",IF(Rpt_Class="الكل",SUMIFS(CD_Pres,CD_Date,A65),SUMIFS(CD_Pres,CD_Date,A65,CD_Class,Rpt_Class))+IF(Rpt_Class="الكل",SUMIFS(CD_Late,CD_Date,A65),SUMIFS(CD_Late,CD_Date,A65,CD_Class,Rpt_Class)))</f>
        <v/>
      </c>
      <c r="E65" s="148">
        <f>IF(A65="","",IF(Rpt_Class="الكل",SUMIFS(CD_Abs,CD_Date,A65),SUMIFS(CD_Abs,CD_Date,A65,CD_Class,Rpt_Class)))</f>
        <v/>
      </c>
      <c r="F65" s="148">
        <f>IF(A65="","",IF(Rpt_Class="الكل",SUMIFS(CD_Exc,CD_Date,A65),SUMIFS(CD_Exc,CD_Date,A65,CD_Class,Rpt_Class)))</f>
        <v/>
      </c>
      <c r="G65" s="148">
        <f>IF(A65="","",IF(Rpt_Class="الكل",SUMIFS(CD_Late,CD_Date,A65),SUMIFS(CD_Late,CD_Date,A65,CD_Class,Rpt_Class)))</f>
        <v/>
      </c>
      <c r="H65" s="149">
        <f>IF(OR(A65="",C65=0),"",(D65-IF(LateAsPresent="نعم",0,G65))/C65)</f>
        <v/>
      </c>
    </row>
    <row r="66">
      <c r="A66" s="147">
        <f>IF(OR(Rpt_Period="يوم",Rpt_Period="الأسبوع",Rpt_Period="الشهر"),IFERROR(IF(INDEX(Cal_Date,Rpt_First+20)&gt;Rpt_PEnd,"",INDEX(Cal_Date,Rpt_First+20)),""),"")</f>
        <v/>
      </c>
      <c r="B66" s="148">
        <f>IF(A66="","",INDEX(Cal_Day,MATCH(A66,Cal_Date,0)))</f>
        <v/>
      </c>
      <c r="C66" s="148">
        <f>IF(A66="","",IF(Rpt_Class="الكل",SUMIFS(CD_Pres,CD_Date,A66),SUMIFS(CD_Pres,CD_Date,A66,CD_Class,Rpt_Class))+IF(Rpt_Class="الكل",SUMIFS(CD_Abs,CD_Date,A66),SUMIFS(CD_Abs,CD_Date,A66,CD_Class,Rpt_Class))+IF(Rpt_Class="الكل",SUMIFS(CD_Exc,CD_Date,A66),SUMIFS(CD_Exc,CD_Date,A66,CD_Class,Rpt_Class))+IF(Rpt_Class="الكل",SUMIFS(CD_Late,CD_Date,A66),SUMIFS(CD_Late,CD_Date,A66,CD_Class,Rpt_Class)))</f>
        <v/>
      </c>
      <c r="D66" s="148">
        <f>IF(A66="","",IF(Rpt_Class="الكل",SUMIFS(CD_Pres,CD_Date,A66),SUMIFS(CD_Pres,CD_Date,A66,CD_Class,Rpt_Class))+IF(Rpt_Class="الكل",SUMIFS(CD_Late,CD_Date,A66),SUMIFS(CD_Late,CD_Date,A66,CD_Class,Rpt_Class)))</f>
        <v/>
      </c>
      <c r="E66" s="148">
        <f>IF(A66="","",IF(Rpt_Class="الكل",SUMIFS(CD_Abs,CD_Date,A66),SUMIFS(CD_Abs,CD_Date,A66,CD_Class,Rpt_Class)))</f>
        <v/>
      </c>
      <c r="F66" s="148">
        <f>IF(A66="","",IF(Rpt_Class="الكل",SUMIFS(CD_Exc,CD_Date,A66),SUMIFS(CD_Exc,CD_Date,A66,CD_Class,Rpt_Class)))</f>
        <v/>
      </c>
      <c r="G66" s="148">
        <f>IF(A66="","",IF(Rpt_Class="الكل",SUMIFS(CD_Late,CD_Date,A66),SUMIFS(CD_Late,CD_Date,A66,CD_Class,Rpt_Class)))</f>
        <v/>
      </c>
      <c r="H66" s="149">
        <f>IF(OR(A66="",C66=0),"",(D66-IF(LateAsPresent="نعم",0,G66))/C66)</f>
        <v/>
      </c>
    </row>
    <row r="67">
      <c r="A67" s="147">
        <f>IF(OR(Rpt_Period="يوم",Rpt_Period="الأسبوع",Rpt_Period="الشهر"),IFERROR(IF(INDEX(Cal_Date,Rpt_First+21)&gt;Rpt_PEnd,"",INDEX(Cal_Date,Rpt_First+21)),""),"")</f>
        <v/>
      </c>
      <c r="B67" s="148">
        <f>IF(A67="","",INDEX(Cal_Day,MATCH(A67,Cal_Date,0)))</f>
        <v/>
      </c>
      <c r="C67" s="148">
        <f>IF(A67="","",IF(Rpt_Class="الكل",SUMIFS(CD_Pres,CD_Date,A67),SUMIFS(CD_Pres,CD_Date,A67,CD_Class,Rpt_Class))+IF(Rpt_Class="الكل",SUMIFS(CD_Abs,CD_Date,A67),SUMIFS(CD_Abs,CD_Date,A67,CD_Class,Rpt_Class))+IF(Rpt_Class="الكل",SUMIFS(CD_Exc,CD_Date,A67),SUMIFS(CD_Exc,CD_Date,A67,CD_Class,Rpt_Class))+IF(Rpt_Class="الكل",SUMIFS(CD_Late,CD_Date,A67),SUMIFS(CD_Late,CD_Date,A67,CD_Class,Rpt_Class)))</f>
        <v/>
      </c>
      <c r="D67" s="148">
        <f>IF(A67="","",IF(Rpt_Class="الكل",SUMIFS(CD_Pres,CD_Date,A67),SUMIFS(CD_Pres,CD_Date,A67,CD_Class,Rpt_Class))+IF(Rpt_Class="الكل",SUMIFS(CD_Late,CD_Date,A67),SUMIFS(CD_Late,CD_Date,A67,CD_Class,Rpt_Class)))</f>
        <v/>
      </c>
      <c r="E67" s="148">
        <f>IF(A67="","",IF(Rpt_Class="الكل",SUMIFS(CD_Abs,CD_Date,A67),SUMIFS(CD_Abs,CD_Date,A67,CD_Class,Rpt_Class)))</f>
        <v/>
      </c>
      <c r="F67" s="148">
        <f>IF(A67="","",IF(Rpt_Class="الكل",SUMIFS(CD_Exc,CD_Date,A67),SUMIFS(CD_Exc,CD_Date,A67,CD_Class,Rpt_Class)))</f>
        <v/>
      </c>
      <c r="G67" s="148">
        <f>IF(A67="","",IF(Rpt_Class="الكل",SUMIFS(CD_Late,CD_Date,A67),SUMIFS(CD_Late,CD_Date,A67,CD_Class,Rpt_Class)))</f>
        <v/>
      </c>
      <c r="H67" s="149">
        <f>IF(OR(A67="",C67=0),"",(D67-IF(LateAsPresent="نعم",0,G67))/C67)</f>
        <v/>
      </c>
    </row>
    <row r="68">
      <c r="A68" s="147">
        <f>IF(OR(Rpt_Period="يوم",Rpt_Period="الأسبوع",Rpt_Period="الشهر"),IFERROR(IF(INDEX(Cal_Date,Rpt_First+22)&gt;Rpt_PEnd,"",INDEX(Cal_Date,Rpt_First+22)),""),"")</f>
        <v/>
      </c>
      <c r="B68" s="148">
        <f>IF(A68="","",INDEX(Cal_Day,MATCH(A68,Cal_Date,0)))</f>
        <v/>
      </c>
      <c r="C68" s="148">
        <f>IF(A68="","",IF(Rpt_Class="الكل",SUMIFS(CD_Pres,CD_Date,A68),SUMIFS(CD_Pres,CD_Date,A68,CD_Class,Rpt_Class))+IF(Rpt_Class="الكل",SUMIFS(CD_Abs,CD_Date,A68),SUMIFS(CD_Abs,CD_Date,A68,CD_Class,Rpt_Class))+IF(Rpt_Class="الكل",SUMIFS(CD_Exc,CD_Date,A68),SUMIFS(CD_Exc,CD_Date,A68,CD_Class,Rpt_Class))+IF(Rpt_Class="الكل",SUMIFS(CD_Late,CD_Date,A68),SUMIFS(CD_Late,CD_Date,A68,CD_Class,Rpt_Class)))</f>
        <v/>
      </c>
      <c r="D68" s="148">
        <f>IF(A68="","",IF(Rpt_Class="الكل",SUMIFS(CD_Pres,CD_Date,A68),SUMIFS(CD_Pres,CD_Date,A68,CD_Class,Rpt_Class))+IF(Rpt_Class="الكل",SUMIFS(CD_Late,CD_Date,A68),SUMIFS(CD_Late,CD_Date,A68,CD_Class,Rpt_Class)))</f>
        <v/>
      </c>
      <c r="E68" s="148">
        <f>IF(A68="","",IF(Rpt_Class="الكل",SUMIFS(CD_Abs,CD_Date,A68),SUMIFS(CD_Abs,CD_Date,A68,CD_Class,Rpt_Class)))</f>
        <v/>
      </c>
      <c r="F68" s="148">
        <f>IF(A68="","",IF(Rpt_Class="الكل",SUMIFS(CD_Exc,CD_Date,A68),SUMIFS(CD_Exc,CD_Date,A68,CD_Class,Rpt_Class)))</f>
        <v/>
      </c>
      <c r="G68" s="148">
        <f>IF(A68="","",IF(Rpt_Class="الكل",SUMIFS(CD_Late,CD_Date,A68),SUMIFS(CD_Late,CD_Date,A68,CD_Class,Rpt_Class)))</f>
        <v/>
      </c>
      <c r="H68" s="149">
        <f>IF(OR(A68="",C68=0),"",(D68-IF(LateAsPresent="نعم",0,G68))/C68)</f>
        <v/>
      </c>
    </row>
    <row r="69">
      <c r="A69" s="32">
        <f>IF(OR(Rpt_Period="يوم",Rpt_Period="الأسبوع",Rpt_Period="الشهر"),IF(COUNT(A46:A68)=0,"لا توجد أيام دوام في هذه الفترة",""),"— هذا الجدول للتقارير اليومية والأسبوعية والشهرية فقط —")</f>
        <v/>
      </c>
    </row>
    <row r="71">
      <c r="A71" s="21" t="inlineStr">
        <is>
          <t>الغائبون والمتأخرون في يوم التقرير (للتقرير اليومي)</t>
        </is>
      </c>
      <c r="B71" s="22" t="n"/>
      <c r="C71" s="22" t="n"/>
      <c r="D71" s="22" t="n"/>
      <c r="E71" s="22" t="n"/>
      <c r="F71" s="22" t="n"/>
      <c r="G71" s="22" t="n"/>
      <c r="H71" s="22" t="n"/>
    </row>
    <row r="72">
      <c r="A72" s="150">
        <f>IF(Rpt_Period&lt;&gt;"يوم","— هذه القائمة تظهر عند اختيار نوع التقرير «يوم» —",IF(Rpt_DayIdx=0,"⚠ التاريخ ليس يوم دوام",IF(COUNT(Stu_RAbsSeq)=0,"لا يوجد غائبون في هذا اليوم ✓","إجمالي الغائبين: "&amp;COUNT(Stu_RAbsSeq)&amp;" (بدون عذر: "&amp;COUNTIFS(Stu_RptIn,1,Stu_RToday,"A")&amp;" – بعذر: "&amp;COUNTIFS(Stu_RptIn,1,Stu_RToday,"E")&amp;") – المتأخرون: "&amp;COUNTIFS(Stu_RptIn,1,Stu_RToday,"L"))))</f>
        <v/>
      </c>
    </row>
    <row r="73" ht="28" customHeight="1">
      <c r="A73" s="33" t="inlineStr">
        <is>
          <t>اسم الطفل</t>
        </is>
      </c>
      <c r="B73" s="33" t="inlineStr">
        <is>
          <t>الصف</t>
        </is>
      </c>
      <c r="C73" s="33" t="inlineStr">
        <is>
          <t>حالة اليوم</t>
        </is>
      </c>
      <c r="D73" s="33" t="inlineStr">
        <is>
          <t>إجمالي الغياب</t>
        </is>
      </c>
      <c r="E73" s="33" t="inlineStr">
        <is>
          <t>مستوى المتابعة</t>
        </is>
      </c>
      <c r="F73" s="33" t="inlineStr">
        <is>
          <t>تم التواصل؟</t>
        </is>
      </c>
      <c r="G73" s="33" t="inlineStr">
        <is>
          <t>رقم ولي الأمر</t>
        </is>
      </c>
      <c r="H73" s="121" t="n"/>
    </row>
    <row r="74">
      <c r="A74" s="78">
        <f>IF($J74="","",INDEX(Stu_Name,$J74))</f>
        <v/>
      </c>
      <c r="B74" s="106">
        <f>IF($J74="","",INDEX(Stu_Class,$J74))</f>
        <v/>
      </c>
      <c r="C74" s="143">
        <f>IF($J74="","",INDEX(StatusLabels,MATCH(INDEX(Stu_RToday,$J74),StatusCodes,0)))</f>
        <v/>
      </c>
      <c r="D74" s="143">
        <f>IF($J74="","",INDEX(Stu_Abs,$J74))</f>
        <v/>
      </c>
      <c r="E74" s="151">
        <f>IF($J74="","",INDEX(Stu_Status,$J74))</f>
        <v/>
      </c>
      <c r="F74" s="143">
        <f>IF($J74="","",INDEX(Stu_Contacted,$J74))</f>
        <v/>
      </c>
      <c r="G74" s="106">
        <f>IF($J74="","",INDEX(Stu_Phone,$J74))</f>
        <v/>
      </c>
      <c r="J74" s="40">
        <f>IF(Rpt_Period="يوم",IFERROR(MATCH(1,Stu_RAbsSeq,0),""),"")</f>
        <v/>
      </c>
    </row>
    <row r="75">
      <c r="A75" s="78">
        <f>IF($J75="","",INDEX(Stu_Name,$J75))</f>
        <v/>
      </c>
      <c r="B75" s="106">
        <f>IF($J75="","",INDEX(Stu_Class,$J75))</f>
        <v/>
      </c>
      <c r="C75" s="143">
        <f>IF($J75="","",INDEX(StatusLabels,MATCH(INDEX(Stu_RToday,$J75),StatusCodes,0)))</f>
        <v/>
      </c>
      <c r="D75" s="143">
        <f>IF($J75="","",INDEX(Stu_Abs,$J75))</f>
        <v/>
      </c>
      <c r="E75" s="151">
        <f>IF($J75="","",INDEX(Stu_Status,$J75))</f>
        <v/>
      </c>
      <c r="F75" s="143">
        <f>IF($J75="","",INDEX(Stu_Contacted,$J75))</f>
        <v/>
      </c>
      <c r="G75" s="106">
        <f>IF($J75="","",INDEX(Stu_Phone,$J75))</f>
        <v/>
      </c>
      <c r="J75" s="40">
        <f>IF(Rpt_Period="يوم",IFERROR(MATCH(2,Stu_RAbsSeq,0),""),"")</f>
        <v/>
      </c>
    </row>
    <row r="76">
      <c r="A76" s="78">
        <f>IF($J76="","",INDEX(Stu_Name,$J76))</f>
        <v/>
      </c>
      <c r="B76" s="106">
        <f>IF($J76="","",INDEX(Stu_Class,$J76))</f>
        <v/>
      </c>
      <c r="C76" s="143">
        <f>IF($J76="","",INDEX(StatusLabels,MATCH(INDEX(Stu_RToday,$J76),StatusCodes,0)))</f>
        <v/>
      </c>
      <c r="D76" s="143">
        <f>IF($J76="","",INDEX(Stu_Abs,$J76))</f>
        <v/>
      </c>
      <c r="E76" s="151">
        <f>IF($J76="","",INDEX(Stu_Status,$J76))</f>
        <v/>
      </c>
      <c r="F76" s="143">
        <f>IF($J76="","",INDEX(Stu_Contacted,$J76))</f>
        <v/>
      </c>
      <c r="G76" s="106">
        <f>IF($J76="","",INDEX(Stu_Phone,$J76))</f>
        <v/>
      </c>
      <c r="J76" s="40">
        <f>IF(Rpt_Period="يوم",IFERROR(MATCH(3,Stu_RAbsSeq,0),""),"")</f>
        <v/>
      </c>
    </row>
    <row r="77">
      <c r="A77" s="78">
        <f>IF($J77="","",INDEX(Stu_Name,$J77))</f>
        <v/>
      </c>
      <c r="B77" s="106">
        <f>IF($J77="","",INDEX(Stu_Class,$J77))</f>
        <v/>
      </c>
      <c r="C77" s="143">
        <f>IF($J77="","",INDEX(StatusLabels,MATCH(INDEX(Stu_RToday,$J77),StatusCodes,0)))</f>
        <v/>
      </c>
      <c r="D77" s="143">
        <f>IF($J77="","",INDEX(Stu_Abs,$J77))</f>
        <v/>
      </c>
      <c r="E77" s="151">
        <f>IF($J77="","",INDEX(Stu_Status,$J77))</f>
        <v/>
      </c>
      <c r="F77" s="143">
        <f>IF($J77="","",INDEX(Stu_Contacted,$J77))</f>
        <v/>
      </c>
      <c r="G77" s="106">
        <f>IF($J77="","",INDEX(Stu_Phone,$J77))</f>
        <v/>
      </c>
      <c r="J77" s="40">
        <f>IF(Rpt_Period="يوم",IFERROR(MATCH(4,Stu_RAbsSeq,0),""),"")</f>
        <v/>
      </c>
    </row>
    <row r="78">
      <c r="A78" s="78">
        <f>IF($J78="","",INDEX(Stu_Name,$J78))</f>
        <v/>
      </c>
      <c r="B78" s="106">
        <f>IF($J78="","",INDEX(Stu_Class,$J78))</f>
        <v/>
      </c>
      <c r="C78" s="143">
        <f>IF($J78="","",INDEX(StatusLabels,MATCH(INDEX(Stu_RToday,$J78),StatusCodes,0)))</f>
        <v/>
      </c>
      <c r="D78" s="143">
        <f>IF($J78="","",INDEX(Stu_Abs,$J78))</f>
        <v/>
      </c>
      <c r="E78" s="151">
        <f>IF($J78="","",INDEX(Stu_Status,$J78))</f>
        <v/>
      </c>
      <c r="F78" s="143">
        <f>IF($J78="","",INDEX(Stu_Contacted,$J78))</f>
        <v/>
      </c>
      <c r="G78" s="106">
        <f>IF($J78="","",INDEX(Stu_Phone,$J78))</f>
        <v/>
      </c>
      <c r="J78" s="40">
        <f>IF(Rpt_Period="يوم",IFERROR(MATCH(5,Stu_RAbsSeq,0),""),"")</f>
        <v/>
      </c>
    </row>
    <row r="79">
      <c r="A79" s="78">
        <f>IF($J79="","",INDEX(Stu_Name,$J79))</f>
        <v/>
      </c>
      <c r="B79" s="106">
        <f>IF($J79="","",INDEX(Stu_Class,$J79))</f>
        <v/>
      </c>
      <c r="C79" s="143">
        <f>IF($J79="","",INDEX(StatusLabels,MATCH(INDEX(Stu_RToday,$J79),StatusCodes,0)))</f>
        <v/>
      </c>
      <c r="D79" s="143">
        <f>IF($J79="","",INDEX(Stu_Abs,$J79))</f>
        <v/>
      </c>
      <c r="E79" s="151">
        <f>IF($J79="","",INDEX(Stu_Status,$J79))</f>
        <v/>
      </c>
      <c r="F79" s="143">
        <f>IF($J79="","",INDEX(Stu_Contacted,$J79))</f>
        <v/>
      </c>
      <c r="G79" s="106">
        <f>IF($J79="","",INDEX(Stu_Phone,$J79))</f>
        <v/>
      </c>
      <c r="J79" s="40">
        <f>IF(Rpt_Period="يوم",IFERROR(MATCH(6,Stu_RAbsSeq,0),""),"")</f>
        <v/>
      </c>
    </row>
    <row r="80">
      <c r="A80" s="78">
        <f>IF($J80="","",INDEX(Stu_Name,$J80))</f>
        <v/>
      </c>
      <c r="B80" s="106">
        <f>IF($J80="","",INDEX(Stu_Class,$J80))</f>
        <v/>
      </c>
      <c r="C80" s="143">
        <f>IF($J80="","",INDEX(StatusLabels,MATCH(INDEX(Stu_RToday,$J80),StatusCodes,0)))</f>
        <v/>
      </c>
      <c r="D80" s="143">
        <f>IF($J80="","",INDEX(Stu_Abs,$J80))</f>
        <v/>
      </c>
      <c r="E80" s="151">
        <f>IF($J80="","",INDEX(Stu_Status,$J80))</f>
        <v/>
      </c>
      <c r="F80" s="143">
        <f>IF($J80="","",INDEX(Stu_Contacted,$J80))</f>
        <v/>
      </c>
      <c r="G80" s="106">
        <f>IF($J80="","",INDEX(Stu_Phone,$J80))</f>
        <v/>
      </c>
      <c r="J80" s="40">
        <f>IF(Rpt_Period="يوم",IFERROR(MATCH(7,Stu_RAbsSeq,0),""),"")</f>
        <v/>
      </c>
    </row>
    <row r="81">
      <c r="A81" s="78">
        <f>IF($J81="","",INDEX(Stu_Name,$J81))</f>
        <v/>
      </c>
      <c r="B81" s="106">
        <f>IF($J81="","",INDEX(Stu_Class,$J81))</f>
        <v/>
      </c>
      <c r="C81" s="143">
        <f>IF($J81="","",INDEX(StatusLabels,MATCH(INDEX(Stu_RToday,$J81),StatusCodes,0)))</f>
        <v/>
      </c>
      <c r="D81" s="143">
        <f>IF($J81="","",INDEX(Stu_Abs,$J81))</f>
        <v/>
      </c>
      <c r="E81" s="151">
        <f>IF($J81="","",INDEX(Stu_Status,$J81))</f>
        <v/>
      </c>
      <c r="F81" s="143">
        <f>IF($J81="","",INDEX(Stu_Contacted,$J81))</f>
        <v/>
      </c>
      <c r="G81" s="106">
        <f>IF($J81="","",INDEX(Stu_Phone,$J81))</f>
        <v/>
      </c>
      <c r="J81" s="40">
        <f>IF(Rpt_Period="يوم",IFERROR(MATCH(8,Stu_RAbsSeq,0),""),"")</f>
        <v/>
      </c>
    </row>
    <row r="82">
      <c r="A82" s="78">
        <f>IF($J82="","",INDEX(Stu_Name,$J82))</f>
        <v/>
      </c>
      <c r="B82" s="106">
        <f>IF($J82="","",INDEX(Stu_Class,$J82))</f>
        <v/>
      </c>
      <c r="C82" s="143">
        <f>IF($J82="","",INDEX(StatusLabels,MATCH(INDEX(Stu_RToday,$J82),StatusCodes,0)))</f>
        <v/>
      </c>
      <c r="D82" s="143">
        <f>IF($J82="","",INDEX(Stu_Abs,$J82))</f>
        <v/>
      </c>
      <c r="E82" s="151">
        <f>IF($J82="","",INDEX(Stu_Status,$J82))</f>
        <v/>
      </c>
      <c r="F82" s="143">
        <f>IF($J82="","",INDEX(Stu_Contacted,$J82))</f>
        <v/>
      </c>
      <c r="G82" s="106">
        <f>IF($J82="","",INDEX(Stu_Phone,$J82))</f>
        <v/>
      </c>
      <c r="J82" s="40">
        <f>IF(Rpt_Period="يوم",IFERROR(MATCH(9,Stu_RAbsSeq,0),""),"")</f>
        <v/>
      </c>
    </row>
    <row r="83">
      <c r="A83" s="78">
        <f>IF($J83="","",INDEX(Stu_Name,$J83))</f>
        <v/>
      </c>
      <c r="B83" s="106">
        <f>IF($J83="","",INDEX(Stu_Class,$J83))</f>
        <v/>
      </c>
      <c r="C83" s="143">
        <f>IF($J83="","",INDEX(StatusLabels,MATCH(INDEX(Stu_RToday,$J83),StatusCodes,0)))</f>
        <v/>
      </c>
      <c r="D83" s="143">
        <f>IF($J83="","",INDEX(Stu_Abs,$J83))</f>
        <v/>
      </c>
      <c r="E83" s="151">
        <f>IF($J83="","",INDEX(Stu_Status,$J83))</f>
        <v/>
      </c>
      <c r="F83" s="143">
        <f>IF($J83="","",INDEX(Stu_Contacted,$J83))</f>
        <v/>
      </c>
      <c r="G83" s="106">
        <f>IF($J83="","",INDEX(Stu_Phone,$J83))</f>
        <v/>
      </c>
      <c r="J83" s="40">
        <f>IF(Rpt_Period="يوم",IFERROR(MATCH(10,Stu_RAbsSeq,0),""),"")</f>
        <v/>
      </c>
    </row>
    <row r="84">
      <c r="A84" s="78">
        <f>IF($J84="","",INDEX(Stu_Name,$J84))</f>
        <v/>
      </c>
      <c r="B84" s="106">
        <f>IF($J84="","",INDEX(Stu_Class,$J84))</f>
        <v/>
      </c>
      <c r="C84" s="143">
        <f>IF($J84="","",INDEX(StatusLabels,MATCH(INDEX(Stu_RToday,$J84),StatusCodes,0)))</f>
        <v/>
      </c>
      <c r="D84" s="143">
        <f>IF($J84="","",INDEX(Stu_Abs,$J84))</f>
        <v/>
      </c>
      <c r="E84" s="151">
        <f>IF($J84="","",INDEX(Stu_Status,$J84))</f>
        <v/>
      </c>
      <c r="F84" s="143">
        <f>IF($J84="","",INDEX(Stu_Contacted,$J84))</f>
        <v/>
      </c>
      <c r="G84" s="106">
        <f>IF($J84="","",INDEX(Stu_Phone,$J84))</f>
        <v/>
      </c>
      <c r="J84" s="40">
        <f>IF(Rpt_Period="يوم",IFERROR(MATCH(11,Stu_RAbsSeq,0),""),"")</f>
        <v/>
      </c>
    </row>
    <row r="85">
      <c r="A85" s="78">
        <f>IF($J85="","",INDEX(Stu_Name,$J85))</f>
        <v/>
      </c>
      <c r="B85" s="106">
        <f>IF($J85="","",INDEX(Stu_Class,$J85))</f>
        <v/>
      </c>
      <c r="C85" s="143">
        <f>IF($J85="","",INDEX(StatusLabels,MATCH(INDEX(Stu_RToday,$J85),StatusCodes,0)))</f>
        <v/>
      </c>
      <c r="D85" s="143">
        <f>IF($J85="","",INDEX(Stu_Abs,$J85))</f>
        <v/>
      </c>
      <c r="E85" s="151">
        <f>IF($J85="","",INDEX(Stu_Status,$J85))</f>
        <v/>
      </c>
      <c r="F85" s="143">
        <f>IF($J85="","",INDEX(Stu_Contacted,$J85))</f>
        <v/>
      </c>
      <c r="G85" s="106">
        <f>IF($J85="","",INDEX(Stu_Phone,$J85))</f>
        <v/>
      </c>
      <c r="J85" s="40">
        <f>IF(Rpt_Period="يوم",IFERROR(MATCH(12,Stu_RAbsSeq,0),""),"")</f>
        <v/>
      </c>
    </row>
    <row r="86">
      <c r="A86" s="78">
        <f>IF($J86="","",INDEX(Stu_Name,$J86))</f>
        <v/>
      </c>
      <c r="B86" s="106">
        <f>IF($J86="","",INDEX(Stu_Class,$J86))</f>
        <v/>
      </c>
      <c r="C86" s="143">
        <f>IF($J86="","",INDEX(StatusLabels,MATCH(INDEX(Stu_RToday,$J86),StatusCodes,0)))</f>
        <v/>
      </c>
      <c r="D86" s="143">
        <f>IF($J86="","",INDEX(Stu_Abs,$J86))</f>
        <v/>
      </c>
      <c r="E86" s="151">
        <f>IF($J86="","",INDEX(Stu_Status,$J86))</f>
        <v/>
      </c>
      <c r="F86" s="143">
        <f>IF($J86="","",INDEX(Stu_Contacted,$J86))</f>
        <v/>
      </c>
      <c r="G86" s="106">
        <f>IF($J86="","",INDEX(Stu_Phone,$J86))</f>
        <v/>
      </c>
      <c r="J86" s="40">
        <f>IF(Rpt_Period="يوم",IFERROR(MATCH(13,Stu_RAbsSeq,0),""),"")</f>
        <v/>
      </c>
    </row>
    <row r="87">
      <c r="A87" s="78">
        <f>IF($J87="","",INDEX(Stu_Name,$J87))</f>
        <v/>
      </c>
      <c r="B87" s="106">
        <f>IF($J87="","",INDEX(Stu_Class,$J87))</f>
        <v/>
      </c>
      <c r="C87" s="143">
        <f>IF($J87="","",INDEX(StatusLabels,MATCH(INDEX(Stu_RToday,$J87),StatusCodes,0)))</f>
        <v/>
      </c>
      <c r="D87" s="143">
        <f>IF($J87="","",INDEX(Stu_Abs,$J87))</f>
        <v/>
      </c>
      <c r="E87" s="151">
        <f>IF($J87="","",INDEX(Stu_Status,$J87))</f>
        <v/>
      </c>
      <c r="F87" s="143">
        <f>IF($J87="","",INDEX(Stu_Contacted,$J87))</f>
        <v/>
      </c>
      <c r="G87" s="106">
        <f>IF($J87="","",INDEX(Stu_Phone,$J87))</f>
        <v/>
      </c>
      <c r="J87" s="40">
        <f>IF(Rpt_Period="يوم",IFERROR(MATCH(14,Stu_RAbsSeq,0),""),"")</f>
        <v/>
      </c>
    </row>
    <row r="88">
      <c r="A88" s="78">
        <f>IF($J88="","",INDEX(Stu_Name,$J88))</f>
        <v/>
      </c>
      <c r="B88" s="106">
        <f>IF($J88="","",INDEX(Stu_Class,$J88))</f>
        <v/>
      </c>
      <c r="C88" s="143">
        <f>IF($J88="","",INDEX(StatusLabels,MATCH(INDEX(Stu_RToday,$J88),StatusCodes,0)))</f>
        <v/>
      </c>
      <c r="D88" s="143">
        <f>IF($J88="","",INDEX(Stu_Abs,$J88))</f>
        <v/>
      </c>
      <c r="E88" s="151">
        <f>IF($J88="","",INDEX(Stu_Status,$J88))</f>
        <v/>
      </c>
      <c r="F88" s="143">
        <f>IF($J88="","",INDEX(Stu_Contacted,$J88))</f>
        <v/>
      </c>
      <c r="G88" s="106">
        <f>IF($J88="","",INDEX(Stu_Phone,$J88))</f>
        <v/>
      </c>
      <c r="J88" s="40">
        <f>IF(Rpt_Period="يوم",IFERROR(MATCH(15,Stu_RAbsSeq,0),""),"")</f>
        <v/>
      </c>
    </row>
    <row r="89">
      <c r="A89" s="78">
        <f>IF($J89="","",INDEX(Stu_Name,$J89))</f>
        <v/>
      </c>
      <c r="B89" s="106">
        <f>IF($J89="","",INDEX(Stu_Class,$J89))</f>
        <v/>
      </c>
      <c r="C89" s="143">
        <f>IF($J89="","",INDEX(StatusLabels,MATCH(INDEX(Stu_RToday,$J89),StatusCodes,0)))</f>
        <v/>
      </c>
      <c r="D89" s="143">
        <f>IF($J89="","",INDEX(Stu_Abs,$J89))</f>
        <v/>
      </c>
      <c r="E89" s="151">
        <f>IF($J89="","",INDEX(Stu_Status,$J89))</f>
        <v/>
      </c>
      <c r="F89" s="143">
        <f>IF($J89="","",INDEX(Stu_Contacted,$J89))</f>
        <v/>
      </c>
      <c r="G89" s="106">
        <f>IF($J89="","",INDEX(Stu_Phone,$J89))</f>
        <v/>
      </c>
      <c r="J89" s="40">
        <f>IF(Rpt_Period="يوم",IFERROR(MATCH(16,Stu_RAbsSeq,0),""),"")</f>
        <v/>
      </c>
    </row>
    <row r="90">
      <c r="A90" s="78">
        <f>IF($J90="","",INDEX(Stu_Name,$J90))</f>
        <v/>
      </c>
      <c r="B90" s="106">
        <f>IF($J90="","",INDEX(Stu_Class,$J90))</f>
        <v/>
      </c>
      <c r="C90" s="143">
        <f>IF($J90="","",INDEX(StatusLabels,MATCH(INDEX(Stu_RToday,$J90),StatusCodes,0)))</f>
        <v/>
      </c>
      <c r="D90" s="143">
        <f>IF($J90="","",INDEX(Stu_Abs,$J90))</f>
        <v/>
      </c>
      <c r="E90" s="151">
        <f>IF($J90="","",INDEX(Stu_Status,$J90))</f>
        <v/>
      </c>
      <c r="F90" s="143">
        <f>IF($J90="","",INDEX(Stu_Contacted,$J90))</f>
        <v/>
      </c>
      <c r="G90" s="106">
        <f>IF($J90="","",INDEX(Stu_Phone,$J90))</f>
        <v/>
      </c>
      <c r="J90" s="40">
        <f>IF(Rpt_Period="يوم",IFERROR(MATCH(17,Stu_RAbsSeq,0),""),"")</f>
        <v/>
      </c>
    </row>
    <row r="91">
      <c r="A91" s="78">
        <f>IF($J91="","",INDEX(Stu_Name,$J91))</f>
        <v/>
      </c>
      <c r="B91" s="106">
        <f>IF($J91="","",INDEX(Stu_Class,$J91))</f>
        <v/>
      </c>
      <c r="C91" s="143">
        <f>IF($J91="","",INDEX(StatusLabels,MATCH(INDEX(Stu_RToday,$J91),StatusCodes,0)))</f>
        <v/>
      </c>
      <c r="D91" s="143">
        <f>IF($J91="","",INDEX(Stu_Abs,$J91))</f>
        <v/>
      </c>
      <c r="E91" s="151">
        <f>IF($J91="","",INDEX(Stu_Status,$J91))</f>
        <v/>
      </c>
      <c r="F91" s="143">
        <f>IF($J91="","",INDEX(Stu_Contacted,$J91))</f>
        <v/>
      </c>
      <c r="G91" s="106">
        <f>IF($J91="","",INDEX(Stu_Phone,$J91))</f>
        <v/>
      </c>
      <c r="J91" s="40">
        <f>IF(Rpt_Period="يوم",IFERROR(MATCH(18,Stu_RAbsSeq,0),""),"")</f>
        <v/>
      </c>
    </row>
    <row r="92">
      <c r="A92" s="78">
        <f>IF($J92="","",INDEX(Stu_Name,$J92))</f>
        <v/>
      </c>
      <c r="B92" s="106">
        <f>IF($J92="","",INDEX(Stu_Class,$J92))</f>
        <v/>
      </c>
      <c r="C92" s="143">
        <f>IF($J92="","",INDEX(StatusLabels,MATCH(INDEX(Stu_RToday,$J92),StatusCodes,0)))</f>
        <v/>
      </c>
      <c r="D92" s="143">
        <f>IF($J92="","",INDEX(Stu_Abs,$J92))</f>
        <v/>
      </c>
      <c r="E92" s="151">
        <f>IF($J92="","",INDEX(Stu_Status,$J92))</f>
        <v/>
      </c>
      <c r="F92" s="143">
        <f>IF($J92="","",INDEX(Stu_Contacted,$J92))</f>
        <v/>
      </c>
      <c r="G92" s="106">
        <f>IF($J92="","",INDEX(Stu_Phone,$J92))</f>
        <v/>
      </c>
      <c r="J92" s="40">
        <f>IF(Rpt_Period="يوم",IFERROR(MATCH(19,Stu_RAbsSeq,0),""),"")</f>
        <v/>
      </c>
    </row>
    <row r="93">
      <c r="A93" s="78">
        <f>IF($J93="","",INDEX(Stu_Name,$J93))</f>
        <v/>
      </c>
      <c r="B93" s="106">
        <f>IF($J93="","",INDEX(Stu_Class,$J93))</f>
        <v/>
      </c>
      <c r="C93" s="143">
        <f>IF($J93="","",INDEX(StatusLabels,MATCH(INDEX(Stu_RToday,$J93),StatusCodes,0)))</f>
        <v/>
      </c>
      <c r="D93" s="143">
        <f>IF($J93="","",INDEX(Stu_Abs,$J93))</f>
        <v/>
      </c>
      <c r="E93" s="151">
        <f>IF($J93="","",INDEX(Stu_Status,$J93))</f>
        <v/>
      </c>
      <c r="F93" s="143">
        <f>IF($J93="","",INDEX(Stu_Contacted,$J93))</f>
        <v/>
      </c>
      <c r="G93" s="106">
        <f>IF($J93="","",INDEX(Stu_Phone,$J93))</f>
        <v/>
      </c>
      <c r="J93" s="40">
        <f>IF(Rpt_Period="يوم",IFERROR(MATCH(20,Stu_RAbsSeq,0),""),"")</f>
        <v/>
      </c>
    </row>
    <row r="94">
      <c r="A94" s="78">
        <f>IF($J94="","",INDEX(Stu_Name,$J94))</f>
        <v/>
      </c>
      <c r="B94" s="106">
        <f>IF($J94="","",INDEX(Stu_Class,$J94))</f>
        <v/>
      </c>
      <c r="C94" s="143">
        <f>IF($J94="","",INDEX(StatusLabels,MATCH(INDEX(Stu_RToday,$J94),StatusCodes,0)))</f>
        <v/>
      </c>
      <c r="D94" s="143">
        <f>IF($J94="","",INDEX(Stu_Abs,$J94))</f>
        <v/>
      </c>
      <c r="E94" s="151">
        <f>IF($J94="","",INDEX(Stu_Status,$J94))</f>
        <v/>
      </c>
      <c r="F94" s="143">
        <f>IF($J94="","",INDEX(Stu_Contacted,$J94))</f>
        <v/>
      </c>
      <c r="G94" s="106">
        <f>IF($J94="","",INDEX(Stu_Phone,$J94))</f>
        <v/>
      </c>
      <c r="J94" s="40">
        <f>IF(Rpt_Period="يوم",IFERROR(MATCH(21,Stu_RAbsSeq,0),""),"")</f>
        <v/>
      </c>
    </row>
    <row r="95">
      <c r="A95" s="78">
        <f>IF($J95="","",INDEX(Stu_Name,$J95))</f>
        <v/>
      </c>
      <c r="B95" s="106">
        <f>IF($J95="","",INDEX(Stu_Class,$J95))</f>
        <v/>
      </c>
      <c r="C95" s="143">
        <f>IF($J95="","",INDEX(StatusLabels,MATCH(INDEX(Stu_RToday,$J95),StatusCodes,0)))</f>
        <v/>
      </c>
      <c r="D95" s="143">
        <f>IF($J95="","",INDEX(Stu_Abs,$J95))</f>
        <v/>
      </c>
      <c r="E95" s="151">
        <f>IF($J95="","",INDEX(Stu_Status,$J95))</f>
        <v/>
      </c>
      <c r="F95" s="143">
        <f>IF($J95="","",INDEX(Stu_Contacted,$J95))</f>
        <v/>
      </c>
      <c r="G95" s="106">
        <f>IF($J95="","",INDEX(Stu_Phone,$J95))</f>
        <v/>
      </c>
      <c r="J95" s="40">
        <f>IF(Rpt_Period="يوم",IFERROR(MATCH(22,Stu_RAbsSeq,0),""),"")</f>
        <v/>
      </c>
    </row>
    <row r="96">
      <c r="A96" s="78">
        <f>IF($J96="","",INDEX(Stu_Name,$J96))</f>
        <v/>
      </c>
      <c r="B96" s="106">
        <f>IF($J96="","",INDEX(Stu_Class,$J96))</f>
        <v/>
      </c>
      <c r="C96" s="143">
        <f>IF($J96="","",INDEX(StatusLabels,MATCH(INDEX(Stu_RToday,$J96),StatusCodes,0)))</f>
        <v/>
      </c>
      <c r="D96" s="143">
        <f>IF($J96="","",INDEX(Stu_Abs,$J96))</f>
        <v/>
      </c>
      <c r="E96" s="151">
        <f>IF($J96="","",INDEX(Stu_Status,$J96))</f>
        <v/>
      </c>
      <c r="F96" s="143">
        <f>IF($J96="","",INDEX(Stu_Contacted,$J96))</f>
        <v/>
      </c>
      <c r="G96" s="106">
        <f>IF($J96="","",INDEX(Stu_Phone,$J96))</f>
        <v/>
      </c>
      <c r="J96" s="40">
        <f>IF(Rpt_Period="يوم",IFERROR(MATCH(23,Stu_RAbsSeq,0),""),"")</f>
        <v/>
      </c>
    </row>
    <row r="97">
      <c r="A97" s="78">
        <f>IF($J97="","",INDEX(Stu_Name,$J97))</f>
        <v/>
      </c>
      <c r="B97" s="106">
        <f>IF($J97="","",INDEX(Stu_Class,$J97))</f>
        <v/>
      </c>
      <c r="C97" s="143">
        <f>IF($J97="","",INDEX(StatusLabels,MATCH(INDEX(Stu_RToday,$J97),StatusCodes,0)))</f>
        <v/>
      </c>
      <c r="D97" s="143">
        <f>IF($J97="","",INDEX(Stu_Abs,$J97))</f>
        <v/>
      </c>
      <c r="E97" s="151">
        <f>IF($J97="","",INDEX(Stu_Status,$J97))</f>
        <v/>
      </c>
      <c r="F97" s="143">
        <f>IF($J97="","",INDEX(Stu_Contacted,$J97))</f>
        <v/>
      </c>
      <c r="G97" s="106">
        <f>IF($J97="","",INDEX(Stu_Phone,$J97))</f>
        <v/>
      </c>
      <c r="J97" s="40">
        <f>IF(Rpt_Period="يوم",IFERROR(MATCH(24,Stu_RAbsSeq,0),""),"")</f>
        <v/>
      </c>
    </row>
    <row r="98">
      <c r="A98" s="78">
        <f>IF($J98="","",INDEX(Stu_Name,$J98))</f>
        <v/>
      </c>
      <c r="B98" s="106">
        <f>IF($J98="","",INDEX(Stu_Class,$J98))</f>
        <v/>
      </c>
      <c r="C98" s="143">
        <f>IF($J98="","",INDEX(StatusLabels,MATCH(INDEX(Stu_RToday,$J98),StatusCodes,0)))</f>
        <v/>
      </c>
      <c r="D98" s="143">
        <f>IF($J98="","",INDEX(Stu_Abs,$J98))</f>
        <v/>
      </c>
      <c r="E98" s="151">
        <f>IF($J98="","",INDEX(Stu_Status,$J98))</f>
        <v/>
      </c>
      <c r="F98" s="143">
        <f>IF($J98="","",INDEX(Stu_Contacted,$J98))</f>
        <v/>
      </c>
      <c r="G98" s="106">
        <f>IF($J98="","",INDEX(Stu_Phone,$J98))</f>
        <v/>
      </c>
      <c r="J98" s="40">
        <f>IF(Rpt_Period="يوم",IFERROR(MATCH(25,Stu_RAbsSeq,0),""),"")</f>
        <v/>
      </c>
    </row>
    <row r="99">
      <c r="A99" s="78">
        <f>IF($J99="","",INDEX(Stu_Name,$J99))</f>
        <v/>
      </c>
      <c r="B99" s="106">
        <f>IF($J99="","",INDEX(Stu_Class,$J99))</f>
        <v/>
      </c>
      <c r="C99" s="143">
        <f>IF($J99="","",INDEX(StatusLabels,MATCH(INDEX(Stu_RToday,$J99),StatusCodes,0)))</f>
        <v/>
      </c>
      <c r="D99" s="143">
        <f>IF($J99="","",INDEX(Stu_Abs,$J99))</f>
        <v/>
      </c>
      <c r="E99" s="151">
        <f>IF($J99="","",INDEX(Stu_Status,$J99))</f>
        <v/>
      </c>
      <c r="F99" s="143">
        <f>IF($J99="","",INDEX(Stu_Contacted,$J99))</f>
        <v/>
      </c>
      <c r="G99" s="106">
        <f>IF($J99="","",INDEX(Stu_Phone,$J99))</f>
        <v/>
      </c>
      <c r="J99" s="40">
        <f>IF(Rpt_Period="يوم",IFERROR(MATCH(26,Stu_RAbsSeq,0),""),"")</f>
        <v/>
      </c>
    </row>
    <row r="100">
      <c r="A100" s="78">
        <f>IF($J100="","",INDEX(Stu_Name,$J100))</f>
        <v/>
      </c>
      <c r="B100" s="106">
        <f>IF($J100="","",INDEX(Stu_Class,$J100))</f>
        <v/>
      </c>
      <c r="C100" s="143">
        <f>IF($J100="","",INDEX(StatusLabels,MATCH(INDEX(Stu_RToday,$J100),StatusCodes,0)))</f>
        <v/>
      </c>
      <c r="D100" s="143">
        <f>IF($J100="","",INDEX(Stu_Abs,$J100))</f>
        <v/>
      </c>
      <c r="E100" s="151">
        <f>IF($J100="","",INDEX(Stu_Status,$J100))</f>
        <v/>
      </c>
      <c r="F100" s="143">
        <f>IF($J100="","",INDEX(Stu_Contacted,$J100))</f>
        <v/>
      </c>
      <c r="G100" s="106">
        <f>IF($J100="","",INDEX(Stu_Phone,$J100))</f>
        <v/>
      </c>
      <c r="J100" s="40">
        <f>IF(Rpt_Period="يوم",IFERROR(MATCH(27,Stu_RAbsSeq,0),""),"")</f>
        <v/>
      </c>
    </row>
    <row r="101">
      <c r="A101" s="78">
        <f>IF($J101="","",INDEX(Stu_Name,$J101))</f>
        <v/>
      </c>
      <c r="B101" s="106">
        <f>IF($J101="","",INDEX(Stu_Class,$J101))</f>
        <v/>
      </c>
      <c r="C101" s="143">
        <f>IF($J101="","",INDEX(StatusLabels,MATCH(INDEX(Stu_RToday,$J101),StatusCodes,0)))</f>
        <v/>
      </c>
      <c r="D101" s="143">
        <f>IF($J101="","",INDEX(Stu_Abs,$J101))</f>
        <v/>
      </c>
      <c r="E101" s="151">
        <f>IF($J101="","",INDEX(Stu_Status,$J101))</f>
        <v/>
      </c>
      <c r="F101" s="143">
        <f>IF($J101="","",INDEX(Stu_Contacted,$J101))</f>
        <v/>
      </c>
      <c r="G101" s="106">
        <f>IF($J101="","",INDEX(Stu_Phone,$J101))</f>
        <v/>
      </c>
      <c r="J101" s="40">
        <f>IF(Rpt_Period="يوم",IFERROR(MATCH(28,Stu_RAbsSeq,0),""),"")</f>
        <v/>
      </c>
    </row>
    <row r="102">
      <c r="A102" s="78">
        <f>IF($J102="","",INDEX(Stu_Name,$J102))</f>
        <v/>
      </c>
      <c r="B102" s="106">
        <f>IF($J102="","",INDEX(Stu_Class,$J102))</f>
        <v/>
      </c>
      <c r="C102" s="143">
        <f>IF($J102="","",INDEX(StatusLabels,MATCH(INDEX(Stu_RToday,$J102),StatusCodes,0)))</f>
        <v/>
      </c>
      <c r="D102" s="143">
        <f>IF($J102="","",INDEX(Stu_Abs,$J102))</f>
        <v/>
      </c>
      <c r="E102" s="151">
        <f>IF($J102="","",INDEX(Stu_Status,$J102))</f>
        <v/>
      </c>
      <c r="F102" s="143">
        <f>IF($J102="","",INDEX(Stu_Contacted,$J102))</f>
        <v/>
      </c>
      <c r="G102" s="106">
        <f>IF($J102="","",INDEX(Stu_Phone,$J102))</f>
        <v/>
      </c>
      <c r="J102" s="40">
        <f>IF(Rpt_Period="يوم",IFERROR(MATCH(29,Stu_RAbsSeq,0),""),"")</f>
        <v/>
      </c>
    </row>
    <row r="103">
      <c r="A103" s="78">
        <f>IF($J103="","",INDEX(Stu_Name,$J103))</f>
        <v/>
      </c>
      <c r="B103" s="106">
        <f>IF($J103="","",INDEX(Stu_Class,$J103))</f>
        <v/>
      </c>
      <c r="C103" s="143">
        <f>IF($J103="","",INDEX(StatusLabels,MATCH(INDEX(Stu_RToday,$J103),StatusCodes,0)))</f>
        <v/>
      </c>
      <c r="D103" s="143">
        <f>IF($J103="","",INDEX(Stu_Abs,$J103))</f>
        <v/>
      </c>
      <c r="E103" s="151">
        <f>IF($J103="","",INDEX(Stu_Status,$J103))</f>
        <v/>
      </c>
      <c r="F103" s="143">
        <f>IF($J103="","",INDEX(Stu_Contacted,$J103))</f>
        <v/>
      </c>
      <c r="G103" s="106">
        <f>IF($J103="","",INDEX(Stu_Phone,$J103))</f>
        <v/>
      </c>
      <c r="J103" s="40">
        <f>IF(Rpt_Period="يوم",IFERROR(MATCH(30,Stu_RAbsSeq,0),""),"")</f>
        <v/>
      </c>
    </row>
    <row r="104">
      <c r="A104" s="32">
        <f>IF(COUNT(Stu_RAbsSeq)&gt;30,"تُعرض أول 30 حالة من أصل "&amp;COUNT(Stu_RAbsSeq),"")</f>
        <v/>
      </c>
    </row>
    <row r="107" ht="20" customHeight="1">
      <c r="A107" s="64" t="inlineStr">
        <is>
          <t>يعتمد،</t>
        </is>
      </c>
      <c r="G107" s="65" t="inlineStr">
        <is>
          <t>مديرة المدرسة:</t>
        </is>
      </c>
    </row>
    <row r="108" ht="20" customHeight="1">
      <c r="A108" s="152" t="inlineStr">
        <is>
          <t>نعيمة الكتبي</t>
        </is>
      </c>
      <c r="G108" s="153" t="inlineStr">
        <is>
          <t>منى الغيثي</t>
        </is>
      </c>
    </row>
    <row r="109" ht="20" customHeight="1">
      <c r="A109" s="154">
        <f>"التاريخ: "&amp;TEXT(TODAY(),"dd/mm/yyyy")</f>
        <v/>
      </c>
    </row>
    <row r="110" ht="20" customHeight="1">
      <c r="A110" s="66" t="inlineStr">
        <is>
          <t>التوقيع: ______________________</t>
        </is>
      </c>
      <c r="G110" s="155"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mergeCells count="47">
    <mergeCell ref="G81:H81"/>
    <mergeCell ref="G77:H77"/>
    <mergeCell ref="G86:H86"/>
    <mergeCell ref="G27:H27"/>
    <mergeCell ref="G98:H98"/>
    <mergeCell ref="G36:H36"/>
    <mergeCell ref="G97:H97"/>
    <mergeCell ref="G39:H39"/>
    <mergeCell ref="G82:H82"/>
    <mergeCell ref="G38:H38"/>
    <mergeCell ref="G101:H101"/>
    <mergeCell ref="G103:H103"/>
    <mergeCell ref="G37:H37"/>
    <mergeCell ref="G28:H28"/>
    <mergeCell ref="G93:H93"/>
    <mergeCell ref="G78:H78"/>
    <mergeCell ref="G74:H74"/>
    <mergeCell ref="G87:H87"/>
    <mergeCell ref="G83:H83"/>
    <mergeCell ref="G34:H34"/>
    <mergeCell ref="G92:H92"/>
    <mergeCell ref="G30:H30"/>
    <mergeCell ref="G33:H33"/>
    <mergeCell ref="G80:H80"/>
    <mergeCell ref="G95:H95"/>
    <mergeCell ref="G89:H89"/>
    <mergeCell ref="G88:H88"/>
    <mergeCell ref="G26:H26"/>
    <mergeCell ref="G79:H79"/>
    <mergeCell ref="G29:H29"/>
    <mergeCell ref="G35:H35"/>
    <mergeCell ref="G73:H73"/>
    <mergeCell ref="G91:H91"/>
    <mergeCell ref="G102:H102"/>
    <mergeCell ref="G85:H85"/>
    <mergeCell ref="G100:H100"/>
    <mergeCell ref="G32:H32"/>
    <mergeCell ref="G76:H76"/>
    <mergeCell ref="G25:H25"/>
    <mergeCell ref="G90:H90"/>
    <mergeCell ref="G94:H94"/>
    <mergeCell ref="G99:H99"/>
    <mergeCell ref="G31:H31"/>
    <mergeCell ref="G75:H75"/>
    <mergeCell ref="G84:H84"/>
    <mergeCell ref="G40:H40"/>
    <mergeCell ref="G96:H96"/>
  </mergeCells>
  <conditionalFormatting sqref="G15:G21">
    <cfRule type="expression" priority="1" dxfId="8">
      <formula>AND($G15&lt;&gt;"",$G15&gt;0)</formula>
    </cfRule>
  </conditionalFormatting>
  <conditionalFormatting sqref="A26:H40">
    <cfRule type="expression" priority="2" dxfId="8" stopIfTrue="1">
      <formula>AND($K26&lt;&gt;"",$K26&gt;=Thr_Critical)</formula>
    </cfRule>
    <cfRule type="expression" priority="14" dxfId="28">
      <formula>$A26&lt;&gt;""</formula>
    </cfRule>
  </conditionalFormatting>
  <conditionalFormatting sqref="E26:E40">
    <cfRule type="expression" priority="3" dxfId="5">
      <formula>AND($K26&lt;&gt;"",$K26=Thr_High)</formula>
    </cfRule>
    <cfRule type="expression" priority="4" dxfId="2">
      <formula>AND($K26&lt;&gt;"",$K26=Thr_Repeated)</formula>
    </cfRule>
    <cfRule type="expression" priority="5" dxfId="6">
      <formula>AND($K26&lt;&gt;"",$K26=Thr_FollowUp)</formula>
    </cfRule>
  </conditionalFormatting>
  <conditionalFormatting sqref="F26:F40">
    <cfRule type="expression" priority="6" dxfId="2">
      <formula>$F26="لا"</formula>
    </cfRule>
  </conditionalFormatting>
  <conditionalFormatting sqref="A46:H68">
    <cfRule type="expression" priority="7" dxfId="29">
      <formula>AND($A46&lt;&gt;"",$C46=0)</formula>
    </cfRule>
    <cfRule type="expression" priority="15" dxfId="28">
      <formula>$A46&lt;&gt;""</formula>
    </cfRule>
  </conditionalFormatting>
  <conditionalFormatting sqref="C74:C103">
    <cfRule type="expression" priority="8" dxfId="10">
      <formula>$C74="غياب بدون عذر"</formula>
    </cfRule>
    <cfRule type="expression" priority="9" dxfId="14">
      <formula>$C74="غياب بعذر"</formula>
    </cfRule>
  </conditionalFormatting>
  <conditionalFormatting sqref="E74:E103">
    <cfRule type="expression" priority="10" dxfId="8">
      <formula>ISNUMBER(SEARCH("حرجة",$E74))</formula>
    </cfRule>
    <cfRule type="expression" priority="11" dxfId="6">
      <formula>ISNUMBER(SEARCH("⚠",$E74))</formula>
    </cfRule>
  </conditionalFormatting>
  <conditionalFormatting sqref="F74:F103">
    <cfRule type="expression" priority="12" dxfId="2">
      <formula>$F74="لا"</formula>
    </cfRule>
  </conditionalFormatting>
  <conditionalFormatting sqref="A15:G21">
    <cfRule type="expression" priority="13" dxfId="28">
      <formula>$A15&lt;&gt;""</formula>
    </cfRule>
  </conditionalFormatting>
  <conditionalFormatting sqref="A74:H103">
    <cfRule type="expression" priority="16" dxfId="28">
      <formula>$A74&lt;&gt;""</formula>
    </cfRule>
  </conditionalFormatting>
  <dataValidations count="3">
    <dataValidation sqref="B4" showDropDown="0" showInputMessage="1" showErrorMessage="1" allowBlank="0" type="list">
      <formula1>'الإعدادات'!$G$16:$G$20</formula1>
    </dataValidation>
    <dataValidation sqref="F4" showDropDown="0" showInputMessage="1" showErrorMessage="1" allowBlank="0" type="list">
      <formula1>'الإعدادات'!$G$42:$G$49</formula1>
    </dataValidation>
    <dataValidation sqref="D4" showDropDown="0" showInputMessage="1" showErrorMessage="1" allowBlank="1" errorTitle="تاريخ غير صحيح" error="اختاري يوم دوام من القائمة" type="list">
      <formula1>'التقويم'!$A$5:$A$222</formula1>
    </dataValidation>
  </dataValidations>
  <printOptions horizontalCentered="1"/>
  <pageMargins left="0.5" right="0.5" top="0.6" bottom="0.6" header="0.5" footer="0.5"/>
  <pageSetup orientation="portrait" paperSize="9" fitToHeight="0" fitToWidth="1"/>
  <headerFooter>
    <oddHeader/>
    <oddFooter>&amp;C&amp;A – &amp;D</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9CA3AF"/>
    <outlinePr summaryBelow="1" summaryRight="1"/>
    <pageSetUpPr/>
  </sheetPr>
  <dimension ref="A1:AX214"/>
  <sheetViews>
    <sheetView showGridLines="0" rightToLeft="1" zoomScale="10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22" customWidth="1" min="3" max="3"/>
    <col width="9" customWidth="1" min="4" max="4"/>
    <col width="7" customWidth="1" min="5" max="5"/>
    <col width="9" customWidth="1" min="6" max="6"/>
    <col width="11" customWidth="1" min="7" max="7"/>
    <col width="16" customWidth="1" min="8" max="8"/>
    <col width="13" customWidth="1" min="9" max="9"/>
    <col width="6" customWidth="1" min="10" max="10"/>
    <col width="6" customWidth="1" min="11" max="11"/>
    <col width="6" customWidth="1" min="12" max="12"/>
    <col width="6" customWidth="1" min="13" max="13"/>
    <col width="6" customWidth="1" min="14" max="14"/>
    <col width="8" customWidth="1" min="15" max="15"/>
    <col width="8" customWidth="1" min="16" max="16"/>
    <col width="7" customWidth="1" min="17" max="17"/>
    <col width="14" customWidth="1" min="18" max="18"/>
    <col width="11" customWidth="1" min="19" max="19"/>
    <col width="11" customWidth="1" min="20" max="20"/>
    <col width="11" customWidth="1" min="21" max="21"/>
    <col width="11" customWidth="1" min="22" max="22"/>
    <col width="11" customWidth="1" min="23" max="23"/>
    <col width="11" customWidth="1" min="24" max="24"/>
    <col width="12" customWidth="1" min="25" max="25"/>
    <col width="8" customWidth="1" min="26" max="26"/>
    <col width="16" customWidth="1" min="27" max="27"/>
    <col width="30" customWidth="1" min="28" max="28"/>
    <col width="12" customWidth="1" min="29" max="29"/>
    <col width="20" customWidth="1" min="30" max="30"/>
    <col width="8"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s>
  <sheetData>
    <row r="1" ht="30" customHeight="1">
      <c r="A1" s="68" t="inlineStr">
        <is>
          <t>قاعدة بيانات الأطفال الموحدة</t>
        </is>
      </c>
    </row>
    <row r="2">
      <c r="A2" s="69" t="inlineStr">
        <is>
          <t>تُجمَّع تلقائيًا من أوراق الصفوف (tblStudents) — الإدخال يتم في ورقة كل صف، وهذه الورقة للعرض والفلترة والتحليل فقط</t>
        </is>
      </c>
    </row>
    <row r="3">
      <c r="A3" s="32" t="inlineStr">
        <is>
          <t>Master student table (auto)</t>
        </is>
      </c>
    </row>
    <row r="4" ht="42" customHeight="1">
      <c r="A4" s="85" t="inlineStr">
        <is>
          <t>م</t>
        </is>
      </c>
      <c r="B4" s="85" t="inlineStr">
        <is>
          <t>الرقم الطلابي</t>
        </is>
      </c>
      <c r="C4" s="85" t="inlineStr">
        <is>
          <t>اسم الطفل</t>
        </is>
      </c>
      <c r="D4" s="85" t="inlineStr">
        <is>
          <t>الصف</t>
        </is>
      </c>
      <c r="E4" s="85" t="inlineStr">
        <is>
          <t>الشعبة</t>
        </is>
      </c>
      <c r="F4" s="85" t="inlineStr">
        <is>
          <t>الحالة الدراسية</t>
        </is>
      </c>
      <c r="G4" s="85" t="inlineStr">
        <is>
          <t>تاريخ الالتحاق</t>
        </is>
      </c>
      <c r="H4" s="85" t="inlineStr">
        <is>
          <t>اسم ولي الأمر</t>
        </is>
      </c>
      <c r="I4" s="85" t="inlineStr">
        <is>
          <t>رقم التواصل</t>
        </is>
      </c>
      <c r="J4" s="85" t="inlineStr">
        <is>
          <t>أيام الدوام</t>
        </is>
      </c>
      <c r="K4" s="85" t="inlineStr">
        <is>
          <t>الحضور</t>
        </is>
      </c>
      <c r="L4" s="85" t="inlineStr">
        <is>
          <t>الغياب</t>
        </is>
      </c>
      <c r="M4" s="85" t="inlineStr">
        <is>
          <t>غياب بعذر</t>
        </is>
      </c>
      <c r="N4" s="85" t="inlineStr">
        <is>
          <t>تأخير</t>
        </is>
      </c>
      <c r="O4" s="85" t="inlineStr">
        <is>
          <t>نسبة الحضور</t>
        </is>
      </c>
      <c r="P4" s="85" t="inlineStr">
        <is>
          <t>نسبة الغياب</t>
        </is>
      </c>
      <c r="Q4" s="85" t="inlineStr">
        <is>
          <t>مستوى التنبيه</t>
        </is>
      </c>
      <c r="R4" s="85" t="inlineStr">
        <is>
          <t>حالة المتابعة</t>
        </is>
      </c>
      <c r="S4" s="85" t="inlineStr">
        <is>
          <t>آخر تاريخ غياب</t>
        </is>
      </c>
      <c r="T4" s="85" t="inlineStr">
        <is>
          <t>بلوغ حد المتابعة</t>
        </is>
      </c>
      <c r="U4" s="85" t="inlineStr">
        <is>
          <t>بلوغ الغياب المتكرر</t>
        </is>
      </c>
      <c r="V4" s="85" t="inlineStr">
        <is>
          <t>بلوغ الغياب المرتفع</t>
        </is>
      </c>
      <c r="W4" s="85" t="inlineStr">
        <is>
          <t>بلوغ الحالة الحرجة</t>
        </is>
      </c>
      <c r="X4" s="85" t="inlineStr">
        <is>
          <t>تاريخ آخر تواصل</t>
        </is>
      </c>
      <c r="Y4" s="85" t="inlineStr">
        <is>
          <t>طريقة آخر تواصل</t>
        </is>
      </c>
      <c r="Z4" s="85" t="inlineStr">
        <is>
          <t>تم التواصل؟</t>
        </is>
      </c>
      <c r="AA4" s="85" t="inlineStr">
        <is>
          <t>التواصل مع ولي الأمر</t>
        </is>
      </c>
      <c r="AB4" s="85" t="inlineStr">
        <is>
          <t>الإجراء المطلوب</t>
        </is>
      </c>
      <c r="AC4" s="85" t="inlineStr">
        <is>
          <t>فئة الحضور</t>
        </is>
      </c>
      <c r="AD4" s="85" t="inlineStr">
        <is>
          <t>ملاحظات</t>
        </is>
      </c>
      <c r="AE4" s="85" t="inlineStr">
        <is>
          <t>رقم مكرر؟</t>
        </is>
      </c>
      <c r="AF4" s="156" t="inlineStr">
        <is>
          <t>مشمول في فلتر اللوحة</t>
        </is>
      </c>
      <c r="AG4" s="156" t="inlineStr">
        <is>
          <t>حالة اليوم المحدد</t>
        </is>
      </c>
      <c r="AH4" s="156" t="inlineStr">
        <is>
          <t>حضور الفترة</t>
        </is>
      </c>
      <c r="AI4" s="156" t="inlineStr">
        <is>
          <t>أيام الفترة</t>
        </is>
      </c>
      <c r="AJ4" s="156" t="inlineStr">
        <is>
          <t>مستوى بلغه اليوم</t>
        </is>
      </c>
      <c r="AK4" s="156" t="inlineStr">
        <is>
          <t>تسلسل تنبيه اليوم</t>
        </is>
      </c>
      <c r="AL4" s="156" t="inlineStr">
        <is>
          <t>مفتاح المتابعة</t>
        </is>
      </c>
      <c r="AM4" s="156" t="inlineStr">
        <is>
          <t>مفتاح الأعلى حضورًا</t>
        </is>
      </c>
      <c r="AN4" s="156" t="inlineStr">
        <is>
          <t>مفتاح الدعم</t>
        </is>
      </c>
      <c r="AO4" s="156" t="inlineStr">
        <is>
          <t>مفتاح الحرجة</t>
        </is>
      </c>
      <c r="AP4" s="156" t="inlineStr">
        <is>
          <t>مشمول في التقرير</t>
        </is>
      </c>
      <c r="AQ4" s="156" t="inlineStr">
        <is>
          <t>مفتاح التقرير</t>
        </is>
      </c>
      <c r="AR4" s="156" t="inlineStr">
        <is>
          <t>حضور فترة التقرير</t>
        </is>
      </c>
      <c r="AS4" s="156" t="inlineStr">
        <is>
          <t>أيام فترة التقرير</t>
        </is>
      </c>
      <c r="AT4" s="156" t="inlineStr">
        <is>
          <t>غياب فترة التقرير</t>
        </is>
      </c>
      <c r="AU4" s="156" t="inlineStr">
        <is>
          <t>رقم الصف</t>
        </is>
      </c>
      <c r="AV4" s="156" t="inlineStr">
        <is>
          <t>رقم الصف الداخلي</t>
        </is>
      </c>
      <c r="AW4" s="156" t="inlineStr">
        <is>
          <t>حالة يوم التقرير</t>
        </is>
      </c>
      <c r="AX4" s="156" t="inlineStr">
        <is>
          <t>تسلسل غائبي يوم التقرير</t>
        </is>
      </c>
    </row>
    <row r="5">
      <c r="A5" s="148">
        <f>IF(B5="","",ROW()-4)</f>
        <v/>
      </c>
      <c r="B5" s="148">
        <f>IF('KG1-1'!$B9="","",'KG1-1'!$B9)</f>
        <v/>
      </c>
      <c r="C5" s="146">
        <f>IF('KG1-1'!$C9="","",'KG1-1'!$C9)</f>
        <v/>
      </c>
      <c r="D5" s="148">
        <f>IF(B5="","",'KG1-1'!$B$2)</f>
        <v/>
      </c>
      <c r="E5" s="148">
        <f>IF(B5="","",MID(D5,FIND("-",D5&amp;"-")+1,10))</f>
        <v/>
      </c>
      <c r="F5" s="148">
        <f>IF(B5="","","نشط")</f>
        <v/>
      </c>
      <c r="G5" s="157">
        <f>IF(B5="","","")</f>
        <v/>
      </c>
      <c r="H5" s="146">
        <f>IF('KG1-1'!$K9="","",'KG1-1'!$K9)</f>
        <v/>
      </c>
      <c r="I5" s="148">
        <f>IF('KG1-1'!$J9="","",'KG1-1'!$J9)</f>
        <v/>
      </c>
      <c r="J5" s="148">
        <f>IF('KG1-1'!$M9="","",'KG1-1'!$M9)</f>
        <v/>
      </c>
      <c r="K5" s="148">
        <f>IF('KG1-1'!$N9="","",'KG1-1'!$N9)</f>
        <v/>
      </c>
      <c r="L5" s="148">
        <f>IF('KG1-1'!$D9="","",'KG1-1'!$D9)</f>
        <v/>
      </c>
      <c r="M5" s="148">
        <f>IF('KG1-1'!$E9="","",'KG1-1'!$E9)</f>
        <v/>
      </c>
      <c r="N5" s="148">
        <f>IF('KG1-1'!$F9="","",'KG1-1'!$F9)</f>
        <v/>
      </c>
      <c r="O5" s="158">
        <f>IF('KG1-1'!$G9="","",'KG1-1'!$G9)</f>
        <v/>
      </c>
      <c r="P5" s="158">
        <f>IF('KG1-1'!$O9="","",'KG1-1'!$O9)</f>
        <v/>
      </c>
      <c r="Q5" s="148">
        <f>IF('KG1-1'!$T9="","",'KG1-1'!$T9)</f>
        <v/>
      </c>
      <c r="R5" s="146">
        <f>IF('KG1-1'!$H9="","",'KG1-1'!$H9)</f>
        <v/>
      </c>
      <c r="S5" s="157">
        <f>IF('KG1-1'!$P9="","",'KG1-1'!$P9)</f>
        <v/>
      </c>
      <c r="T5" s="157">
        <f>IF('KG1-1'!$V9="","",'KG1-1'!$V9)</f>
        <v/>
      </c>
      <c r="U5" s="157">
        <f>IF('KG1-1'!$W9="","",'KG1-1'!$W9)</f>
        <v/>
      </c>
      <c r="V5" s="157">
        <f>IF('KG1-1'!$X9="","",'KG1-1'!$X9)</f>
        <v/>
      </c>
      <c r="W5" s="157">
        <f>IF('KG1-1'!$Y9="","",'KG1-1'!$Y9)</f>
        <v/>
      </c>
      <c r="X5" s="157">
        <f>IF('KG1-1'!$R9="","",'KG1-1'!$R9)</f>
        <v/>
      </c>
      <c r="Y5" s="148">
        <f>IF('KG1-1'!$S9="","",'KG1-1'!$S9)</f>
        <v/>
      </c>
      <c r="Z5" s="148">
        <f>IF('KG1-1'!$Q9="","",'KG1-1'!$Q9)</f>
        <v/>
      </c>
      <c r="AA5" s="148">
        <f>IF('KG1-1'!$I9="","",'KG1-1'!$I9)</f>
        <v/>
      </c>
      <c r="AB5" s="146">
        <f>IF(Q5="","",INDEX(LevelActions,MATCH(Q5,LevelValues,0)))</f>
        <v/>
      </c>
      <c r="AC5" s="148">
        <f>IF(J5="","",IF(J5=0,"—",IF(AND(L5=0,M5=0),Cat_L1,IF(O5&gt;=Cat_95,Cat_L2,IF(O5&gt;=Cat_90,Cat_L3,Cat_L4)))))</f>
        <v/>
      </c>
      <c r="AD5" s="146">
        <f>IF('KG1-1'!$L9="","",'KG1-1'!$L9)</f>
        <v/>
      </c>
      <c r="AE5" s="148">
        <f>IF(B5="","",IF(COUNTIF($B$5:$B$214,B5)&gt;1,"مكرر!",""))</f>
        <v/>
      </c>
      <c r="AF5" s="148">
        <f>IF(AND(B5&lt;&gt;"",F5="نشط",OR(Dash_Class="الكل",D5=Dash_Class)),1,0)</f>
        <v/>
      </c>
      <c r="AG5" s="40">
        <f>IF(OR(AF5=0,Dash_DayIdx=0),"",IF(INDEX('KG1-1'!$AD$7:$IM$7,Dash_DayIdx)&lt;&gt;"✓","",IF(INDEX('KG1-1'!$AD9:$IM9,Dash_DayIdx)="","P",IFERROR(INDEX(StatusCodes,MATCH(INDEX('KG1-1'!$AD9:$IM9,Dash_DayIdx),StatusLabels,0)),""))))</f>
        <v/>
      </c>
      <c r="AH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IF(LateAsPresent="نعم",COUNTIFS('KG1-1'!$AD9:$IM9,"متأخر",'KG1-1'!$AD$7:$IM$7,"✓",'KG1-1'!$AD$6:$IM$6,1,'KG1-1'!$AD$5:$IM$5,"&gt;="&amp;MAX('KG1-1'!$U9,Dash_PStart),'KG1-1'!$AD$5:$IM$5,"&lt;="&amp;Dash_PEnd),0))</f>
        <v/>
      </c>
      <c r="AI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COUNTIFS('KG1-1'!$AD9:$IM9,"غياب بدون عذر",'KG1-1'!$AD$7:$IM$7,"✓",'KG1-1'!$AD$6:$IM$6,1,'KG1-1'!$AD$5:$IM$5,"&gt;="&amp;MAX('KG1-1'!$U9,Dash_PStart),'KG1-1'!$AD$5:$IM$5,"&lt;="&amp;Dash_PEnd)+COUNTIFS('KG1-1'!$AD9:$IM9,"غياب بعذر",'KG1-1'!$AD$7:$IM$7,"✓",'KG1-1'!$AD$6:$IM$6,1,'KG1-1'!$AD$5:$IM$5,"&gt;="&amp;MAX('KG1-1'!$U9,Dash_PStart),'KG1-1'!$AD$5:$IM$5,"&lt;="&amp;Dash_PEnd)+COUNTIFS('KG1-1'!$AD9:$IM9,"متأخر",'KG1-1'!$AD$7:$IM$7,"✓",'KG1-1'!$AD$6:$IM$6,1,'KG1-1'!$AD$5:$IM$5,"&gt;="&amp;MAX('KG1-1'!$U9,Dash_PStart),'KG1-1'!$AD$5:$IM$5,"&lt;="&amp;Dash_PEnd))</f>
        <v/>
      </c>
      <c r="AJ5" s="40">
        <f>IF(AF5=0,0,IF(W5=Dash_Date,Thr_Critical,IF(V5=Dash_Date,Thr_High,IF(U5=Dash_Date,Thr_Repeated,IF(T5=Dash_Date,Thr_FollowUp,0)))))</f>
        <v/>
      </c>
      <c r="AK5" s="40">
        <f>IF(AJ5&gt;0,COUNTIF($AJ$5:AJ5,"&gt;0"),"")</f>
        <v/>
      </c>
      <c r="AL5" s="40">
        <f>IF(AND(B5&lt;&gt;"",F5="نشط",Q5&lt;&gt;"",Q5&gt;0),L5*1000+(999-ROW()),"")</f>
        <v/>
      </c>
      <c r="AM5" s="40">
        <f>IF(AND(AF5=1,J5&lt;&gt;"",J5&gt;0),ROUND(O5*10000,0)*1000000+K5*1000+(999-ROW()),"")</f>
        <v/>
      </c>
      <c r="AN5" s="40">
        <f>IF(AND(AF5=1,J5&lt;&gt;"",J5&gt;0),(L5+M5)*10000000+ROUND((1-O5)*10000,0)*1000+(999-ROW()),"")</f>
        <v/>
      </c>
      <c r="AO5" s="40">
        <f>IF(AND(AF5=1,Q5&lt;&gt;"",Q5&gt;=Thr_Critical),L5*1000+(999-ROW()),"")</f>
        <v/>
      </c>
      <c r="AP5" s="40">
        <f>IF(AND(B5&lt;&gt;"",F5="نشط",OR(Rpt_Class="الكل",D5=Rpt_Class)),1,0)</f>
        <v/>
      </c>
      <c r="AQ5" s="40">
        <f>IF(AND(AP5=1,Q5&lt;&gt;"",Q5&gt;0),L5*1000+(999-ROW()),"")</f>
        <v/>
      </c>
      <c r="AR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IF(LateAsPresent="نعم",COUNTIFS('KG1-1'!$AD9:$IM9,"متأخر",'KG1-1'!$AD$7:$IM$7,"✓",'KG1-1'!$AD$6:$IM$6,1,'KG1-1'!$AD$5:$IM$5,"&gt;="&amp;MAX('KG1-1'!$U9,Rpt_PStart),'KG1-1'!$AD$5:$IM$5,"&lt;="&amp;Rpt_PEnd),0))</f>
        <v/>
      </c>
      <c r="AS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COUNTIFS('KG1-1'!$AD9:$IM9,"غياب بدون عذر",'KG1-1'!$AD$7:$IM$7,"✓",'KG1-1'!$AD$6:$IM$6,1,'KG1-1'!$AD$5:$IM$5,"&gt;="&amp;MAX('KG1-1'!$U9,Rpt_PStart),'KG1-1'!$AD$5:$IM$5,"&lt;="&amp;Rpt_PEnd)+COUNTIFS('KG1-1'!$AD9:$IM9,"غياب بعذر",'KG1-1'!$AD$7:$IM$7,"✓",'KG1-1'!$AD$6:$IM$6,1,'KG1-1'!$AD$5:$IM$5,"&gt;="&amp;MAX('KG1-1'!$U9,Rpt_PStart),'KG1-1'!$AD$5:$IM$5,"&lt;="&amp;Rpt_PEnd)+COUNTIFS('KG1-1'!$AD9:$IM9,"متأخر",'KG1-1'!$AD$7:$IM$7,"✓",'KG1-1'!$AD$6:$IM$6,1,'KG1-1'!$AD$5:$IM$5,"&gt;="&amp;MAX('KG1-1'!$U9,Rpt_PStart),'KG1-1'!$AD$5:$IM$5,"&lt;="&amp;Rpt_PEnd))</f>
        <v/>
      </c>
      <c r="AT5" s="40">
        <f>IF(AP5=0,"",COUNTIFS('KG1-1'!$AD9:$IM9,"غياب بدون عذر",'KG1-1'!$AD$7:$IM$7,"✓",'KG1-1'!$AD$6:$IM$6,1,'KG1-1'!$AD$5:$IM$5,"&gt;="&amp;MAX('KG1-1'!$U9,Rpt_PStart),'KG1-1'!$AD$5:$IM$5,"&lt;="&amp;Rpt_PEnd)+COUNTIFS('KG1-1'!$AD9:$IM9,"غياب بعذر",'KG1-1'!$AD$7:$IM$7,"✓",'KG1-1'!$AD$6:$IM$6,1,'KG1-1'!$AD$5:$IM$5,"&gt;="&amp;MAX('KG1-1'!$U9,Rpt_PStart),'KG1-1'!$AD$5:$IM$5,"&lt;="&amp;Rpt_PEnd))</f>
        <v/>
      </c>
      <c r="AU5" s="40" t="n">
        <v>1</v>
      </c>
      <c r="AV5" s="40" t="n">
        <v>1</v>
      </c>
      <c r="AW5" s="40">
        <f>IF(OR(AP5=0,Rpt_DayIdx=0),"",IF(INDEX('KG1-1'!$AD$7:$IM$7,Rpt_DayIdx)&lt;&gt;"✓","",IF(INDEX('KG1-1'!$AD9:$IM9,Rpt_DayIdx)="","P",IFERROR(INDEX(StatusCodes,MATCH(INDEX('KG1-1'!$AD9:$IM9,Rpt_DayIdx),StatusLabels,0)),""))))</f>
        <v/>
      </c>
      <c r="AX5" s="40">
        <f>IF(AND(AP5=1,OR(AW5="A",AW5="E")),COUNTIFS($AP$5:AP5,1,$AW$5:AW5,"A")+COUNTIFS($AP$5:AP5,1,$AW$5:AW5,"E"),"")</f>
        <v/>
      </c>
    </row>
    <row r="6">
      <c r="A6" s="148">
        <f>IF(B6="","",ROW()-4)</f>
        <v/>
      </c>
      <c r="B6" s="148">
        <f>IF('KG1-1'!$B10="","",'KG1-1'!$B10)</f>
        <v/>
      </c>
      <c r="C6" s="146">
        <f>IF('KG1-1'!$C10="","",'KG1-1'!$C10)</f>
        <v/>
      </c>
      <c r="D6" s="148">
        <f>IF(B6="","",'KG1-1'!$B$2)</f>
        <v/>
      </c>
      <c r="E6" s="148">
        <f>IF(B6="","",MID(D6,FIND("-",D6&amp;"-")+1,10))</f>
        <v/>
      </c>
      <c r="F6" s="148">
        <f>IF(B6="","","نشط")</f>
        <v/>
      </c>
      <c r="G6" s="157">
        <f>IF(B6="","","")</f>
        <v/>
      </c>
      <c r="H6" s="146">
        <f>IF('KG1-1'!$K10="","",'KG1-1'!$K10)</f>
        <v/>
      </c>
      <c r="I6" s="148">
        <f>IF('KG1-1'!$J10="","",'KG1-1'!$J10)</f>
        <v/>
      </c>
      <c r="J6" s="148">
        <f>IF('KG1-1'!$M10="","",'KG1-1'!$M10)</f>
        <v/>
      </c>
      <c r="K6" s="148">
        <f>IF('KG1-1'!$N10="","",'KG1-1'!$N10)</f>
        <v/>
      </c>
      <c r="L6" s="148">
        <f>IF('KG1-1'!$D10="","",'KG1-1'!$D10)</f>
        <v/>
      </c>
      <c r="M6" s="148">
        <f>IF('KG1-1'!$E10="","",'KG1-1'!$E10)</f>
        <v/>
      </c>
      <c r="N6" s="148">
        <f>IF('KG1-1'!$F10="","",'KG1-1'!$F10)</f>
        <v/>
      </c>
      <c r="O6" s="158">
        <f>IF('KG1-1'!$G10="","",'KG1-1'!$G10)</f>
        <v/>
      </c>
      <c r="P6" s="158">
        <f>IF('KG1-1'!$O10="","",'KG1-1'!$O10)</f>
        <v/>
      </c>
      <c r="Q6" s="148">
        <f>IF('KG1-1'!$T10="","",'KG1-1'!$T10)</f>
        <v/>
      </c>
      <c r="R6" s="146">
        <f>IF('KG1-1'!$H10="","",'KG1-1'!$H10)</f>
        <v/>
      </c>
      <c r="S6" s="157">
        <f>IF('KG1-1'!$P10="","",'KG1-1'!$P10)</f>
        <v/>
      </c>
      <c r="T6" s="157">
        <f>IF('KG1-1'!$V10="","",'KG1-1'!$V10)</f>
        <v/>
      </c>
      <c r="U6" s="157">
        <f>IF('KG1-1'!$W10="","",'KG1-1'!$W10)</f>
        <v/>
      </c>
      <c r="V6" s="157">
        <f>IF('KG1-1'!$X10="","",'KG1-1'!$X10)</f>
        <v/>
      </c>
      <c r="W6" s="157">
        <f>IF('KG1-1'!$Y10="","",'KG1-1'!$Y10)</f>
        <v/>
      </c>
      <c r="X6" s="157">
        <f>IF('KG1-1'!$R10="","",'KG1-1'!$R10)</f>
        <v/>
      </c>
      <c r="Y6" s="148">
        <f>IF('KG1-1'!$S10="","",'KG1-1'!$S10)</f>
        <v/>
      </c>
      <c r="Z6" s="148">
        <f>IF('KG1-1'!$Q10="","",'KG1-1'!$Q10)</f>
        <v/>
      </c>
      <c r="AA6" s="148">
        <f>IF('KG1-1'!$I10="","",'KG1-1'!$I10)</f>
        <v/>
      </c>
      <c r="AB6" s="146">
        <f>IF(Q6="","",INDEX(LevelActions,MATCH(Q6,LevelValues,0)))</f>
        <v/>
      </c>
      <c r="AC6" s="148">
        <f>IF(J6="","",IF(J6=0,"—",IF(AND(L6=0,M6=0),Cat_L1,IF(O6&gt;=Cat_95,Cat_L2,IF(O6&gt;=Cat_90,Cat_L3,Cat_L4)))))</f>
        <v/>
      </c>
      <c r="AD6" s="146">
        <f>IF('KG1-1'!$L10="","",'KG1-1'!$L10)</f>
        <v/>
      </c>
      <c r="AE6" s="148">
        <f>IF(B6="","",IF(COUNTIF($B$5:$B$214,B6)&gt;1,"مكرر!",""))</f>
        <v/>
      </c>
      <c r="AF6" s="148">
        <f>IF(AND(B6&lt;&gt;"",F6="نشط",OR(Dash_Class="الكل",D6=Dash_Class)),1,0)</f>
        <v/>
      </c>
      <c r="AG6" s="40">
        <f>IF(OR(AF6=0,Dash_DayIdx=0),"",IF(INDEX('KG1-1'!$AD$7:$IM$7,Dash_DayIdx)&lt;&gt;"✓","",IF(INDEX('KG1-1'!$AD10:$IM10,Dash_DayIdx)="","P",IFERROR(INDEX(StatusCodes,MATCH(INDEX('KG1-1'!$AD10:$IM10,Dash_DayIdx),StatusLabels,0)),""))))</f>
        <v/>
      </c>
      <c r="AH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IF(LateAsPresent="نعم",COUNTIFS('KG1-1'!$AD10:$IM10,"متأخر",'KG1-1'!$AD$7:$IM$7,"✓",'KG1-1'!$AD$6:$IM$6,1,'KG1-1'!$AD$5:$IM$5,"&gt;="&amp;MAX('KG1-1'!$U10,Dash_PStart),'KG1-1'!$AD$5:$IM$5,"&lt;="&amp;Dash_PEnd),0))</f>
        <v/>
      </c>
      <c r="AI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COUNTIFS('KG1-1'!$AD10:$IM10,"غياب بدون عذر",'KG1-1'!$AD$7:$IM$7,"✓",'KG1-1'!$AD$6:$IM$6,1,'KG1-1'!$AD$5:$IM$5,"&gt;="&amp;MAX('KG1-1'!$U10,Dash_PStart),'KG1-1'!$AD$5:$IM$5,"&lt;="&amp;Dash_PEnd)+COUNTIFS('KG1-1'!$AD10:$IM10,"غياب بعذر",'KG1-1'!$AD$7:$IM$7,"✓",'KG1-1'!$AD$6:$IM$6,1,'KG1-1'!$AD$5:$IM$5,"&gt;="&amp;MAX('KG1-1'!$U10,Dash_PStart),'KG1-1'!$AD$5:$IM$5,"&lt;="&amp;Dash_PEnd)+COUNTIFS('KG1-1'!$AD10:$IM10,"متأخر",'KG1-1'!$AD$7:$IM$7,"✓",'KG1-1'!$AD$6:$IM$6,1,'KG1-1'!$AD$5:$IM$5,"&gt;="&amp;MAX('KG1-1'!$U10,Dash_PStart),'KG1-1'!$AD$5:$IM$5,"&lt;="&amp;Dash_PEnd))</f>
        <v/>
      </c>
      <c r="AJ6" s="40">
        <f>IF(AF6=0,0,IF(W6=Dash_Date,Thr_Critical,IF(V6=Dash_Date,Thr_High,IF(U6=Dash_Date,Thr_Repeated,IF(T6=Dash_Date,Thr_FollowUp,0)))))</f>
        <v/>
      </c>
      <c r="AK6" s="40">
        <f>IF(AJ6&gt;0,COUNTIF($AJ$5:AJ6,"&gt;0"),"")</f>
        <v/>
      </c>
      <c r="AL6" s="40">
        <f>IF(AND(B6&lt;&gt;"",F6="نشط",Q6&lt;&gt;"",Q6&gt;0),L6*1000+(999-ROW()),"")</f>
        <v/>
      </c>
      <c r="AM6" s="40">
        <f>IF(AND(AF6=1,J6&lt;&gt;"",J6&gt;0),ROUND(O6*10000,0)*1000000+K6*1000+(999-ROW()),"")</f>
        <v/>
      </c>
      <c r="AN6" s="40">
        <f>IF(AND(AF6=1,J6&lt;&gt;"",J6&gt;0),(L6+M6)*10000000+ROUND((1-O6)*10000,0)*1000+(999-ROW()),"")</f>
        <v/>
      </c>
      <c r="AO6" s="40">
        <f>IF(AND(AF6=1,Q6&lt;&gt;"",Q6&gt;=Thr_Critical),L6*1000+(999-ROW()),"")</f>
        <v/>
      </c>
      <c r="AP6" s="40">
        <f>IF(AND(B6&lt;&gt;"",F6="نشط",OR(Rpt_Class="الكل",D6=Rpt_Class)),1,0)</f>
        <v/>
      </c>
      <c r="AQ6" s="40">
        <f>IF(AND(AP6=1,Q6&lt;&gt;"",Q6&gt;0),L6*1000+(999-ROW()),"")</f>
        <v/>
      </c>
      <c r="AR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IF(LateAsPresent="نعم",COUNTIFS('KG1-1'!$AD10:$IM10,"متأخر",'KG1-1'!$AD$7:$IM$7,"✓",'KG1-1'!$AD$6:$IM$6,1,'KG1-1'!$AD$5:$IM$5,"&gt;="&amp;MAX('KG1-1'!$U10,Rpt_PStart),'KG1-1'!$AD$5:$IM$5,"&lt;="&amp;Rpt_PEnd),0))</f>
        <v/>
      </c>
      <c r="AS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COUNTIFS('KG1-1'!$AD10:$IM10,"غياب بدون عذر",'KG1-1'!$AD$7:$IM$7,"✓",'KG1-1'!$AD$6:$IM$6,1,'KG1-1'!$AD$5:$IM$5,"&gt;="&amp;MAX('KG1-1'!$U10,Rpt_PStart),'KG1-1'!$AD$5:$IM$5,"&lt;="&amp;Rpt_PEnd)+COUNTIFS('KG1-1'!$AD10:$IM10,"غياب بعذر",'KG1-1'!$AD$7:$IM$7,"✓",'KG1-1'!$AD$6:$IM$6,1,'KG1-1'!$AD$5:$IM$5,"&gt;="&amp;MAX('KG1-1'!$U10,Rpt_PStart),'KG1-1'!$AD$5:$IM$5,"&lt;="&amp;Rpt_PEnd)+COUNTIFS('KG1-1'!$AD10:$IM10,"متأخر",'KG1-1'!$AD$7:$IM$7,"✓",'KG1-1'!$AD$6:$IM$6,1,'KG1-1'!$AD$5:$IM$5,"&gt;="&amp;MAX('KG1-1'!$U10,Rpt_PStart),'KG1-1'!$AD$5:$IM$5,"&lt;="&amp;Rpt_PEnd))</f>
        <v/>
      </c>
      <c r="AT6" s="40">
        <f>IF(AP6=0,"",COUNTIFS('KG1-1'!$AD10:$IM10,"غياب بدون عذر",'KG1-1'!$AD$7:$IM$7,"✓",'KG1-1'!$AD$6:$IM$6,1,'KG1-1'!$AD$5:$IM$5,"&gt;="&amp;MAX('KG1-1'!$U10,Rpt_PStart),'KG1-1'!$AD$5:$IM$5,"&lt;="&amp;Rpt_PEnd)+COUNTIFS('KG1-1'!$AD10:$IM10,"غياب بعذر",'KG1-1'!$AD$7:$IM$7,"✓",'KG1-1'!$AD$6:$IM$6,1,'KG1-1'!$AD$5:$IM$5,"&gt;="&amp;MAX('KG1-1'!$U10,Rpt_PStart),'KG1-1'!$AD$5:$IM$5,"&lt;="&amp;Rpt_PEnd))</f>
        <v/>
      </c>
      <c r="AU6" s="40" t="n">
        <v>1</v>
      </c>
      <c r="AV6" s="40" t="n">
        <v>2</v>
      </c>
      <c r="AW6" s="40">
        <f>IF(OR(AP6=0,Rpt_DayIdx=0),"",IF(INDEX('KG1-1'!$AD$7:$IM$7,Rpt_DayIdx)&lt;&gt;"✓","",IF(INDEX('KG1-1'!$AD10:$IM10,Rpt_DayIdx)="","P",IFERROR(INDEX(StatusCodes,MATCH(INDEX('KG1-1'!$AD10:$IM10,Rpt_DayIdx),StatusLabels,0)),""))))</f>
        <v/>
      </c>
      <c r="AX6" s="40">
        <f>IF(AND(AP6=1,OR(AW6="A",AW6="E")),COUNTIFS($AP$5:AP6,1,$AW$5:AW6,"A")+COUNTIFS($AP$5:AP6,1,$AW$5:AW6,"E"),"")</f>
        <v/>
      </c>
    </row>
    <row r="7">
      <c r="A7" s="148">
        <f>IF(B7="","",ROW()-4)</f>
        <v/>
      </c>
      <c r="B7" s="148">
        <f>IF('KG1-1'!$B11="","",'KG1-1'!$B11)</f>
        <v/>
      </c>
      <c r="C7" s="146">
        <f>IF('KG1-1'!$C11="","",'KG1-1'!$C11)</f>
        <v/>
      </c>
      <c r="D7" s="148">
        <f>IF(B7="","",'KG1-1'!$B$2)</f>
        <v/>
      </c>
      <c r="E7" s="148">
        <f>IF(B7="","",MID(D7,FIND("-",D7&amp;"-")+1,10))</f>
        <v/>
      </c>
      <c r="F7" s="148">
        <f>IF(B7="","","نشط")</f>
        <v/>
      </c>
      <c r="G7" s="157">
        <f>IF(B7="","","")</f>
        <v/>
      </c>
      <c r="H7" s="146">
        <f>IF('KG1-1'!$K11="","",'KG1-1'!$K11)</f>
        <v/>
      </c>
      <c r="I7" s="148">
        <f>IF('KG1-1'!$J11="","",'KG1-1'!$J11)</f>
        <v/>
      </c>
      <c r="J7" s="148">
        <f>IF('KG1-1'!$M11="","",'KG1-1'!$M11)</f>
        <v/>
      </c>
      <c r="K7" s="148">
        <f>IF('KG1-1'!$N11="","",'KG1-1'!$N11)</f>
        <v/>
      </c>
      <c r="L7" s="148">
        <f>IF('KG1-1'!$D11="","",'KG1-1'!$D11)</f>
        <v/>
      </c>
      <c r="M7" s="148">
        <f>IF('KG1-1'!$E11="","",'KG1-1'!$E11)</f>
        <v/>
      </c>
      <c r="N7" s="148">
        <f>IF('KG1-1'!$F11="","",'KG1-1'!$F11)</f>
        <v/>
      </c>
      <c r="O7" s="158">
        <f>IF('KG1-1'!$G11="","",'KG1-1'!$G11)</f>
        <v/>
      </c>
      <c r="P7" s="158">
        <f>IF('KG1-1'!$O11="","",'KG1-1'!$O11)</f>
        <v/>
      </c>
      <c r="Q7" s="148">
        <f>IF('KG1-1'!$T11="","",'KG1-1'!$T11)</f>
        <v/>
      </c>
      <c r="R7" s="146">
        <f>IF('KG1-1'!$H11="","",'KG1-1'!$H11)</f>
        <v/>
      </c>
      <c r="S7" s="157">
        <f>IF('KG1-1'!$P11="","",'KG1-1'!$P11)</f>
        <v/>
      </c>
      <c r="T7" s="157">
        <f>IF('KG1-1'!$V11="","",'KG1-1'!$V11)</f>
        <v/>
      </c>
      <c r="U7" s="157">
        <f>IF('KG1-1'!$W11="","",'KG1-1'!$W11)</f>
        <v/>
      </c>
      <c r="V7" s="157">
        <f>IF('KG1-1'!$X11="","",'KG1-1'!$X11)</f>
        <v/>
      </c>
      <c r="W7" s="157">
        <f>IF('KG1-1'!$Y11="","",'KG1-1'!$Y11)</f>
        <v/>
      </c>
      <c r="X7" s="157">
        <f>IF('KG1-1'!$R11="","",'KG1-1'!$R11)</f>
        <v/>
      </c>
      <c r="Y7" s="148">
        <f>IF('KG1-1'!$S11="","",'KG1-1'!$S11)</f>
        <v/>
      </c>
      <c r="Z7" s="148">
        <f>IF('KG1-1'!$Q11="","",'KG1-1'!$Q11)</f>
        <v/>
      </c>
      <c r="AA7" s="148">
        <f>IF('KG1-1'!$I11="","",'KG1-1'!$I11)</f>
        <v/>
      </c>
      <c r="AB7" s="146">
        <f>IF(Q7="","",INDEX(LevelActions,MATCH(Q7,LevelValues,0)))</f>
        <v/>
      </c>
      <c r="AC7" s="148">
        <f>IF(J7="","",IF(J7=0,"—",IF(AND(L7=0,M7=0),Cat_L1,IF(O7&gt;=Cat_95,Cat_L2,IF(O7&gt;=Cat_90,Cat_L3,Cat_L4)))))</f>
        <v/>
      </c>
      <c r="AD7" s="146">
        <f>IF('KG1-1'!$L11="","",'KG1-1'!$L11)</f>
        <v/>
      </c>
      <c r="AE7" s="148">
        <f>IF(B7="","",IF(COUNTIF($B$5:$B$214,B7)&gt;1,"مكرر!",""))</f>
        <v/>
      </c>
      <c r="AF7" s="148">
        <f>IF(AND(B7&lt;&gt;"",F7="نشط",OR(Dash_Class="الكل",D7=Dash_Class)),1,0)</f>
        <v/>
      </c>
      <c r="AG7" s="40">
        <f>IF(OR(AF7=0,Dash_DayIdx=0),"",IF(INDEX('KG1-1'!$AD$7:$IM$7,Dash_DayIdx)&lt;&gt;"✓","",IF(INDEX('KG1-1'!$AD11:$IM11,Dash_DayIdx)="","P",IFERROR(INDEX(StatusCodes,MATCH(INDEX('KG1-1'!$AD11:$IM11,Dash_DayIdx),StatusLabels,0)),""))))</f>
        <v/>
      </c>
      <c r="AH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IF(LateAsPresent="نعم",COUNTIFS('KG1-1'!$AD11:$IM11,"متأخر",'KG1-1'!$AD$7:$IM$7,"✓",'KG1-1'!$AD$6:$IM$6,1,'KG1-1'!$AD$5:$IM$5,"&gt;="&amp;MAX('KG1-1'!$U11,Dash_PStart),'KG1-1'!$AD$5:$IM$5,"&lt;="&amp;Dash_PEnd),0))</f>
        <v/>
      </c>
      <c r="AI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COUNTIFS('KG1-1'!$AD11:$IM11,"غياب بدون عذر",'KG1-1'!$AD$7:$IM$7,"✓",'KG1-1'!$AD$6:$IM$6,1,'KG1-1'!$AD$5:$IM$5,"&gt;="&amp;MAX('KG1-1'!$U11,Dash_PStart),'KG1-1'!$AD$5:$IM$5,"&lt;="&amp;Dash_PEnd)+COUNTIFS('KG1-1'!$AD11:$IM11,"غياب بعذر",'KG1-1'!$AD$7:$IM$7,"✓",'KG1-1'!$AD$6:$IM$6,1,'KG1-1'!$AD$5:$IM$5,"&gt;="&amp;MAX('KG1-1'!$U11,Dash_PStart),'KG1-1'!$AD$5:$IM$5,"&lt;="&amp;Dash_PEnd)+COUNTIFS('KG1-1'!$AD11:$IM11,"متأخر",'KG1-1'!$AD$7:$IM$7,"✓",'KG1-1'!$AD$6:$IM$6,1,'KG1-1'!$AD$5:$IM$5,"&gt;="&amp;MAX('KG1-1'!$U11,Dash_PStart),'KG1-1'!$AD$5:$IM$5,"&lt;="&amp;Dash_PEnd))</f>
        <v/>
      </c>
      <c r="AJ7" s="40">
        <f>IF(AF7=0,0,IF(W7=Dash_Date,Thr_Critical,IF(V7=Dash_Date,Thr_High,IF(U7=Dash_Date,Thr_Repeated,IF(T7=Dash_Date,Thr_FollowUp,0)))))</f>
        <v/>
      </c>
      <c r="AK7" s="40">
        <f>IF(AJ7&gt;0,COUNTIF($AJ$5:AJ7,"&gt;0"),"")</f>
        <v/>
      </c>
      <c r="AL7" s="40">
        <f>IF(AND(B7&lt;&gt;"",F7="نشط",Q7&lt;&gt;"",Q7&gt;0),L7*1000+(999-ROW()),"")</f>
        <v/>
      </c>
      <c r="AM7" s="40">
        <f>IF(AND(AF7=1,J7&lt;&gt;"",J7&gt;0),ROUND(O7*10000,0)*1000000+K7*1000+(999-ROW()),"")</f>
        <v/>
      </c>
      <c r="AN7" s="40">
        <f>IF(AND(AF7=1,J7&lt;&gt;"",J7&gt;0),(L7+M7)*10000000+ROUND((1-O7)*10000,0)*1000+(999-ROW()),"")</f>
        <v/>
      </c>
      <c r="AO7" s="40">
        <f>IF(AND(AF7=1,Q7&lt;&gt;"",Q7&gt;=Thr_Critical),L7*1000+(999-ROW()),"")</f>
        <v/>
      </c>
      <c r="AP7" s="40">
        <f>IF(AND(B7&lt;&gt;"",F7="نشط",OR(Rpt_Class="الكل",D7=Rpt_Class)),1,0)</f>
        <v/>
      </c>
      <c r="AQ7" s="40">
        <f>IF(AND(AP7=1,Q7&lt;&gt;"",Q7&gt;0),L7*1000+(999-ROW()),"")</f>
        <v/>
      </c>
      <c r="AR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IF(LateAsPresent="نعم",COUNTIFS('KG1-1'!$AD11:$IM11,"متأخر",'KG1-1'!$AD$7:$IM$7,"✓",'KG1-1'!$AD$6:$IM$6,1,'KG1-1'!$AD$5:$IM$5,"&gt;="&amp;MAX('KG1-1'!$U11,Rpt_PStart),'KG1-1'!$AD$5:$IM$5,"&lt;="&amp;Rpt_PEnd),0))</f>
        <v/>
      </c>
      <c r="AS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COUNTIFS('KG1-1'!$AD11:$IM11,"غياب بدون عذر",'KG1-1'!$AD$7:$IM$7,"✓",'KG1-1'!$AD$6:$IM$6,1,'KG1-1'!$AD$5:$IM$5,"&gt;="&amp;MAX('KG1-1'!$U11,Rpt_PStart),'KG1-1'!$AD$5:$IM$5,"&lt;="&amp;Rpt_PEnd)+COUNTIFS('KG1-1'!$AD11:$IM11,"غياب بعذر",'KG1-1'!$AD$7:$IM$7,"✓",'KG1-1'!$AD$6:$IM$6,1,'KG1-1'!$AD$5:$IM$5,"&gt;="&amp;MAX('KG1-1'!$U11,Rpt_PStart),'KG1-1'!$AD$5:$IM$5,"&lt;="&amp;Rpt_PEnd)+COUNTIFS('KG1-1'!$AD11:$IM11,"متأخر",'KG1-1'!$AD$7:$IM$7,"✓",'KG1-1'!$AD$6:$IM$6,1,'KG1-1'!$AD$5:$IM$5,"&gt;="&amp;MAX('KG1-1'!$U11,Rpt_PStart),'KG1-1'!$AD$5:$IM$5,"&lt;="&amp;Rpt_PEnd))</f>
        <v/>
      </c>
      <c r="AT7" s="40">
        <f>IF(AP7=0,"",COUNTIFS('KG1-1'!$AD11:$IM11,"غياب بدون عذر",'KG1-1'!$AD$7:$IM$7,"✓",'KG1-1'!$AD$6:$IM$6,1,'KG1-1'!$AD$5:$IM$5,"&gt;="&amp;MAX('KG1-1'!$U11,Rpt_PStart),'KG1-1'!$AD$5:$IM$5,"&lt;="&amp;Rpt_PEnd)+COUNTIFS('KG1-1'!$AD11:$IM11,"غياب بعذر",'KG1-1'!$AD$7:$IM$7,"✓",'KG1-1'!$AD$6:$IM$6,1,'KG1-1'!$AD$5:$IM$5,"&gt;="&amp;MAX('KG1-1'!$U11,Rpt_PStart),'KG1-1'!$AD$5:$IM$5,"&lt;="&amp;Rpt_PEnd))</f>
        <v/>
      </c>
      <c r="AU7" s="40" t="n">
        <v>1</v>
      </c>
      <c r="AV7" s="40" t="n">
        <v>3</v>
      </c>
      <c r="AW7" s="40">
        <f>IF(OR(AP7=0,Rpt_DayIdx=0),"",IF(INDEX('KG1-1'!$AD$7:$IM$7,Rpt_DayIdx)&lt;&gt;"✓","",IF(INDEX('KG1-1'!$AD11:$IM11,Rpt_DayIdx)="","P",IFERROR(INDEX(StatusCodes,MATCH(INDEX('KG1-1'!$AD11:$IM11,Rpt_DayIdx),StatusLabels,0)),""))))</f>
        <v/>
      </c>
      <c r="AX7" s="40">
        <f>IF(AND(AP7=1,OR(AW7="A",AW7="E")),COUNTIFS($AP$5:AP7,1,$AW$5:AW7,"A")+COUNTIFS($AP$5:AP7,1,$AW$5:AW7,"E"),"")</f>
        <v/>
      </c>
    </row>
    <row r="8">
      <c r="A8" s="148">
        <f>IF(B8="","",ROW()-4)</f>
        <v/>
      </c>
      <c r="B8" s="148">
        <f>IF('KG1-1'!$B12="","",'KG1-1'!$B12)</f>
        <v/>
      </c>
      <c r="C8" s="146">
        <f>IF('KG1-1'!$C12="","",'KG1-1'!$C12)</f>
        <v/>
      </c>
      <c r="D8" s="148">
        <f>IF(B8="","",'KG1-1'!$B$2)</f>
        <v/>
      </c>
      <c r="E8" s="148">
        <f>IF(B8="","",MID(D8,FIND("-",D8&amp;"-")+1,10))</f>
        <v/>
      </c>
      <c r="F8" s="148">
        <f>IF(B8="","","نشط")</f>
        <v/>
      </c>
      <c r="G8" s="157">
        <f>IF(B8="","","")</f>
        <v/>
      </c>
      <c r="H8" s="146">
        <f>IF('KG1-1'!$K12="","",'KG1-1'!$K12)</f>
        <v/>
      </c>
      <c r="I8" s="148">
        <f>IF('KG1-1'!$J12="","",'KG1-1'!$J12)</f>
        <v/>
      </c>
      <c r="J8" s="148">
        <f>IF('KG1-1'!$M12="","",'KG1-1'!$M12)</f>
        <v/>
      </c>
      <c r="K8" s="148">
        <f>IF('KG1-1'!$N12="","",'KG1-1'!$N12)</f>
        <v/>
      </c>
      <c r="L8" s="148">
        <f>IF('KG1-1'!$D12="","",'KG1-1'!$D12)</f>
        <v/>
      </c>
      <c r="M8" s="148">
        <f>IF('KG1-1'!$E12="","",'KG1-1'!$E12)</f>
        <v/>
      </c>
      <c r="N8" s="148">
        <f>IF('KG1-1'!$F12="","",'KG1-1'!$F12)</f>
        <v/>
      </c>
      <c r="O8" s="158">
        <f>IF('KG1-1'!$G12="","",'KG1-1'!$G12)</f>
        <v/>
      </c>
      <c r="P8" s="158">
        <f>IF('KG1-1'!$O12="","",'KG1-1'!$O12)</f>
        <v/>
      </c>
      <c r="Q8" s="148">
        <f>IF('KG1-1'!$T12="","",'KG1-1'!$T12)</f>
        <v/>
      </c>
      <c r="R8" s="146">
        <f>IF('KG1-1'!$H12="","",'KG1-1'!$H12)</f>
        <v/>
      </c>
      <c r="S8" s="157">
        <f>IF('KG1-1'!$P12="","",'KG1-1'!$P12)</f>
        <v/>
      </c>
      <c r="T8" s="157">
        <f>IF('KG1-1'!$V12="","",'KG1-1'!$V12)</f>
        <v/>
      </c>
      <c r="U8" s="157">
        <f>IF('KG1-1'!$W12="","",'KG1-1'!$W12)</f>
        <v/>
      </c>
      <c r="V8" s="157">
        <f>IF('KG1-1'!$X12="","",'KG1-1'!$X12)</f>
        <v/>
      </c>
      <c r="W8" s="157">
        <f>IF('KG1-1'!$Y12="","",'KG1-1'!$Y12)</f>
        <v/>
      </c>
      <c r="X8" s="157">
        <f>IF('KG1-1'!$R12="","",'KG1-1'!$R12)</f>
        <v/>
      </c>
      <c r="Y8" s="148">
        <f>IF('KG1-1'!$S12="","",'KG1-1'!$S12)</f>
        <v/>
      </c>
      <c r="Z8" s="148">
        <f>IF('KG1-1'!$Q12="","",'KG1-1'!$Q12)</f>
        <v/>
      </c>
      <c r="AA8" s="148">
        <f>IF('KG1-1'!$I12="","",'KG1-1'!$I12)</f>
        <v/>
      </c>
      <c r="AB8" s="146">
        <f>IF(Q8="","",INDEX(LevelActions,MATCH(Q8,LevelValues,0)))</f>
        <v/>
      </c>
      <c r="AC8" s="148">
        <f>IF(J8="","",IF(J8=0,"—",IF(AND(L8=0,M8=0),Cat_L1,IF(O8&gt;=Cat_95,Cat_L2,IF(O8&gt;=Cat_90,Cat_L3,Cat_L4)))))</f>
        <v/>
      </c>
      <c r="AD8" s="146">
        <f>IF('KG1-1'!$L12="","",'KG1-1'!$L12)</f>
        <v/>
      </c>
      <c r="AE8" s="148">
        <f>IF(B8="","",IF(COUNTIF($B$5:$B$214,B8)&gt;1,"مكرر!",""))</f>
        <v/>
      </c>
      <c r="AF8" s="148">
        <f>IF(AND(B8&lt;&gt;"",F8="نشط",OR(Dash_Class="الكل",D8=Dash_Class)),1,0)</f>
        <v/>
      </c>
      <c r="AG8" s="40">
        <f>IF(OR(AF8=0,Dash_DayIdx=0),"",IF(INDEX('KG1-1'!$AD$7:$IM$7,Dash_DayIdx)&lt;&gt;"✓","",IF(INDEX('KG1-1'!$AD12:$IM12,Dash_DayIdx)="","P",IFERROR(INDEX(StatusCodes,MATCH(INDEX('KG1-1'!$AD12:$IM12,Dash_DayIdx),StatusLabels,0)),""))))</f>
        <v/>
      </c>
      <c r="AH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IF(LateAsPresent="نعم",COUNTIFS('KG1-1'!$AD12:$IM12,"متأخر",'KG1-1'!$AD$7:$IM$7,"✓",'KG1-1'!$AD$6:$IM$6,1,'KG1-1'!$AD$5:$IM$5,"&gt;="&amp;MAX('KG1-1'!$U12,Dash_PStart),'KG1-1'!$AD$5:$IM$5,"&lt;="&amp;Dash_PEnd),0))</f>
        <v/>
      </c>
      <c r="AI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COUNTIFS('KG1-1'!$AD12:$IM12,"غياب بدون عذر",'KG1-1'!$AD$7:$IM$7,"✓",'KG1-1'!$AD$6:$IM$6,1,'KG1-1'!$AD$5:$IM$5,"&gt;="&amp;MAX('KG1-1'!$U12,Dash_PStart),'KG1-1'!$AD$5:$IM$5,"&lt;="&amp;Dash_PEnd)+COUNTIFS('KG1-1'!$AD12:$IM12,"غياب بعذر",'KG1-1'!$AD$7:$IM$7,"✓",'KG1-1'!$AD$6:$IM$6,1,'KG1-1'!$AD$5:$IM$5,"&gt;="&amp;MAX('KG1-1'!$U12,Dash_PStart),'KG1-1'!$AD$5:$IM$5,"&lt;="&amp;Dash_PEnd)+COUNTIFS('KG1-1'!$AD12:$IM12,"متأخر",'KG1-1'!$AD$7:$IM$7,"✓",'KG1-1'!$AD$6:$IM$6,1,'KG1-1'!$AD$5:$IM$5,"&gt;="&amp;MAX('KG1-1'!$U12,Dash_PStart),'KG1-1'!$AD$5:$IM$5,"&lt;="&amp;Dash_PEnd))</f>
        <v/>
      </c>
      <c r="AJ8" s="40">
        <f>IF(AF8=0,0,IF(W8=Dash_Date,Thr_Critical,IF(V8=Dash_Date,Thr_High,IF(U8=Dash_Date,Thr_Repeated,IF(T8=Dash_Date,Thr_FollowUp,0)))))</f>
        <v/>
      </c>
      <c r="AK8" s="40">
        <f>IF(AJ8&gt;0,COUNTIF($AJ$5:AJ8,"&gt;0"),"")</f>
        <v/>
      </c>
      <c r="AL8" s="40">
        <f>IF(AND(B8&lt;&gt;"",F8="نشط",Q8&lt;&gt;"",Q8&gt;0),L8*1000+(999-ROW()),"")</f>
        <v/>
      </c>
      <c r="AM8" s="40">
        <f>IF(AND(AF8=1,J8&lt;&gt;"",J8&gt;0),ROUND(O8*10000,0)*1000000+K8*1000+(999-ROW()),"")</f>
        <v/>
      </c>
      <c r="AN8" s="40">
        <f>IF(AND(AF8=1,J8&lt;&gt;"",J8&gt;0),(L8+M8)*10000000+ROUND((1-O8)*10000,0)*1000+(999-ROW()),"")</f>
        <v/>
      </c>
      <c r="AO8" s="40">
        <f>IF(AND(AF8=1,Q8&lt;&gt;"",Q8&gt;=Thr_Critical),L8*1000+(999-ROW()),"")</f>
        <v/>
      </c>
      <c r="AP8" s="40">
        <f>IF(AND(B8&lt;&gt;"",F8="نشط",OR(Rpt_Class="الكل",D8=Rpt_Class)),1,0)</f>
        <v/>
      </c>
      <c r="AQ8" s="40">
        <f>IF(AND(AP8=1,Q8&lt;&gt;"",Q8&gt;0),L8*1000+(999-ROW()),"")</f>
        <v/>
      </c>
      <c r="AR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IF(LateAsPresent="نعم",COUNTIFS('KG1-1'!$AD12:$IM12,"متأخر",'KG1-1'!$AD$7:$IM$7,"✓",'KG1-1'!$AD$6:$IM$6,1,'KG1-1'!$AD$5:$IM$5,"&gt;="&amp;MAX('KG1-1'!$U12,Rpt_PStart),'KG1-1'!$AD$5:$IM$5,"&lt;="&amp;Rpt_PEnd),0))</f>
        <v/>
      </c>
      <c r="AS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COUNTIFS('KG1-1'!$AD12:$IM12,"غياب بدون عذر",'KG1-1'!$AD$7:$IM$7,"✓",'KG1-1'!$AD$6:$IM$6,1,'KG1-1'!$AD$5:$IM$5,"&gt;="&amp;MAX('KG1-1'!$U12,Rpt_PStart),'KG1-1'!$AD$5:$IM$5,"&lt;="&amp;Rpt_PEnd)+COUNTIFS('KG1-1'!$AD12:$IM12,"غياب بعذر",'KG1-1'!$AD$7:$IM$7,"✓",'KG1-1'!$AD$6:$IM$6,1,'KG1-1'!$AD$5:$IM$5,"&gt;="&amp;MAX('KG1-1'!$U12,Rpt_PStart),'KG1-1'!$AD$5:$IM$5,"&lt;="&amp;Rpt_PEnd)+COUNTIFS('KG1-1'!$AD12:$IM12,"متأخر",'KG1-1'!$AD$7:$IM$7,"✓",'KG1-1'!$AD$6:$IM$6,1,'KG1-1'!$AD$5:$IM$5,"&gt;="&amp;MAX('KG1-1'!$U12,Rpt_PStart),'KG1-1'!$AD$5:$IM$5,"&lt;="&amp;Rpt_PEnd))</f>
        <v/>
      </c>
      <c r="AT8" s="40">
        <f>IF(AP8=0,"",COUNTIFS('KG1-1'!$AD12:$IM12,"غياب بدون عذر",'KG1-1'!$AD$7:$IM$7,"✓",'KG1-1'!$AD$6:$IM$6,1,'KG1-1'!$AD$5:$IM$5,"&gt;="&amp;MAX('KG1-1'!$U12,Rpt_PStart),'KG1-1'!$AD$5:$IM$5,"&lt;="&amp;Rpt_PEnd)+COUNTIFS('KG1-1'!$AD12:$IM12,"غياب بعذر",'KG1-1'!$AD$7:$IM$7,"✓",'KG1-1'!$AD$6:$IM$6,1,'KG1-1'!$AD$5:$IM$5,"&gt;="&amp;MAX('KG1-1'!$U12,Rpt_PStart),'KG1-1'!$AD$5:$IM$5,"&lt;="&amp;Rpt_PEnd))</f>
        <v/>
      </c>
      <c r="AU8" s="40" t="n">
        <v>1</v>
      </c>
      <c r="AV8" s="40" t="n">
        <v>4</v>
      </c>
      <c r="AW8" s="40">
        <f>IF(OR(AP8=0,Rpt_DayIdx=0),"",IF(INDEX('KG1-1'!$AD$7:$IM$7,Rpt_DayIdx)&lt;&gt;"✓","",IF(INDEX('KG1-1'!$AD12:$IM12,Rpt_DayIdx)="","P",IFERROR(INDEX(StatusCodes,MATCH(INDEX('KG1-1'!$AD12:$IM12,Rpt_DayIdx),StatusLabels,0)),""))))</f>
        <v/>
      </c>
      <c r="AX8" s="40">
        <f>IF(AND(AP8=1,OR(AW8="A",AW8="E")),COUNTIFS($AP$5:AP8,1,$AW$5:AW8,"A")+COUNTIFS($AP$5:AP8,1,$AW$5:AW8,"E"),"")</f>
        <v/>
      </c>
    </row>
    <row r="9">
      <c r="A9" s="148">
        <f>IF(B9="","",ROW()-4)</f>
        <v/>
      </c>
      <c r="B9" s="148">
        <f>IF('KG1-1'!$B13="","",'KG1-1'!$B13)</f>
        <v/>
      </c>
      <c r="C9" s="146">
        <f>IF('KG1-1'!$C13="","",'KG1-1'!$C13)</f>
        <v/>
      </c>
      <c r="D9" s="148">
        <f>IF(B9="","",'KG1-1'!$B$2)</f>
        <v/>
      </c>
      <c r="E9" s="148">
        <f>IF(B9="","",MID(D9,FIND("-",D9&amp;"-")+1,10))</f>
        <v/>
      </c>
      <c r="F9" s="148">
        <f>IF(B9="","","نشط")</f>
        <v/>
      </c>
      <c r="G9" s="157">
        <f>IF(B9="","","")</f>
        <v/>
      </c>
      <c r="H9" s="146">
        <f>IF('KG1-1'!$K13="","",'KG1-1'!$K13)</f>
        <v/>
      </c>
      <c r="I9" s="148">
        <f>IF('KG1-1'!$J13="","",'KG1-1'!$J13)</f>
        <v/>
      </c>
      <c r="J9" s="148">
        <f>IF('KG1-1'!$M13="","",'KG1-1'!$M13)</f>
        <v/>
      </c>
      <c r="K9" s="148">
        <f>IF('KG1-1'!$N13="","",'KG1-1'!$N13)</f>
        <v/>
      </c>
      <c r="L9" s="148">
        <f>IF('KG1-1'!$D13="","",'KG1-1'!$D13)</f>
        <v/>
      </c>
      <c r="M9" s="148">
        <f>IF('KG1-1'!$E13="","",'KG1-1'!$E13)</f>
        <v/>
      </c>
      <c r="N9" s="148">
        <f>IF('KG1-1'!$F13="","",'KG1-1'!$F13)</f>
        <v/>
      </c>
      <c r="O9" s="158">
        <f>IF('KG1-1'!$G13="","",'KG1-1'!$G13)</f>
        <v/>
      </c>
      <c r="P9" s="158">
        <f>IF('KG1-1'!$O13="","",'KG1-1'!$O13)</f>
        <v/>
      </c>
      <c r="Q9" s="148">
        <f>IF('KG1-1'!$T13="","",'KG1-1'!$T13)</f>
        <v/>
      </c>
      <c r="R9" s="146">
        <f>IF('KG1-1'!$H13="","",'KG1-1'!$H13)</f>
        <v/>
      </c>
      <c r="S9" s="157">
        <f>IF('KG1-1'!$P13="","",'KG1-1'!$P13)</f>
        <v/>
      </c>
      <c r="T9" s="157">
        <f>IF('KG1-1'!$V13="","",'KG1-1'!$V13)</f>
        <v/>
      </c>
      <c r="U9" s="157">
        <f>IF('KG1-1'!$W13="","",'KG1-1'!$W13)</f>
        <v/>
      </c>
      <c r="V9" s="157">
        <f>IF('KG1-1'!$X13="","",'KG1-1'!$X13)</f>
        <v/>
      </c>
      <c r="W9" s="157">
        <f>IF('KG1-1'!$Y13="","",'KG1-1'!$Y13)</f>
        <v/>
      </c>
      <c r="X9" s="157">
        <f>IF('KG1-1'!$R13="","",'KG1-1'!$R13)</f>
        <v/>
      </c>
      <c r="Y9" s="148">
        <f>IF('KG1-1'!$S13="","",'KG1-1'!$S13)</f>
        <v/>
      </c>
      <c r="Z9" s="148">
        <f>IF('KG1-1'!$Q13="","",'KG1-1'!$Q13)</f>
        <v/>
      </c>
      <c r="AA9" s="148">
        <f>IF('KG1-1'!$I13="","",'KG1-1'!$I13)</f>
        <v/>
      </c>
      <c r="AB9" s="146">
        <f>IF(Q9="","",INDEX(LevelActions,MATCH(Q9,LevelValues,0)))</f>
        <v/>
      </c>
      <c r="AC9" s="148">
        <f>IF(J9="","",IF(J9=0,"—",IF(AND(L9=0,M9=0),Cat_L1,IF(O9&gt;=Cat_95,Cat_L2,IF(O9&gt;=Cat_90,Cat_L3,Cat_L4)))))</f>
        <v/>
      </c>
      <c r="AD9" s="146">
        <f>IF('KG1-1'!$L13="","",'KG1-1'!$L13)</f>
        <v/>
      </c>
      <c r="AE9" s="148">
        <f>IF(B9="","",IF(COUNTIF($B$5:$B$214,B9)&gt;1,"مكرر!",""))</f>
        <v/>
      </c>
      <c r="AF9" s="148">
        <f>IF(AND(B9&lt;&gt;"",F9="نشط",OR(Dash_Class="الكل",D9=Dash_Class)),1,0)</f>
        <v/>
      </c>
      <c r="AG9" s="40">
        <f>IF(OR(AF9=0,Dash_DayIdx=0),"",IF(INDEX('KG1-1'!$AD$7:$IM$7,Dash_DayIdx)&lt;&gt;"✓","",IF(INDEX('KG1-1'!$AD13:$IM13,Dash_DayIdx)="","P",IFERROR(INDEX(StatusCodes,MATCH(INDEX('KG1-1'!$AD13:$IM13,Dash_DayIdx),StatusLabels,0)),""))))</f>
        <v/>
      </c>
      <c r="AH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IF(LateAsPresent="نعم",COUNTIFS('KG1-1'!$AD13:$IM13,"متأخر",'KG1-1'!$AD$7:$IM$7,"✓",'KG1-1'!$AD$6:$IM$6,1,'KG1-1'!$AD$5:$IM$5,"&gt;="&amp;MAX('KG1-1'!$U13,Dash_PStart),'KG1-1'!$AD$5:$IM$5,"&lt;="&amp;Dash_PEnd),0))</f>
        <v/>
      </c>
      <c r="AI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COUNTIFS('KG1-1'!$AD13:$IM13,"غياب بدون عذر",'KG1-1'!$AD$7:$IM$7,"✓",'KG1-1'!$AD$6:$IM$6,1,'KG1-1'!$AD$5:$IM$5,"&gt;="&amp;MAX('KG1-1'!$U13,Dash_PStart),'KG1-1'!$AD$5:$IM$5,"&lt;="&amp;Dash_PEnd)+COUNTIFS('KG1-1'!$AD13:$IM13,"غياب بعذر",'KG1-1'!$AD$7:$IM$7,"✓",'KG1-1'!$AD$6:$IM$6,1,'KG1-1'!$AD$5:$IM$5,"&gt;="&amp;MAX('KG1-1'!$U13,Dash_PStart),'KG1-1'!$AD$5:$IM$5,"&lt;="&amp;Dash_PEnd)+COUNTIFS('KG1-1'!$AD13:$IM13,"متأخر",'KG1-1'!$AD$7:$IM$7,"✓",'KG1-1'!$AD$6:$IM$6,1,'KG1-1'!$AD$5:$IM$5,"&gt;="&amp;MAX('KG1-1'!$U13,Dash_PStart),'KG1-1'!$AD$5:$IM$5,"&lt;="&amp;Dash_PEnd))</f>
        <v/>
      </c>
      <c r="AJ9" s="40">
        <f>IF(AF9=0,0,IF(W9=Dash_Date,Thr_Critical,IF(V9=Dash_Date,Thr_High,IF(U9=Dash_Date,Thr_Repeated,IF(T9=Dash_Date,Thr_FollowUp,0)))))</f>
        <v/>
      </c>
      <c r="AK9" s="40">
        <f>IF(AJ9&gt;0,COUNTIF($AJ$5:AJ9,"&gt;0"),"")</f>
        <v/>
      </c>
      <c r="AL9" s="40">
        <f>IF(AND(B9&lt;&gt;"",F9="نشط",Q9&lt;&gt;"",Q9&gt;0),L9*1000+(999-ROW()),"")</f>
        <v/>
      </c>
      <c r="AM9" s="40">
        <f>IF(AND(AF9=1,J9&lt;&gt;"",J9&gt;0),ROUND(O9*10000,0)*1000000+K9*1000+(999-ROW()),"")</f>
        <v/>
      </c>
      <c r="AN9" s="40">
        <f>IF(AND(AF9=1,J9&lt;&gt;"",J9&gt;0),(L9+M9)*10000000+ROUND((1-O9)*10000,0)*1000+(999-ROW()),"")</f>
        <v/>
      </c>
      <c r="AO9" s="40">
        <f>IF(AND(AF9=1,Q9&lt;&gt;"",Q9&gt;=Thr_Critical),L9*1000+(999-ROW()),"")</f>
        <v/>
      </c>
      <c r="AP9" s="40">
        <f>IF(AND(B9&lt;&gt;"",F9="نشط",OR(Rpt_Class="الكل",D9=Rpt_Class)),1,0)</f>
        <v/>
      </c>
      <c r="AQ9" s="40">
        <f>IF(AND(AP9=1,Q9&lt;&gt;"",Q9&gt;0),L9*1000+(999-ROW()),"")</f>
        <v/>
      </c>
      <c r="AR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IF(LateAsPresent="نعم",COUNTIFS('KG1-1'!$AD13:$IM13,"متأخر",'KG1-1'!$AD$7:$IM$7,"✓",'KG1-1'!$AD$6:$IM$6,1,'KG1-1'!$AD$5:$IM$5,"&gt;="&amp;MAX('KG1-1'!$U13,Rpt_PStart),'KG1-1'!$AD$5:$IM$5,"&lt;="&amp;Rpt_PEnd),0))</f>
        <v/>
      </c>
      <c r="AS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COUNTIFS('KG1-1'!$AD13:$IM13,"غياب بدون عذر",'KG1-1'!$AD$7:$IM$7,"✓",'KG1-1'!$AD$6:$IM$6,1,'KG1-1'!$AD$5:$IM$5,"&gt;="&amp;MAX('KG1-1'!$U13,Rpt_PStart),'KG1-1'!$AD$5:$IM$5,"&lt;="&amp;Rpt_PEnd)+COUNTIFS('KG1-1'!$AD13:$IM13,"غياب بعذر",'KG1-1'!$AD$7:$IM$7,"✓",'KG1-1'!$AD$6:$IM$6,1,'KG1-1'!$AD$5:$IM$5,"&gt;="&amp;MAX('KG1-1'!$U13,Rpt_PStart),'KG1-1'!$AD$5:$IM$5,"&lt;="&amp;Rpt_PEnd)+COUNTIFS('KG1-1'!$AD13:$IM13,"متأخر",'KG1-1'!$AD$7:$IM$7,"✓",'KG1-1'!$AD$6:$IM$6,1,'KG1-1'!$AD$5:$IM$5,"&gt;="&amp;MAX('KG1-1'!$U13,Rpt_PStart),'KG1-1'!$AD$5:$IM$5,"&lt;="&amp;Rpt_PEnd))</f>
        <v/>
      </c>
      <c r="AT9" s="40">
        <f>IF(AP9=0,"",COUNTIFS('KG1-1'!$AD13:$IM13,"غياب بدون عذر",'KG1-1'!$AD$7:$IM$7,"✓",'KG1-1'!$AD$6:$IM$6,1,'KG1-1'!$AD$5:$IM$5,"&gt;="&amp;MAX('KG1-1'!$U13,Rpt_PStart),'KG1-1'!$AD$5:$IM$5,"&lt;="&amp;Rpt_PEnd)+COUNTIFS('KG1-1'!$AD13:$IM13,"غياب بعذر",'KG1-1'!$AD$7:$IM$7,"✓",'KG1-1'!$AD$6:$IM$6,1,'KG1-1'!$AD$5:$IM$5,"&gt;="&amp;MAX('KG1-1'!$U13,Rpt_PStart),'KG1-1'!$AD$5:$IM$5,"&lt;="&amp;Rpt_PEnd))</f>
        <v/>
      </c>
      <c r="AU9" s="40" t="n">
        <v>1</v>
      </c>
      <c r="AV9" s="40" t="n">
        <v>5</v>
      </c>
      <c r="AW9" s="40">
        <f>IF(OR(AP9=0,Rpt_DayIdx=0),"",IF(INDEX('KG1-1'!$AD$7:$IM$7,Rpt_DayIdx)&lt;&gt;"✓","",IF(INDEX('KG1-1'!$AD13:$IM13,Rpt_DayIdx)="","P",IFERROR(INDEX(StatusCodes,MATCH(INDEX('KG1-1'!$AD13:$IM13,Rpt_DayIdx),StatusLabels,0)),""))))</f>
        <v/>
      </c>
      <c r="AX9" s="40">
        <f>IF(AND(AP9=1,OR(AW9="A",AW9="E")),COUNTIFS($AP$5:AP9,1,$AW$5:AW9,"A")+COUNTIFS($AP$5:AP9,1,$AW$5:AW9,"E"),"")</f>
        <v/>
      </c>
    </row>
    <row r="10">
      <c r="A10" s="148">
        <f>IF(B10="","",ROW()-4)</f>
        <v/>
      </c>
      <c r="B10" s="148">
        <f>IF('KG1-1'!$B14="","",'KG1-1'!$B14)</f>
        <v/>
      </c>
      <c r="C10" s="146">
        <f>IF('KG1-1'!$C14="","",'KG1-1'!$C14)</f>
        <v/>
      </c>
      <c r="D10" s="148">
        <f>IF(B10="","",'KG1-1'!$B$2)</f>
        <v/>
      </c>
      <c r="E10" s="148">
        <f>IF(B10="","",MID(D10,FIND("-",D10&amp;"-")+1,10))</f>
        <v/>
      </c>
      <c r="F10" s="148">
        <f>IF(B10="","","نشط")</f>
        <v/>
      </c>
      <c r="G10" s="157">
        <f>IF(B10="","","")</f>
        <v/>
      </c>
      <c r="H10" s="146">
        <f>IF('KG1-1'!$K14="","",'KG1-1'!$K14)</f>
        <v/>
      </c>
      <c r="I10" s="148">
        <f>IF('KG1-1'!$J14="","",'KG1-1'!$J14)</f>
        <v/>
      </c>
      <c r="J10" s="148">
        <f>IF('KG1-1'!$M14="","",'KG1-1'!$M14)</f>
        <v/>
      </c>
      <c r="K10" s="148">
        <f>IF('KG1-1'!$N14="","",'KG1-1'!$N14)</f>
        <v/>
      </c>
      <c r="L10" s="148">
        <f>IF('KG1-1'!$D14="","",'KG1-1'!$D14)</f>
        <v/>
      </c>
      <c r="M10" s="148">
        <f>IF('KG1-1'!$E14="","",'KG1-1'!$E14)</f>
        <v/>
      </c>
      <c r="N10" s="148">
        <f>IF('KG1-1'!$F14="","",'KG1-1'!$F14)</f>
        <v/>
      </c>
      <c r="O10" s="158">
        <f>IF('KG1-1'!$G14="","",'KG1-1'!$G14)</f>
        <v/>
      </c>
      <c r="P10" s="158">
        <f>IF('KG1-1'!$O14="","",'KG1-1'!$O14)</f>
        <v/>
      </c>
      <c r="Q10" s="148">
        <f>IF('KG1-1'!$T14="","",'KG1-1'!$T14)</f>
        <v/>
      </c>
      <c r="R10" s="146">
        <f>IF('KG1-1'!$H14="","",'KG1-1'!$H14)</f>
        <v/>
      </c>
      <c r="S10" s="157">
        <f>IF('KG1-1'!$P14="","",'KG1-1'!$P14)</f>
        <v/>
      </c>
      <c r="T10" s="157">
        <f>IF('KG1-1'!$V14="","",'KG1-1'!$V14)</f>
        <v/>
      </c>
      <c r="U10" s="157">
        <f>IF('KG1-1'!$W14="","",'KG1-1'!$W14)</f>
        <v/>
      </c>
      <c r="V10" s="157">
        <f>IF('KG1-1'!$X14="","",'KG1-1'!$X14)</f>
        <v/>
      </c>
      <c r="W10" s="157">
        <f>IF('KG1-1'!$Y14="","",'KG1-1'!$Y14)</f>
        <v/>
      </c>
      <c r="X10" s="157">
        <f>IF('KG1-1'!$R14="","",'KG1-1'!$R14)</f>
        <v/>
      </c>
      <c r="Y10" s="148">
        <f>IF('KG1-1'!$S14="","",'KG1-1'!$S14)</f>
        <v/>
      </c>
      <c r="Z10" s="148">
        <f>IF('KG1-1'!$Q14="","",'KG1-1'!$Q14)</f>
        <v/>
      </c>
      <c r="AA10" s="148">
        <f>IF('KG1-1'!$I14="","",'KG1-1'!$I14)</f>
        <v/>
      </c>
      <c r="AB10" s="146">
        <f>IF(Q10="","",INDEX(LevelActions,MATCH(Q10,LevelValues,0)))</f>
        <v/>
      </c>
      <c r="AC10" s="148">
        <f>IF(J10="","",IF(J10=0,"—",IF(AND(L10=0,M10=0),Cat_L1,IF(O10&gt;=Cat_95,Cat_L2,IF(O10&gt;=Cat_90,Cat_L3,Cat_L4)))))</f>
        <v/>
      </c>
      <c r="AD10" s="146">
        <f>IF('KG1-1'!$L14="","",'KG1-1'!$L14)</f>
        <v/>
      </c>
      <c r="AE10" s="148">
        <f>IF(B10="","",IF(COUNTIF($B$5:$B$214,B10)&gt;1,"مكرر!",""))</f>
        <v/>
      </c>
      <c r="AF10" s="148">
        <f>IF(AND(B10&lt;&gt;"",F10="نشط",OR(Dash_Class="الكل",D10=Dash_Class)),1,0)</f>
        <v/>
      </c>
      <c r="AG10" s="40">
        <f>IF(OR(AF10=0,Dash_DayIdx=0),"",IF(INDEX('KG1-1'!$AD$7:$IM$7,Dash_DayIdx)&lt;&gt;"✓","",IF(INDEX('KG1-1'!$AD14:$IM14,Dash_DayIdx)="","P",IFERROR(INDEX(StatusCodes,MATCH(INDEX('KG1-1'!$AD14:$IM14,Dash_DayIdx),StatusLabels,0)),""))))</f>
        <v/>
      </c>
      <c r="AH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IF(LateAsPresent="نعم",COUNTIFS('KG1-1'!$AD14:$IM14,"متأخر",'KG1-1'!$AD$7:$IM$7,"✓",'KG1-1'!$AD$6:$IM$6,1,'KG1-1'!$AD$5:$IM$5,"&gt;="&amp;MAX('KG1-1'!$U14,Dash_PStart),'KG1-1'!$AD$5:$IM$5,"&lt;="&amp;Dash_PEnd),0))</f>
        <v/>
      </c>
      <c r="AI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COUNTIFS('KG1-1'!$AD14:$IM14,"غياب بدون عذر",'KG1-1'!$AD$7:$IM$7,"✓",'KG1-1'!$AD$6:$IM$6,1,'KG1-1'!$AD$5:$IM$5,"&gt;="&amp;MAX('KG1-1'!$U14,Dash_PStart),'KG1-1'!$AD$5:$IM$5,"&lt;="&amp;Dash_PEnd)+COUNTIFS('KG1-1'!$AD14:$IM14,"غياب بعذر",'KG1-1'!$AD$7:$IM$7,"✓",'KG1-1'!$AD$6:$IM$6,1,'KG1-1'!$AD$5:$IM$5,"&gt;="&amp;MAX('KG1-1'!$U14,Dash_PStart),'KG1-1'!$AD$5:$IM$5,"&lt;="&amp;Dash_PEnd)+COUNTIFS('KG1-1'!$AD14:$IM14,"متأخر",'KG1-1'!$AD$7:$IM$7,"✓",'KG1-1'!$AD$6:$IM$6,1,'KG1-1'!$AD$5:$IM$5,"&gt;="&amp;MAX('KG1-1'!$U14,Dash_PStart),'KG1-1'!$AD$5:$IM$5,"&lt;="&amp;Dash_PEnd))</f>
        <v/>
      </c>
      <c r="AJ10" s="40">
        <f>IF(AF10=0,0,IF(W10=Dash_Date,Thr_Critical,IF(V10=Dash_Date,Thr_High,IF(U10=Dash_Date,Thr_Repeated,IF(T10=Dash_Date,Thr_FollowUp,0)))))</f>
        <v/>
      </c>
      <c r="AK10" s="40">
        <f>IF(AJ10&gt;0,COUNTIF($AJ$5:AJ10,"&gt;0"),"")</f>
        <v/>
      </c>
      <c r="AL10" s="40">
        <f>IF(AND(B10&lt;&gt;"",F10="نشط",Q10&lt;&gt;"",Q10&gt;0),L10*1000+(999-ROW()),"")</f>
        <v/>
      </c>
      <c r="AM10" s="40">
        <f>IF(AND(AF10=1,J10&lt;&gt;"",J10&gt;0),ROUND(O10*10000,0)*1000000+K10*1000+(999-ROW()),"")</f>
        <v/>
      </c>
      <c r="AN10" s="40">
        <f>IF(AND(AF10=1,J10&lt;&gt;"",J10&gt;0),(L10+M10)*10000000+ROUND((1-O10)*10000,0)*1000+(999-ROW()),"")</f>
        <v/>
      </c>
      <c r="AO10" s="40">
        <f>IF(AND(AF10=1,Q10&lt;&gt;"",Q10&gt;=Thr_Critical),L10*1000+(999-ROW()),"")</f>
        <v/>
      </c>
      <c r="AP10" s="40">
        <f>IF(AND(B10&lt;&gt;"",F10="نشط",OR(Rpt_Class="الكل",D10=Rpt_Class)),1,0)</f>
        <v/>
      </c>
      <c r="AQ10" s="40">
        <f>IF(AND(AP10=1,Q10&lt;&gt;"",Q10&gt;0),L10*1000+(999-ROW()),"")</f>
        <v/>
      </c>
      <c r="AR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IF(LateAsPresent="نعم",COUNTIFS('KG1-1'!$AD14:$IM14,"متأخر",'KG1-1'!$AD$7:$IM$7,"✓",'KG1-1'!$AD$6:$IM$6,1,'KG1-1'!$AD$5:$IM$5,"&gt;="&amp;MAX('KG1-1'!$U14,Rpt_PStart),'KG1-1'!$AD$5:$IM$5,"&lt;="&amp;Rpt_PEnd),0))</f>
        <v/>
      </c>
      <c r="AS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COUNTIFS('KG1-1'!$AD14:$IM14,"غياب بدون عذر",'KG1-1'!$AD$7:$IM$7,"✓",'KG1-1'!$AD$6:$IM$6,1,'KG1-1'!$AD$5:$IM$5,"&gt;="&amp;MAX('KG1-1'!$U14,Rpt_PStart),'KG1-1'!$AD$5:$IM$5,"&lt;="&amp;Rpt_PEnd)+COUNTIFS('KG1-1'!$AD14:$IM14,"غياب بعذر",'KG1-1'!$AD$7:$IM$7,"✓",'KG1-1'!$AD$6:$IM$6,1,'KG1-1'!$AD$5:$IM$5,"&gt;="&amp;MAX('KG1-1'!$U14,Rpt_PStart),'KG1-1'!$AD$5:$IM$5,"&lt;="&amp;Rpt_PEnd)+COUNTIFS('KG1-1'!$AD14:$IM14,"متأخر",'KG1-1'!$AD$7:$IM$7,"✓",'KG1-1'!$AD$6:$IM$6,1,'KG1-1'!$AD$5:$IM$5,"&gt;="&amp;MAX('KG1-1'!$U14,Rpt_PStart),'KG1-1'!$AD$5:$IM$5,"&lt;="&amp;Rpt_PEnd))</f>
        <v/>
      </c>
      <c r="AT10" s="40">
        <f>IF(AP10=0,"",COUNTIFS('KG1-1'!$AD14:$IM14,"غياب بدون عذر",'KG1-1'!$AD$7:$IM$7,"✓",'KG1-1'!$AD$6:$IM$6,1,'KG1-1'!$AD$5:$IM$5,"&gt;="&amp;MAX('KG1-1'!$U14,Rpt_PStart),'KG1-1'!$AD$5:$IM$5,"&lt;="&amp;Rpt_PEnd)+COUNTIFS('KG1-1'!$AD14:$IM14,"غياب بعذر",'KG1-1'!$AD$7:$IM$7,"✓",'KG1-1'!$AD$6:$IM$6,1,'KG1-1'!$AD$5:$IM$5,"&gt;="&amp;MAX('KG1-1'!$U14,Rpt_PStart),'KG1-1'!$AD$5:$IM$5,"&lt;="&amp;Rpt_PEnd))</f>
        <v/>
      </c>
      <c r="AU10" s="40" t="n">
        <v>1</v>
      </c>
      <c r="AV10" s="40" t="n">
        <v>6</v>
      </c>
      <c r="AW10" s="40">
        <f>IF(OR(AP10=0,Rpt_DayIdx=0),"",IF(INDEX('KG1-1'!$AD$7:$IM$7,Rpt_DayIdx)&lt;&gt;"✓","",IF(INDEX('KG1-1'!$AD14:$IM14,Rpt_DayIdx)="","P",IFERROR(INDEX(StatusCodes,MATCH(INDEX('KG1-1'!$AD14:$IM14,Rpt_DayIdx),StatusLabels,0)),""))))</f>
        <v/>
      </c>
      <c r="AX10" s="40">
        <f>IF(AND(AP10=1,OR(AW10="A",AW10="E")),COUNTIFS($AP$5:AP10,1,$AW$5:AW10,"A")+COUNTIFS($AP$5:AP10,1,$AW$5:AW10,"E"),"")</f>
        <v/>
      </c>
    </row>
    <row r="11">
      <c r="A11" s="148">
        <f>IF(B11="","",ROW()-4)</f>
        <v/>
      </c>
      <c r="B11" s="148">
        <f>IF('KG1-1'!$B15="","",'KG1-1'!$B15)</f>
        <v/>
      </c>
      <c r="C11" s="146">
        <f>IF('KG1-1'!$C15="","",'KG1-1'!$C15)</f>
        <v/>
      </c>
      <c r="D11" s="148">
        <f>IF(B11="","",'KG1-1'!$B$2)</f>
        <v/>
      </c>
      <c r="E11" s="148">
        <f>IF(B11="","",MID(D11,FIND("-",D11&amp;"-")+1,10))</f>
        <v/>
      </c>
      <c r="F11" s="148">
        <f>IF(B11="","","نشط")</f>
        <v/>
      </c>
      <c r="G11" s="157">
        <f>IF(B11="","","")</f>
        <v/>
      </c>
      <c r="H11" s="146">
        <f>IF('KG1-1'!$K15="","",'KG1-1'!$K15)</f>
        <v/>
      </c>
      <c r="I11" s="148">
        <f>IF('KG1-1'!$J15="","",'KG1-1'!$J15)</f>
        <v/>
      </c>
      <c r="J11" s="148">
        <f>IF('KG1-1'!$M15="","",'KG1-1'!$M15)</f>
        <v/>
      </c>
      <c r="K11" s="148">
        <f>IF('KG1-1'!$N15="","",'KG1-1'!$N15)</f>
        <v/>
      </c>
      <c r="L11" s="148">
        <f>IF('KG1-1'!$D15="","",'KG1-1'!$D15)</f>
        <v/>
      </c>
      <c r="M11" s="148">
        <f>IF('KG1-1'!$E15="","",'KG1-1'!$E15)</f>
        <v/>
      </c>
      <c r="N11" s="148">
        <f>IF('KG1-1'!$F15="","",'KG1-1'!$F15)</f>
        <v/>
      </c>
      <c r="O11" s="158">
        <f>IF('KG1-1'!$G15="","",'KG1-1'!$G15)</f>
        <v/>
      </c>
      <c r="P11" s="158">
        <f>IF('KG1-1'!$O15="","",'KG1-1'!$O15)</f>
        <v/>
      </c>
      <c r="Q11" s="148">
        <f>IF('KG1-1'!$T15="","",'KG1-1'!$T15)</f>
        <v/>
      </c>
      <c r="R11" s="146">
        <f>IF('KG1-1'!$H15="","",'KG1-1'!$H15)</f>
        <v/>
      </c>
      <c r="S11" s="157">
        <f>IF('KG1-1'!$P15="","",'KG1-1'!$P15)</f>
        <v/>
      </c>
      <c r="T11" s="157">
        <f>IF('KG1-1'!$V15="","",'KG1-1'!$V15)</f>
        <v/>
      </c>
      <c r="U11" s="157">
        <f>IF('KG1-1'!$W15="","",'KG1-1'!$W15)</f>
        <v/>
      </c>
      <c r="V11" s="157">
        <f>IF('KG1-1'!$X15="","",'KG1-1'!$X15)</f>
        <v/>
      </c>
      <c r="W11" s="157">
        <f>IF('KG1-1'!$Y15="","",'KG1-1'!$Y15)</f>
        <v/>
      </c>
      <c r="X11" s="157">
        <f>IF('KG1-1'!$R15="","",'KG1-1'!$R15)</f>
        <v/>
      </c>
      <c r="Y11" s="148">
        <f>IF('KG1-1'!$S15="","",'KG1-1'!$S15)</f>
        <v/>
      </c>
      <c r="Z11" s="148">
        <f>IF('KG1-1'!$Q15="","",'KG1-1'!$Q15)</f>
        <v/>
      </c>
      <c r="AA11" s="148">
        <f>IF('KG1-1'!$I15="","",'KG1-1'!$I15)</f>
        <v/>
      </c>
      <c r="AB11" s="146">
        <f>IF(Q11="","",INDEX(LevelActions,MATCH(Q11,LevelValues,0)))</f>
        <v/>
      </c>
      <c r="AC11" s="148">
        <f>IF(J11="","",IF(J11=0,"—",IF(AND(L11=0,M11=0),Cat_L1,IF(O11&gt;=Cat_95,Cat_L2,IF(O11&gt;=Cat_90,Cat_L3,Cat_L4)))))</f>
        <v/>
      </c>
      <c r="AD11" s="146">
        <f>IF('KG1-1'!$L15="","",'KG1-1'!$L15)</f>
        <v/>
      </c>
      <c r="AE11" s="148">
        <f>IF(B11="","",IF(COUNTIF($B$5:$B$214,B11)&gt;1,"مكرر!",""))</f>
        <v/>
      </c>
      <c r="AF11" s="148">
        <f>IF(AND(B11&lt;&gt;"",F11="نشط",OR(Dash_Class="الكل",D11=Dash_Class)),1,0)</f>
        <v/>
      </c>
      <c r="AG11" s="40">
        <f>IF(OR(AF11=0,Dash_DayIdx=0),"",IF(INDEX('KG1-1'!$AD$7:$IM$7,Dash_DayIdx)&lt;&gt;"✓","",IF(INDEX('KG1-1'!$AD15:$IM15,Dash_DayIdx)="","P",IFERROR(INDEX(StatusCodes,MATCH(INDEX('KG1-1'!$AD15:$IM15,Dash_DayIdx),StatusLabels,0)),""))))</f>
        <v/>
      </c>
      <c r="AH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IF(LateAsPresent="نعم",COUNTIFS('KG1-1'!$AD15:$IM15,"متأخر",'KG1-1'!$AD$7:$IM$7,"✓",'KG1-1'!$AD$6:$IM$6,1,'KG1-1'!$AD$5:$IM$5,"&gt;="&amp;MAX('KG1-1'!$U15,Dash_PStart),'KG1-1'!$AD$5:$IM$5,"&lt;="&amp;Dash_PEnd),0))</f>
        <v/>
      </c>
      <c r="AI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COUNTIFS('KG1-1'!$AD15:$IM15,"غياب بدون عذر",'KG1-1'!$AD$7:$IM$7,"✓",'KG1-1'!$AD$6:$IM$6,1,'KG1-1'!$AD$5:$IM$5,"&gt;="&amp;MAX('KG1-1'!$U15,Dash_PStart),'KG1-1'!$AD$5:$IM$5,"&lt;="&amp;Dash_PEnd)+COUNTIFS('KG1-1'!$AD15:$IM15,"غياب بعذر",'KG1-1'!$AD$7:$IM$7,"✓",'KG1-1'!$AD$6:$IM$6,1,'KG1-1'!$AD$5:$IM$5,"&gt;="&amp;MAX('KG1-1'!$U15,Dash_PStart),'KG1-1'!$AD$5:$IM$5,"&lt;="&amp;Dash_PEnd)+COUNTIFS('KG1-1'!$AD15:$IM15,"متأخر",'KG1-1'!$AD$7:$IM$7,"✓",'KG1-1'!$AD$6:$IM$6,1,'KG1-1'!$AD$5:$IM$5,"&gt;="&amp;MAX('KG1-1'!$U15,Dash_PStart),'KG1-1'!$AD$5:$IM$5,"&lt;="&amp;Dash_PEnd))</f>
        <v/>
      </c>
      <c r="AJ11" s="40">
        <f>IF(AF11=0,0,IF(W11=Dash_Date,Thr_Critical,IF(V11=Dash_Date,Thr_High,IF(U11=Dash_Date,Thr_Repeated,IF(T11=Dash_Date,Thr_FollowUp,0)))))</f>
        <v/>
      </c>
      <c r="AK11" s="40">
        <f>IF(AJ11&gt;0,COUNTIF($AJ$5:AJ11,"&gt;0"),"")</f>
        <v/>
      </c>
      <c r="AL11" s="40">
        <f>IF(AND(B11&lt;&gt;"",F11="نشط",Q11&lt;&gt;"",Q11&gt;0),L11*1000+(999-ROW()),"")</f>
        <v/>
      </c>
      <c r="AM11" s="40">
        <f>IF(AND(AF11=1,J11&lt;&gt;"",J11&gt;0),ROUND(O11*10000,0)*1000000+K11*1000+(999-ROW()),"")</f>
        <v/>
      </c>
      <c r="AN11" s="40">
        <f>IF(AND(AF11=1,J11&lt;&gt;"",J11&gt;0),(L11+M11)*10000000+ROUND((1-O11)*10000,0)*1000+(999-ROW()),"")</f>
        <v/>
      </c>
      <c r="AO11" s="40">
        <f>IF(AND(AF11=1,Q11&lt;&gt;"",Q11&gt;=Thr_Critical),L11*1000+(999-ROW()),"")</f>
        <v/>
      </c>
      <c r="AP11" s="40">
        <f>IF(AND(B11&lt;&gt;"",F11="نشط",OR(Rpt_Class="الكل",D11=Rpt_Class)),1,0)</f>
        <v/>
      </c>
      <c r="AQ11" s="40">
        <f>IF(AND(AP11=1,Q11&lt;&gt;"",Q11&gt;0),L11*1000+(999-ROW()),"")</f>
        <v/>
      </c>
      <c r="AR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IF(LateAsPresent="نعم",COUNTIFS('KG1-1'!$AD15:$IM15,"متأخر",'KG1-1'!$AD$7:$IM$7,"✓",'KG1-1'!$AD$6:$IM$6,1,'KG1-1'!$AD$5:$IM$5,"&gt;="&amp;MAX('KG1-1'!$U15,Rpt_PStart),'KG1-1'!$AD$5:$IM$5,"&lt;="&amp;Rpt_PEnd),0))</f>
        <v/>
      </c>
      <c r="AS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COUNTIFS('KG1-1'!$AD15:$IM15,"غياب بدون عذر",'KG1-1'!$AD$7:$IM$7,"✓",'KG1-1'!$AD$6:$IM$6,1,'KG1-1'!$AD$5:$IM$5,"&gt;="&amp;MAX('KG1-1'!$U15,Rpt_PStart),'KG1-1'!$AD$5:$IM$5,"&lt;="&amp;Rpt_PEnd)+COUNTIFS('KG1-1'!$AD15:$IM15,"غياب بعذر",'KG1-1'!$AD$7:$IM$7,"✓",'KG1-1'!$AD$6:$IM$6,1,'KG1-1'!$AD$5:$IM$5,"&gt;="&amp;MAX('KG1-1'!$U15,Rpt_PStart),'KG1-1'!$AD$5:$IM$5,"&lt;="&amp;Rpt_PEnd)+COUNTIFS('KG1-1'!$AD15:$IM15,"متأخر",'KG1-1'!$AD$7:$IM$7,"✓",'KG1-1'!$AD$6:$IM$6,1,'KG1-1'!$AD$5:$IM$5,"&gt;="&amp;MAX('KG1-1'!$U15,Rpt_PStart),'KG1-1'!$AD$5:$IM$5,"&lt;="&amp;Rpt_PEnd))</f>
        <v/>
      </c>
      <c r="AT11" s="40">
        <f>IF(AP11=0,"",COUNTIFS('KG1-1'!$AD15:$IM15,"غياب بدون عذر",'KG1-1'!$AD$7:$IM$7,"✓",'KG1-1'!$AD$6:$IM$6,1,'KG1-1'!$AD$5:$IM$5,"&gt;="&amp;MAX('KG1-1'!$U15,Rpt_PStart),'KG1-1'!$AD$5:$IM$5,"&lt;="&amp;Rpt_PEnd)+COUNTIFS('KG1-1'!$AD15:$IM15,"غياب بعذر",'KG1-1'!$AD$7:$IM$7,"✓",'KG1-1'!$AD$6:$IM$6,1,'KG1-1'!$AD$5:$IM$5,"&gt;="&amp;MAX('KG1-1'!$U15,Rpt_PStart),'KG1-1'!$AD$5:$IM$5,"&lt;="&amp;Rpt_PEnd))</f>
        <v/>
      </c>
      <c r="AU11" s="40" t="n">
        <v>1</v>
      </c>
      <c r="AV11" s="40" t="n">
        <v>7</v>
      </c>
      <c r="AW11" s="40">
        <f>IF(OR(AP11=0,Rpt_DayIdx=0),"",IF(INDEX('KG1-1'!$AD$7:$IM$7,Rpt_DayIdx)&lt;&gt;"✓","",IF(INDEX('KG1-1'!$AD15:$IM15,Rpt_DayIdx)="","P",IFERROR(INDEX(StatusCodes,MATCH(INDEX('KG1-1'!$AD15:$IM15,Rpt_DayIdx),StatusLabels,0)),""))))</f>
        <v/>
      </c>
      <c r="AX11" s="40">
        <f>IF(AND(AP11=1,OR(AW11="A",AW11="E")),COUNTIFS($AP$5:AP11,1,$AW$5:AW11,"A")+COUNTIFS($AP$5:AP11,1,$AW$5:AW11,"E"),"")</f>
        <v/>
      </c>
    </row>
    <row r="12">
      <c r="A12" s="148">
        <f>IF(B12="","",ROW()-4)</f>
        <v/>
      </c>
      <c r="B12" s="148">
        <f>IF('KG1-1'!$B16="","",'KG1-1'!$B16)</f>
        <v/>
      </c>
      <c r="C12" s="146">
        <f>IF('KG1-1'!$C16="","",'KG1-1'!$C16)</f>
        <v/>
      </c>
      <c r="D12" s="148">
        <f>IF(B12="","",'KG1-1'!$B$2)</f>
        <v/>
      </c>
      <c r="E12" s="148">
        <f>IF(B12="","",MID(D12,FIND("-",D12&amp;"-")+1,10))</f>
        <v/>
      </c>
      <c r="F12" s="148">
        <f>IF(B12="","","نشط")</f>
        <v/>
      </c>
      <c r="G12" s="157">
        <f>IF(B12="","","")</f>
        <v/>
      </c>
      <c r="H12" s="146">
        <f>IF('KG1-1'!$K16="","",'KG1-1'!$K16)</f>
        <v/>
      </c>
      <c r="I12" s="148">
        <f>IF('KG1-1'!$J16="","",'KG1-1'!$J16)</f>
        <v/>
      </c>
      <c r="J12" s="148">
        <f>IF('KG1-1'!$M16="","",'KG1-1'!$M16)</f>
        <v/>
      </c>
      <c r="K12" s="148">
        <f>IF('KG1-1'!$N16="","",'KG1-1'!$N16)</f>
        <v/>
      </c>
      <c r="L12" s="148">
        <f>IF('KG1-1'!$D16="","",'KG1-1'!$D16)</f>
        <v/>
      </c>
      <c r="M12" s="148">
        <f>IF('KG1-1'!$E16="","",'KG1-1'!$E16)</f>
        <v/>
      </c>
      <c r="N12" s="148">
        <f>IF('KG1-1'!$F16="","",'KG1-1'!$F16)</f>
        <v/>
      </c>
      <c r="O12" s="158">
        <f>IF('KG1-1'!$G16="","",'KG1-1'!$G16)</f>
        <v/>
      </c>
      <c r="P12" s="158">
        <f>IF('KG1-1'!$O16="","",'KG1-1'!$O16)</f>
        <v/>
      </c>
      <c r="Q12" s="148">
        <f>IF('KG1-1'!$T16="","",'KG1-1'!$T16)</f>
        <v/>
      </c>
      <c r="R12" s="146">
        <f>IF('KG1-1'!$H16="","",'KG1-1'!$H16)</f>
        <v/>
      </c>
      <c r="S12" s="157">
        <f>IF('KG1-1'!$P16="","",'KG1-1'!$P16)</f>
        <v/>
      </c>
      <c r="T12" s="157">
        <f>IF('KG1-1'!$V16="","",'KG1-1'!$V16)</f>
        <v/>
      </c>
      <c r="U12" s="157">
        <f>IF('KG1-1'!$W16="","",'KG1-1'!$W16)</f>
        <v/>
      </c>
      <c r="V12" s="157">
        <f>IF('KG1-1'!$X16="","",'KG1-1'!$X16)</f>
        <v/>
      </c>
      <c r="W12" s="157">
        <f>IF('KG1-1'!$Y16="","",'KG1-1'!$Y16)</f>
        <v/>
      </c>
      <c r="X12" s="157">
        <f>IF('KG1-1'!$R16="","",'KG1-1'!$R16)</f>
        <v/>
      </c>
      <c r="Y12" s="148">
        <f>IF('KG1-1'!$S16="","",'KG1-1'!$S16)</f>
        <v/>
      </c>
      <c r="Z12" s="148">
        <f>IF('KG1-1'!$Q16="","",'KG1-1'!$Q16)</f>
        <v/>
      </c>
      <c r="AA12" s="148">
        <f>IF('KG1-1'!$I16="","",'KG1-1'!$I16)</f>
        <v/>
      </c>
      <c r="AB12" s="146">
        <f>IF(Q12="","",INDEX(LevelActions,MATCH(Q12,LevelValues,0)))</f>
        <v/>
      </c>
      <c r="AC12" s="148">
        <f>IF(J12="","",IF(J12=0,"—",IF(AND(L12=0,M12=0),Cat_L1,IF(O12&gt;=Cat_95,Cat_L2,IF(O12&gt;=Cat_90,Cat_L3,Cat_L4)))))</f>
        <v/>
      </c>
      <c r="AD12" s="146">
        <f>IF('KG1-1'!$L16="","",'KG1-1'!$L16)</f>
        <v/>
      </c>
      <c r="AE12" s="148">
        <f>IF(B12="","",IF(COUNTIF($B$5:$B$214,B12)&gt;1,"مكرر!",""))</f>
        <v/>
      </c>
      <c r="AF12" s="148">
        <f>IF(AND(B12&lt;&gt;"",F12="نشط",OR(Dash_Class="الكل",D12=Dash_Class)),1,0)</f>
        <v/>
      </c>
      <c r="AG12" s="40">
        <f>IF(OR(AF12=0,Dash_DayIdx=0),"",IF(INDEX('KG1-1'!$AD$7:$IM$7,Dash_DayIdx)&lt;&gt;"✓","",IF(INDEX('KG1-1'!$AD16:$IM16,Dash_DayIdx)="","P",IFERROR(INDEX(StatusCodes,MATCH(INDEX('KG1-1'!$AD16:$IM16,Dash_DayIdx),StatusLabels,0)),""))))</f>
        <v/>
      </c>
      <c r="AH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IF(LateAsPresent="نعم",COUNTIFS('KG1-1'!$AD16:$IM16,"متأخر",'KG1-1'!$AD$7:$IM$7,"✓",'KG1-1'!$AD$6:$IM$6,1,'KG1-1'!$AD$5:$IM$5,"&gt;="&amp;MAX('KG1-1'!$U16,Dash_PStart),'KG1-1'!$AD$5:$IM$5,"&lt;="&amp;Dash_PEnd),0))</f>
        <v/>
      </c>
      <c r="AI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COUNTIFS('KG1-1'!$AD16:$IM16,"غياب بدون عذر",'KG1-1'!$AD$7:$IM$7,"✓",'KG1-1'!$AD$6:$IM$6,1,'KG1-1'!$AD$5:$IM$5,"&gt;="&amp;MAX('KG1-1'!$U16,Dash_PStart),'KG1-1'!$AD$5:$IM$5,"&lt;="&amp;Dash_PEnd)+COUNTIFS('KG1-1'!$AD16:$IM16,"غياب بعذر",'KG1-1'!$AD$7:$IM$7,"✓",'KG1-1'!$AD$6:$IM$6,1,'KG1-1'!$AD$5:$IM$5,"&gt;="&amp;MAX('KG1-1'!$U16,Dash_PStart),'KG1-1'!$AD$5:$IM$5,"&lt;="&amp;Dash_PEnd)+COUNTIFS('KG1-1'!$AD16:$IM16,"متأخر",'KG1-1'!$AD$7:$IM$7,"✓",'KG1-1'!$AD$6:$IM$6,1,'KG1-1'!$AD$5:$IM$5,"&gt;="&amp;MAX('KG1-1'!$U16,Dash_PStart),'KG1-1'!$AD$5:$IM$5,"&lt;="&amp;Dash_PEnd))</f>
        <v/>
      </c>
      <c r="AJ12" s="40">
        <f>IF(AF12=0,0,IF(W12=Dash_Date,Thr_Critical,IF(V12=Dash_Date,Thr_High,IF(U12=Dash_Date,Thr_Repeated,IF(T12=Dash_Date,Thr_FollowUp,0)))))</f>
        <v/>
      </c>
      <c r="AK12" s="40">
        <f>IF(AJ12&gt;0,COUNTIF($AJ$5:AJ12,"&gt;0"),"")</f>
        <v/>
      </c>
      <c r="AL12" s="40">
        <f>IF(AND(B12&lt;&gt;"",F12="نشط",Q12&lt;&gt;"",Q12&gt;0),L12*1000+(999-ROW()),"")</f>
        <v/>
      </c>
      <c r="AM12" s="40">
        <f>IF(AND(AF12=1,J12&lt;&gt;"",J12&gt;0),ROUND(O12*10000,0)*1000000+K12*1000+(999-ROW()),"")</f>
        <v/>
      </c>
      <c r="AN12" s="40">
        <f>IF(AND(AF12=1,J12&lt;&gt;"",J12&gt;0),(L12+M12)*10000000+ROUND((1-O12)*10000,0)*1000+(999-ROW()),"")</f>
        <v/>
      </c>
      <c r="AO12" s="40">
        <f>IF(AND(AF12=1,Q12&lt;&gt;"",Q12&gt;=Thr_Critical),L12*1000+(999-ROW()),"")</f>
        <v/>
      </c>
      <c r="AP12" s="40">
        <f>IF(AND(B12&lt;&gt;"",F12="نشط",OR(Rpt_Class="الكل",D12=Rpt_Class)),1,0)</f>
        <v/>
      </c>
      <c r="AQ12" s="40">
        <f>IF(AND(AP12=1,Q12&lt;&gt;"",Q12&gt;0),L12*1000+(999-ROW()),"")</f>
        <v/>
      </c>
      <c r="AR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IF(LateAsPresent="نعم",COUNTIFS('KG1-1'!$AD16:$IM16,"متأخر",'KG1-1'!$AD$7:$IM$7,"✓",'KG1-1'!$AD$6:$IM$6,1,'KG1-1'!$AD$5:$IM$5,"&gt;="&amp;MAX('KG1-1'!$U16,Rpt_PStart),'KG1-1'!$AD$5:$IM$5,"&lt;="&amp;Rpt_PEnd),0))</f>
        <v/>
      </c>
      <c r="AS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COUNTIFS('KG1-1'!$AD16:$IM16,"غياب بدون عذر",'KG1-1'!$AD$7:$IM$7,"✓",'KG1-1'!$AD$6:$IM$6,1,'KG1-1'!$AD$5:$IM$5,"&gt;="&amp;MAX('KG1-1'!$U16,Rpt_PStart),'KG1-1'!$AD$5:$IM$5,"&lt;="&amp;Rpt_PEnd)+COUNTIFS('KG1-1'!$AD16:$IM16,"غياب بعذر",'KG1-1'!$AD$7:$IM$7,"✓",'KG1-1'!$AD$6:$IM$6,1,'KG1-1'!$AD$5:$IM$5,"&gt;="&amp;MAX('KG1-1'!$U16,Rpt_PStart),'KG1-1'!$AD$5:$IM$5,"&lt;="&amp;Rpt_PEnd)+COUNTIFS('KG1-1'!$AD16:$IM16,"متأخر",'KG1-1'!$AD$7:$IM$7,"✓",'KG1-1'!$AD$6:$IM$6,1,'KG1-1'!$AD$5:$IM$5,"&gt;="&amp;MAX('KG1-1'!$U16,Rpt_PStart),'KG1-1'!$AD$5:$IM$5,"&lt;="&amp;Rpt_PEnd))</f>
        <v/>
      </c>
      <c r="AT12" s="40">
        <f>IF(AP12=0,"",COUNTIFS('KG1-1'!$AD16:$IM16,"غياب بدون عذر",'KG1-1'!$AD$7:$IM$7,"✓",'KG1-1'!$AD$6:$IM$6,1,'KG1-1'!$AD$5:$IM$5,"&gt;="&amp;MAX('KG1-1'!$U16,Rpt_PStart),'KG1-1'!$AD$5:$IM$5,"&lt;="&amp;Rpt_PEnd)+COUNTIFS('KG1-1'!$AD16:$IM16,"غياب بعذر",'KG1-1'!$AD$7:$IM$7,"✓",'KG1-1'!$AD$6:$IM$6,1,'KG1-1'!$AD$5:$IM$5,"&gt;="&amp;MAX('KG1-1'!$U16,Rpt_PStart),'KG1-1'!$AD$5:$IM$5,"&lt;="&amp;Rpt_PEnd))</f>
        <v/>
      </c>
      <c r="AU12" s="40" t="n">
        <v>1</v>
      </c>
      <c r="AV12" s="40" t="n">
        <v>8</v>
      </c>
      <c r="AW12" s="40">
        <f>IF(OR(AP12=0,Rpt_DayIdx=0),"",IF(INDEX('KG1-1'!$AD$7:$IM$7,Rpt_DayIdx)&lt;&gt;"✓","",IF(INDEX('KG1-1'!$AD16:$IM16,Rpt_DayIdx)="","P",IFERROR(INDEX(StatusCodes,MATCH(INDEX('KG1-1'!$AD16:$IM16,Rpt_DayIdx),StatusLabels,0)),""))))</f>
        <v/>
      </c>
      <c r="AX12" s="40">
        <f>IF(AND(AP12=1,OR(AW12="A",AW12="E")),COUNTIFS($AP$5:AP12,1,$AW$5:AW12,"A")+COUNTIFS($AP$5:AP12,1,$AW$5:AW12,"E"),"")</f>
        <v/>
      </c>
    </row>
    <row r="13">
      <c r="A13" s="148">
        <f>IF(B13="","",ROW()-4)</f>
        <v/>
      </c>
      <c r="B13" s="148">
        <f>IF('KG1-1'!$B17="","",'KG1-1'!$B17)</f>
        <v/>
      </c>
      <c r="C13" s="146">
        <f>IF('KG1-1'!$C17="","",'KG1-1'!$C17)</f>
        <v/>
      </c>
      <c r="D13" s="148">
        <f>IF(B13="","",'KG1-1'!$B$2)</f>
        <v/>
      </c>
      <c r="E13" s="148">
        <f>IF(B13="","",MID(D13,FIND("-",D13&amp;"-")+1,10))</f>
        <v/>
      </c>
      <c r="F13" s="148">
        <f>IF(B13="","","نشط")</f>
        <v/>
      </c>
      <c r="G13" s="157">
        <f>IF(B13="","","")</f>
        <v/>
      </c>
      <c r="H13" s="146">
        <f>IF('KG1-1'!$K17="","",'KG1-1'!$K17)</f>
        <v/>
      </c>
      <c r="I13" s="148">
        <f>IF('KG1-1'!$J17="","",'KG1-1'!$J17)</f>
        <v/>
      </c>
      <c r="J13" s="148">
        <f>IF('KG1-1'!$M17="","",'KG1-1'!$M17)</f>
        <v/>
      </c>
      <c r="K13" s="148">
        <f>IF('KG1-1'!$N17="","",'KG1-1'!$N17)</f>
        <v/>
      </c>
      <c r="L13" s="148">
        <f>IF('KG1-1'!$D17="","",'KG1-1'!$D17)</f>
        <v/>
      </c>
      <c r="M13" s="148">
        <f>IF('KG1-1'!$E17="","",'KG1-1'!$E17)</f>
        <v/>
      </c>
      <c r="N13" s="148">
        <f>IF('KG1-1'!$F17="","",'KG1-1'!$F17)</f>
        <v/>
      </c>
      <c r="O13" s="158">
        <f>IF('KG1-1'!$G17="","",'KG1-1'!$G17)</f>
        <v/>
      </c>
      <c r="P13" s="158">
        <f>IF('KG1-1'!$O17="","",'KG1-1'!$O17)</f>
        <v/>
      </c>
      <c r="Q13" s="148">
        <f>IF('KG1-1'!$T17="","",'KG1-1'!$T17)</f>
        <v/>
      </c>
      <c r="R13" s="146">
        <f>IF('KG1-1'!$H17="","",'KG1-1'!$H17)</f>
        <v/>
      </c>
      <c r="S13" s="157">
        <f>IF('KG1-1'!$P17="","",'KG1-1'!$P17)</f>
        <v/>
      </c>
      <c r="T13" s="157">
        <f>IF('KG1-1'!$V17="","",'KG1-1'!$V17)</f>
        <v/>
      </c>
      <c r="U13" s="157">
        <f>IF('KG1-1'!$W17="","",'KG1-1'!$W17)</f>
        <v/>
      </c>
      <c r="V13" s="157">
        <f>IF('KG1-1'!$X17="","",'KG1-1'!$X17)</f>
        <v/>
      </c>
      <c r="W13" s="157">
        <f>IF('KG1-1'!$Y17="","",'KG1-1'!$Y17)</f>
        <v/>
      </c>
      <c r="X13" s="157">
        <f>IF('KG1-1'!$R17="","",'KG1-1'!$R17)</f>
        <v/>
      </c>
      <c r="Y13" s="148">
        <f>IF('KG1-1'!$S17="","",'KG1-1'!$S17)</f>
        <v/>
      </c>
      <c r="Z13" s="148">
        <f>IF('KG1-1'!$Q17="","",'KG1-1'!$Q17)</f>
        <v/>
      </c>
      <c r="AA13" s="148">
        <f>IF('KG1-1'!$I17="","",'KG1-1'!$I17)</f>
        <v/>
      </c>
      <c r="AB13" s="146">
        <f>IF(Q13="","",INDEX(LevelActions,MATCH(Q13,LevelValues,0)))</f>
        <v/>
      </c>
      <c r="AC13" s="148">
        <f>IF(J13="","",IF(J13=0,"—",IF(AND(L13=0,M13=0),Cat_L1,IF(O13&gt;=Cat_95,Cat_L2,IF(O13&gt;=Cat_90,Cat_L3,Cat_L4)))))</f>
        <v/>
      </c>
      <c r="AD13" s="146">
        <f>IF('KG1-1'!$L17="","",'KG1-1'!$L17)</f>
        <v/>
      </c>
      <c r="AE13" s="148">
        <f>IF(B13="","",IF(COUNTIF($B$5:$B$214,B13)&gt;1,"مكرر!",""))</f>
        <v/>
      </c>
      <c r="AF13" s="148">
        <f>IF(AND(B13&lt;&gt;"",F13="نشط",OR(Dash_Class="الكل",D13=Dash_Class)),1,0)</f>
        <v/>
      </c>
      <c r="AG13" s="40">
        <f>IF(OR(AF13=0,Dash_DayIdx=0),"",IF(INDEX('KG1-1'!$AD$7:$IM$7,Dash_DayIdx)&lt;&gt;"✓","",IF(INDEX('KG1-1'!$AD17:$IM17,Dash_DayIdx)="","P",IFERROR(INDEX(StatusCodes,MATCH(INDEX('KG1-1'!$AD17:$IM17,Dash_DayIdx),StatusLabels,0)),""))))</f>
        <v/>
      </c>
      <c r="AH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IF(LateAsPresent="نعم",COUNTIFS('KG1-1'!$AD17:$IM17,"متأخر",'KG1-1'!$AD$7:$IM$7,"✓",'KG1-1'!$AD$6:$IM$6,1,'KG1-1'!$AD$5:$IM$5,"&gt;="&amp;MAX('KG1-1'!$U17,Dash_PStart),'KG1-1'!$AD$5:$IM$5,"&lt;="&amp;Dash_PEnd),0))</f>
        <v/>
      </c>
      <c r="AI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COUNTIFS('KG1-1'!$AD17:$IM17,"غياب بدون عذر",'KG1-1'!$AD$7:$IM$7,"✓",'KG1-1'!$AD$6:$IM$6,1,'KG1-1'!$AD$5:$IM$5,"&gt;="&amp;MAX('KG1-1'!$U17,Dash_PStart),'KG1-1'!$AD$5:$IM$5,"&lt;="&amp;Dash_PEnd)+COUNTIFS('KG1-1'!$AD17:$IM17,"غياب بعذر",'KG1-1'!$AD$7:$IM$7,"✓",'KG1-1'!$AD$6:$IM$6,1,'KG1-1'!$AD$5:$IM$5,"&gt;="&amp;MAX('KG1-1'!$U17,Dash_PStart),'KG1-1'!$AD$5:$IM$5,"&lt;="&amp;Dash_PEnd)+COUNTIFS('KG1-1'!$AD17:$IM17,"متأخر",'KG1-1'!$AD$7:$IM$7,"✓",'KG1-1'!$AD$6:$IM$6,1,'KG1-1'!$AD$5:$IM$5,"&gt;="&amp;MAX('KG1-1'!$U17,Dash_PStart),'KG1-1'!$AD$5:$IM$5,"&lt;="&amp;Dash_PEnd))</f>
        <v/>
      </c>
      <c r="AJ13" s="40">
        <f>IF(AF13=0,0,IF(W13=Dash_Date,Thr_Critical,IF(V13=Dash_Date,Thr_High,IF(U13=Dash_Date,Thr_Repeated,IF(T13=Dash_Date,Thr_FollowUp,0)))))</f>
        <v/>
      </c>
      <c r="AK13" s="40">
        <f>IF(AJ13&gt;0,COUNTIF($AJ$5:AJ13,"&gt;0"),"")</f>
        <v/>
      </c>
      <c r="AL13" s="40">
        <f>IF(AND(B13&lt;&gt;"",F13="نشط",Q13&lt;&gt;"",Q13&gt;0),L13*1000+(999-ROW()),"")</f>
        <v/>
      </c>
      <c r="AM13" s="40">
        <f>IF(AND(AF13=1,J13&lt;&gt;"",J13&gt;0),ROUND(O13*10000,0)*1000000+K13*1000+(999-ROW()),"")</f>
        <v/>
      </c>
      <c r="AN13" s="40">
        <f>IF(AND(AF13=1,J13&lt;&gt;"",J13&gt;0),(L13+M13)*10000000+ROUND((1-O13)*10000,0)*1000+(999-ROW()),"")</f>
        <v/>
      </c>
      <c r="AO13" s="40">
        <f>IF(AND(AF13=1,Q13&lt;&gt;"",Q13&gt;=Thr_Critical),L13*1000+(999-ROW()),"")</f>
        <v/>
      </c>
      <c r="AP13" s="40">
        <f>IF(AND(B13&lt;&gt;"",F13="نشط",OR(Rpt_Class="الكل",D13=Rpt_Class)),1,0)</f>
        <v/>
      </c>
      <c r="AQ13" s="40">
        <f>IF(AND(AP13=1,Q13&lt;&gt;"",Q13&gt;0),L13*1000+(999-ROW()),"")</f>
        <v/>
      </c>
      <c r="AR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IF(LateAsPresent="نعم",COUNTIFS('KG1-1'!$AD17:$IM17,"متأخر",'KG1-1'!$AD$7:$IM$7,"✓",'KG1-1'!$AD$6:$IM$6,1,'KG1-1'!$AD$5:$IM$5,"&gt;="&amp;MAX('KG1-1'!$U17,Rpt_PStart),'KG1-1'!$AD$5:$IM$5,"&lt;="&amp;Rpt_PEnd),0))</f>
        <v/>
      </c>
      <c r="AS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COUNTIFS('KG1-1'!$AD17:$IM17,"غياب بدون عذر",'KG1-1'!$AD$7:$IM$7,"✓",'KG1-1'!$AD$6:$IM$6,1,'KG1-1'!$AD$5:$IM$5,"&gt;="&amp;MAX('KG1-1'!$U17,Rpt_PStart),'KG1-1'!$AD$5:$IM$5,"&lt;="&amp;Rpt_PEnd)+COUNTIFS('KG1-1'!$AD17:$IM17,"غياب بعذر",'KG1-1'!$AD$7:$IM$7,"✓",'KG1-1'!$AD$6:$IM$6,1,'KG1-1'!$AD$5:$IM$5,"&gt;="&amp;MAX('KG1-1'!$U17,Rpt_PStart),'KG1-1'!$AD$5:$IM$5,"&lt;="&amp;Rpt_PEnd)+COUNTIFS('KG1-1'!$AD17:$IM17,"متأخر",'KG1-1'!$AD$7:$IM$7,"✓",'KG1-1'!$AD$6:$IM$6,1,'KG1-1'!$AD$5:$IM$5,"&gt;="&amp;MAX('KG1-1'!$U17,Rpt_PStart),'KG1-1'!$AD$5:$IM$5,"&lt;="&amp;Rpt_PEnd))</f>
        <v/>
      </c>
      <c r="AT13" s="40">
        <f>IF(AP13=0,"",COUNTIFS('KG1-1'!$AD17:$IM17,"غياب بدون عذر",'KG1-1'!$AD$7:$IM$7,"✓",'KG1-1'!$AD$6:$IM$6,1,'KG1-1'!$AD$5:$IM$5,"&gt;="&amp;MAX('KG1-1'!$U17,Rpt_PStart),'KG1-1'!$AD$5:$IM$5,"&lt;="&amp;Rpt_PEnd)+COUNTIFS('KG1-1'!$AD17:$IM17,"غياب بعذر",'KG1-1'!$AD$7:$IM$7,"✓",'KG1-1'!$AD$6:$IM$6,1,'KG1-1'!$AD$5:$IM$5,"&gt;="&amp;MAX('KG1-1'!$U17,Rpt_PStart),'KG1-1'!$AD$5:$IM$5,"&lt;="&amp;Rpt_PEnd))</f>
        <v/>
      </c>
      <c r="AU13" s="40" t="n">
        <v>1</v>
      </c>
      <c r="AV13" s="40" t="n">
        <v>9</v>
      </c>
      <c r="AW13" s="40">
        <f>IF(OR(AP13=0,Rpt_DayIdx=0),"",IF(INDEX('KG1-1'!$AD$7:$IM$7,Rpt_DayIdx)&lt;&gt;"✓","",IF(INDEX('KG1-1'!$AD17:$IM17,Rpt_DayIdx)="","P",IFERROR(INDEX(StatusCodes,MATCH(INDEX('KG1-1'!$AD17:$IM17,Rpt_DayIdx),StatusLabels,0)),""))))</f>
        <v/>
      </c>
      <c r="AX13" s="40">
        <f>IF(AND(AP13=1,OR(AW13="A",AW13="E")),COUNTIFS($AP$5:AP13,1,$AW$5:AW13,"A")+COUNTIFS($AP$5:AP13,1,$AW$5:AW13,"E"),"")</f>
        <v/>
      </c>
    </row>
    <row r="14">
      <c r="A14" s="148">
        <f>IF(B14="","",ROW()-4)</f>
        <v/>
      </c>
      <c r="B14" s="148">
        <f>IF('KG1-1'!$B18="","",'KG1-1'!$B18)</f>
        <v/>
      </c>
      <c r="C14" s="146">
        <f>IF('KG1-1'!$C18="","",'KG1-1'!$C18)</f>
        <v/>
      </c>
      <c r="D14" s="148">
        <f>IF(B14="","",'KG1-1'!$B$2)</f>
        <v/>
      </c>
      <c r="E14" s="148">
        <f>IF(B14="","",MID(D14,FIND("-",D14&amp;"-")+1,10))</f>
        <v/>
      </c>
      <c r="F14" s="148">
        <f>IF(B14="","","نشط")</f>
        <v/>
      </c>
      <c r="G14" s="157">
        <f>IF(B14="","","")</f>
        <v/>
      </c>
      <c r="H14" s="146">
        <f>IF('KG1-1'!$K18="","",'KG1-1'!$K18)</f>
        <v/>
      </c>
      <c r="I14" s="148">
        <f>IF('KG1-1'!$J18="","",'KG1-1'!$J18)</f>
        <v/>
      </c>
      <c r="J14" s="148">
        <f>IF('KG1-1'!$M18="","",'KG1-1'!$M18)</f>
        <v/>
      </c>
      <c r="K14" s="148">
        <f>IF('KG1-1'!$N18="","",'KG1-1'!$N18)</f>
        <v/>
      </c>
      <c r="L14" s="148">
        <f>IF('KG1-1'!$D18="","",'KG1-1'!$D18)</f>
        <v/>
      </c>
      <c r="M14" s="148">
        <f>IF('KG1-1'!$E18="","",'KG1-1'!$E18)</f>
        <v/>
      </c>
      <c r="N14" s="148">
        <f>IF('KG1-1'!$F18="","",'KG1-1'!$F18)</f>
        <v/>
      </c>
      <c r="O14" s="158">
        <f>IF('KG1-1'!$G18="","",'KG1-1'!$G18)</f>
        <v/>
      </c>
      <c r="P14" s="158">
        <f>IF('KG1-1'!$O18="","",'KG1-1'!$O18)</f>
        <v/>
      </c>
      <c r="Q14" s="148">
        <f>IF('KG1-1'!$T18="","",'KG1-1'!$T18)</f>
        <v/>
      </c>
      <c r="R14" s="146">
        <f>IF('KG1-1'!$H18="","",'KG1-1'!$H18)</f>
        <v/>
      </c>
      <c r="S14" s="157">
        <f>IF('KG1-1'!$P18="","",'KG1-1'!$P18)</f>
        <v/>
      </c>
      <c r="T14" s="157">
        <f>IF('KG1-1'!$V18="","",'KG1-1'!$V18)</f>
        <v/>
      </c>
      <c r="U14" s="157">
        <f>IF('KG1-1'!$W18="","",'KG1-1'!$W18)</f>
        <v/>
      </c>
      <c r="V14" s="157">
        <f>IF('KG1-1'!$X18="","",'KG1-1'!$X18)</f>
        <v/>
      </c>
      <c r="W14" s="157">
        <f>IF('KG1-1'!$Y18="","",'KG1-1'!$Y18)</f>
        <v/>
      </c>
      <c r="X14" s="157">
        <f>IF('KG1-1'!$R18="","",'KG1-1'!$R18)</f>
        <v/>
      </c>
      <c r="Y14" s="148">
        <f>IF('KG1-1'!$S18="","",'KG1-1'!$S18)</f>
        <v/>
      </c>
      <c r="Z14" s="148">
        <f>IF('KG1-1'!$Q18="","",'KG1-1'!$Q18)</f>
        <v/>
      </c>
      <c r="AA14" s="148">
        <f>IF('KG1-1'!$I18="","",'KG1-1'!$I18)</f>
        <v/>
      </c>
      <c r="AB14" s="146">
        <f>IF(Q14="","",INDEX(LevelActions,MATCH(Q14,LevelValues,0)))</f>
        <v/>
      </c>
      <c r="AC14" s="148">
        <f>IF(J14="","",IF(J14=0,"—",IF(AND(L14=0,M14=0),Cat_L1,IF(O14&gt;=Cat_95,Cat_L2,IF(O14&gt;=Cat_90,Cat_L3,Cat_L4)))))</f>
        <v/>
      </c>
      <c r="AD14" s="146">
        <f>IF('KG1-1'!$L18="","",'KG1-1'!$L18)</f>
        <v/>
      </c>
      <c r="AE14" s="148">
        <f>IF(B14="","",IF(COUNTIF($B$5:$B$214,B14)&gt;1,"مكرر!",""))</f>
        <v/>
      </c>
      <c r="AF14" s="148">
        <f>IF(AND(B14&lt;&gt;"",F14="نشط",OR(Dash_Class="الكل",D14=Dash_Class)),1,0)</f>
        <v/>
      </c>
      <c r="AG14" s="40">
        <f>IF(OR(AF14=0,Dash_DayIdx=0),"",IF(INDEX('KG1-1'!$AD$7:$IM$7,Dash_DayIdx)&lt;&gt;"✓","",IF(INDEX('KG1-1'!$AD18:$IM18,Dash_DayIdx)="","P",IFERROR(INDEX(StatusCodes,MATCH(INDEX('KG1-1'!$AD18:$IM18,Dash_DayIdx),StatusLabels,0)),""))))</f>
        <v/>
      </c>
      <c r="AH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IF(LateAsPresent="نعم",COUNTIFS('KG1-1'!$AD18:$IM18,"متأخر",'KG1-1'!$AD$7:$IM$7,"✓",'KG1-1'!$AD$6:$IM$6,1,'KG1-1'!$AD$5:$IM$5,"&gt;="&amp;MAX('KG1-1'!$U18,Dash_PStart),'KG1-1'!$AD$5:$IM$5,"&lt;="&amp;Dash_PEnd),0))</f>
        <v/>
      </c>
      <c r="AI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COUNTIFS('KG1-1'!$AD18:$IM18,"غياب بدون عذر",'KG1-1'!$AD$7:$IM$7,"✓",'KG1-1'!$AD$6:$IM$6,1,'KG1-1'!$AD$5:$IM$5,"&gt;="&amp;MAX('KG1-1'!$U18,Dash_PStart),'KG1-1'!$AD$5:$IM$5,"&lt;="&amp;Dash_PEnd)+COUNTIFS('KG1-1'!$AD18:$IM18,"غياب بعذر",'KG1-1'!$AD$7:$IM$7,"✓",'KG1-1'!$AD$6:$IM$6,1,'KG1-1'!$AD$5:$IM$5,"&gt;="&amp;MAX('KG1-1'!$U18,Dash_PStart),'KG1-1'!$AD$5:$IM$5,"&lt;="&amp;Dash_PEnd)+COUNTIFS('KG1-1'!$AD18:$IM18,"متأخر",'KG1-1'!$AD$7:$IM$7,"✓",'KG1-1'!$AD$6:$IM$6,1,'KG1-1'!$AD$5:$IM$5,"&gt;="&amp;MAX('KG1-1'!$U18,Dash_PStart),'KG1-1'!$AD$5:$IM$5,"&lt;="&amp;Dash_PEnd))</f>
        <v/>
      </c>
      <c r="AJ14" s="40">
        <f>IF(AF14=0,0,IF(W14=Dash_Date,Thr_Critical,IF(V14=Dash_Date,Thr_High,IF(U14=Dash_Date,Thr_Repeated,IF(T14=Dash_Date,Thr_FollowUp,0)))))</f>
        <v/>
      </c>
      <c r="AK14" s="40">
        <f>IF(AJ14&gt;0,COUNTIF($AJ$5:AJ14,"&gt;0"),"")</f>
        <v/>
      </c>
      <c r="AL14" s="40">
        <f>IF(AND(B14&lt;&gt;"",F14="نشط",Q14&lt;&gt;"",Q14&gt;0),L14*1000+(999-ROW()),"")</f>
        <v/>
      </c>
      <c r="AM14" s="40">
        <f>IF(AND(AF14=1,J14&lt;&gt;"",J14&gt;0),ROUND(O14*10000,0)*1000000+K14*1000+(999-ROW()),"")</f>
        <v/>
      </c>
      <c r="AN14" s="40">
        <f>IF(AND(AF14=1,J14&lt;&gt;"",J14&gt;0),(L14+M14)*10000000+ROUND((1-O14)*10000,0)*1000+(999-ROW()),"")</f>
        <v/>
      </c>
      <c r="AO14" s="40">
        <f>IF(AND(AF14=1,Q14&lt;&gt;"",Q14&gt;=Thr_Critical),L14*1000+(999-ROW()),"")</f>
        <v/>
      </c>
      <c r="AP14" s="40">
        <f>IF(AND(B14&lt;&gt;"",F14="نشط",OR(Rpt_Class="الكل",D14=Rpt_Class)),1,0)</f>
        <v/>
      </c>
      <c r="AQ14" s="40">
        <f>IF(AND(AP14=1,Q14&lt;&gt;"",Q14&gt;0),L14*1000+(999-ROW()),"")</f>
        <v/>
      </c>
      <c r="AR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IF(LateAsPresent="نعم",COUNTIFS('KG1-1'!$AD18:$IM18,"متأخر",'KG1-1'!$AD$7:$IM$7,"✓",'KG1-1'!$AD$6:$IM$6,1,'KG1-1'!$AD$5:$IM$5,"&gt;="&amp;MAX('KG1-1'!$U18,Rpt_PStart),'KG1-1'!$AD$5:$IM$5,"&lt;="&amp;Rpt_PEnd),0))</f>
        <v/>
      </c>
      <c r="AS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COUNTIFS('KG1-1'!$AD18:$IM18,"غياب بدون عذر",'KG1-1'!$AD$7:$IM$7,"✓",'KG1-1'!$AD$6:$IM$6,1,'KG1-1'!$AD$5:$IM$5,"&gt;="&amp;MAX('KG1-1'!$U18,Rpt_PStart),'KG1-1'!$AD$5:$IM$5,"&lt;="&amp;Rpt_PEnd)+COUNTIFS('KG1-1'!$AD18:$IM18,"غياب بعذر",'KG1-1'!$AD$7:$IM$7,"✓",'KG1-1'!$AD$6:$IM$6,1,'KG1-1'!$AD$5:$IM$5,"&gt;="&amp;MAX('KG1-1'!$U18,Rpt_PStart),'KG1-1'!$AD$5:$IM$5,"&lt;="&amp;Rpt_PEnd)+COUNTIFS('KG1-1'!$AD18:$IM18,"متأخر",'KG1-1'!$AD$7:$IM$7,"✓",'KG1-1'!$AD$6:$IM$6,1,'KG1-1'!$AD$5:$IM$5,"&gt;="&amp;MAX('KG1-1'!$U18,Rpt_PStart),'KG1-1'!$AD$5:$IM$5,"&lt;="&amp;Rpt_PEnd))</f>
        <v/>
      </c>
      <c r="AT14" s="40">
        <f>IF(AP14=0,"",COUNTIFS('KG1-1'!$AD18:$IM18,"غياب بدون عذر",'KG1-1'!$AD$7:$IM$7,"✓",'KG1-1'!$AD$6:$IM$6,1,'KG1-1'!$AD$5:$IM$5,"&gt;="&amp;MAX('KG1-1'!$U18,Rpt_PStart),'KG1-1'!$AD$5:$IM$5,"&lt;="&amp;Rpt_PEnd)+COUNTIFS('KG1-1'!$AD18:$IM18,"غياب بعذر",'KG1-1'!$AD$7:$IM$7,"✓",'KG1-1'!$AD$6:$IM$6,1,'KG1-1'!$AD$5:$IM$5,"&gt;="&amp;MAX('KG1-1'!$U18,Rpt_PStart),'KG1-1'!$AD$5:$IM$5,"&lt;="&amp;Rpt_PEnd))</f>
        <v/>
      </c>
      <c r="AU14" s="40" t="n">
        <v>1</v>
      </c>
      <c r="AV14" s="40" t="n">
        <v>10</v>
      </c>
      <c r="AW14" s="40">
        <f>IF(OR(AP14=0,Rpt_DayIdx=0),"",IF(INDEX('KG1-1'!$AD$7:$IM$7,Rpt_DayIdx)&lt;&gt;"✓","",IF(INDEX('KG1-1'!$AD18:$IM18,Rpt_DayIdx)="","P",IFERROR(INDEX(StatusCodes,MATCH(INDEX('KG1-1'!$AD18:$IM18,Rpt_DayIdx),StatusLabels,0)),""))))</f>
        <v/>
      </c>
      <c r="AX14" s="40">
        <f>IF(AND(AP14=1,OR(AW14="A",AW14="E")),COUNTIFS($AP$5:AP14,1,$AW$5:AW14,"A")+COUNTIFS($AP$5:AP14,1,$AW$5:AW14,"E"),"")</f>
        <v/>
      </c>
    </row>
    <row r="15">
      <c r="A15" s="148">
        <f>IF(B15="","",ROW()-4)</f>
        <v/>
      </c>
      <c r="B15" s="148">
        <f>IF('KG1-1'!$B19="","",'KG1-1'!$B19)</f>
        <v/>
      </c>
      <c r="C15" s="146">
        <f>IF('KG1-1'!$C19="","",'KG1-1'!$C19)</f>
        <v/>
      </c>
      <c r="D15" s="148">
        <f>IF(B15="","",'KG1-1'!$B$2)</f>
        <v/>
      </c>
      <c r="E15" s="148">
        <f>IF(B15="","",MID(D15,FIND("-",D15&amp;"-")+1,10))</f>
        <v/>
      </c>
      <c r="F15" s="148">
        <f>IF(B15="","","نشط")</f>
        <v/>
      </c>
      <c r="G15" s="157">
        <f>IF(B15="","","")</f>
        <v/>
      </c>
      <c r="H15" s="146">
        <f>IF('KG1-1'!$K19="","",'KG1-1'!$K19)</f>
        <v/>
      </c>
      <c r="I15" s="148">
        <f>IF('KG1-1'!$J19="","",'KG1-1'!$J19)</f>
        <v/>
      </c>
      <c r="J15" s="148">
        <f>IF('KG1-1'!$M19="","",'KG1-1'!$M19)</f>
        <v/>
      </c>
      <c r="K15" s="148">
        <f>IF('KG1-1'!$N19="","",'KG1-1'!$N19)</f>
        <v/>
      </c>
      <c r="L15" s="148">
        <f>IF('KG1-1'!$D19="","",'KG1-1'!$D19)</f>
        <v/>
      </c>
      <c r="M15" s="148">
        <f>IF('KG1-1'!$E19="","",'KG1-1'!$E19)</f>
        <v/>
      </c>
      <c r="N15" s="148">
        <f>IF('KG1-1'!$F19="","",'KG1-1'!$F19)</f>
        <v/>
      </c>
      <c r="O15" s="158">
        <f>IF('KG1-1'!$G19="","",'KG1-1'!$G19)</f>
        <v/>
      </c>
      <c r="P15" s="158">
        <f>IF('KG1-1'!$O19="","",'KG1-1'!$O19)</f>
        <v/>
      </c>
      <c r="Q15" s="148">
        <f>IF('KG1-1'!$T19="","",'KG1-1'!$T19)</f>
        <v/>
      </c>
      <c r="R15" s="146">
        <f>IF('KG1-1'!$H19="","",'KG1-1'!$H19)</f>
        <v/>
      </c>
      <c r="S15" s="157">
        <f>IF('KG1-1'!$P19="","",'KG1-1'!$P19)</f>
        <v/>
      </c>
      <c r="T15" s="157">
        <f>IF('KG1-1'!$V19="","",'KG1-1'!$V19)</f>
        <v/>
      </c>
      <c r="U15" s="157">
        <f>IF('KG1-1'!$W19="","",'KG1-1'!$W19)</f>
        <v/>
      </c>
      <c r="V15" s="157">
        <f>IF('KG1-1'!$X19="","",'KG1-1'!$X19)</f>
        <v/>
      </c>
      <c r="W15" s="157">
        <f>IF('KG1-1'!$Y19="","",'KG1-1'!$Y19)</f>
        <v/>
      </c>
      <c r="X15" s="157">
        <f>IF('KG1-1'!$R19="","",'KG1-1'!$R19)</f>
        <v/>
      </c>
      <c r="Y15" s="148">
        <f>IF('KG1-1'!$S19="","",'KG1-1'!$S19)</f>
        <v/>
      </c>
      <c r="Z15" s="148">
        <f>IF('KG1-1'!$Q19="","",'KG1-1'!$Q19)</f>
        <v/>
      </c>
      <c r="AA15" s="148">
        <f>IF('KG1-1'!$I19="","",'KG1-1'!$I19)</f>
        <v/>
      </c>
      <c r="AB15" s="146">
        <f>IF(Q15="","",INDEX(LevelActions,MATCH(Q15,LevelValues,0)))</f>
        <v/>
      </c>
      <c r="AC15" s="148">
        <f>IF(J15="","",IF(J15=0,"—",IF(AND(L15=0,M15=0),Cat_L1,IF(O15&gt;=Cat_95,Cat_L2,IF(O15&gt;=Cat_90,Cat_L3,Cat_L4)))))</f>
        <v/>
      </c>
      <c r="AD15" s="146">
        <f>IF('KG1-1'!$L19="","",'KG1-1'!$L19)</f>
        <v/>
      </c>
      <c r="AE15" s="148">
        <f>IF(B15="","",IF(COUNTIF($B$5:$B$214,B15)&gt;1,"مكرر!",""))</f>
        <v/>
      </c>
      <c r="AF15" s="148">
        <f>IF(AND(B15&lt;&gt;"",F15="نشط",OR(Dash_Class="الكل",D15=Dash_Class)),1,0)</f>
        <v/>
      </c>
      <c r="AG15" s="40">
        <f>IF(OR(AF15=0,Dash_DayIdx=0),"",IF(INDEX('KG1-1'!$AD$7:$IM$7,Dash_DayIdx)&lt;&gt;"✓","",IF(INDEX('KG1-1'!$AD19:$IM19,Dash_DayIdx)="","P",IFERROR(INDEX(StatusCodes,MATCH(INDEX('KG1-1'!$AD19:$IM19,Dash_DayIdx),StatusLabels,0)),""))))</f>
        <v/>
      </c>
      <c r="AH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IF(LateAsPresent="نعم",COUNTIFS('KG1-1'!$AD19:$IM19,"متأخر",'KG1-1'!$AD$7:$IM$7,"✓",'KG1-1'!$AD$6:$IM$6,1,'KG1-1'!$AD$5:$IM$5,"&gt;="&amp;MAX('KG1-1'!$U19,Dash_PStart),'KG1-1'!$AD$5:$IM$5,"&lt;="&amp;Dash_PEnd),0))</f>
        <v/>
      </c>
      <c r="AI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COUNTIFS('KG1-1'!$AD19:$IM19,"غياب بدون عذر",'KG1-1'!$AD$7:$IM$7,"✓",'KG1-1'!$AD$6:$IM$6,1,'KG1-1'!$AD$5:$IM$5,"&gt;="&amp;MAX('KG1-1'!$U19,Dash_PStart),'KG1-1'!$AD$5:$IM$5,"&lt;="&amp;Dash_PEnd)+COUNTIFS('KG1-1'!$AD19:$IM19,"غياب بعذر",'KG1-1'!$AD$7:$IM$7,"✓",'KG1-1'!$AD$6:$IM$6,1,'KG1-1'!$AD$5:$IM$5,"&gt;="&amp;MAX('KG1-1'!$U19,Dash_PStart),'KG1-1'!$AD$5:$IM$5,"&lt;="&amp;Dash_PEnd)+COUNTIFS('KG1-1'!$AD19:$IM19,"متأخر",'KG1-1'!$AD$7:$IM$7,"✓",'KG1-1'!$AD$6:$IM$6,1,'KG1-1'!$AD$5:$IM$5,"&gt;="&amp;MAX('KG1-1'!$U19,Dash_PStart),'KG1-1'!$AD$5:$IM$5,"&lt;="&amp;Dash_PEnd))</f>
        <v/>
      </c>
      <c r="AJ15" s="40">
        <f>IF(AF15=0,0,IF(W15=Dash_Date,Thr_Critical,IF(V15=Dash_Date,Thr_High,IF(U15=Dash_Date,Thr_Repeated,IF(T15=Dash_Date,Thr_FollowUp,0)))))</f>
        <v/>
      </c>
      <c r="AK15" s="40">
        <f>IF(AJ15&gt;0,COUNTIF($AJ$5:AJ15,"&gt;0"),"")</f>
        <v/>
      </c>
      <c r="AL15" s="40">
        <f>IF(AND(B15&lt;&gt;"",F15="نشط",Q15&lt;&gt;"",Q15&gt;0),L15*1000+(999-ROW()),"")</f>
        <v/>
      </c>
      <c r="AM15" s="40">
        <f>IF(AND(AF15=1,J15&lt;&gt;"",J15&gt;0),ROUND(O15*10000,0)*1000000+K15*1000+(999-ROW()),"")</f>
        <v/>
      </c>
      <c r="AN15" s="40">
        <f>IF(AND(AF15=1,J15&lt;&gt;"",J15&gt;0),(L15+M15)*10000000+ROUND((1-O15)*10000,0)*1000+(999-ROW()),"")</f>
        <v/>
      </c>
      <c r="AO15" s="40">
        <f>IF(AND(AF15=1,Q15&lt;&gt;"",Q15&gt;=Thr_Critical),L15*1000+(999-ROW()),"")</f>
        <v/>
      </c>
      <c r="AP15" s="40">
        <f>IF(AND(B15&lt;&gt;"",F15="نشط",OR(Rpt_Class="الكل",D15=Rpt_Class)),1,0)</f>
        <v/>
      </c>
      <c r="AQ15" s="40">
        <f>IF(AND(AP15=1,Q15&lt;&gt;"",Q15&gt;0),L15*1000+(999-ROW()),"")</f>
        <v/>
      </c>
      <c r="AR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IF(LateAsPresent="نعم",COUNTIFS('KG1-1'!$AD19:$IM19,"متأخر",'KG1-1'!$AD$7:$IM$7,"✓",'KG1-1'!$AD$6:$IM$6,1,'KG1-1'!$AD$5:$IM$5,"&gt;="&amp;MAX('KG1-1'!$U19,Rpt_PStart),'KG1-1'!$AD$5:$IM$5,"&lt;="&amp;Rpt_PEnd),0))</f>
        <v/>
      </c>
      <c r="AS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COUNTIFS('KG1-1'!$AD19:$IM19,"غياب بدون عذر",'KG1-1'!$AD$7:$IM$7,"✓",'KG1-1'!$AD$6:$IM$6,1,'KG1-1'!$AD$5:$IM$5,"&gt;="&amp;MAX('KG1-1'!$U19,Rpt_PStart),'KG1-1'!$AD$5:$IM$5,"&lt;="&amp;Rpt_PEnd)+COUNTIFS('KG1-1'!$AD19:$IM19,"غياب بعذر",'KG1-1'!$AD$7:$IM$7,"✓",'KG1-1'!$AD$6:$IM$6,1,'KG1-1'!$AD$5:$IM$5,"&gt;="&amp;MAX('KG1-1'!$U19,Rpt_PStart),'KG1-1'!$AD$5:$IM$5,"&lt;="&amp;Rpt_PEnd)+COUNTIFS('KG1-1'!$AD19:$IM19,"متأخر",'KG1-1'!$AD$7:$IM$7,"✓",'KG1-1'!$AD$6:$IM$6,1,'KG1-1'!$AD$5:$IM$5,"&gt;="&amp;MAX('KG1-1'!$U19,Rpt_PStart),'KG1-1'!$AD$5:$IM$5,"&lt;="&amp;Rpt_PEnd))</f>
        <v/>
      </c>
      <c r="AT15" s="40">
        <f>IF(AP15=0,"",COUNTIFS('KG1-1'!$AD19:$IM19,"غياب بدون عذر",'KG1-1'!$AD$7:$IM$7,"✓",'KG1-1'!$AD$6:$IM$6,1,'KG1-1'!$AD$5:$IM$5,"&gt;="&amp;MAX('KG1-1'!$U19,Rpt_PStart),'KG1-1'!$AD$5:$IM$5,"&lt;="&amp;Rpt_PEnd)+COUNTIFS('KG1-1'!$AD19:$IM19,"غياب بعذر",'KG1-1'!$AD$7:$IM$7,"✓",'KG1-1'!$AD$6:$IM$6,1,'KG1-1'!$AD$5:$IM$5,"&gt;="&amp;MAX('KG1-1'!$U19,Rpt_PStart),'KG1-1'!$AD$5:$IM$5,"&lt;="&amp;Rpt_PEnd))</f>
        <v/>
      </c>
      <c r="AU15" s="40" t="n">
        <v>1</v>
      </c>
      <c r="AV15" s="40" t="n">
        <v>11</v>
      </c>
      <c r="AW15" s="40">
        <f>IF(OR(AP15=0,Rpt_DayIdx=0),"",IF(INDEX('KG1-1'!$AD$7:$IM$7,Rpt_DayIdx)&lt;&gt;"✓","",IF(INDEX('KG1-1'!$AD19:$IM19,Rpt_DayIdx)="","P",IFERROR(INDEX(StatusCodes,MATCH(INDEX('KG1-1'!$AD19:$IM19,Rpt_DayIdx),StatusLabels,0)),""))))</f>
        <v/>
      </c>
      <c r="AX15" s="40">
        <f>IF(AND(AP15=1,OR(AW15="A",AW15="E")),COUNTIFS($AP$5:AP15,1,$AW$5:AW15,"A")+COUNTIFS($AP$5:AP15,1,$AW$5:AW15,"E"),"")</f>
        <v/>
      </c>
    </row>
    <row r="16">
      <c r="A16" s="148">
        <f>IF(B16="","",ROW()-4)</f>
        <v/>
      </c>
      <c r="B16" s="148">
        <f>IF('KG1-1'!$B20="","",'KG1-1'!$B20)</f>
        <v/>
      </c>
      <c r="C16" s="146">
        <f>IF('KG1-1'!$C20="","",'KG1-1'!$C20)</f>
        <v/>
      </c>
      <c r="D16" s="148">
        <f>IF(B16="","",'KG1-1'!$B$2)</f>
        <v/>
      </c>
      <c r="E16" s="148">
        <f>IF(B16="","",MID(D16,FIND("-",D16&amp;"-")+1,10))</f>
        <v/>
      </c>
      <c r="F16" s="148">
        <f>IF(B16="","","نشط")</f>
        <v/>
      </c>
      <c r="G16" s="157">
        <f>IF(B16="","","")</f>
        <v/>
      </c>
      <c r="H16" s="146">
        <f>IF('KG1-1'!$K20="","",'KG1-1'!$K20)</f>
        <v/>
      </c>
      <c r="I16" s="148">
        <f>IF('KG1-1'!$J20="","",'KG1-1'!$J20)</f>
        <v/>
      </c>
      <c r="J16" s="148">
        <f>IF('KG1-1'!$M20="","",'KG1-1'!$M20)</f>
        <v/>
      </c>
      <c r="K16" s="148">
        <f>IF('KG1-1'!$N20="","",'KG1-1'!$N20)</f>
        <v/>
      </c>
      <c r="L16" s="148">
        <f>IF('KG1-1'!$D20="","",'KG1-1'!$D20)</f>
        <v/>
      </c>
      <c r="M16" s="148">
        <f>IF('KG1-1'!$E20="","",'KG1-1'!$E20)</f>
        <v/>
      </c>
      <c r="N16" s="148">
        <f>IF('KG1-1'!$F20="","",'KG1-1'!$F20)</f>
        <v/>
      </c>
      <c r="O16" s="158">
        <f>IF('KG1-1'!$G20="","",'KG1-1'!$G20)</f>
        <v/>
      </c>
      <c r="P16" s="158">
        <f>IF('KG1-1'!$O20="","",'KG1-1'!$O20)</f>
        <v/>
      </c>
      <c r="Q16" s="148">
        <f>IF('KG1-1'!$T20="","",'KG1-1'!$T20)</f>
        <v/>
      </c>
      <c r="R16" s="146">
        <f>IF('KG1-1'!$H20="","",'KG1-1'!$H20)</f>
        <v/>
      </c>
      <c r="S16" s="157">
        <f>IF('KG1-1'!$P20="","",'KG1-1'!$P20)</f>
        <v/>
      </c>
      <c r="T16" s="157">
        <f>IF('KG1-1'!$V20="","",'KG1-1'!$V20)</f>
        <v/>
      </c>
      <c r="U16" s="157">
        <f>IF('KG1-1'!$W20="","",'KG1-1'!$W20)</f>
        <v/>
      </c>
      <c r="V16" s="157">
        <f>IF('KG1-1'!$X20="","",'KG1-1'!$X20)</f>
        <v/>
      </c>
      <c r="W16" s="157">
        <f>IF('KG1-1'!$Y20="","",'KG1-1'!$Y20)</f>
        <v/>
      </c>
      <c r="X16" s="157">
        <f>IF('KG1-1'!$R20="","",'KG1-1'!$R20)</f>
        <v/>
      </c>
      <c r="Y16" s="148">
        <f>IF('KG1-1'!$S20="","",'KG1-1'!$S20)</f>
        <v/>
      </c>
      <c r="Z16" s="148">
        <f>IF('KG1-1'!$Q20="","",'KG1-1'!$Q20)</f>
        <v/>
      </c>
      <c r="AA16" s="148">
        <f>IF('KG1-1'!$I20="","",'KG1-1'!$I20)</f>
        <v/>
      </c>
      <c r="AB16" s="146">
        <f>IF(Q16="","",INDEX(LevelActions,MATCH(Q16,LevelValues,0)))</f>
        <v/>
      </c>
      <c r="AC16" s="148">
        <f>IF(J16="","",IF(J16=0,"—",IF(AND(L16=0,M16=0),Cat_L1,IF(O16&gt;=Cat_95,Cat_L2,IF(O16&gt;=Cat_90,Cat_L3,Cat_L4)))))</f>
        <v/>
      </c>
      <c r="AD16" s="146">
        <f>IF('KG1-1'!$L20="","",'KG1-1'!$L20)</f>
        <v/>
      </c>
      <c r="AE16" s="148">
        <f>IF(B16="","",IF(COUNTIF($B$5:$B$214,B16)&gt;1,"مكرر!",""))</f>
        <v/>
      </c>
      <c r="AF16" s="148">
        <f>IF(AND(B16&lt;&gt;"",F16="نشط",OR(Dash_Class="الكل",D16=Dash_Class)),1,0)</f>
        <v/>
      </c>
      <c r="AG16" s="40">
        <f>IF(OR(AF16=0,Dash_DayIdx=0),"",IF(INDEX('KG1-1'!$AD$7:$IM$7,Dash_DayIdx)&lt;&gt;"✓","",IF(INDEX('KG1-1'!$AD20:$IM20,Dash_DayIdx)="","P",IFERROR(INDEX(StatusCodes,MATCH(INDEX('KG1-1'!$AD20:$IM20,Dash_DayIdx),StatusLabels,0)),""))))</f>
        <v/>
      </c>
      <c r="AH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IF(LateAsPresent="نعم",COUNTIFS('KG1-1'!$AD20:$IM20,"متأخر",'KG1-1'!$AD$7:$IM$7,"✓",'KG1-1'!$AD$6:$IM$6,1,'KG1-1'!$AD$5:$IM$5,"&gt;="&amp;MAX('KG1-1'!$U20,Dash_PStart),'KG1-1'!$AD$5:$IM$5,"&lt;="&amp;Dash_PEnd),0))</f>
        <v/>
      </c>
      <c r="AI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COUNTIFS('KG1-1'!$AD20:$IM20,"غياب بدون عذر",'KG1-1'!$AD$7:$IM$7,"✓",'KG1-1'!$AD$6:$IM$6,1,'KG1-1'!$AD$5:$IM$5,"&gt;="&amp;MAX('KG1-1'!$U20,Dash_PStart),'KG1-1'!$AD$5:$IM$5,"&lt;="&amp;Dash_PEnd)+COUNTIFS('KG1-1'!$AD20:$IM20,"غياب بعذر",'KG1-1'!$AD$7:$IM$7,"✓",'KG1-1'!$AD$6:$IM$6,1,'KG1-1'!$AD$5:$IM$5,"&gt;="&amp;MAX('KG1-1'!$U20,Dash_PStart),'KG1-1'!$AD$5:$IM$5,"&lt;="&amp;Dash_PEnd)+COUNTIFS('KG1-1'!$AD20:$IM20,"متأخر",'KG1-1'!$AD$7:$IM$7,"✓",'KG1-1'!$AD$6:$IM$6,1,'KG1-1'!$AD$5:$IM$5,"&gt;="&amp;MAX('KG1-1'!$U20,Dash_PStart),'KG1-1'!$AD$5:$IM$5,"&lt;="&amp;Dash_PEnd))</f>
        <v/>
      </c>
      <c r="AJ16" s="40">
        <f>IF(AF16=0,0,IF(W16=Dash_Date,Thr_Critical,IF(V16=Dash_Date,Thr_High,IF(U16=Dash_Date,Thr_Repeated,IF(T16=Dash_Date,Thr_FollowUp,0)))))</f>
        <v/>
      </c>
      <c r="AK16" s="40">
        <f>IF(AJ16&gt;0,COUNTIF($AJ$5:AJ16,"&gt;0"),"")</f>
        <v/>
      </c>
      <c r="AL16" s="40">
        <f>IF(AND(B16&lt;&gt;"",F16="نشط",Q16&lt;&gt;"",Q16&gt;0),L16*1000+(999-ROW()),"")</f>
        <v/>
      </c>
      <c r="AM16" s="40">
        <f>IF(AND(AF16=1,J16&lt;&gt;"",J16&gt;0),ROUND(O16*10000,0)*1000000+K16*1000+(999-ROW()),"")</f>
        <v/>
      </c>
      <c r="AN16" s="40">
        <f>IF(AND(AF16=1,J16&lt;&gt;"",J16&gt;0),(L16+M16)*10000000+ROUND((1-O16)*10000,0)*1000+(999-ROW()),"")</f>
        <v/>
      </c>
      <c r="AO16" s="40">
        <f>IF(AND(AF16=1,Q16&lt;&gt;"",Q16&gt;=Thr_Critical),L16*1000+(999-ROW()),"")</f>
        <v/>
      </c>
      <c r="AP16" s="40">
        <f>IF(AND(B16&lt;&gt;"",F16="نشط",OR(Rpt_Class="الكل",D16=Rpt_Class)),1,0)</f>
        <v/>
      </c>
      <c r="AQ16" s="40">
        <f>IF(AND(AP16=1,Q16&lt;&gt;"",Q16&gt;0),L16*1000+(999-ROW()),"")</f>
        <v/>
      </c>
      <c r="AR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IF(LateAsPresent="نعم",COUNTIFS('KG1-1'!$AD20:$IM20,"متأخر",'KG1-1'!$AD$7:$IM$7,"✓",'KG1-1'!$AD$6:$IM$6,1,'KG1-1'!$AD$5:$IM$5,"&gt;="&amp;MAX('KG1-1'!$U20,Rpt_PStart),'KG1-1'!$AD$5:$IM$5,"&lt;="&amp;Rpt_PEnd),0))</f>
        <v/>
      </c>
      <c r="AS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COUNTIFS('KG1-1'!$AD20:$IM20,"غياب بدون عذر",'KG1-1'!$AD$7:$IM$7,"✓",'KG1-1'!$AD$6:$IM$6,1,'KG1-1'!$AD$5:$IM$5,"&gt;="&amp;MAX('KG1-1'!$U20,Rpt_PStart),'KG1-1'!$AD$5:$IM$5,"&lt;="&amp;Rpt_PEnd)+COUNTIFS('KG1-1'!$AD20:$IM20,"غياب بعذر",'KG1-1'!$AD$7:$IM$7,"✓",'KG1-1'!$AD$6:$IM$6,1,'KG1-1'!$AD$5:$IM$5,"&gt;="&amp;MAX('KG1-1'!$U20,Rpt_PStart),'KG1-1'!$AD$5:$IM$5,"&lt;="&amp;Rpt_PEnd)+COUNTIFS('KG1-1'!$AD20:$IM20,"متأخر",'KG1-1'!$AD$7:$IM$7,"✓",'KG1-1'!$AD$6:$IM$6,1,'KG1-1'!$AD$5:$IM$5,"&gt;="&amp;MAX('KG1-1'!$U20,Rpt_PStart),'KG1-1'!$AD$5:$IM$5,"&lt;="&amp;Rpt_PEnd))</f>
        <v/>
      </c>
      <c r="AT16" s="40">
        <f>IF(AP16=0,"",COUNTIFS('KG1-1'!$AD20:$IM20,"غياب بدون عذر",'KG1-1'!$AD$7:$IM$7,"✓",'KG1-1'!$AD$6:$IM$6,1,'KG1-1'!$AD$5:$IM$5,"&gt;="&amp;MAX('KG1-1'!$U20,Rpt_PStart),'KG1-1'!$AD$5:$IM$5,"&lt;="&amp;Rpt_PEnd)+COUNTIFS('KG1-1'!$AD20:$IM20,"غياب بعذر",'KG1-1'!$AD$7:$IM$7,"✓",'KG1-1'!$AD$6:$IM$6,1,'KG1-1'!$AD$5:$IM$5,"&gt;="&amp;MAX('KG1-1'!$U20,Rpt_PStart),'KG1-1'!$AD$5:$IM$5,"&lt;="&amp;Rpt_PEnd))</f>
        <v/>
      </c>
      <c r="AU16" s="40" t="n">
        <v>1</v>
      </c>
      <c r="AV16" s="40" t="n">
        <v>12</v>
      </c>
      <c r="AW16" s="40">
        <f>IF(OR(AP16=0,Rpt_DayIdx=0),"",IF(INDEX('KG1-1'!$AD$7:$IM$7,Rpt_DayIdx)&lt;&gt;"✓","",IF(INDEX('KG1-1'!$AD20:$IM20,Rpt_DayIdx)="","P",IFERROR(INDEX(StatusCodes,MATCH(INDEX('KG1-1'!$AD20:$IM20,Rpt_DayIdx),StatusLabels,0)),""))))</f>
        <v/>
      </c>
      <c r="AX16" s="40">
        <f>IF(AND(AP16=1,OR(AW16="A",AW16="E")),COUNTIFS($AP$5:AP16,1,$AW$5:AW16,"A")+COUNTIFS($AP$5:AP16,1,$AW$5:AW16,"E"),"")</f>
        <v/>
      </c>
    </row>
    <row r="17">
      <c r="A17" s="148">
        <f>IF(B17="","",ROW()-4)</f>
        <v/>
      </c>
      <c r="B17" s="148">
        <f>IF('KG1-1'!$B21="","",'KG1-1'!$B21)</f>
        <v/>
      </c>
      <c r="C17" s="146">
        <f>IF('KG1-1'!$C21="","",'KG1-1'!$C21)</f>
        <v/>
      </c>
      <c r="D17" s="148">
        <f>IF(B17="","",'KG1-1'!$B$2)</f>
        <v/>
      </c>
      <c r="E17" s="148">
        <f>IF(B17="","",MID(D17,FIND("-",D17&amp;"-")+1,10))</f>
        <v/>
      </c>
      <c r="F17" s="148">
        <f>IF(B17="","","نشط")</f>
        <v/>
      </c>
      <c r="G17" s="157">
        <f>IF(B17="","","")</f>
        <v/>
      </c>
      <c r="H17" s="146">
        <f>IF('KG1-1'!$K21="","",'KG1-1'!$K21)</f>
        <v/>
      </c>
      <c r="I17" s="148">
        <f>IF('KG1-1'!$J21="","",'KG1-1'!$J21)</f>
        <v/>
      </c>
      <c r="J17" s="148">
        <f>IF('KG1-1'!$M21="","",'KG1-1'!$M21)</f>
        <v/>
      </c>
      <c r="K17" s="148">
        <f>IF('KG1-1'!$N21="","",'KG1-1'!$N21)</f>
        <v/>
      </c>
      <c r="L17" s="148">
        <f>IF('KG1-1'!$D21="","",'KG1-1'!$D21)</f>
        <v/>
      </c>
      <c r="M17" s="148">
        <f>IF('KG1-1'!$E21="","",'KG1-1'!$E21)</f>
        <v/>
      </c>
      <c r="N17" s="148">
        <f>IF('KG1-1'!$F21="","",'KG1-1'!$F21)</f>
        <v/>
      </c>
      <c r="O17" s="158">
        <f>IF('KG1-1'!$G21="","",'KG1-1'!$G21)</f>
        <v/>
      </c>
      <c r="P17" s="158">
        <f>IF('KG1-1'!$O21="","",'KG1-1'!$O21)</f>
        <v/>
      </c>
      <c r="Q17" s="148">
        <f>IF('KG1-1'!$T21="","",'KG1-1'!$T21)</f>
        <v/>
      </c>
      <c r="R17" s="146">
        <f>IF('KG1-1'!$H21="","",'KG1-1'!$H21)</f>
        <v/>
      </c>
      <c r="S17" s="157">
        <f>IF('KG1-1'!$P21="","",'KG1-1'!$P21)</f>
        <v/>
      </c>
      <c r="T17" s="157">
        <f>IF('KG1-1'!$V21="","",'KG1-1'!$V21)</f>
        <v/>
      </c>
      <c r="U17" s="157">
        <f>IF('KG1-1'!$W21="","",'KG1-1'!$W21)</f>
        <v/>
      </c>
      <c r="V17" s="157">
        <f>IF('KG1-1'!$X21="","",'KG1-1'!$X21)</f>
        <v/>
      </c>
      <c r="W17" s="157">
        <f>IF('KG1-1'!$Y21="","",'KG1-1'!$Y21)</f>
        <v/>
      </c>
      <c r="X17" s="157">
        <f>IF('KG1-1'!$R21="","",'KG1-1'!$R21)</f>
        <v/>
      </c>
      <c r="Y17" s="148">
        <f>IF('KG1-1'!$S21="","",'KG1-1'!$S21)</f>
        <v/>
      </c>
      <c r="Z17" s="148">
        <f>IF('KG1-1'!$Q21="","",'KG1-1'!$Q21)</f>
        <v/>
      </c>
      <c r="AA17" s="148">
        <f>IF('KG1-1'!$I21="","",'KG1-1'!$I21)</f>
        <v/>
      </c>
      <c r="AB17" s="146">
        <f>IF(Q17="","",INDEX(LevelActions,MATCH(Q17,LevelValues,0)))</f>
        <v/>
      </c>
      <c r="AC17" s="148">
        <f>IF(J17="","",IF(J17=0,"—",IF(AND(L17=0,M17=0),Cat_L1,IF(O17&gt;=Cat_95,Cat_L2,IF(O17&gt;=Cat_90,Cat_L3,Cat_L4)))))</f>
        <v/>
      </c>
      <c r="AD17" s="146">
        <f>IF('KG1-1'!$L21="","",'KG1-1'!$L21)</f>
        <v/>
      </c>
      <c r="AE17" s="148">
        <f>IF(B17="","",IF(COUNTIF($B$5:$B$214,B17)&gt;1,"مكرر!",""))</f>
        <v/>
      </c>
      <c r="AF17" s="148">
        <f>IF(AND(B17&lt;&gt;"",F17="نشط",OR(Dash_Class="الكل",D17=Dash_Class)),1,0)</f>
        <v/>
      </c>
      <c r="AG17" s="40">
        <f>IF(OR(AF17=0,Dash_DayIdx=0),"",IF(INDEX('KG1-1'!$AD$7:$IM$7,Dash_DayIdx)&lt;&gt;"✓","",IF(INDEX('KG1-1'!$AD21:$IM21,Dash_DayIdx)="","P",IFERROR(INDEX(StatusCodes,MATCH(INDEX('KG1-1'!$AD21:$IM21,Dash_DayIdx),StatusLabels,0)),""))))</f>
        <v/>
      </c>
      <c r="AH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IF(LateAsPresent="نعم",COUNTIFS('KG1-1'!$AD21:$IM21,"متأخر",'KG1-1'!$AD$7:$IM$7,"✓",'KG1-1'!$AD$6:$IM$6,1,'KG1-1'!$AD$5:$IM$5,"&gt;="&amp;MAX('KG1-1'!$U21,Dash_PStart),'KG1-1'!$AD$5:$IM$5,"&lt;="&amp;Dash_PEnd),0))</f>
        <v/>
      </c>
      <c r="AI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COUNTIFS('KG1-1'!$AD21:$IM21,"غياب بدون عذر",'KG1-1'!$AD$7:$IM$7,"✓",'KG1-1'!$AD$6:$IM$6,1,'KG1-1'!$AD$5:$IM$5,"&gt;="&amp;MAX('KG1-1'!$U21,Dash_PStart),'KG1-1'!$AD$5:$IM$5,"&lt;="&amp;Dash_PEnd)+COUNTIFS('KG1-1'!$AD21:$IM21,"غياب بعذر",'KG1-1'!$AD$7:$IM$7,"✓",'KG1-1'!$AD$6:$IM$6,1,'KG1-1'!$AD$5:$IM$5,"&gt;="&amp;MAX('KG1-1'!$U21,Dash_PStart),'KG1-1'!$AD$5:$IM$5,"&lt;="&amp;Dash_PEnd)+COUNTIFS('KG1-1'!$AD21:$IM21,"متأخر",'KG1-1'!$AD$7:$IM$7,"✓",'KG1-1'!$AD$6:$IM$6,1,'KG1-1'!$AD$5:$IM$5,"&gt;="&amp;MAX('KG1-1'!$U21,Dash_PStart),'KG1-1'!$AD$5:$IM$5,"&lt;="&amp;Dash_PEnd))</f>
        <v/>
      </c>
      <c r="AJ17" s="40">
        <f>IF(AF17=0,0,IF(W17=Dash_Date,Thr_Critical,IF(V17=Dash_Date,Thr_High,IF(U17=Dash_Date,Thr_Repeated,IF(T17=Dash_Date,Thr_FollowUp,0)))))</f>
        <v/>
      </c>
      <c r="AK17" s="40">
        <f>IF(AJ17&gt;0,COUNTIF($AJ$5:AJ17,"&gt;0"),"")</f>
        <v/>
      </c>
      <c r="AL17" s="40">
        <f>IF(AND(B17&lt;&gt;"",F17="نشط",Q17&lt;&gt;"",Q17&gt;0),L17*1000+(999-ROW()),"")</f>
        <v/>
      </c>
      <c r="AM17" s="40">
        <f>IF(AND(AF17=1,J17&lt;&gt;"",J17&gt;0),ROUND(O17*10000,0)*1000000+K17*1000+(999-ROW()),"")</f>
        <v/>
      </c>
      <c r="AN17" s="40">
        <f>IF(AND(AF17=1,J17&lt;&gt;"",J17&gt;0),(L17+M17)*10000000+ROUND((1-O17)*10000,0)*1000+(999-ROW()),"")</f>
        <v/>
      </c>
      <c r="AO17" s="40">
        <f>IF(AND(AF17=1,Q17&lt;&gt;"",Q17&gt;=Thr_Critical),L17*1000+(999-ROW()),"")</f>
        <v/>
      </c>
      <c r="AP17" s="40">
        <f>IF(AND(B17&lt;&gt;"",F17="نشط",OR(Rpt_Class="الكل",D17=Rpt_Class)),1,0)</f>
        <v/>
      </c>
      <c r="AQ17" s="40">
        <f>IF(AND(AP17=1,Q17&lt;&gt;"",Q17&gt;0),L17*1000+(999-ROW()),"")</f>
        <v/>
      </c>
      <c r="AR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IF(LateAsPresent="نعم",COUNTIFS('KG1-1'!$AD21:$IM21,"متأخر",'KG1-1'!$AD$7:$IM$7,"✓",'KG1-1'!$AD$6:$IM$6,1,'KG1-1'!$AD$5:$IM$5,"&gt;="&amp;MAX('KG1-1'!$U21,Rpt_PStart),'KG1-1'!$AD$5:$IM$5,"&lt;="&amp;Rpt_PEnd),0))</f>
        <v/>
      </c>
      <c r="AS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COUNTIFS('KG1-1'!$AD21:$IM21,"غياب بدون عذر",'KG1-1'!$AD$7:$IM$7,"✓",'KG1-1'!$AD$6:$IM$6,1,'KG1-1'!$AD$5:$IM$5,"&gt;="&amp;MAX('KG1-1'!$U21,Rpt_PStart),'KG1-1'!$AD$5:$IM$5,"&lt;="&amp;Rpt_PEnd)+COUNTIFS('KG1-1'!$AD21:$IM21,"غياب بعذر",'KG1-1'!$AD$7:$IM$7,"✓",'KG1-1'!$AD$6:$IM$6,1,'KG1-1'!$AD$5:$IM$5,"&gt;="&amp;MAX('KG1-1'!$U21,Rpt_PStart),'KG1-1'!$AD$5:$IM$5,"&lt;="&amp;Rpt_PEnd)+COUNTIFS('KG1-1'!$AD21:$IM21,"متأخر",'KG1-1'!$AD$7:$IM$7,"✓",'KG1-1'!$AD$6:$IM$6,1,'KG1-1'!$AD$5:$IM$5,"&gt;="&amp;MAX('KG1-1'!$U21,Rpt_PStart),'KG1-1'!$AD$5:$IM$5,"&lt;="&amp;Rpt_PEnd))</f>
        <v/>
      </c>
      <c r="AT17" s="40">
        <f>IF(AP17=0,"",COUNTIFS('KG1-1'!$AD21:$IM21,"غياب بدون عذر",'KG1-1'!$AD$7:$IM$7,"✓",'KG1-1'!$AD$6:$IM$6,1,'KG1-1'!$AD$5:$IM$5,"&gt;="&amp;MAX('KG1-1'!$U21,Rpt_PStart),'KG1-1'!$AD$5:$IM$5,"&lt;="&amp;Rpt_PEnd)+COUNTIFS('KG1-1'!$AD21:$IM21,"غياب بعذر",'KG1-1'!$AD$7:$IM$7,"✓",'KG1-1'!$AD$6:$IM$6,1,'KG1-1'!$AD$5:$IM$5,"&gt;="&amp;MAX('KG1-1'!$U21,Rpt_PStart),'KG1-1'!$AD$5:$IM$5,"&lt;="&amp;Rpt_PEnd))</f>
        <v/>
      </c>
      <c r="AU17" s="40" t="n">
        <v>1</v>
      </c>
      <c r="AV17" s="40" t="n">
        <v>13</v>
      </c>
      <c r="AW17" s="40">
        <f>IF(OR(AP17=0,Rpt_DayIdx=0),"",IF(INDEX('KG1-1'!$AD$7:$IM$7,Rpt_DayIdx)&lt;&gt;"✓","",IF(INDEX('KG1-1'!$AD21:$IM21,Rpt_DayIdx)="","P",IFERROR(INDEX(StatusCodes,MATCH(INDEX('KG1-1'!$AD21:$IM21,Rpt_DayIdx),StatusLabels,0)),""))))</f>
        <v/>
      </c>
      <c r="AX17" s="40">
        <f>IF(AND(AP17=1,OR(AW17="A",AW17="E")),COUNTIFS($AP$5:AP17,1,$AW$5:AW17,"A")+COUNTIFS($AP$5:AP17,1,$AW$5:AW17,"E"),"")</f>
        <v/>
      </c>
    </row>
    <row r="18">
      <c r="A18" s="148">
        <f>IF(B18="","",ROW()-4)</f>
        <v/>
      </c>
      <c r="B18" s="148">
        <f>IF('KG1-1'!$B22="","",'KG1-1'!$B22)</f>
        <v/>
      </c>
      <c r="C18" s="146">
        <f>IF('KG1-1'!$C22="","",'KG1-1'!$C22)</f>
        <v/>
      </c>
      <c r="D18" s="148">
        <f>IF(B18="","",'KG1-1'!$B$2)</f>
        <v/>
      </c>
      <c r="E18" s="148">
        <f>IF(B18="","",MID(D18,FIND("-",D18&amp;"-")+1,10))</f>
        <v/>
      </c>
      <c r="F18" s="148">
        <f>IF(B18="","","نشط")</f>
        <v/>
      </c>
      <c r="G18" s="157">
        <f>IF(B18="","","")</f>
        <v/>
      </c>
      <c r="H18" s="146">
        <f>IF('KG1-1'!$K22="","",'KG1-1'!$K22)</f>
        <v/>
      </c>
      <c r="I18" s="148">
        <f>IF('KG1-1'!$J22="","",'KG1-1'!$J22)</f>
        <v/>
      </c>
      <c r="J18" s="148">
        <f>IF('KG1-1'!$M22="","",'KG1-1'!$M22)</f>
        <v/>
      </c>
      <c r="K18" s="148">
        <f>IF('KG1-1'!$N22="","",'KG1-1'!$N22)</f>
        <v/>
      </c>
      <c r="L18" s="148">
        <f>IF('KG1-1'!$D22="","",'KG1-1'!$D22)</f>
        <v/>
      </c>
      <c r="M18" s="148">
        <f>IF('KG1-1'!$E22="","",'KG1-1'!$E22)</f>
        <v/>
      </c>
      <c r="N18" s="148">
        <f>IF('KG1-1'!$F22="","",'KG1-1'!$F22)</f>
        <v/>
      </c>
      <c r="O18" s="158">
        <f>IF('KG1-1'!$G22="","",'KG1-1'!$G22)</f>
        <v/>
      </c>
      <c r="P18" s="158">
        <f>IF('KG1-1'!$O22="","",'KG1-1'!$O22)</f>
        <v/>
      </c>
      <c r="Q18" s="148">
        <f>IF('KG1-1'!$T22="","",'KG1-1'!$T22)</f>
        <v/>
      </c>
      <c r="R18" s="146">
        <f>IF('KG1-1'!$H22="","",'KG1-1'!$H22)</f>
        <v/>
      </c>
      <c r="S18" s="157">
        <f>IF('KG1-1'!$P22="","",'KG1-1'!$P22)</f>
        <v/>
      </c>
      <c r="T18" s="157">
        <f>IF('KG1-1'!$V22="","",'KG1-1'!$V22)</f>
        <v/>
      </c>
      <c r="U18" s="157">
        <f>IF('KG1-1'!$W22="","",'KG1-1'!$W22)</f>
        <v/>
      </c>
      <c r="V18" s="157">
        <f>IF('KG1-1'!$X22="","",'KG1-1'!$X22)</f>
        <v/>
      </c>
      <c r="W18" s="157">
        <f>IF('KG1-1'!$Y22="","",'KG1-1'!$Y22)</f>
        <v/>
      </c>
      <c r="X18" s="157">
        <f>IF('KG1-1'!$R22="","",'KG1-1'!$R22)</f>
        <v/>
      </c>
      <c r="Y18" s="148">
        <f>IF('KG1-1'!$S22="","",'KG1-1'!$S22)</f>
        <v/>
      </c>
      <c r="Z18" s="148">
        <f>IF('KG1-1'!$Q22="","",'KG1-1'!$Q22)</f>
        <v/>
      </c>
      <c r="AA18" s="148">
        <f>IF('KG1-1'!$I22="","",'KG1-1'!$I22)</f>
        <v/>
      </c>
      <c r="AB18" s="146">
        <f>IF(Q18="","",INDEX(LevelActions,MATCH(Q18,LevelValues,0)))</f>
        <v/>
      </c>
      <c r="AC18" s="148">
        <f>IF(J18="","",IF(J18=0,"—",IF(AND(L18=0,M18=0),Cat_L1,IF(O18&gt;=Cat_95,Cat_L2,IF(O18&gt;=Cat_90,Cat_L3,Cat_L4)))))</f>
        <v/>
      </c>
      <c r="AD18" s="146">
        <f>IF('KG1-1'!$L22="","",'KG1-1'!$L22)</f>
        <v/>
      </c>
      <c r="AE18" s="148">
        <f>IF(B18="","",IF(COUNTIF($B$5:$B$214,B18)&gt;1,"مكرر!",""))</f>
        <v/>
      </c>
      <c r="AF18" s="148">
        <f>IF(AND(B18&lt;&gt;"",F18="نشط",OR(Dash_Class="الكل",D18=Dash_Class)),1,0)</f>
        <v/>
      </c>
      <c r="AG18" s="40">
        <f>IF(OR(AF18=0,Dash_DayIdx=0),"",IF(INDEX('KG1-1'!$AD$7:$IM$7,Dash_DayIdx)&lt;&gt;"✓","",IF(INDEX('KG1-1'!$AD22:$IM22,Dash_DayIdx)="","P",IFERROR(INDEX(StatusCodes,MATCH(INDEX('KG1-1'!$AD22:$IM22,Dash_DayIdx),StatusLabels,0)),""))))</f>
        <v/>
      </c>
      <c r="AH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IF(LateAsPresent="نعم",COUNTIFS('KG1-1'!$AD22:$IM22,"متأخر",'KG1-1'!$AD$7:$IM$7,"✓",'KG1-1'!$AD$6:$IM$6,1,'KG1-1'!$AD$5:$IM$5,"&gt;="&amp;MAX('KG1-1'!$U22,Dash_PStart),'KG1-1'!$AD$5:$IM$5,"&lt;="&amp;Dash_PEnd),0))</f>
        <v/>
      </c>
      <c r="AI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COUNTIFS('KG1-1'!$AD22:$IM22,"غياب بدون عذر",'KG1-1'!$AD$7:$IM$7,"✓",'KG1-1'!$AD$6:$IM$6,1,'KG1-1'!$AD$5:$IM$5,"&gt;="&amp;MAX('KG1-1'!$U22,Dash_PStart),'KG1-1'!$AD$5:$IM$5,"&lt;="&amp;Dash_PEnd)+COUNTIFS('KG1-1'!$AD22:$IM22,"غياب بعذر",'KG1-1'!$AD$7:$IM$7,"✓",'KG1-1'!$AD$6:$IM$6,1,'KG1-1'!$AD$5:$IM$5,"&gt;="&amp;MAX('KG1-1'!$U22,Dash_PStart),'KG1-1'!$AD$5:$IM$5,"&lt;="&amp;Dash_PEnd)+COUNTIFS('KG1-1'!$AD22:$IM22,"متأخر",'KG1-1'!$AD$7:$IM$7,"✓",'KG1-1'!$AD$6:$IM$6,1,'KG1-1'!$AD$5:$IM$5,"&gt;="&amp;MAX('KG1-1'!$U22,Dash_PStart),'KG1-1'!$AD$5:$IM$5,"&lt;="&amp;Dash_PEnd))</f>
        <v/>
      </c>
      <c r="AJ18" s="40">
        <f>IF(AF18=0,0,IF(W18=Dash_Date,Thr_Critical,IF(V18=Dash_Date,Thr_High,IF(U18=Dash_Date,Thr_Repeated,IF(T18=Dash_Date,Thr_FollowUp,0)))))</f>
        <v/>
      </c>
      <c r="AK18" s="40">
        <f>IF(AJ18&gt;0,COUNTIF($AJ$5:AJ18,"&gt;0"),"")</f>
        <v/>
      </c>
      <c r="AL18" s="40">
        <f>IF(AND(B18&lt;&gt;"",F18="نشط",Q18&lt;&gt;"",Q18&gt;0),L18*1000+(999-ROW()),"")</f>
        <v/>
      </c>
      <c r="AM18" s="40">
        <f>IF(AND(AF18=1,J18&lt;&gt;"",J18&gt;0),ROUND(O18*10000,0)*1000000+K18*1000+(999-ROW()),"")</f>
        <v/>
      </c>
      <c r="AN18" s="40">
        <f>IF(AND(AF18=1,J18&lt;&gt;"",J18&gt;0),(L18+M18)*10000000+ROUND((1-O18)*10000,0)*1000+(999-ROW()),"")</f>
        <v/>
      </c>
      <c r="AO18" s="40">
        <f>IF(AND(AF18=1,Q18&lt;&gt;"",Q18&gt;=Thr_Critical),L18*1000+(999-ROW()),"")</f>
        <v/>
      </c>
      <c r="AP18" s="40">
        <f>IF(AND(B18&lt;&gt;"",F18="نشط",OR(Rpt_Class="الكل",D18=Rpt_Class)),1,0)</f>
        <v/>
      </c>
      <c r="AQ18" s="40">
        <f>IF(AND(AP18=1,Q18&lt;&gt;"",Q18&gt;0),L18*1000+(999-ROW()),"")</f>
        <v/>
      </c>
      <c r="AR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IF(LateAsPresent="نعم",COUNTIFS('KG1-1'!$AD22:$IM22,"متأخر",'KG1-1'!$AD$7:$IM$7,"✓",'KG1-1'!$AD$6:$IM$6,1,'KG1-1'!$AD$5:$IM$5,"&gt;="&amp;MAX('KG1-1'!$U22,Rpt_PStart),'KG1-1'!$AD$5:$IM$5,"&lt;="&amp;Rpt_PEnd),0))</f>
        <v/>
      </c>
      <c r="AS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COUNTIFS('KG1-1'!$AD22:$IM22,"غياب بدون عذر",'KG1-1'!$AD$7:$IM$7,"✓",'KG1-1'!$AD$6:$IM$6,1,'KG1-1'!$AD$5:$IM$5,"&gt;="&amp;MAX('KG1-1'!$U22,Rpt_PStart),'KG1-1'!$AD$5:$IM$5,"&lt;="&amp;Rpt_PEnd)+COUNTIFS('KG1-1'!$AD22:$IM22,"غياب بعذر",'KG1-1'!$AD$7:$IM$7,"✓",'KG1-1'!$AD$6:$IM$6,1,'KG1-1'!$AD$5:$IM$5,"&gt;="&amp;MAX('KG1-1'!$U22,Rpt_PStart),'KG1-1'!$AD$5:$IM$5,"&lt;="&amp;Rpt_PEnd)+COUNTIFS('KG1-1'!$AD22:$IM22,"متأخر",'KG1-1'!$AD$7:$IM$7,"✓",'KG1-1'!$AD$6:$IM$6,1,'KG1-1'!$AD$5:$IM$5,"&gt;="&amp;MAX('KG1-1'!$U22,Rpt_PStart),'KG1-1'!$AD$5:$IM$5,"&lt;="&amp;Rpt_PEnd))</f>
        <v/>
      </c>
      <c r="AT18" s="40">
        <f>IF(AP18=0,"",COUNTIFS('KG1-1'!$AD22:$IM22,"غياب بدون عذر",'KG1-1'!$AD$7:$IM$7,"✓",'KG1-1'!$AD$6:$IM$6,1,'KG1-1'!$AD$5:$IM$5,"&gt;="&amp;MAX('KG1-1'!$U22,Rpt_PStart),'KG1-1'!$AD$5:$IM$5,"&lt;="&amp;Rpt_PEnd)+COUNTIFS('KG1-1'!$AD22:$IM22,"غياب بعذر",'KG1-1'!$AD$7:$IM$7,"✓",'KG1-1'!$AD$6:$IM$6,1,'KG1-1'!$AD$5:$IM$5,"&gt;="&amp;MAX('KG1-1'!$U22,Rpt_PStart),'KG1-1'!$AD$5:$IM$5,"&lt;="&amp;Rpt_PEnd))</f>
        <v/>
      </c>
      <c r="AU18" s="40" t="n">
        <v>1</v>
      </c>
      <c r="AV18" s="40" t="n">
        <v>14</v>
      </c>
      <c r="AW18" s="40">
        <f>IF(OR(AP18=0,Rpt_DayIdx=0),"",IF(INDEX('KG1-1'!$AD$7:$IM$7,Rpt_DayIdx)&lt;&gt;"✓","",IF(INDEX('KG1-1'!$AD22:$IM22,Rpt_DayIdx)="","P",IFERROR(INDEX(StatusCodes,MATCH(INDEX('KG1-1'!$AD22:$IM22,Rpt_DayIdx),StatusLabels,0)),""))))</f>
        <v/>
      </c>
      <c r="AX18" s="40">
        <f>IF(AND(AP18=1,OR(AW18="A",AW18="E")),COUNTIFS($AP$5:AP18,1,$AW$5:AW18,"A")+COUNTIFS($AP$5:AP18,1,$AW$5:AW18,"E"),"")</f>
        <v/>
      </c>
    </row>
    <row r="19">
      <c r="A19" s="148">
        <f>IF(B19="","",ROW()-4)</f>
        <v/>
      </c>
      <c r="B19" s="148">
        <f>IF('KG1-1'!$B23="","",'KG1-1'!$B23)</f>
        <v/>
      </c>
      <c r="C19" s="146">
        <f>IF('KG1-1'!$C23="","",'KG1-1'!$C23)</f>
        <v/>
      </c>
      <c r="D19" s="148">
        <f>IF(B19="","",'KG1-1'!$B$2)</f>
        <v/>
      </c>
      <c r="E19" s="148">
        <f>IF(B19="","",MID(D19,FIND("-",D19&amp;"-")+1,10))</f>
        <v/>
      </c>
      <c r="F19" s="148">
        <f>IF(B19="","","نشط")</f>
        <v/>
      </c>
      <c r="G19" s="157">
        <f>IF(B19="","","")</f>
        <v/>
      </c>
      <c r="H19" s="146">
        <f>IF('KG1-1'!$K23="","",'KG1-1'!$K23)</f>
        <v/>
      </c>
      <c r="I19" s="148">
        <f>IF('KG1-1'!$J23="","",'KG1-1'!$J23)</f>
        <v/>
      </c>
      <c r="J19" s="148">
        <f>IF('KG1-1'!$M23="","",'KG1-1'!$M23)</f>
        <v/>
      </c>
      <c r="K19" s="148">
        <f>IF('KG1-1'!$N23="","",'KG1-1'!$N23)</f>
        <v/>
      </c>
      <c r="L19" s="148">
        <f>IF('KG1-1'!$D23="","",'KG1-1'!$D23)</f>
        <v/>
      </c>
      <c r="M19" s="148">
        <f>IF('KG1-1'!$E23="","",'KG1-1'!$E23)</f>
        <v/>
      </c>
      <c r="N19" s="148">
        <f>IF('KG1-1'!$F23="","",'KG1-1'!$F23)</f>
        <v/>
      </c>
      <c r="O19" s="158">
        <f>IF('KG1-1'!$G23="","",'KG1-1'!$G23)</f>
        <v/>
      </c>
      <c r="P19" s="158">
        <f>IF('KG1-1'!$O23="","",'KG1-1'!$O23)</f>
        <v/>
      </c>
      <c r="Q19" s="148">
        <f>IF('KG1-1'!$T23="","",'KG1-1'!$T23)</f>
        <v/>
      </c>
      <c r="R19" s="146">
        <f>IF('KG1-1'!$H23="","",'KG1-1'!$H23)</f>
        <v/>
      </c>
      <c r="S19" s="157">
        <f>IF('KG1-1'!$P23="","",'KG1-1'!$P23)</f>
        <v/>
      </c>
      <c r="T19" s="157">
        <f>IF('KG1-1'!$V23="","",'KG1-1'!$V23)</f>
        <v/>
      </c>
      <c r="U19" s="157">
        <f>IF('KG1-1'!$W23="","",'KG1-1'!$W23)</f>
        <v/>
      </c>
      <c r="V19" s="157">
        <f>IF('KG1-1'!$X23="","",'KG1-1'!$X23)</f>
        <v/>
      </c>
      <c r="W19" s="157">
        <f>IF('KG1-1'!$Y23="","",'KG1-1'!$Y23)</f>
        <v/>
      </c>
      <c r="X19" s="157">
        <f>IF('KG1-1'!$R23="","",'KG1-1'!$R23)</f>
        <v/>
      </c>
      <c r="Y19" s="148">
        <f>IF('KG1-1'!$S23="","",'KG1-1'!$S23)</f>
        <v/>
      </c>
      <c r="Z19" s="148">
        <f>IF('KG1-1'!$Q23="","",'KG1-1'!$Q23)</f>
        <v/>
      </c>
      <c r="AA19" s="148">
        <f>IF('KG1-1'!$I23="","",'KG1-1'!$I23)</f>
        <v/>
      </c>
      <c r="AB19" s="146">
        <f>IF(Q19="","",INDEX(LevelActions,MATCH(Q19,LevelValues,0)))</f>
        <v/>
      </c>
      <c r="AC19" s="148">
        <f>IF(J19="","",IF(J19=0,"—",IF(AND(L19=0,M19=0),Cat_L1,IF(O19&gt;=Cat_95,Cat_L2,IF(O19&gt;=Cat_90,Cat_L3,Cat_L4)))))</f>
        <v/>
      </c>
      <c r="AD19" s="146">
        <f>IF('KG1-1'!$L23="","",'KG1-1'!$L23)</f>
        <v/>
      </c>
      <c r="AE19" s="148">
        <f>IF(B19="","",IF(COUNTIF($B$5:$B$214,B19)&gt;1,"مكرر!",""))</f>
        <v/>
      </c>
      <c r="AF19" s="148">
        <f>IF(AND(B19&lt;&gt;"",F19="نشط",OR(Dash_Class="الكل",D19=Dash_Class)),1,0)</f>
        <v/>
      </c>
      <c r="AG19" s="40">
        <f>IF(OR(AF19=0,Dash_DayIdx=0),"",IF(INDEX('KG1-1'!$AD$7:$IM$7,Dash_DayIdx)&lt;&gt;"✓","",IF(INDEX('KG1-1'!$AD23:$IM23,Dash_DayIdx)="","P",IFERROR(INDEX(StatusCodes,MATCH(INDEX('KG1-1'!$AD23:$IM23,Dash_DayIdx),StatusLabels,0)),""))))</f>
        <v/>
      </c>
      <c r="AH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IF(LateAsPresent="نعم",COUNTIFS('KG1-1'!$AD23:$IM23,"متأخر",'KG1-1'!$AD$7:$IM$7,"✓",'KG1-1'!$AD$6:$IM$6,1,'KG1-1'!$AD$5:$IM$5,"&gt;="&amp;MAX('KG1-1'!$U23,Dash_PStart),'KG1-1'!$AD$5:$IM$5,"&lt;="&amp;Dash_PEnd),0))</f>
        <v/>
      </c>
      <c r="AI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COUNTIFS('KG1-1'!$AD23:$IM23,"غياب بدون عذر",'KG1-1'!$AD$7:$IM$7,"✓",'KG1-1'!$AD$6:$IM$6,1,'KG1-1'!$AD$5:$IM$5,"&gt;="&amp;MAX('KG1-1'!$U23,Dash_PStart),'KG1-1'!$AD$5:$IM$5,"&lt;="&amp;Dash_PEnd)+COUNTIFS('KG1-1'!$AD23:$IM23,"غياب بعذر",'KG1-1'!$AD$7:$IM$7,"✓",'KG1-1'!$AD$6:$IM$6,1,'KG1-1'!$AD$5:$IM$5,"&gt;="&amp;MAX('KG1-1'!$U23,Dash_PStart),'KG1-1'!$AD$5:$IM$5,"&lt;="&amp;Dash_PEnd)+COUNTIFS('KG1-1'!$AD23:$IM23,"متأخر",'KG1-1'!$AD$7:$IM$7,"✓",'KG1-1'!$AD$6:$IM$6,1,'KG1-1'!$AD$5:$IM$5,"&gt;="&amp;MAX('KG1-1'!$U23,Dash_PStart),'KG1-1'!$AD$5:$IM$5,"&lt;="&amp;Dash_PEnd))</f>
        <v/>
      </c>
      <c r="AJ19" s="40">
        <f>IF(AF19=0,0,IF(W19=Dash_Date,Thr_Critical,IF(V19=Dash_Date,Thr_High,IF(U19=Dash_Date,Thr_Repeated,IF(T19=Dash_Date,Thr_FollowUp,0)))))</f>
        <v/>
      </c>
      <c r="AK19" s="40">
        <f>IF(AJ19&gt;0,COUNTIF($AJ$5:AJ19,"&gt;0"),"")</f>
        <v/>
      </c>
      <c r="AL19" s="40">
        <f>IF(AND(B19&lt;&gt;"",F19="نشط",Q19&lt;&gt;"",Q19&gt;0),L19*1000+(999-ROW()),"")</f>
        <v/>
      </c>
      <c r="AM19" s="40">
        <f>IF(AND(AF19=1,J19&lt;&gt;"",J19&gt;0),ROUND(O19*10000,0)*1000000+K19*1000+(999-ROW()),"")</f>
        <v/>
      </c>
      <c r="AN19" s="40">
        <f>IF(AND(AF19=1,J19&lt;&gt;"",J19&gt;0),(L19+M19)*10000000+ROUND((1-O19)*10000,0)*1000+(999-ROW()),"")</f>
        <v/>
      </c>
      <c r="AO19" s="40">
        <f>IF(AND(AF19=1,Q19&lt;&gt;"",Q19&gt;=Thr_Critical),L19*1000+(999-ROW()),"")</f>
        <v/>
      </c>
      <c r="AP19" s="40">
        <f>IF(AND(B19&lt;&gt;"",F19="نشط",OR(Rpt_Class="الكل",D19=Rpt_Class)),1,0)</f>
        <v/>
      </c>
      <c r="AQ19" s="40">
        <f>IF(AND(AP19=1,Q19&lt;&gt;"",Q19&gt;0),L19*1000+(999-ROW()),"")</f>
        <v/>
      </c>
      <c r="AR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IF(LateAsPresent="نعم",COUNTIFS('KG1-1'!$AD23:$IM23,"متأخر",'KG1-1'!$AD$7:$IM$7,"✓",'KG1-1'!$AD$6:$IM$6,1,'KG1-1'!$AD$5:$IM$5,"&gt;="&amp;MAX('KG1-1'!$U23,Rpt_PStart),'KG1-1'!$AD$5:$IM$5,"&lt;="&amp;Rpt_PEnd),0))</f>
        <v/>
      </c>
      <c r="AS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COUNTIFS('KG1-1'!$AD23:$IM23,"غياب بدون عذر",'KG1-1'!$AD$7:$IM$7,"✓",'KG1-1'!$AD$6:$IM$6,1,'KG1-1'!$AD$5:$IM$5,"&gt;="&amp;MAX('KG1-1'!$U23,Rpt_PStart),'KG1-1'!$AD$5:$IM$5,"&lt;="&amp;Rpt_PEnd)+COUNTIFS('KG1-1'!$AD23:$IM23,"غياب بعذر",'KG1-1'!$AD$7:$IM$7,"✓",'KG1-1'!$AD$6:$IM$6,1,'KG1-1'!$AD$5:$IM$5,"&gt;="&amp;MAX('KG1-1'!$U23,Rpt_PStart),'KG1-1'!$AD$5:$IM$5,"&lt;="&amp;Rpt_PEnd)+COUNTIFS('KG1-1'!$AD23:$IM23,"متأخر",'KG1-1'!$AD$7:$IM$7,"✓",'KG1-1'!$AD$6:$IM$6,1,'KG1-1'!$AD$5:$IM$5,"&gt;="&amp;MAX('KG1-1'!$U23,Rpt_PStart),'KG1-1'!$AD$5:$IM$5,"&lt;="&amp;Rpt_PEnd))</f>
        <v/>
      </c>
      <c r="AT19" s="40">
        <f>IF(AP19=0,"",COUNTIFS('KG1-1'!$AD23:$IM23,"غياب بدون عذر",'KG1-1'!$AD$7:$IM$7,"✓",'KG1-1'!$AD$6:$IM$6,1,'KG1-1'!$AD$5:$IM$5,"&gt;="&amp;MAX('KG1-1'!$U23,Rpt_PStart),'KG1-1'!$AD$5:$IM$5,"&lt;="&amp;Rpt_PEnd)+COUNTIFS('KG1-1'!$AD23:$IM23,"غياب بعذر",'KG1-1'!$AD$7:$IM$7,"✓",'KG1-1'!$AD$6:$IM$6,1,'KG1-1'!$AD$5:$IM$5,"&gt;="&amp;MAX('KG1-1'!$U23,Rpt_PStart),'KG1-1'!$AD$5:$IM$5,"&lt;="&amp;Rpt_PEnd))</f>
        <v/>
      </c>
      <c r="AU19" s="40" t="n">
        <v>1</v>
      </c>
      <c r="AV19" s="40" t="n">
        <v>15</v>
      </c>
      <c r="AW19" s="40">
        <f>IF(OR(AP19=0,Rpt_DayIdx=0),"",IF(INDEX('KG1-1'!$AD$7:$IM$7,Rpt_DayIdx)&lt;&gt;"✓","",IF(INDEX('KG1-1'!$AD23:$IM23,Rpt_DayIdx)="","P",IFERROR(INDEX(StatusCodes,MATCH(INDEX('KG1-1'!$AD23:$IM23,Rpt_DayIdx),StatusLabels,0)),""))))</f>
        <v/>
      </c>
      <c r="AX19" s="40">
        <f>IF(AND(AP19=1,OR(AW19="A",AW19="E")),COUNTIFS($AP$5:AP19,1,$AW$5:AW19,"A")+COUNTIFS($AP$5:AP19,1,$AW$5:AW19,"E"),"")</f>
        <v/>
      </c>
    </row>
    <row r="20">
      <c r="A20" s="148">
        <f>IF(B20="","",ROW()-4)</f>
        <v/>
      </c>
      <c r="B20" s="148">
        <f>IF('KG1-1'!$B24="","",'KG1-1'!$B24)</f>
        <v/>
      </c>
      <c r="C20" s="146">
        <f>IF('KG1-1'!$C24="","",'KG1-1'!$C24)</f>
        <v/>
      </c>
      <c r="D20" s="148">
        <f>IF(B20="","",'KG1-1'!$B$2)</f>
        <v/>
      </c>
      <c r="E20" s="148">
        <f>IF(B20="","",MID(D20,FIND("-",D20&amp;"-")+1,10))</f>
        <v/>
      </c>
      <c r="F20" s="148">
        <f>IF(B20="","","نشط")</f>
        <v/>
      </c>
      <c r="G20" s="157">
        <f>IF(B20="","","")</f>
        <v/>
      </c>
      <c r="H20" s="146">
        <f>IF('KG1-1'!$K24="","",'KG1-1'!$K24)</f>
        <v/>
      </c>
      <c r="I20" s="148">
        <f>IF('KG1-1'!$J24="","",'KG1-1'!$J24)</f>
        <v/>
      </c>
      <c r="J20" s="148">
        <f>IF('KG1-1'!$M24="","",'KG1-1'!$M24)</f>
        <v/>
      </c>
      <c r="K20" s="148">
        <f>IF('KG1-1'!$N24="","",'KG1-1'!$N24)</f>
        <v/>
      </c>
      <c r="L20" s="148">
        <f>IF('KG1-1'!$D24="","",'KG1-1'!$D24)</f>
        <v/>
      </c>
      <c r="M20" s="148">
        <f>IF('KG1-1'!$E24="","",'KG1-1'!$E24)</f>
        <v/>
      </c>
      <c r="N20" s="148">
        <f>IF('KG1-1'!$F24="","",'KG1-1'!$F24)</f>
        <v/>
      </c>
      <c r="O20" s="158">
        <f>IF('KG1-1'!$G24="","",'KG1-1'!$G24)</f>
        <v/>
      </c>
      <c r="P20" s="158">
        <f>IF('KG1-1'!$O24="","",'KG1-1'!$O24)</f>
        <v/>
      </c>
      <c r="Q20" s="148">
        <f>IF('KG1-1'!$T24="","",'KG1-1'!$T24)</f>
        <v/>
      </c>
      <c r="R20" s="146">
        <f>IF('KG1-1'!$H24="","",'KG1-1'!$H24)</f>
        <v/>
      </c>
      <c r="S20" s="157">
        <f>IF('KG1-1'!$P24="","",'KG1-1'!$P24)</f>
        <v/>
      </c>
      <c r="T20" s="157">
        <f>IF('KG1-1'!$V24="","",'KG1-1'!$V24)</f>
        <v/>
      </c>
      <c r="U20" s="157">
        <f>IF('KG1-1'!$W24="","",'KG1-1'!$W24)</f>
        <v/>
      </c>
      <c r="V20" s="157">
        <f>IF('KG1-1'!$X24="","",'KG1-1'!$X24)</f>
        <v/>
      </c>
      <c r="W20" s="157">
        <f>IF('KG1-1'!$Y24="","",'KG1-1'!$Y24)</f>
        <v/>
      </c>
      <c r="X20" s="157">
        <f>IF('KG1-1'!$R24="","",'KG1-1'!$R24)</f>
        <v/>
      </c>
      <c r="Y20" s="148">
        <f>IF('KG1-1'!$S24="","",'KG1-1'!$S24)</f>
        <v/>
      </c>
      <c r="Z20" s="148">
        <f>IF('KG1-1'!$Q24="","",'KG1-1'!$Q24)</f>
        <v/>
      </c>
      <c r="AA20" s="148">
        <f>IF('KG1-1'!$I24="","",'KG1-1'!$I24)</f>
        <v/>
      </c>
      <c r="AB20" s="146">
        <f>IF(Q20="","",INDEX(LevelActions,MATCH(Q20,LevelValues,0)))</f>
        <v/>
      </c>
      <c r="AC20" s="148">
        <f>IF(J20="","",IF(J20=0,"—",IF(AND(L20=0,M20=0),Cat_L1,IF(O20&gt;=Cat_95,Cat_L2,IF(O20&gt;=Cat_90,Cat_L3,Cat_L4)))))</f>
        <v/>
      </c>
      <c r="AD20" s="146">
        <f>IF('KG1-1'!$L24="","",'KG1-1'!$L24)</f>
        <v/>
      </c>
      <c r="AE20" s="148">
        <f>IF(B20="","",IF(COUNTIF($B$5:$B$214,B20)&gt;1,"مكرر!",""))</f>
        <v/>
      </c>
      <c r="AF20" s="148">
        <f>IF(AND(B20&lt;&gt;"",F20="نشط",OR(Dash_Class="الكل",D20=Dash_Class)),1,0)</f>
        <v/>
      </c>
      <c r="AG20" s="40">
        <f>IF(OR(AF20=0,Dash_DayIdx=0),"",IF(INDEX('KG1-1'!$AD$7:$IM$7,Dash_DayIdx)&lt;&gt;"✓","",IF(INDEX('KG1-1'!$AD24:$IM24,Dash_DayIdx)="","P",IFERROR(INDEX(StatusCodes,MATCH(INDEX('KG1-1'!$AD24:$IM24,Dash_DayIdx),StatusLabels,0)),""))))</f>
        <v/>
      </c>
      <c r="AH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IF(LateAsPresent="نعم",COUNTIFS('KG1-1'!$AD24:$IM24,"متأخر",'KG1-1'!$AD$7:$IM$7,"✓",'KG1-1'!$AD$6:$IM$6,1,'KG1-1'!$AD$5:$IM$5,"&gt;="&amp;MAX('KG1-1'!$U24,Dash_PStart),'KG1-1'!$AD$5:$IM$5,"&lt;="&amp;Dash_PEnd),0))</f>
        <v/>
      </c>
      <c r="AI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COUNTIFS('KG1-1'!$AD24:$IM24,"غياب بدون عذر",'KG1-1'!$AD$7:$IM$7,"✓",'KG1-1'!$AD$6:$IM$6,1,'KG1-1'!$AD$5:$IM$5,"&gt;="&amp;MAX('KG1-1'!$U24,Dash_PStart),'KG1-1'!$AD$5:$IM$5,"&lt;="&amp;Dash_PEnd)+COUNTIFS('KG1-1'!$AD24:$IM24,"غياب بعذر",'KG1-1'!$AD$7:$IM$7,"✓",'KG1-1'!$AD$6:$IM$6,1,'KG1-1'!$AD$5:$IM$5,"&gt;="&amp;MAX('KG1-1'!$U24,Dash_PStart),'KG1-1'!$AD$5:$IM$5,"&lt;="&amp;Dash_PEnd)+COUNTIFS('KG1-1'!$AD24:$IM24,"متأخر",'KG1-1'!$AD$7:$IM$7,"✓",'KG1-1'!$AD$6:$IM$6,1,'KG1-1'!$AD$5:$IM$5,"&gt;="&amp;MAX('KG1-1'!$U24,Dash_PStart),'KG1-1'!$AD$5:$IM$5,"&lt;="&amp;Dash_PEnd))</f>
        <v/>
      </c>
      <c r="AJ20" s="40">
        <f>IF(AF20=0,0,IF(W20=Dash_Date,Thr_Critical,IF(V20=Dash_Date,Thr_High,IF(U20=Dash_Date,Thr_Repeated,IF(T20=Dash_Date,Thr_FollowUp,0)))))</f>
        <v/>
      </c>
      <c r="AK20" s="40">
        <f>IF(AJ20&gt;0,COUNTIF($AJ$5:AJ20,"&gt;0"),"")</f>
        <v/>
      </c>
      <c r="AL20" s="40">
        <f>IF(AND(B20&lt;&gt;"",F20="نشط",Q20&lt;&gt;"",Q20&gt;0),L20*1000+(999-ROW()),"")</f>
        <v/>
      </c>
      <c r="AM20" s="40">
        <f>IF(AND(AF20=1,J20&lt;&gt;"",J20&gt;0),ROUND(O20*10000,0)*1000000+K20*1000+(999-ROW()),"")</f>
        <v/>
      </c>
      <c r="AN20" s="40">
        <f>IF(AND(AF20=1,J20&lt;&gt;"",J20&gt;0),(L20+M20)*10000000+ROUND((1-O20)*10000,0)*1000+(999-ROW()),"")</f>
        <v/>
      </c>
      <c r="AO20" s="40">
        <f>IF(AND(AF20=1,Q20&lt;&gt;"",Q20&gt;=Thr_Critical),L20*1000+(999-ROW()),"")</f>
        <v/>
      </c>
      <c r="AP20" s="40">
        <f>IF(AND(B20&lt;&gt;"",F20="نشط",OR(Rpt_Class="الكل",D20=Rpt_Class)),1,0)</f>
        <v/>
      </c>
      <c r="AQ20" s="40">
        <f>IF(AND(AP20=1,Q20&lt;&gt;"",Q20&gt;0),L20*1000+(999-ROW()),"")</f>
        <v/>
      </c>
      <c r="AR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IF(LateAsPresent="نعم",COUNTIFS('KG1-1'!$AD24:$IM24,"متأخر",'KG1-1'!$AD$7:$IM$7,"✓",'KG1-1'!$AD$6:$IM$6,1,'KG1-1'!$AD$5:$IM$5,"&gt;="&amp;MAX('KG1-1'!$U24,Rpt_PStart),'KG1-1'!$AD$5:$IM$5,"&lt;="&amp;Rpt_PEnd),0))</f>
        <v/>
      </c>
      <c r="AS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COUNTIFS('KG1-1'!$AD24:$IM24,"غياب بدون عذر",'KG1-1'!$AD$7:$IM$7,"✓",'KG1-1'!$AD$6:$IM$6,1,'KG1-1'!$AD$5:$IM$5,"&gt;="&amp;MAX('KG1-1'!$U24,Rpt_PStart),'KG1-1'!$AD$5:$IM$5,"&lt;="&amp;Rpt_PEnd)+COUNTIFS('KG1-1'!$AD24:$IM24,"غياب بعذر",'KG1-1'!$AD$7:$IM$7,"✓",'KG1-1'!$AD$6:$IM$6,1,'KG1-1'!$AD$5:$IM$5,"&gt;="&amp;MAX('KG1-1'!$U24,Rpt_PStart),'KG1-1'!$AD$5:$IM$5,"&lt;="&amp;Rpt_PEnd)+COUNTIFS('KG1-1'!$AD24:$IM24,"متأخر",'KG1-1'!$AD$7:$IM$7,"✓",'KG1-1'!$AD$6:$IM$6,1,'KG1-1'!$AD$5:$IM$5,"&gt;="&amp;MAX('KG1-1'!$U24,Rpt_PStart),'KG1-1'!$AD$5:$IM$5,"&lt;="&amp;Rpt_PEnd))</f>
        <v/>
      </c>
      <c r="AT20" s="40">
        <f>IF(AP20=0,"",COUNTIFS('KG1-1'!$AD24:$IM24,"غياب بدون عذر",'KG1-1'!$AD$7:$IM$7,"✓",'KG1-1'!$AD$6:$IM$6,1,'KG1-1'!$AD$5:$IM$5,"&gt;="&amp;MAX('KG1-1'!$U24,Rpt_PStart),'KG1-1'!$AD$5:$IM$5,"&lt;="&amp;Rpt_PEnd)+COUNTIFS('KG1-1'!$AD24:$IM24,"غياب بعذر",'KG1-1'!$AD$7:$IM$7,"✓",'KG1-1'!$AD$6:$IM$6,1,'KG1-1'!$AD$5:$IM$5,"&gt;="&amp;MAX('KG1-1'!$U24,Rpt_PStart),'KG1-1'!$AD$5:$IM$5,"&lt;="&amp;Rpt_PEnd))</f>
        <v/>
      </c>
      <c r="AU20" s="40" t="n">
        <v>1</v>
      </c>
      <c r="AV20" s="40" t="n">
        <v>16</v>
      </c>
      <c r="AW20" s="40">
        <f>IF(OR(AP20=0,Rpt_DayIdx=0),"",IF(INDEX('KG1-1'!$AD$7:$IM$7,Rpt_DayIdx)&lt;&gt;"✓","",IF(INDEX('KG1-1'!$AD24:$IM24,Rpt_DayIdx)="","P",IFERROR(INDEX(StatusCodes,MATCH(INDEX('KG1-1'!$AD24:$IM24,Rpt_DayIdx),StatusLabels,0)),""))))</f>
        <v/>
      </c>
      <c r="AX20" s="40">
        <f>IF(AND(AP20=1,OR(AW20="A",AW20="E")),COUNTIFS($AP$5:AP20,1,$AW$5:AW20,"A")+COUNTIFS($AP$5:AP20,1,$AW$5:AW20,"E"),"")</f>
        <v/>
      </c>
    </row>
    <row r="21">
      <c r="A21" s="148">
        <f>IF(B21="","",ROW()-4)</f>
        <v/>
      </c>
      <c r="B21" s="148">
        <f>IF('KG1-1'!$B25="","",'KG1-1'!$B25)</f>
        <v/>
      </c>
      <c r="C21" s="146">
        <f>IF('KG1-1'!$C25="","",'KG1-1'!$C25)</f>
        <v/>
      </c>
      <c r="D21" s="148">
        <f>IF(B21="","",'KG1-1'!$B$2)</f>
        <v/>
      </c>
      <c r="E21" s="148">
        <f>IF(B21="","",MID(D21,FIND("-",D21&amp;"-")+1,10))</f>
        <v/>
      </c>
      <c r="F21" s="148">
        <f>IF(B21="","","نشط")</f>
        <v/>
      </c>
      <c r="G21" s="157">
        <f>IF(B21="","","")</f>
        <v/>
      </c>
      <c r="H21" s="146">
        <f>IF('KG1-1'!$K25="","",'KG1-1'!$K25)</f>
        <v/>
      </c>
      <c r="I21" s="148">
        <f>IF('KG1-1'!$J25="","",'KG1-1'!$J25)</f>
        <v/>
      </c>
      <c r="J21" s="148">
        <f>IF('KG1-1'!$M25="","",'KG1-1'!$M25)</f>
        <v/>
      </c>
      <c r="K21" s="148">
        <f>IF('KG1-1'!$N25="","",'KG1-1'!$N25)</f>
        <v/>
      </c>
      <c r="L21" s="148">
        <f>IF('KG1-1'!$D25="","",'KG1-1'!$D25)</f>
        <v/>
      </c>
      <c r="M21" s="148">
        <f>IF('KG1-1'!$E25="","",'KG1-1'!$E25)</f>
        <v/>
      </c>
      <c r="N21" s="148">
        <f>IF('KG1-1'!$F25="","",'KG1-1'!$F25)</f>
        <v/>
      </c>
      <c r="O21" s="158">
        <f>IF('KG1-1'!$G25="","",'KG1-1'!$G25)</f>
        <v/>
      </c>
      <c r="P21" s="158">
        <f>IF('KG1-1'!$O25="","",'KG1-1'!$O25)</f>
        <v/>
      </c>
      <c r="Q21" s="148">
        <f>IF('KG1-1'!$T25="","",'KG1-1'!$T25)</f>
        <v/>
      </c>
      <c r="R21" s="146">
        <f>IF('KG1-1'!$H25="","",'KG1-1'!$H25)</f>
        <v/>
      </c>
      <c r="S21" s="157">
        <f>IF('KG1-1'!$P25="","",'KG1-1'!$P25)</f>
        <v/>
      </c>
      <c r="T21" s="157">
        <f>IF('KG1-1'!$V25="","",'KG1-1'!$V25)</f>
        <v/>
      </c>
      <c r="U21" s="157">
        <f>IF('KG1-1'!$W25="","",'KG1-1'!$W25)</f>
        <v/>
      </c>
      <c r="V21" s="157">
        <f>IF('KG1-1'!$X25="","",'KG1-1'!$X25)</f>
        <v/>
      </c>
      <c r="W21" s="157">
        <f>IF('KG1-1'!$Y25="","",'KG1-1'!$Y25)</f>
        <v/>
      </c>
      <c r="X21" s="157">
        <f>IF('KG1-1'!$R25="","",'KG1-1'!$R25)</f>
        <v/>
      </c>
      <c r="Y21" s="148">
        <f>IF('KG1-1'!$S25="","",'KG1-1'!$S25)</f>
        <v/>
      </c>
      <c r="Z21" s="148">
        <f>IF('KG1-1'!$Q25="","",'KG1-1'!$Q25)</f>
        <v/>
      </c>
      <c r="AA21" s="148">
        <f>IF('KG1-1'!$I25="","",'KG1-1'!$I25)</f>
        <v/>
      </c>
      <c r="AB21" s="146">
        <f>IF(Q21="","",INDEX(LevelActions,MATCH(Q21,LevelValues,0)))</f>
        <v/>
      </c>
      <c r="AC21" s="148">
        <f>IF(J21="","",IF(J21=0,"—",IF(AND(L21=0,M21=0),Cat_L1,IF(O21&gt;=Cat_95,Cat_L2,IF(O21&gt;=Cat_90,Cat_L3,Cat_L4)))))</f>
        <v/>
      </c>
      <c r="AD21" s="146">
        <f>IF('KG1-1'!$L25="","",'KG1-1'!$L25)</f>
        <v/>
      </c>
      <c r="AE21" s="148">
        <f>IF(B21="","",IF(COUNTIF($B$5:$B$214,B21)&gt;1,"مكرر!",""))</f>
        <v/>
      </c>
      <c r="AF21" s="148">
        <f>IF(AND(B21&lt;&gt;"",F21="نشط",OR(Dash_Class="الكل",D21=Dash_Class)),1,0)</f>
        <v/>
      </c>
      <c r="AG21" s="40">
        <f>IF(OR(AF21=0,Dash_DayIdx=0),"",IF(INDEX('KG1-1'!$AD$7:$IM$7,Dash_DayIdx)&lt;&gt;"✓","",IF(INDEX('KG1-1'!$AD25:$IM25,Dash_DayIdx)="","P",IFERROR(INDEX(StatusCodes,MATCH(INDEX('KG1-1'!$AD25:$IM25,Dash_DayIdx),StatusLabels,0)),""))))</f>
        <v/>
      </c>
      <c r="AH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IF(LateAsPresent="نعم",COUNTIFS('KG1-1'!$AD25:$IM25,"متأخر",'KG1-1'!$AD$7:$IM$7,"✓",'KG1-1'!$AD$6:$IM$6,1,'KG1-1'!$AD$5:$IM$5,"&gt;="&amp;MAX('KG1-1'!$U25,Dash_PStart),'KG1-1'!$AD$5:$IM$5,"&lt;="&amp;Dash_PEnd),0))</f>
        <v/>
      </c>
      <c r="AI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COUNTIFS('KG1-1'!$AD25:$IM25,"غياب بدون عذر",'KG1-1'!$AD$7:$IM$7,"✓",'KG1-1'!$AD$6:$IM$6,1,'KG1-1'!$AD$5:$IM$5,"&gt;="&amp;MAX('KG1-1'!$U25,Dash_PStart),'KG1-1'!$AD$5:$IM$5,"&lt;="&amp;Dash_PEnd)+COUNTIFS('KG1-1'!$AD25:$IM25,"غياب بعذر",'KG1-1'!$AD$7:$IM$7,"✓",'KG1-1'!$AD$6:$IM$6,1,'KG1-1'!$AD$5:$IM$5,"&gt;="&amp;MAX('KG1-1'!$U25,Dash_PStart),'KG1-1'!$AD$5:$IM$5,"&lt;="&amp;Dash_PEnd)+COUNTIFS('KG1-1'!$AD25:$IM25,"متأخر",'KG1-1'!$AD$7:$IM$7,"✓",'KG1-1'!$AD$6:$IM$6,1,'KG1-1'!$AD$5:$IM$5,"&gt;="&amp;MAX('KG1-1'!$U25,Dash_PStart),'KG1-1'!$AD$5:$IM$5,"&lt;="&amp;Dash_PEnd))</f>
        <v/>
      </c>
      <c r="AJ21" s="40">
        <f>IF(AF21=0,0,IF(W21=Dash_Date,Thr_Critical,IF(V21=Dash_Date,Thr_High,IF(U21=Dash_Date,Thr_Repeated,IF(T21=Dash_Date,Thr_FollowUp,0)))))</f>
        <v/>
      </c>
      <c r="AK21" s="40">
        <f>IF(AJ21&gt;0,COUNTIF($AJ$5:AJ21,"&gt;0"),"")</f>
        <v/>
      </c>
      <c r="AL21" s="40">
        <f>IF(AND(B21&lt;&gt;"",F21="نشط",Q21&lt;&gt;"",Q21&gt;0),L21*1000+(999-ROW()),"")</f>
        <v/>
      </c>
      <c r="AM21" s="40">
        <f>IF(AND(AF21=1,J21&lt;&gt;"",J21&gt;0),ROUND(O21*10000,0)*1000000+K21*1000+(999-ROW()),"")</f>
        <v/>
      </c>
      <c r="AN21" s="40">
        <f>IF(AND(AF21=1,J21&lt;&gt;"",J21&gt;0),(L21+M21)*10000000+ROUND((1-O21)*10000,0)*1000+(999-ROW()),"")</f>
        <v/>
      </c>
      <c r="AO21" s="40">
        <f>IF(AND(AF21=1,Q21&lt;&gt;"",Q21&gt;=Thr_Critical),L21*1000+(999-ROW()),"")</f>
        <v/>
      </c>
      <c r="AP21" s="40">
        <f>IF(AND(B21&lt;&gt;"",F21="نشط",OR(Rpt_Class="الكل",D21=Rpt_Class)),1,0)</f>
        <v/>
      </c>
      <c r="AQ21" s="40">
        <f>IF(AND(AP21=1,Q21&lt;&gt;"",Q21&gt;0),L21*1000+(999-ROW()),"")</f>
        <v/>
      </c>
      <c r="AR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IF(LateAsPresent="نعم",COUNTIFS('KG1-1'!$AD25:$IM25,"متأخر",'KG1-1'!$AD$7:$IM$7,"✓",'KG1-1'!$AD$6:$IM$6,1,'KG1-1'!$AD$5:$IM$5,"&gt;="&amp;MAX('KG1-1'!$U25,Rpt_PStart),'KG1-1'!$AD$5:$IM$5,"&lt;="&amp;Rpt_PEnd),0))</f>
        <v/>
      </c>
      <c r="AS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COUNTIFS('KG1-1'!$AD25:$IM25,"غياب بدون عذر",'KG1-1'!$AD$7:$IM$7,"✓",'KG1-1'!$AD$6:$IM$6,1,'KG1-1'!$AD$5:$IM$5,"&gt;="&amp;MAX('KG1-1'!$U25,Rpt_PStart),'KG1-1'!$AD$5:$IM$5,"&lt;="&amp;Rpt_PEnd)+COUNTIFS('KG1-1'!$AD25:$IM25,"غياب بعذر",'KG1-1'!$AD$7:$IM$7,"✓",'KG1-1'!$AD$6:$IM$6,1,'KG1-1'!$AD$5:$IM$5,"&gt;="&amp;MAX('KG1-1'!$U25,Rpt_PStart),'KG1-1'!$AD$5:$IM$5,"&lt;="&amp;Rpt_PEnd)+COUNTIFS('KG1-1'!$AD25:$IM25,"متأخر",'KG1-1'!$AD$7:$IM$7,"✓",'KG1-1'!$AD$6:$IM$6,1,'KG1-1'!$AD$5:$IM$5,"&gt;="&amp;MAX('KG1-1'!$U25,Rpt_PStart),'KG1-1'!$AD$5:$IM$5,"&lt;="&amp;Rpt_PEnd))</f>
        <v/>
      </c>
      <c r="AT21" s="40">
        <f>IF(AP21=0,"",COUNTIFS('KG1-1'!$AD25:$IM25,"غياب بدون عذر",'KG1-1'!$AD$7:$IM$7,"✓",'KG1-1'!$AD$6:$IM$6,1,'KG1-1'!$AD$5:$IM$5,"&gt;="&amp;MAX('KG1-1'!$U25,Rpt_PStart),'KG1-1'!$AD$5:$IM$5,"&lt;="&amp;Rpt_PEnd)+COUNTIFS('KG1-1'!$AD25:$IM25,"غياب بعذر",'KG1-1'!$AD$7:$IM$7,"✓",'KG1-1'!$AD$6:$IM$6,1,'KG1-1'!$AD$5:$IM$5,"&gt;="&amp;MAX('KG1-1'!$U25,Rpt_PStart),'KG1-1'!$AD$5:$IM$5,"&lt;="&amp;Rpt_PEnd))</f>
        <v/>
      </c>
      <c r="AU21" s="40" t="n">
        <v>1</v>
      </c>
      <c r="AV21" s="40" t="n">
        <v>17</v>
      </c>
      <c r="AW21" s="40">
        <f>IF(OR(AP21=0,Rpt_DayIdx=0),"",IF(INDEX('KG1-1'!$AD$7:$IM$7,Rpt_DayIdx)&lt;&gt;"✓","",IF(INDEX('KG1-1'!$AD25:$IM25,Rpt_DayIdx)="","P",IFERROR(INDEX(StatusCodes,MATCH(INDEX('KG1-1'!$AD25:$IM25,Rpt_DayIdx),StatusLabels,0)),""))))</f>
        <v/>
      </c>
      <c r="AX21" s="40">
        <f>IF(AND(AP21=1,OR(AW21="A",AW21="E")),COUNTIFS($AP$5:AP21,1,$AW$5:AW21,"A")+COUNTIFS($AP$5:AP21,1,$AW$5:AW21,"E"),"")</f>
        <v/>
      </c>
    </row>
    <row r="22">
      <c r="A22" s="148">
        <f>IF(B22="","",ROW()-4)</f>
        <v/>
      </c>
      <c r="B22" s="148">
        <f>IF('KG1-1'!$B26="","",'KG1-1'!$B26)</f>
        <v/>
      </c>
      <c r="C22" s="146">
        <f>IF('KG1-1'!$C26="","",'KG1-1'!$C26)</f>
        <v/>
      </c>
      <c r="D22" s="148">
        <f>IF(B22="","",'KG1-1'!$B$2)</f>
        <v/>
      </c>
      <c r="E22" s="148">
        <f>IF(B22="","",MID(D22,FIND("-",D22&amp;"-")+1,10))</f>
        <v/>
      </c>
      <c r="F22" s="148">
        <f>IF(B22="","","نشط")</f>
        <v/>
      </c>
      <c r="G22" s="157">
        <f>IF(B22="","","")</f>
        <v/>
      </c>
      <c r="H22" s="146">
        <f>IF('KG1-1'!$K26="","",'KG1-1'!$K26)</f>
        <v/>
      </c>
      <c r="I22" s="148">
        <f>IF('KG1-1'!$J26="","",'KG1-1'!$J26)</f>
        <v/>
      </c>
      <c r="J22" s="148">
        <f>IF('KG1-1'!$M26="","",'KG1-1'!$M26)</f>
        <v/>
      </c>
      <c r="K22" s="148">
        <f>IF('KG1-1'!$N26="","",'KG1-1'!$N26)</f>
        <v/>
      </c>
      <c r="L22" s="148">
        <f>IF('KG1-1'!$D26="","",'KG1-1'!$D26)</f>
        <v/>
      </c>
      <c r="M22" s="148">
        <f>IF('KG1-1'!$E26="","",'KG1-1'!$E26)</f>
        <v/>
      </c>
      <c r="N22" s="148">
        <f>IF('KG1-1'!$F26="","",'KG1-1'!$F26)</f>
        <v/>
      </c>
      <c r="O22" s="158">
        <f>IF('KG1-1'!$G26="","",'KG1-1'!$G26)</f>
        <v/>
      </c>
      <c r="P22" s="158">
        <f>IF('KG1-1'!$O26="","",'KG1-1'!$O26)</f>
        <v/>
      </c>
      <c r="Q22" s="148">
        <f>IF('KG1-1'!$T26="","",'KG1-1'!$T26)</f>
        <v/>
      </c>
      <c r="R22" s="146">
        <f>IF('KG1-1'!$H26="","",'KG1-1'!$H26)</f>
        <v/>
      </c>
      <c r="S22" s="157">
        <f>IF('KG1-1'!$P26="","",'KG1-1'!$P26)</f>
        <v/>
      </c>
      <c r="T22" s="157">
        <f>IF('KG1-1'!$V26="","",'KG1-1'!$V26)</f>
        <v/>
      </c>
      <c r="U22" s="157">
        <f>IF('KG1-1'!$W26="","",'KG1-1'!$W26)</f>
        <v/>
      </c>
      <c r="V22" s="157">
        <f>IF('KG1-1'!$X26="","",'KG1-1'!$X26)</f>
        <v/>
      </c>
      <c r="W22" s="157">
        <f>IF('KG1-1'!$Y26="","",'KG1-1'!$Y26)</f>
        <v/>
      </c>
      <c r="X22" s="157">
        <f>IF('KG1-1'!$R26="","",'KG1-1'!$R26)</f>
        <v/>
      </c>
      <c r="Y22" s="148">
        <f>IF('KG1-1'!$S26="","",'KG1-1'!$S26)</f>
        <v/>
      </c>
      <c r="Z22" s="148">
        <f>IF('KG1-1'!$Q26="","",'KG1-1'!$Q26)</f>
        <v/>
      </c>
      <c r="AA22" s="148">
        <f>IF('KG1-1'!$I26="","",'KG1-1'!$I26)</f>
        <v/>
      </c>
      <c r="AB22" s="146">
        <f>IF(Q22="","",INDEX(LevelActions,MATCH(Q22,LevelValues,0)))</f>
        <v/>
      </c>
      <c r="AC22" s="148">
        <f>IF(J22="","",IF(J22=0,"—",IF(AND(L22=0,M22=0),Cat_L1,IF(O22&gt;=Cat_95,Cat_L2,IF(O22&gt;=Cat_90,Cat_L3,Cat_L4)))))</f>
        <v/>
      </c>
      <c r="AD22" s="146">
        <f>IF('KG1-1'!$L26="","",'KG1-1'!$L26)</f>
        <v/>
      </c>
      <c r="AE22" s="148">
        <f>IF(B22="","",IF(COUNTIF($B$5:$B$214,B22)&gt;1,"مكرر!",""))</f>
        <v/>
      </c>
      <c r="AF22" s="148">
        <f>IF(AND(B22&lt;&gt;"",F22="نشط",OR(Dash_Class="الكل",D22=Dash_Class)),1,0)</f>
        <v/>
      </c>
      <c r="AG22" s="40">
        <f>IF(OR(AF22=0,Dash_DayIdx=0),"",IF(INDEX('KG1-1'!$AD$7:$IM$7,Dash_DayIdx)&lt;&gt;"✓","",IF(INDEX('KG1-1'!$AD26:$IM26,Dash_DayIdx)="","P",IFERROR(INDEX(StatusCodes,MATCH(INDEX('KG1-1'!$AD26:$IM26,Dash_DayIdx),StatusLabels,0)),""))))</f>
        <v/>
      </c>
      <c r="AH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IF(LateAsPresent="نعم",COUNTIFS('KG1-1'!$AD26:$IM26,"متأخر",'KG1-1'!$AD$7:$IM$7,"✓",'KG1-1'!$AD$6:$IM$6,1,'KG1-1'!$AD$5:$IM$5,"&gt;="&amp;MAX('KG1-1'!$U26,Dash_PStart),'KG1-1'!$AD$5:$IM$5,"&lt;="&amp;Dash_PEnd),0))</f>
        <v/>
      </c>
      <c r="AI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COUNTIFS('KG1-1'!$AD26:$IM26,"غياب بدون عذر",'KG1-1'!$AD$7:$IM$7,"✓",'KG1-1'!$AD$6:$IM$6,1,'KG1-1'!$AD$5:$IM$5,"&gt;="&amp;MAX('KG1-1'!$U26,Dash_PStart),'KG1-1'!$AD$5:$IM$5,"&lt;="&amp;Dash_PEnd)+COUNTIFS('KG1-1'!$AD26:$IM26,"غياب بعذر",'KG1-1'!$AD$7:$IM$7,"✓",'KG1-1'!$AD$6:$IM$6,1,'KG1-1'!$AD$5:$IM$5,"&gt;="&amp;MAX('KG1-1'!$U26,Dash_PStart),'KG1-1'!$AD$5:$IM$5,"&lt;="&amp;Dash_PEnd)+COUNTIFS('KG1-1'!$AD26:$IM26,"متأخر",'KG1-1'!$AD$7:$IM$7,"✓",'KG1-1'!$AD$6:$IM$6,1,'KG1-1'!$AD$5:$IM$5,"&gt;="&amp;MAX('KG1-1'!$U26,Dash_PStart),'KG1-1'!$AD$5:$IM$5,"&lt;="&amp;Dash_PEnd))</f>
        <v/>
      </c>
      <c r="AJ22" s="40">
        <f>IF(AF22=0,0,IF(W22=Dash_Date,Thr_Critical,IF(V22=Dash_Date,Thr_High,IF(U22=Dash_Date,Thr_Repeated,IF(T22=Dash_Date,Thr_FollowUp,0)))))</f>
        <v/>
      </c>
      <c r="AK22" s="40">
        <f>IF(AJ22&gt;0,COUNTIF($AJ$5:AJ22,"&gt;0"),"")</f>
        <v/>
      </c>
      <c r="AL22" s="40">
        <f>IF(AND(B22&lt;&gt;"",F22="نشط",Q22&lt;&gt;"",Q22&gt;0),L22*1000+(999-ROW()),"")</f>
        <v/>
      </c>
      <c r="AM22" s="40">
        <f>IF(AND(AF22=1,J22&lt;&gt;"",J22&gt;0),ROUND(O22*10000,0)*1000000+K22*1000+(999-ROW()),"")</f>
        <v/>
      </c>
      <c r="AN22" s="40">
        <f>IF(AND(AF22=1,J22&lt;&gt;"",J22&gt;0),(L22+M22)*10000000+ROUND((1-O22)*10000,0)*1000+(999-ROW()),"")</f>
        <v/>
      </c>
      <c r="AO22" s="40">
        <f>IF(AND(AF22=1,Q22&lt;&gt;"",Q22&gt;=Thr_Critical),L22*1000+(999-ROW()),"")</f>
        <v/>
      </c>
      <c r="AP22" s="40">
        <f>IF(AND(B22&lt;&gt;"",F22="نشط",OR(Rpt_Class="الكل",D22=Rpt_Class)),1,0)</f>
        <v/>
      </c>
      <c r="AQ22" s="40">
        <f>IF(AND(AP22=1,Q22&lt;&gt;"",Q22&gt;0),L22*1000+(999-ROW()),"")</f>
        <v/>
      </c>
      <c r="AR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IF(LateAsPresent="نعم",COUNTIFS('KG1-1'!$AD26:$IM26,"متأخر",'KG1-1'!$AD$7:$IM$7,"✓",'KG1-1'!$AD$6:$IM$6,1,'KG1-1'!$AD$5:$IM$5,"&gt;="&amp;MAX('KG1-1'!$U26,Rpt_PStart),'KG1-1'!$AD$5:$IM$5,"&lt;="&amp;Rpt_PEnd),0))</f>
        <v/>
      </c>
      <c r="AS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COUNTIFS('KG1-1'!$AD26:$IM26,"غياب بدون عذر",'KG1-1'!$AD$7:$IM$7,"✓",'KG1-1'!$AD$6:$IM$6,1,'KG1-1'!$AD$5:$IM$5,"&gt;="&amp;MAX('KG1-1'!$U26,Rpt_PStart),'KG1-1'!$AD$5:$IM$5,"&lt;="&amp;Rpt_PEnd)+COUNTIFS('KG1-1'!$AD26:$IM26,"غياب بعذر",'KG1-1'!$AD$7:$IM$7,"✓",'KG1-1'!$AD$6:$IM$6,1,'KG1-1'!$AD$5:$IM$5,"&gt;="&amp;MAX('KG1-1'!$U26,Rpt_PStart),'KG1-1'!$AD$5:$IM$5,"&lt;="&amp;Rpt_PEnd)+COUNTIFS('KG1-1'!$AD26:$IM26,"متأخر",'KG1-1'!$AD$7:$IM$7,"✓",'KG1-1'!$AD$6:$IM$6,1,'KG1-1'!$AD$5:$IM$5,"&gt;="&amp;MAX('KG1-1'!$U26,Rpt_PStart),'KG1-1'!$AD$5:$IM$5,"&lt;="&amp;Rpt_PEnd))</f>
        <v/>
      </c>
      <c r="AT22" s="40">
        <f>IF(AP22=0,"",COUNTIFS('KG1-1'!$AD26:$IM26,"غياب بدون عذر",'KG1-1'!$AD$7:$IM$7,"✓",'KG1-1'!$AD$6:$IM$6,1,'KG1-1'!$AD$5:$IM$5,"&gt;="&amp;MAX('KG1-1'!$U26,Rpt_PStart),'KG1-1'!$AD$5:$IM$5,"&lt;="&amp;Rpt_PEnd)+COUNTIFS('KG1-1'!$AD26:$IM26,"غياب بعذر",'KG1-1'!$AD$7:$IM$7,"✓",'KG1-1'!$AD$6:$IM$6,1,'KG1-1'!$AD$5:$IM$5,"&gt;="&amp;MAX('KG1-1'!$U26,Rpt_PStart),'KG1-1'!$AD$5:$IM$5,"&lt;="&amp;Rpt_PEnd))</f>
        <v/>
      </c>
      <c r="AU22" s="40" t="n">
        <v>1</v>
      </c>
      <c r="AV22" s="40" t="n">
        <v>18</v>
      </c>
      <c r="AW22" s="40">
        <f>IF(OR(AP22=0,Rpt_DayIdx=0),"",IF(INDEX('KG1-1'!$AD$7:$IM$7,Rpt_DayIdx)&lt;&gt;"✓","",IF(INDEX('KG1-1'!$AD26:$IM26,Rpt_DayIdx)="","P",IFERROR(INDEX(StatusCodes,MATCH(INDEX('KG1-1'!$AD26:$IM26,Rpt_DayIdx),StatusLabels,0)),""))))</f>
        <v/>
      </c>
      <c r="AX22" s="40">
        <f>IF(AND(AP22=1,OR(AW22="A",AW22="E")),COUNTIFS($AP$5:AP22,1,$AW$5:AW22,"A")+COUNTIFS($AP$5:AP22,1,$AW$5:AW22,"E"),"")</f>
        <v/>
      </c>
    </row>
    <row r="23">
      <c r="A23" s="148">
        <f>IF(B23="","",ROW()-4)</f>
        <v/>
      </c>
      <c r="B23" s="148">
        <f>IF('KG1-1'!$B27="","",'KG1-1'!$B27)</f>
        <v/>
      </c>
      <c r="C23" s="146">
        <f>IF('KG1-1'!$C27="","",'KG1-1'!$C27)</f>
        <v/>
      </c>
      <c r="D23" s="148">
        <f>IF(B23="","",'KG1-1'!$B$2)</f>
        <v/>
      </c>
      <c r="E23" s="148">
        <f>IF(B23="","",MID(D23,FIND("-",D23&amp;"-")+1,10))</f>
        <v/>
      </c>
      <c r="F23" s="148">
        <f>IF(B23="","","نشط")</f>
        <v/>
      </c>
      <c r="G23" s="157">
        <f>IF(B23="","","")</f>
        <v/>
      </c>
      <c r="H23" s="146">
        <f>IF('KG1-1'!$K27="","",'KG1-1'!$K27)</f>
        <v/>
      </c>
      <c r="I23" s="148">
        <f>IF('KG1-1'!$J27="","",'KG1-1'!$J27)</f>
        <v/>
      </c>
      <c r="J23" s="148">
        <f>IF('KG1-1'!$M27="","",'KG1-1'!$M27)</f>
        <v/>
      </c>
      <c r="K23" s="148">
        <f>IF('KG1-1'!$N27="","",'KG1-1'!$N27)</f>
        <v/>
      </c>
      <c r="L23" s="148">
        <f>IF('KG1-1'!$D27="","",'KG1-1'!$D27)</f>
        <v/>
      </c>
      <c r="M23" s="148">
        <f>IF('KG1-1'!$E27="","",'KG1-1'!$E27)</f>
        <v/>
      </c>
      <c r="N23" s="148">
        <f>IF('KG1-1'!$F27="","",'KG1-1'!$F27)</f>
        <v/>
      </c>
      <c r="O23" s="158">
        <f>IF('KG1-1'!$G27="","",'KG1-1'!$G27)</f>
        <v/>
      </c>
      <c r="P23" s="158">
        <f>IF('KG1-1'!$O27="","",'KG1-1'!$O27)</f>
        <v/>
      </c>
      <c r="Q23" s="148">
        <f>IF('KG1-1'!$T27="","",'KG1-1'!$T27)</f>
        <v/>
      </c>
      <c r="R23" s="146">
        <f>IF('KG1-1'!$H27="","",'KG1-1'!$H27)</f>
        <v/>
      </c>
      <c r="S23" s="157">
        <f>IF('KG1-1'!$P27="","",'KG1-1'!$P27)</f>
        <v/>
      </c>
      <c r="T23" s="157">
        <f>IF('KG1-1'!$V27="","",'KG1-1'!$V27)</f>
        <v/>
      </c>
      <c r="U23" s="157">
        <f>IF('KG1-1'!$W27="","",'KG1-1'!$W27)</f>
        <v/>
      </c>
      <c r="V23" s="157">
        <f>IF('KG1-1'!$X27="","",'KG1-1'!$X27)</f>
        <v/>
      </c>
      <c r="W23" s="157">
        <f>IF('KG1-1'!$Y27="","",'KG1-1'!$Y27)</f>
        <v/>
      </c>
      <c r="X23" s="157">
        <f>IF('KG1-1'!$R27="","",'KG1-1'!$R27)</f>
        <v/>
      </c>
      <c r="Y23" s="148">
        <f>IF('KG1-1'!$S27="","",'KG1-1'!$S27)</f>
        <v/>
      </c>
      <c r="Z23" s="148">
        <f>IF('KG1-1'!$Q27="","",'KG1-1'!$Q27)</f>
        <v/>
      </c>
      <c r="AA23" s="148">
        <f>IF('KG1-1'!$I27="","",'KG1-1'!$I27)</f>
        <v/>
      </c>
      <c r="AB23" s="146">
        <f>IF(Q23="","",INDEX(LevelActions,MATCH(Q23,LevelValues,0)))</f>
        <v/>
      </c>
      <c r="AC23" s="148">
        <f>IF(J23="","",IF(J23=0,"—",IF(AND(L23=0,M23=0),Cat_L1,IF(O23&gt;=Cat_95,Cat_L2,IF(O23&gt;=Cat_90,Cat_L3,Cat_L4)))))</f>
        <v/>
      </c>
      <c r="AD23" s="146">
        <f>IF('KG1-1'!$L27="","",'KG1-1'!$L27)</f>
        <v/>
      </c>
      <c r="AE23" s="148">
        <f>IF(B23="","",IF(COUNTIF($B$5:$B$214,B23)&gt;1,"مكرر!",""))</f>
        <v/>
      </c>
      <c r="AF23" s="148">
        <f>IF(AND(B23&lt;&gt;"",F23="نشط",OR(Dash_Class="الكل",D23=Dash_Class)),1,0)</f>
        <v/>
      </c>
      <c r="AG23" s="40">
        <f>IF(OR(AF23=0,Dash_DayIdx=0),"",IF(INDEX('KG1-1'!$AD$7:$IM$7,Dash_DayIdx)&lt;&gt;"✓","",IF(INDEX('KG1-1'!$AD27:$IM27,Dash_DayIdx)="","P",IFERROR(INDEX(StatusCodes,MATCH(INDEX('KG1-1'!$AD27:$IM27,Dash_DayIdx),StatusLabels,0)),""))))</f>
        <v/>
      </c>
      <c r="AH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IF(LateAsPresent="نعم",COUNTIFS('KG1-1'!$AD27:$IM27,"متأخر",'KG1-1'!$AD$7:$IM$7,"✓",'KG1-1'!$AD$6:$IM$6,1,'KG1-1'!$AD$5:$IM$5,"&gt;="&amp;MAX('KG1-1'!$U27,Dash_PStart),'KG1-1'!$AD$5:$IM$5,"&lt;="&amp;Dash_PEnd),0))</f>
        <v/>
      </c>
      <c r="AI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COUNTIFS('KG1-1'!$AD27:$IM27,"غياب بدون عذر",'KG1-1'!$AD$7:$IM$7,"✓",'KG1-1'!$AD$6:$IM$6,1,'KG1-1'!$AD$5:$IM$5,"&gt;="&amp;MAX('KG1-1'!$U27,Dash_PStart),'KG1-1'!$AD$5:$IM$5,"&lt;="&amp;Dash_PEnd)+COUNTIFS('KG1-1'!$AD27:$IM27,"غياب بعذر",'KG1-1'!$AD$7:$IM$7,"✓",'KG1-1'!$AD$6:$IM$6,1,'KG1-1'!$AD$5:$IM$5,"&gt;="&amp;MAX('KG1-1'!$U27,Dash_PStart),'KG1-1'!$AD$5:$IM$5,"&lt;="&amp;Dash_PEnd)+COUNTIFS('KG1-1'!$AD27:$IM27,"متأخر",'KG1-1'!$AD$7:$IM$7,"✓",'KG1-1'!$AD$6:$IM$6,1,'KG1-1'!$AD$5:$IM$5,"&gt;="&amp;MAX('KG1-1'!$U27,Dash_PStart),'KG1-1'!$AD$5:$IM$5,"&lt;="&amp;Dash_PEnd))</f>
        <v/>
      </c>
      <c r="AJ23" s="40">
        <f>IF(AF23=0,0,IF(W23=Dash_Date,Thr_Critical,IF(V23=Dash_Date,Thr_High,IF(U23=Dash_Date,Thr_Repeated,IF(T23=Dash_Date,Thr_FollowUp,0)))))</f>
        <v/>
      </c>
      <c r="AK23" s="40">
        <f>IF(AJ23&gt;0,COUNTIF($AJ$5:AJ23,"&gt;0"),"")</f>
        <v/>
      </c>
      <c r="AL23" s="40">
        <f>IF(AND(B23&lt;&gt;"",F23="نشط",Q23&lt;&gt;"",Q23&gt;0),L23*1000+(999-ROW()),"")</f>
        <v/>
      </c>
      <c r="AM23" s="40">
        <f>IF(AND(AF23=1,J23&lt;&gt;"",J23&gt;0),ROUND(O23*10000,0)*1000000+K23*1000+(999-ROW()),"")</f>
        <v/>
      </c>
      <c r="AN23" s="40">
        <f>IF(AND(AF23=1,J23&lt;&gt;"",J23&gt;0),(L23+M23)*10000000+ROUND((1-O23)*10000,0)*1000+(999-ROW()),"")</f>
        <v/>
      </c>
      <c r="AO23" s="40">
        <f>IF(AND(AF23=1,Q23&lt;&gt;"",Q23&gt;=Thr_Critical),L23*1000+(999-ROW()),"")</f>
        <v/>
      </c>
      <c r="AP23" s="40">
        <f>IF(AND(B23&lt;&gt;"",F23="نشط",OR(Rpt_Class="الكل",D23=Rpt_Class)),1,0)</f>
        <v/>
      </c>
      <c r="AQ23" s="40">
        <f>IF(AND(AP23=1,Q23&lt;&gt;"",Q23&gt;0),L23*1000+(999-ROW()),"")</f>
        <v/>
      </c>
      <c r="AR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IF(LateAsPresent="نعم",COUNTIFS('KG1-1'!$AD27:$IM27,"متأخر",'KG1-1'!$AD$7:$IM$7,"✓",'KG1-1'!$AD$6:$IM$6,1,'KG1-1'!$AD$5:$IM$5,"&gt;="&amp;MAX('KG1-1'!$U27,Rpt_PStart),'KG1-1'!$AD$5:$IM$5,"&lt;="&amp;Rpt_PEnd),0))</f>
        <v/>
      </c>
      <c r="AS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COUNTIFS('KG1-1'!$AD27:$IM27,"غياب بدون عذر",'KG1-1'!$AD$7:$IM$7,"✓",'KG1-1'!$AD$6:$IM$6,1,'KG1-1'!$AD$5:$IM$5,"&gt;="&amp;MAX('KG1-1'!$U27,Rpt_PStart),'KG1-1'!$AD$5:$IM$5,"&lt;="&amp;Rpt_PEnd)+COUNTIFS('KG1-1'!$AD27:$IM27,"غياب بعذر",'KG1-1'!$AD$7:$IM$7,"✓",'KG1-1'!$AD$6:$IM$6,1,'KG1-1'!$AD$5:$IM$5,"&gt;="&amp;MAX('KG1-1'!$U27,Rpt_PStart),'KG1-1'!$AD$5:$IM$5,"&lt;="&amp;Rpt_PEnd)+COUNTIFS('KG1-1'!$AD27:$IM27,"متأخر",'KG1-1'!$AD$7:$IM$7,"✓",'KG1-1'!$AD$6:$IM$6,1,'KG1-1'!$AD$5:$IM$5,"&gt;="&amp;MAX('KG1-1'!$U27,Rpt_PStart),'KG1-1'!$AD$5:$IM$5,"&lt;="&amp;Rpt_PEnd))</f>
        <v/>
      </c>
      <c r="AT23" s="40">
        <f>IF(AP23=0,"",COUNTIFS('KG1-1'!$AD27:$IM27,"غياب بدون عذر",'KG1-1'!$AD$7:$IM$7,"✓",'KG1-1'!$AD$6:$IM$6,1,'KG1-1'!$AD$5:$IM$5,"&gt;="&amp;MAX('KG1-1'!$U27,Rpt_PStart),'KG1-1'!$AD$5:$IM$5,"&lt;="&amp;Rpt_PEnd)+COUNTIFS('KG1-1'!$AD27:$IM27,"غياب بعذر",'KG1-1'!$AD$7:$IM$7,"✓",'KG1-1'!$AD$6:$IM$6,1,'KG1-1'!$AD$5:$IM$5,"&gt;="&amp;MAX('KG1-1'!$U27,Rpt_PStart),'KG1-1'!$AD$5:$IM$5,"&lt;="&amp;Rpt_PEnd))</f>
        <v/>
      </c>
      <c r="AU23" s="40" t="n">
        <v>1</v>
      </c>
      <c r="AV23" s="40" t="n">
        <v>19</v>
      </c>
      <c r="AW23" s="40">
        <f>IF(OR(AP23=0,Rpt_DayIdx=0),"",IF(INDEX('KG1-1'!$AD$7:$IM$7,Rpt_DayIdx)&lt;&gt;"✓","",IF(INDEX('KG1-1'!$AD27:$IM27,Rpt_DayIdx)="","P",IFERROR(INDEX(StatusCodes,MATCH(INDEX('KG1-1'!$AD27:$IM27,Rpt_DayIdx),StatusLabels,0)),""))))</f>
        <v/>
      </c>
      <c r="AX23" s="40">
        <f>IF(AND(AP23=1,OR(AW23="A",AW23="E")),COUNTIFS($AP$5:AP23,1,$AW$5:AW23,"A")+COUNTIFS($AP$5:AP23,1,$AW$5:AW23,"E"),"")</f>
        <v/>
      </c>
    </row>
    <row r="24">
      <c r="A24" s="148">
        <f>IF(B24="","",ROW()-4)</f>
        <v/>
      </c>
      <c r="B24" s="148">
        <f>IF('KG1-1'!$B28="","",'KG1-1'!$B28)</f>
        <v/>
      </c>
      <c r="C24" s="146">
        <f>IF('KG1-1'!$C28="","",'KG1-1'!$C28)</f>
        <v/>
      </c>
      <c r="D24" s="148">
        <f>IF(B24="","",'KG1-1'!$B$2)</f>
        <v/>
      </c>
      <c r="E24" s="148">
        <f>IF(B24="","",MID(D24,FIND("-",D24&amp;"-")+1,10))</f>
        <v/>
      </c>
      <c r="F24" s="148">
        <f>IF(B24="","","نشط")</f>
        <v/>
      </c>
      <c r="G24" s="157">
        <f>IF(B24="","","")</f>
        <v/>
      </c>
      <c r="H24" s="146">
        <f>IF('KG1-1'!$K28="","",'KG1-1'!$K28)</f>
        <v/>
      </c>
      <c r="I24" s="148">
        <f>IF('KG1-1'!$J28="","",'KG1-1'!$J28)</f>
        <v/>
      </c>
      <c r="J24" s="148">
        <f>IF('KG1-1'!$M28="","",'KG1-1'!$M28)</f>
        <v/>
      </c>
      <c r="K24" s="148">
        <f>IF('KG1-1'!$N28="","",'KG1-1'!$N28)</f>
        <v/>
      </c>
      <c r="L24" s="148">
        <f>IF('KG1-1'!$D28="","",'KG1-1'!$D28)</f>
        <v/>
      </c>
      <c r="M24" s="148">
        <f>IF('KG1-1'!$E28="","",'KG1-1'!$E28)</f>
        <v/>
      </c>
      <c r="N24" s="148">
        <f>IF('KG1-1'!$F28="","",'KG1-1'!$F28)</f>
        <v/>
      </c>
      <c r="O24" s="158">
        <f>IF('KG1-1'!$G28="","",'KG1-1'!$G28)</f>
        <v/>
      </c>
      <c r="P24" s="158">
        <f>IF('KG1-1'!$O28="","",'KG1-1'!$O28)</f>
        <v/>
      </c>
      <c r="Q24" s="148">
        <f>IF('KG1-1'!$T28="","",'KG1-1'!$T28)</f>
        <v/>
      </c>
      <c r="R24" s="146">
        <f>IF('KG1-1'!$H28="","",'KG1-1'!$H28)</f>
        <v/>
      </c>
      <c r="S24" s="157">
        <f>IF('KG1-1'!$P28="","",'KG1-1'!$P28)</f>
        <v/>
      </c>
      <c r="T24" s="157">
        <f>IF('KG1-1'!$V28="","",'KG1-1'!$V28)</f>
        <v/>
      </c>
      <c r="U24" s="157">
        <f>IF('KG1-1'!$W28="","",'KG1-1'!$W28)</f>
        <v/>
      </c>
      <c r="V24" s="157">
        <f>IF('KG1-1'!$X28="","",'KG1-1'!$X28)</f>
        <v/>
      </c>
      <c r="W24" s="157">
        <f>IF('KG1-1'!$Y28="","",'KG1-1'!$Y28)</f>
        <v/>
      </c>
      <c r="X24" s="157">
        <f>IF('KG1-1'!$R28="","",'KG1-1'!$R28)</f>
        <v/>
      </c>
      <c r="Y24" s="148">
        <f>IF('KG1-1'!$S28="","",'KG1-1'!$S28)</f>
        <v/>
      </c>
      <c r="Z24" s="148">
        <f>IF('KG1-1'!$Q28="","",'KG1-1'!$Q28)</f>
        <v/>
      </c>
      <c r="AA24" s="148">
        <f>IF('KG1-1'!$I28="","",'KG1-1'!$I28)</f>
        <v/>
      </c>
      <c r="AB24" s="146">
        <f>IF(Q24="","",INDEX(LevelActions,MATCH(Q24,LevelValues,0)))</f>
        <v/>
      </c>
      <c r="AC24" s="148">
        <f>IF(J24="","",IF(J24=0,"—",IF(AND(L24=0,M24=0),Cat_L1,IF(O24&gt;=Cat_95,Cat_L2,IF(O24&gt;=Cat_90,Cat_L3,Cat_L4)))))</f>
        <v/>
      </c>
      <c r="AD24" s="146">
        <f>IF('KG1-1'!$L28="","",'KG1-1'!$L28)</f>
        <v/>
      </c>
      <c r="AE24" s="148">
        <f>IF(B24="","",IF(COUNTIF($B$5:$B$214,B24)&gt;1,"مكرر!",""))</f>
        <v/>
      </c>
      <c r="AF24" s="148">
        <f>IF(AND(B24&lt;&gt;"",F24="نشط",OR(Dash_Class="الكل",D24=Dash_Class)),1,0)</f>
        <v/>
      </c>
      <c r="AG24" s="40">
        <f>IF(OR(AF24=0,Dash_DayIdx=0),"",IF(INDEX('KG1-1'!$AD$7:$IM$7,Dash_DayIdx)&lt;&gt;"✓","",IF(INDEX('KG1-1'!$AD28:$IM28,Dash_DayIdx)="","P",IFERROR(INDEX(StatusCodes,MATCH(INDEX('KG1-1'!$AD28:$IM28,Dash_DayIdx),StatusLabels,0)),""))))</f>
        <v/>
      </c>
      <c r="AH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IF(LateAsPresent="نعم",COUNTIFS('KG1-1'!$AD28:$IM28,"متأخر",'KG1-1'!$AD$7:$IM$7,"✓",'KG1-1'!$AD$6:$IM$6,1,'KG1-1'!$AD$5:$IM$5,"&gt;="&amp;MAX('KG1-1'!$U28,Dash_PStart),'KG1-1'!$AD$5:$IM$5,"&lt;="&amp;Dash_PEnd),0))</f>
        <v/>
      </c>
      <c r="AI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COUNTIFS('KG1-1'!$AD28:$IM28,"غياب بدون عذر",'KG1-1'!$AD$7:$IM$7,"✓",'KG1-1'!$AD$6:$IM$6,1,'KG1-1'!$AD$5:$IM$5,"&gt;="&amp;MAX('KG1-1'!$U28,Dash_PStart),'KG1-1'!$AD$5:$IM$5,"&lt;="&amp;Dash_PEnd)+COUNTIFS('KG1-1'!$AD28:$IM28,"غياب بعذر",'KG1-1'!$AD$7:$IM$7,"✓",'KG1-1'!$AD$6:$IM$6,1,'KG1-1'!$AD$5:$IM$5,"&gt;="&amp;MAX('KG1-1'!$U28,Dash_PStart),'KG1-1'!$AD$5:$IM$5,"&lt;="&amp;Dash_PEnd)+COUNTIFS('KG1-1'!$AD28:$IM28,"متأخر",'KG1-1'!$AD$7:$IM$7,"✓",'KG1-1'!$AD$6:$IM$6,1,'KG1-1'!$AD$5:$IM$5,"&gt;="&amp;MAX('KG1-1'!$U28,Dash_PStart),'KG1-1'!$AD$5:$IM$5,"&lt;="&amp;Dash_PEnd))</f>
        <v/>
      </c>
      <c r="AJ24" s="40">
        <f>IF(AF24=0,0,IF(W24=Dash_Date,Thr_Critical,IF(V24=Dash_Date,Thr_High,IF(U24=Dash_Date,Thr_Repeated,IF(T24=Dash_Date,Thr_FollowUp,0)))))</f>
        <v/>
      </c>
      <c r="AK24" s="40">
        <f>IF(AJ24&gt;0,COUNTIF($AJ$5:AJ24,"&gt;0"),"")</f>
        <v/>
      </c>
      <c r="AL24" s="40">
        <f>IF(AND(B24&lt;&gt;"",F24="نشط",Q24&lt;&gt;"",Q24&gt;0),L24*1000+(999-ROW()),"")</f>
        <v/>
      </c>
      <c r="AM24" s="40">
        <f>IF(AND(AF24=1,J24&lt;&gt;"",J24&gt;0),ROUND(O24*10000,0)*1000000+K24*1000+(999-ROW()),"")</f>
        <v/>
      </c>
      <c r="AN24" s="40">
        <f>IF(AND(AF24=1,J24&lt;&gt;"",J24&gt;0),(L24+M24)*10000000+ROUND((1-O24)*10000,0)*1000+(999-ROW()),"")</f>
        <v/>
      </c>
      <c r="AO24" s="40">
        <f>IF(AND(AF24=1,Q24&lt;&gt;"",Q24&gt;=Thr_Critical),L24*1000+(999-ROW()),"")</f>
        <v/>
      </c>
      <c r="AP24" s="40">
        <f>IF(AND(B24&lt;&gt;"",F24="نشط",OR(Rpt_Class="الكل",D24=Rpt_Class)),1,0)</f>
        <v/>
      </c>
      <c r="AQ24" s="40">
        <f>IF(AND(AP24=1,Q24&lt;&gt;"",Q24&gt;0),L24*1000+(999-ROW()),"")</f>
        <v/>
      </c>
      <c r="AR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IF(LateAsPresent="نعم",COUNTIFS('KG1-1'!$AD28:$IM28,"متأخر",'KG1-1'!$AD$7:$IM$7,"✓",'KG1-1'!$AD$6:$IM$6,1,'KG1-1'!$AD$5:$IM$5,"&gt;="&amp;MAX('KG1-1'!$U28,Rpt_PStart),'KG1-1'!$AD$5:$IM$5,"&lt;="&amp;Rpt_PEnd),0))</f>
        <v/>
      </c>
      <c r="AS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COUNTIFS('KG1-1'!$AD28:$IM28,"غياب بدون عذر",'KG1-1'!$AD$7:$IM$7,"✓",'KG1-1'!$AD$6:$IM$6,1,'KG1-1'!$AD$5:$IM$5,"&gt;="&amp;MAX('KG1-1'!$U28,Rpt_PStart),'KG1-1'!$AD$5:$IM$5,"&lt;="&amp;Rpt_PEnd)+COUNTIFS('KG1-1'!$AD28:$IM28,"غياب بعذر",'KG1-1'!$AD$7:$IM$7,"✓",'KG1-1'!$AD$6:$IM$6,1,'KG1-1'!$AD$5:$IM$5,"&gt;="&amp;MAX('KG1-1'!$U28,Rpt_PStart),'KG1-1'!$AD$5:$IM$5,"&lt;="&amp;Rpt_PEnd)+COUNTIFS('KG1-1'!$AD28:$IM28,"متأخر",'KG1-1'!$AD$7:$IM$7,"✓",'KG1-1'!$AD$6:$IM$6,1,'KG1-1'!$AD$5:$IM$5,"&gt;="&amp;MAX('KG1-1'!$U28,Rpt_PStart),'KG1-1'!$AD$5:$IM$5,"&lt;="&amp;Rpt_PEnd))</f>
        <v/>
      </c>
      <c r="AT24" s="40">
        <f>IF(AP24=0,"",COUNTIFS('KG1-1'!$AD28:$IM28,"غياب بدون عذر",'KG1-1'!$AD$7:$IM$7,"✓",'KG1-1'!$AD$6:$IM$6,1,'KG1-1'!$AD$5:$IM$5,"&gt;="&amp;MAX('KG1-1'!$U28,Rpt_PStart),'KG1-1'!$AD$5:$IM$5,"&lt;="&amp;Rpt_PEnd)+COUNTIFS('KG1-1'!$AD28:$IM28,"غياب بعذر",'KG1-1'!$AD$7:$IM$7,"✓",'KG1-1'!$AD$6:$IM$6,1,'KG1-1'!$AD$5:$IM$5,"&gt;="&amp;MAX('KG1-1'!$U28,Rpt_PStart),'KG1-1'!$AD$5:$IM$5,"&lt;="&amp;Rpt_PEnd))</f>
        <v/>
      </c>
      <c r="AU24" s="40" t="n">
        <v>1</v>
      </c>
      <c r="AV24" s="40" t="n">
        <v>20</v>
      </c>
      <c r="AW24" s="40">
        <f>IF(OR(AP24=0,Rpt_DayIdx=0),"",IF(INDEX('KG1-1'!$AD$7:$IM$7,Rpt_DayIdx)&lt;&gt;"✓","",IF(INDEX('KG1-1'!$AD28:$IM28,Rpt_DayIdx)="","P",IFERROR(INDEX(StatusCodes,MATCH(INDEX('KG1-1'!$AD28:$IM28,Rpt_DayIdx),StatusLabels,0)),""))))</f>
        <v/>
      </c>
      <c r="AX24" s="40">
        <f>IF(AND(AP24=1,OR(AW24="A",AW24="E")),COUNTIFS($AP$5:AP24,1,$AW$5:AW24,"A")+COUNTIFS($AP$5:AP24,1,$AW$5:AW24,"E"),"")</f>
        <v/>
      </c>
    </row>
    <row r="25">
      <c r="A25" s="148">
        <f>IF(B25="","",ROW()-4)</f>
        <v/>
      </c>
      <c r="B25" s="148">
        <f>IF('KG1-1'!$B29="","",'KG1-1'!$B29)</f>
        <v/>
      </c>
      <c r="C25" s="146">
        <f>IF('KG1-1'!$C29="","",'KG1-1'!$C29)</f>
        <v/>
      </c>
      <c r="D25" s="148">
        <f>IF(B25="","",'KG1-1'!$B$2)</f>
        <v/>
      </c>
      <c r="E25" s="148">
        <f>IF(B25="","",MID(D25,FIND("-",D25&amp;"-")+1,10))</f>
        <v/>
      </c>
      <c r="F25" s="148">
        <f>IF(B25="","","نشط")</f>
        <v/>
      </c>
      <c r="G25" s="157">
        <f>IF(B25="","","")</f>
        <v/>
      </c>
      <c r="H25" s="146">
        <f>IF('KG1-1'!$K29="","",'KG1-1'!$K29)</f>
        <v/>
      </c>
      <c r="I25" s="148">
        <f>IF('KG1-1'!$J29="","",'KG1-1'!$J29)</f>
        <v/>
      </c>
      <c r="J25" s="148">
        <f>IF('KG1-1'!$M29="","",'KG1-1'!$M29)</f>
        <v/>
      </c>
      <c r="K25" s="148">
        <f>IF('KG1-1'!$N29="","",'KG1-1'!$N29)</f>
        <v/>
      </c>
      <c r="L25" s="148">
        <f>IF('KG1-1'!$D29="","",'KG1-1'!$D29)</f>
        <v/>
      </c>
      <c r="M25" s="148">
        <f>IF('KG1-1'!$E29="","",'KG1-1'!$E29)</f>
        <v/>
      </c>
      <c r="N25" s="148">
        <f>IF('KG1-1'!$F29="","",'KG1-1'!$F29)</f>
        <v/>
      </c>
      <c r="O25" s="158">
        <f>IF('KG1-1'!$G29="","",'KG1-1'!$G29)</f>
        <v/>
      </c>
      <c r="P25" s="158">
        <f>IF('KG1-1'!$O29="","",'KG1-1'!$O29)</f>
        <v/>
      </c>
      <c r="Q25" s="148">
        <f>IF('KG1-1'!$T29="","",'KG1-1'!$T29)</f>
        <v/>
      </c>
      <c r="R25" s="146">
        <f>IF('KG1-1'!$H29="","",'KG1-1'!$H29)</f>
        <v/>
      </c>
      <c r="S25" s="157">
        <f>IF('KG1-1'!$P29="","",'KG1-1'!$P29)</f>
        <v/>
      </c>
      <c r="T25" s="157">
        <f>IF('KG1-1'!$V29="","",'KG1-1'!$V29)</f>
        <v/>
      </c>
      <c r="U25" s="157">
        <f>IF('KG1-1'!$W29="","",'KG1-1'!$W29)</f>
        <v/>
      </c>
      <c r="V25" s="157">
        <f>IF('KG1-1'!$X29="","",'KG1-1'!$X29)</f>
        <v/>
      </c>
      <c r="W25" s="157">
        <f>IF('KG1-1'!$Y29="","",'KG1-1'!$Y29)</f>
        <v/>
      </c>
      <c r="X25" s="157">
        <f>IF('KG1-1'!$R29="","",'KG1-1'!$R29)</f>
        <v/>
      </c>
      <c r="Y25" s="148">
        <f>IF('KG1-1'!$S29="","",'KG1-1'!$S29)</f>
        <v/>
      </c>
      <c r="Z25" s="148">
        <f>IF('KG1-1'!$Q29="","",'KG1-1'!$Q29)</f>
        <v/>
      </c>
      <c r="AA25" s="148">
        <f>IF('KG1-1'!$I29="","",'KG1-1'!$I29)</f>
        <v/>
      </c>
      <c r="AB25" s="146">
        <f>IF(Q25="","",INDEX(LevelActions,MATCH(Q25,LevelValues,0)))</f>
        <v/>
      </c>
      <c r="AC25" s="148">
        <f>IF(J25="","",IF(J25=0,"—",IF(AND(L25=0,M25=0),Cat_L1,IF(O25&gt;=Cat_95,Cat_L2,IF(O25&gt;=Cat_90,Cat_L3,Cat_L4)))))</f>
        <v/>
      </c>
      <c r="AD25" s="146">
        <f>IF('KG1-1'!$L29="","",'KG1-1'!$L29)</f>
        <v/>
      </c>
      <c r="AE25" s="148">
        <f>IF(B25="","",IF(COUNTIF($B$5:$B$214,B25)&gt;1,"مكرر!",""))</f>
        <v/>
      </c>
      <c r="AF25" s="148">
        <f>IF(AND(B25&lt;&gt;"",F25="نشط",OR(Dash_Class="الكل",D25=Dash_Class)),1,0)</f>
        <v/>
      </c>
      <c r="AG25" s="40">
        <f>IF(OR(AF25=0,Dash_DayIdx=0),"",IF(INDEX('KG1-1'!$AD$7:$IM$7,Dash_DayIdx)&lt;&gt;"✓","",IF(INDEX('KG1-1'!$AD29:$IM29,Dash_DayIdx)="","P",IFERROR(INDEX(StatusCodes,MATCH(INDEX('KG1-1'!$AD29:$IM29,Dash_DayIdx),StatusLabels,0)),""))))</f>
        <v/>
      </c>
      <c r="AH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IF(LateAsPresent="نعم",COUNTIFS('KG1-1'!$AD29:$IM29,"متأخر",'KG1-1'!$AD$7:$IM$7,"✓",'KG1-1'!$AD$6:$IM$6,1,'KG1-1'!$AD$5:$IM$5,"&gt;="&amp;MAX('KG1-1'!$U29,Dash_PStart),'KG1-1'!$AD$5:$IM$5,"&lt;="&amp;Dash_PEnd),0))</f>
        <v/>
      </c>
      <c r="AI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COUNTIFS('KG1-1'!$AD29:$IM29,"غياب بدون عذر",'KG1-1'!$AD$7:$IM$7,"✓",'KG1-1'!$AD$6:$IM$6,1,'KG1-1'!$AD$5:$IM$5,"&gt;="&amp;MAX('KG1-1'!$U29,Dash_PStart),'KG1-1'!$AD$5:$IM$5,"&lt;="&amp;Dash_PEnd)+COUNTIFS('KG1-1'!$AD29:$IM29,"غياب بعذر",'KG1-1'!$AD$7:$IM$7,"✓",'KG1-1'!$AD$6:$IM$6,1,'KG1-1'!$AD$5:$IM$5,"&gt;="&amp;MAX('KG1-1'!$U29,Dash_PStart),'KG1-1'!$AD$5:$IM$5,"&lt;="&amp;Dash_PEnd)+COUNTIFS('KG1-1'!$AD29:$IM29,"متأخر",'KG1-1'!$AD$7:$IM$7,"✓",'KG1-1'!$AD$6:$IM$6,1,'KG1-1'!$AD$5:$IM$5,"&gt;="&amp;MAX('KG1-1'!$U29,Dash_PStart),'KG1-1'!$AD$5:$IM$5,"&lt;="&amp;Dash_PEnd))</f>
        <v/>
      </c>
      <c r="AJ25" s="40">
        <f>IF(AF25=0,0,IF(W25=Dash_Date,Thr_Critical,IF(V25=Dash_Date,Thr_High,IF(U25=Dash_Date,Thr_Repeated,IF(T25=Dash_Date,Thr_FollowUp,0)))))</f>
        <v/>
      </c>
      <c r="AK25" s="40">
        <f>IF(AJ25&gt;0,COUNTIF($AJ$5:AJ25,"&gt;0"),"")</f>
        <v/>
      </c>
      <c r="AL25" s="40">
        <f>IF(AND(B25&lt;&gt;"",F25="نشط",Q25&lt;&gt;"",Q25&gt;0),L25*1000+(999-ROW()),"")</f>
        <v/>
      </c>
      <c r="AM25" s="40">
        <f>IF(AND(AF25=1,J25&lt;&gt;"",J25&gt;0),ROUND(O25*10000,0)*1000000+K25*1000+(999-ROW()),"")</f>
        <v/>
      </c>
      <c r="AN25" s="40">
        <f>IF(AND(AF25=1,J25&lt;&gt;"",J25&gt;0),(L25+M25)*10000000+ROUND((1-O25)*10000,0)*1000+(999-ROW()),"")</f>
        <v/>
      </c>
      <c r="AO25" s="40">
        <f>IF(AND(AF25=1,Q25&lt;&gt;"",Q25&gt;=Thr_Critical),L25*1000+(999-ROW()),"")</f>
        <v/>
      </c>
      <c r="AP25" s="40">
        <f>IF(AND(B25&lt;&gt;"",F25="نشط",OR(Rpt_Class="الكل",D25=Rpt_Class)),1,0)</f>
        <v/>
      </c>
      <c r="AQ25" s="40">
        <f>IF(AND(AP25=1,Q25&lt;&gt;"",Q25&gt;0),L25*1000+(999-ROW()),"")</f>
        <v/>
      </c>
      <c r="AR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IF(LateAsPresent="نعم",COUNTIFS('KG1-1'!$AD29:$IM29,"متأخر",'KG1-1'!$AD$7:$IM$7,"✓",'KG1-1'!$AD$6:$IM$6,1,'KG1-1'!$AD$5:$IM$5,"&gt;="&amp;MAX('KG1-1'!$U29,Rpt_PStart),'KG1-1'!$AD$5:$IM$5,"&lt;="&amp;Rpt_PEnd),0))</f>
        <v/>
      </c>
      <c r="AS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COUNTIFS('KG1-1'!$AD29:$IM29,"غياب بدون عذر",'KG1-1'!$AD$7:$IM$7,"✓",'KG1-1'!$AD$6:$IM$6,1,'KG1-1'!$AD$5:$IM$5,"&gt;="&amp;MAX('KG1-1'!$U29,Rpt_PStart),'KG1-1'!$AD$5:$IM$5,"&lt;="&amp;Rpt_PEnd)+COUNTIFS('KG1-1'!$AD29:$IM29,"غياب بعذر",'KG1-1'!$AD$7:$IM$7,"✓",'KG1-1'!$AD$6:$IM$6,1,'KG1-1'!$AD$5:$IM$5,"&gt;="&amp;MAX('KG1-1'!$U29,Rpt_PStart),'KG1-1'!$AD$5:$IM$5,"&lt;="&amp;Rpt_PEnd)+COUNTIFS('KG1-1'!$AD29:$IM29,"متأخر",'KG1-1'!$AD$7:$IM$7,"✓",'KG1-1'!$AD$6:$IM$6,1,'KG1-1'!$AD$5:$IM$5,"&gt;="&amp;MAX('KG1-1'!$U29,Rpt_PStart),'KG1-1'!$AD$5:$IM$5,"&lt;="&amp;Rpt_PEnd))</f>
        <v/>
      </c>
      <c r="AT25" s="40">
        <f>IF(AP25=0,"",COUNTIFS('KG1-1'!$AD29:$IM29,"غياب بدون عذر",'KG1-1'!$AD$7:$IM$7,"✓",'KG1-1'!$AD$6:$IM$6,1,'KG1-1'!$AD$5:$IM$5,"&gt;="&amp;MAX('KG1-1'!$U29,Rpt_PStart),'KG1-1'!$AD$5:$IM$5,"&lt;="&amp;Rpt_PEnd)+COUNTIFS('KG1-1'!$AD29:$IM29,"غياب بعذر",'KG1-1'!$AD$7:$IM$7,"✓",'KG1-1'!$AD$6:$IM$6,1,'KG1-1'!$AD$5:$IM$5,"&gt;="&amp;MAX('KG1-1'!$U29,Rpt_PStart),'KG1-1'!$AD$5:$IM$5,"&lt;="&amp;Rpt_PEnd))</f>
        <v/>
      </c>
      <c r="AU25" s="40" t="n">
        <v>1</v>
      </c>
      <c r="AV25" s="40" t="n">
        <v>21</v>
      </c>
      <c r="AW25" s="40">
        <f>IF(OR(AP25=0,Rpt_DayIdx=0),"",IF(INDEX('KG1-1'!$AD$7:$IM$7,Rpt_DayIdx)&lt;&gt;"✓","",IF(INDEX('KG1-1'!$AD29:$IM29,Rpt_DayIdx)="","P",IFERROR(INDEX(StatusCodes,MATCH(INDEX('KG1-1'!$AD29:$IM29,Rpt_DayIdx),StatusLabels,0)),""))))</f>
        <v/>
      </c>
      <c r="AX25" s="40">
        <f>IF(AND(AP25=1,OR(AW25="A",AW25="E")),COUNTIFS($AP$5:AP25,1,$AW$5:AW25,"A")+COUNTIFS($AP$5:AP25,1,$AW$5:AW25,"E"),"")</f>
        <v/>
      </c>
    </row>
    <row r="26">
      <c r="A26" s="148">
        <f>IF(B26="","",ROW()-4)</f>
        <v/>
      </c>
      <c r="B26" s="148">
        <f>IF('KG1-1'!$B30="","",'KG1-1'!$B30)</f>
        <v/>
      </c>
      <c r="C26" s="146">
        <f>IF('KG1-1'!$C30="","",'KG1-1'!$C30)</f>
        <v/>
      </c>
      <c r="D26" s="148">
        <f>IF(B26="","",'KG1-1'!$B$2)</f>
        <v/>
      </c>
      <c r="E26" s="148">
        <f>IF(B26="","",MID(D26,FIND("-",D26&amp;"-")+1,10))</f>
        <v/>
      </c>
      <c r="F26" s="148">
        <f>IF(B26="","","نشط")</f>
        <v/>
      </c>
      <c r="G26" s="157">
        <f>IF(B26="","","")</f>
        <v/>
      </c>
      <c r="H26" s="146">
        <f>IF('KG1-1'!$K30="","",'KG1-1'!$K30)</f>
        <v/>
      </c>
      <c r="I26" s="148">
        <f>IF('KG1-1'!$J30="","",'KG1-1'!$J30)</f>
        <v/>
      </c>
      <c r="J26" s="148">
        <f>IF('KG1-1'!$M30="","",'KG1-1'!$M30)</f>
        <v/>
      </c>
      <c r="K26" s="148">
        <f>IF('KG1-1'!$N30="","",'KG1-1'!$N30)</f>
        <v/>
      </c>
      <c r="L26" s="148">
        <f>IF('KG1-1'!$D30="","",'KG1-1'!$D30)</f>
        <v/>
      </c>
      <c r="M26" s="148">
        <f>IF('KG1-1'!$E30="","",'KG1-1'!$E30)</f>
        <v/>
      </c>
      <c r="N26" s="148">
        <f>IF('KG1-1'!$F30="","",'KG1-1'!$F30)</f>
        <v/>
      </c>
      <c r="O26" s="158">
        <f>IF('KG1-1'!$G30="","",'KG1-1'!$G30)</f>
        <v/>
      </c>
      <c r="P26" s="158">
        <f>IF('KG1-1'!$O30="","",'KG1-1'!$O30)</f>
        <v/>
      </c>
      <c r="Q26" s="148">
        <f>IF('KG1-1'!$T30="","",'KG1-1'!$T30)</f>
        <v/>
      </c>
      <c r="R26" s="146">
        <f>IF('KG1-1'!$H30="","",'KG1-1'!$H30)</f>
        <v/>
      </c>
      <c r="S26" s="157">
        <f>IF('KG1-1'!$P30="","",'KG1-1'!$P30)</f>
        <v/>
      </c>
      <c r="T26" s="157">
        <f>IF('KG1-1'!$V30="","",'KG1-1'!$V30)</f>
        <v/>
      </c>
      <c r="U26" s="157">
        <f>IF('KG1-1'!$W30="","",'KG1-1'!$W30)</f>
        <v/>
      </c>
      <c r="V26" s="157">
        <f>IF('KG1-1'!$X30="","",'KG1-1'!$X30)</f>
        <v/>
      </c>
      <c r="W26" s="157">
        <f>IF('KG1-1'!$Y30="","",'KG1-1'!$Y30)</f>
        <v/>
      </c>
      <c r="X26" s="157">
        <f>IF('KG1-1'!$R30="","",'KG1-1'!$R30)</f>
        <v/>
      </c>
      <c r="Y26" s="148">
        <f>IF('KG1-1'!$S30="","",'KG1-1'!$S30)</f>
        <v/>
      </c>
      <c r="Z26" s="148">
        <f>IF('KG1-1'!$Q30="","",'KG1-1'!$Q30)</f>
        <v/>
      </c>
      <c r="AA26" s="148">
        <f>IF('KG1-1'!$I30="","",'KG1-1'!$I30)</f>
        <v/>
      </c>
      <c r="AB26" s="146">
        <f>IF(Q26="","",INDEX(LevelActions,MATCH(Q26,LevelValues,0)))</f>
        <v/>
      </c>
      <c r="AC26" s="148">
        <f>IF(J26="","",IF(J26=0,"—",IF(AND(L26=0,M26=0),Cat_L1,IF(O26&gt;=Cat_95,Cat_L2,IF(O26&gt;=Cat_90,Cat_L3,Cat_L4)))))</f>
        <v/>
      </c>
      <c r="AD26" s="146">
        <f>IF('KG1-1'!$L30="","",'KG1-1'!$L30)</f>
        <v/>
      </c>
      <c r="AE26" s="148">
        <f>IF(B26="","",IF(COUNTIF($B$5:$B$214,B26)&gt;1,"مكرر!",""))</f>
        <v/>
      </c>
      <c r="AF26" s="148">
        <f>IF(AND(B26&lt;&gt;"",F26="نشط",OR(Dash_Class="الكل",D26=Dash_Class)),1,0)</f>
        <v/>
      </c>
      <c r="AG26" s="40">
        <f>IF(OR(AF26=0,Dash_DayIdx=0),"",IF(INDEX('KG1-1'!$AD$7:$IM$7,Dash_DayIdx)&lt;&gt;"✓","",IF(INDEX('KG1-1'!$AD30:$IM30,Dash_DayIdx)="","P",IFERROR(INDEX(StatusCodes,MATCH(INDEX('KG1-1'!$AD30:$IM30,Dash_DayIdx),StatusLabels,0)),""))))</f>
        <v/>
      </c>
      <c r="AH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IF(LateAsPresent="نعم",COUNTIFS('KG1-1'!$AD30:$IM30,"متأخر",'KG1-1'!$AD$7:$IM$7,"✓",'KG1-1'!$AD$6:$IM$6,1,'KG1-1'!$AD$5:$IM$5,"&gt;="&amp;MAX('KG1-1'!$U30,Dash_PStart),'KG1-1'!$AD$5:$IM$5,"&lt;="&amp;Dash_PEnd),0))</f>
        <v/>
      </c>
      <c r="AI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COUNTIFS('KG1-1'!$AD30:$IM30,"غياب بدون عذر",'KG1-1'!$AD$7:$IM$7,"✓",'KG1-1'!$AD$6:$IM$6,1,'KG1-1'!$AD$5:$IM$5,"&gt;="&amp;MAX('KG1-1'!$U30,Dash_PStart),'KG1-1'!$AD$5:$IM$5,"&lt;="&amp;Dash_PEnd)+COUNTIFS('KG1-1'!$AD30:$IM30,"غياب بعذر",'KG1-1'!$AD$7:$IM$7,"✓",'KG1-1'!$AD$6:$IM$6,1,'KG1-1'!$AD$5:$IM$5,"&gt;="&amp;MAX('KG1-1'!$U30,Dash_PStart),'KG1-1'!$AD$5:$IM$5,"&lt;="&amp;Dash_PEnd)+COUNTIFS('KG1-1'!$AD30:$IM30,"متأخر",'KG1-1'!$AD$7:$IM$7,"✓",'KG1-1'!$AD$6:$IM$6,1,'KG1-1'!$AD$5:$IM$5,"&gt;="&amp;MAX('KG1-1'!$U30,Dash_PStart),'KG1-1'!$AD$5:$IM$5,"&lt;="&amp;Dash_PEnd))</f>
        <v/>
      </c>
      <c r="AJ26" s="40">
        <f>IF(AF26=0,0,IF(W26=Dash_Date,Thr_Critical,IF(V26=Dash_Date,Thr_High,IF(U26=Dash_Date,Thr_Repeated,IF(T26=Dash_Date,Thr_FollowUp,0)))))</f>
        <v/>
      </c>
      <c r="AK26" s="40">
        <f>IF(AJ26&gt;0,COUNTIF($AJ$5:AJ26,"&gt;0"),"")</f>
        <v/>
      </c>
      <c r="AL26" s="40">
        <f>IF(AND(B26&lt;&gt;"",F26="نشط",Q26&lt;&gt;"",Q26&gt;0),L26*1000+(999-ROW()),"")</f>
        <v/>
      </c>
      <c r="AM26" s="40">
        <f>IF(AND(AF26=1,J26&lt;&gt;"",J26&gt;0),ROUND(O26*10000,0)*1000000+K26*1000+(999-ROW()),"")</f>
        <v/>
      </c>
      <c r="AN26" s="40">
        <f>IF(AND(AF26=1,J26&lt;&gt;"",J26&gt;0),(L26+M26)*10000000+ROUND((1-O26)*10000,0)*1000+(999-ROW()),"")</f>
        <v/>
      </c>
      <c r="AO26" s="40">
        <f>IF(AND(AF26=1,Q26&lt;&gt;"",Q26&gt;=Thr_Critical),L26*1000+(999-ROW()),"")</f>
        <v/>
      </c>
      <c r="AP26" s="40">
        <f>IF(AND(B26&lt;&gt;"",F26="نشط",OR(Rpt_Class="الكل",D26=Rpt_Class)),1,0)</f>
        <v/>
      </c>
      <c r="AQ26" s="40">
        <f>IF(AND(AP26=1,Q26&lt;&gt;"",Q26&gt;0),L26*1000+(999-ROW()),"")</f>
        <v/>
      </c>
      <c r="AR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IF(LateAsPresent="نعم",COUNTIFS('KG1-1'!$AD30:$IM30,"متأخر",'KG1-1'!$AD$7:$IM$7,"✓",'KG1-1'!$AD$6:$IM$6,1,'KG1-1'!$AD$5:$IM$5,"&gt;="&amp;MAX('KG1-1'!$U30,Rpt_PStart),'KG1-1'!$AD$5:$IM$5,"&lt;="&amp;Rpt_PEnd),0))</f>
        <v/>
      </c>
      <c r="AS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COUNTIFS('KG1-1'!$AD30:$IM30,"غياب بدون عذر",'KG1-1'!$AD$7:$IM$7,"✓",'KG1-1'!$AD$6:$IM$6,1,'KG1-1'!$AD$5:$IM$5,"&gt;="&amp;MAX('KG1-1'!$U30,Rpt_PStart),'KG1-1'!$AD$5:$IM$5,"&lt;="&amp;Rpt_PEnd)+COUNTIFS('KG1-1'!$AD30:$IM30,"غياب بعذر",'KG1-1'!$AD$7:$IM$7,"✓",'KG1-1'!$AD$6:$IM$6,1,'KG1-1'!$AD$5:$IM$5,"&gt;="&amp;MAX('KG1-1'!$U30,Rpt_PStart),'KG1-1'!$AD$5:$IM$5,"&lt;="&amp;Rpt_PEnd)+COUNTIFS('KG1-1'!$AD30:$IM30,"متأخر",'KG1-1'!$AD$7:$IM$7,"✓",'KG1-1'!$AD$6:$IM$6,1,'KG1-1'!$AD$5:$IM$5,"&gt;="&amp;MAX('KG1-1'!$U30,Rpt_PStart),'KG1-1'!$AD$5:$IM$5,"&lt;="&amp;Rpt_PEnd))</f>
        <v/>
      </c>
      <c r="AT26" s="40">
        <f>IF(AP26=0,"",COUNTIFS('KG1-1'!$AD30:$IM30,"غياب بدون عذر",'KG1-1'!$AD$7:$IM$7,"✓",'KG1-1'!$AD$6:$IM$6,1,'KG1-1'!$AD$5:$IM$5,"&gt;="&amp;MAX('KG1-1'!$U30,Rpt_PStart),'KG1-1'!$AD$5:$IM$5,"&lt;="&amp;Rpt_PEnd)+COUNTIFS('KG1-1'!$AD30:$IM30,"غياب بعذر",'KG1-1'!$AD$7:$IM$7,"✓",'KG1-1'!$AD$6:$IM$6,1,'KG1-1'!$AD$5:$IM$5,"&gt;="&amp;MAX('KG1-1'!$U30,Rpt_PStart),'KG1-1'!$AD$5:$IM$5,"&lt;="&amp;Rpt_PEnd))</f>
        <v/>
      </c>
      <c r="AU26" s="40" t="n">
        <v>1</v>
      </c>
      <c r="AV26" s="40" t="n">
        <v>22</v>
      </c>
      <c r="AW26" s="40">
        <f>IF(OR(AP26=0,Rpt_DayIdx=0),"",IF(INDEX('KG1-1'!$AD$7:$IM$7,Rpt_DayIdx)&lt;&gt;"✓","",IF(INDEX('KG1-1'!$AD30:$IM30,Rpt_DayIdx)="","P",IFERROR(INDEX(StatusCodes,MATCH(INDEX('KG1-1'!$AD30:$IM30,Rpt_DayIdx),StatusLabels,0)),""))))</f>
        <v/>
      </c>
      <c r="AX26" s="40">
        <f>IF(AND(AP26=1,OR(AW26="A",AW26="E")),COUNTIFS($AP$5:AP26,1,$AW$5:AW26,"A")+COUNTIFS($AP$5:AP26,1,$AW$5:AW26,"E"),"")</f>
        <v/>
      </c>
    </row>
    <row r="27">
      <c r="A27" s="148">
        <f>IF(B27="","",ROW()-4)</f>
        <v/>
      </c>
      <c r="B27" s="148">
        <f>IF('KG1-1'!$B31="","",'KG1-1'!$B31)</f>
        <v/>
      </c>
      <c r="C27" s="146">
        <f>IF('KG1-1'!$C31="","",'KG1-1'!$C31)</f>
        <v/>
      </c>
      <c r="D27" s="148">
        <f>IF(B27="","",'KG1-1'!$B$2)</f>
        <v/>
      </c>
      <c r="E27" s="148">
        <f>IF(B27="","",MID(D27,FIND("-",D27&amp;"-")+1,10))</f>
        <v/>
      </c>
      <c r="F27" s="148">
        <f>IF(B27="","","نشط")</f>
        <v/>
      </c>
      <c r="G27" s="157">
        <f>IF(B27="","","")</f>
        <v/>
      </c>
      <c r="H27" s="146">
        <f>IF('KG1-1'!$K31="","",'KG1-1'!$K31)</f>
        <v/>
      </c>
      <c r="I27" s="148">
        <f>IF('KG1-1'!$J31="","",'KG1-1'!$J31)</f>
        <v/>
      </c>
      <c r="J27" s="148">
        <f>IF('KG1-1'!$M31="","",'KG1-1'!$M31)</f>
        <v/>
      </c>
      <c r="K27" s="148">
        <f>IF('KG1-1'!$N31="","",'KG1-1'!$N31)</f>
        <v/>
      </c>
      <c r="L27" s="148">
        <f>IF('KG1-1'!$D31="","",'KG1-1'!$D31)</f>
        <v/>
      </c>
      <c r="M27" s="148">
        <f>IF('KG1-1'!$E31="","",'KG1-1'!$E31)</f>
        <v/>
      </c>
      <c r="N27" s="148">
        <f>IF('KG1-1'!$F31="","",'KG1-1'!$F31)</f>
        <v/>
      </c>
      <c r="O27" s="158">
        <f>IF('KG1-1'!$G31="","",'KG1-1'!$G31)</f>
        <v/>
      </c>
      <c r="P27" s="158">
        <f>IF('KG1-1'!$O31="","",'KG1-1'!$O31)</f>
        <v/>
      </c>
      <c r="Q27" s="148">
        <f>IF('KG1-1'!$T31="","",'KG1-1'!$T31)</f>
        <v/>
      </c>
      <c r="R27" s="146">
        <f>IF('KG1-1'!$H31="","",'KG1-1'!$H31)</f>
        <v/>
      </c>
      <c r="S27" s="157">
        <f>IF('KG1-1'!$P31="","",'KG1-1'!$P31)</f>
        <v/>
      </c>
      <c r="T27" s="157">
        <f>IF('KG1-1'!$V31="","",'KG1-1'!$V31)</f>
        <v/>
      </c>
      <c r="U27" s="157">
        <f>IF('KG1-1'!$W31="","",'KG1-1'!$W31)</f>
        <v/>
      </c>
      <c r="V27" s="157">
        <f>IF('KG1-1'!$X31="","",'KG1-1'!$X31)</f>
        <v/>
      </c>
      <c r="W27" s="157">
        <f>IF('KG1-1'!$Y31="","",'KG1-1'!$Y31)</f>
        <v/>
      </c>
      <c r="X27" s="157">
        <f>IF('KG1-1'!$R31="","",'KG1-1'!$R31)</f>
        <v/>
      </c>
      <c r="Y27" s="148">
        <f>IF('KG1-1'!$S31="","",'KG1-1'!$S31)</f>
        <v/>
      </c>
      <c r="Z27" s="148">
        <f>IF('KG1-1'!$Q31="","",'KG1-1'!$Q31)</f>
        <v/>
      </c>
      <c r="AA27" s="148">
        <f>IF('KG1-1'!$I31="","",'KG1-1'!$I31)</f>
        <v/>
      </c>
      <c r="AB27" s="146">
        <f>IF(Q27="","",INDEX(LevelActions,MATCH(Q27,LevelValues,0)))</f>
        <v/>
      </c>
      <c r="AC27" s="148">
        <f>IF(J27="","",IF(J27=0,"—",IF(AND(L27=0,M27=0),Cat_L1,IF(O27&gt;=Cat_95,Cat_L2,IF(O27&gt;=Cat_90,Cat_L3,Cat_L4)))))</f>
        <v/>
      </c>
      <c r="AD27" s="146">
        <f>IF('KG1-1'!$L31="","",'KG1-1'!$L31)</f>
        <v/>
      </c>
      <c r="AE27" s="148">
        <f>IF(B27="","",IF(COUNTIF($B$5:$B$214,B27)&gt;1,"مكرر!",""))</f>
        <v/>
      </c>
      <c r="AF27" s="148">
        <f>IF(AND(B27&lt;&gt;"",F27="نشط",OR(Dash_Class="الكل",D27=Dash_Class)),1,0)</f>
        <v/>
      </c>
      <c r="AG27" s="40">
        <f>IF(OR(AF27=0,Dash_DayIdx=0),"",IF(INDEX('KG1-1'!$AD$7:$IM$7,Dash_DayIdx)&lt;&gt;"✓","",IF(INDEX('KG1-1'!$AD31:$IM31,Dash_DayIdx)="","P",IFERROR(INDEX(StatusCodes,MATCH(INDEX('KG1-1'!$AD31:$IM31,Dash_DayIdx),StatusLabels,0)),""))))</f>
        <v/>
      </c>
      <c r="AH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IF(LateAsPresent="نعم",COUNTIFS('KG1-1'!$AD31:$IM31,"متأخر",'KG1-1'!$AD$7:$IM$7,"✓",'KG1-1'!$AD$6:$IM$6,1,'KG1-1'!$AD$5:$IM$5,"&gt;="&amp;MAX('KG1-1'!$U31,Dash_PStart),'KG1-1'!$AD$5:$IM$5,"&lt;="&amp;Dash_PEnd),0))</f>
        <v/>
      </c>
      <c r="AI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COUNTIFS('KG1-1'!$AD31:$IM31,"غياب بدون عذر",'KG1-1'!$AD$7:$IM$7,"✓",'KG1-1'!$AD$6:$IM$6,1,'KG1-1'!$AD$5:$IM$5,"&gt;="&amp;MAX('KG1-1'!$U31,Dash_PStart),'KG1-1'!$AD$5:$IM$5,"&lt;="&amp;Dash_PEnd)+COUNTIFS('KG1-1'!$AD31:$IM31,"غياب بعذر",'KG1-1'!$AD$7:$IM$7,"✓",'KG1-1'!$AD$6:$IM$6,1,'KG1-1'!$AD$5:$IM$5,"&gt;="&amp;MAX('KG1-1'!$U31,Dash_PStart),'KG1-1'!$AD$5:$IM$5,"&lt;="&amp;Dash_PEnd)+COUNTIFS('KG1-1'!$AD31:$IM31,"متأخر",'KG1-1'!$AD$7:$IM$7,"✓",'KG1-1'!$AD$6:$IM$6,1,'KG1-1'!$AD$5:$IM$5,"&gt;="&amp;MAX('KG1-1'!$U31,Dash_PStart),'KG1-1'!$AD$5:$IM$5,"&lt;="&amp;Dash_PEnd))</f>
        <v/>
      </c>
      <c r="AJ27" s="40">
        <f>IF(AF27=0,0,IF(W27=Dash_Date,Thr_Critical,IF(V27=Dash_Date,Thr_High,IF(U27=Dash_Date,Thr_Repeated,IF(T27=Dash_Date,Thr_FollowUp,0)))))</f>
        <v/>
      </c>
      <c r="AK27" s="40">
        <f>IF(AJ27&gt;0,COUNTIF($AJ$5:AJ27,"&gt;0"),"")</f>
        <v/>
      </c>
      <c r="AL27" s="40">
        <f>IF(AND(B27&lt;&gt;"",F27="نشط",Q27&lt;&gt;"",Q27&gt;0),L27*1000+(999-ROW()),"")</f>
        <v/>
      </c>
      <c r="AM27" s="40">
        <f>IF(AND(AF27=1,J27&lt;&gt;"",J27&gt;0),ROUND(O27*10000,0)*1000000+K27*1000+(999-ROW()),"")</f>
        <v/>
      </c>
      <c r="AN27" s="40">
        <f>IF(AND(AF27=1,J27&lt;&gt;"",J27&gt;0),(L27+M27)*10000000+ROUND((1-O27)*10000,0)*1000+(999-ROW()),"")</f>
        <v/>
      </c>
      <c r="AO27" s="40">
        <f>IF(AND(AF27=1,Q27&lt;&gt;"",Q27&gt;=Thr_Critical),L27*1000+(999-ROW()),"")</f>
        <v/>
      </c>
      <c r="AP27" s="40">
        <f>IF(AND(B27&lt;&gt;"",F27="نشط",OR(Rpt_Class="الكل",D27=Rpt_Class)),1,0)</f>
        <v/>
      </c>
      <c r="AQ27" s="40">
        <f>IF(AND(AP27=1,Q27&lt;&gt;"",Q27&gt;0),L27*1000+(999-ROW()),"")</f>
        <v/>
      </c>
      <c r="AR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IF(LateAsPresent="نعم",COUNTIFS('KG1-1'!$AD31:$IM31,"متأخر",'KG1-1'!$AD$7:$IM$7,"✓",'KG1-1'!$AD$6:$IM$6,1,'KG1-1'!$AD$5:$IM$5,"&gt;="&amp;MAX('KG1-1'!$U31,Rpt_PStart),'KG1-1'!$AD$5:$IM$5,"&lt;="&amp;Rpt_PEnd),0))</f>
        <v/>
      </c>
      <c r="AS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COUNTIFS('KG1-1'!$AD31:$IM31,"غياب بدون عذر",'KG1-1'!$AD$7:$IM$7,"✓",'KG1-1'!$AD$6:$IM$6,1,'KG1-1'!$AD$5:$IM$5,"&gt;="&amp;MAX('KG1-1'!$U31,Rpt_PStart),'KG1-1'!$AD$5:$IM$5,"&lt;="&amp;Rpt_PEnd)+COUNTIFS('KG1-1'!$AD31:$IM31,"غياب بعذر",'KG1-1'!$AD$7:$IM$7,"✓",'KG1-1'!$AD$6:$IM$6,1,'KG1-1'!$AD$5:$IM$5,"&gt;="&amp;MAX('KG1-1'!$U31,Rpt_PStart),'KG1-1'!$AD$5:$IM$5,"&lt;="&amp;Rpt_PEnd)+COUNTIFS('KG1-1'!$AD31:$IM31,"متأخر",'KG1-1'!$AD$7:$IM$7,"✓",'KG1-1'!$AD$6:$IM$6,1,'KG1-1'!$AD$5:$IM$5,"&gt;="&amp;MAX('KG1-1'!$U31,Rpt_PStart),'KG1-1'!$AD$5:$IM$5,"&lt;="&amp;Rpt_PEnd))</f>
        <v/>
      </c>
      <c r="AT27" s="40">
        <f>IF(AP27=0,"",COUNTIFS('KG1-1'!$AD31:$IM31,"غياب بدون عذر",'KG1-1'!$AD$7:$IM$7,"✓",'KG1-1'!$AD$6:$IM$6,1,'KG1-1'!$AD$5:$IM$5,"&gt;="&amp;MAX('KG1-1'!$U31,Rpt_PStart),'KG1-1'!$AD$5:$IM$5,"&lt;="&amp;Rpt_PEnd)+COUNTIFS('KG1-1'!$AD31:$IM31,"غياب بعذر",'KG1-1'!$AD$7:$IM$7,"✓",'KG1-1'!$AD$6:$IM$6,1,'KG1-1'!$AD$5:$IM$5,"&gt;="&amp;MAX('KG1-1'!$U31,Rpt_PStart),'KG1-1'!$AD$5:$IM$5,"&lt;="&amp;Rpt_PEnd))</f>
        <v/>
      </c>
      <c r="AU27" s="40" t="n">
        <v>1</v>
      </c>
      <c r="AV27" s="40" t="n">
        <v>23</v>
      </c>
      <c r="AW27" s="40">
        <f>IF(OR(AP27=0,Rpt_DayIdx=0),"",IF(INDEX('KG1-1'!$AD$7:$IM$7,Rpt_DayIdx)&lt;&gt;"✓","",IF(INDEX('KG1-1'!$AD31:$IM31,Rpt_DayIdx)="","P",IFERROR(INDEX(StatusCodes,MATCH(INDEX('KG1-1'!$AD31:$IM31,Rpt_DayIdx),StatusLabels,0)),""))))</f>
        <v/>
      </c>
      <c r="AX27" s="40">
        <f>IF(AND(AP27=1,OR(AW27="A",AW27="E")),COUNTIFS($AP$5:AP27,1,$AW$5:AW27,"A")+COUNTIFS($AP$5:AP27,1,$AW$5:AW27,"E"),"")</f>
        <v/>
      </c>
    </row>
    <row r="28">
      <c r="A28" s="148">
        <f>IF(B28="","",ROW()-4)</f>
        <v/>
      </c>
      <c r="B28" s="148">
        <f>IF('KG1-1'!$B32="","",'KG1-1'!$B32)</f>
        <v/>
      </c>
      <c r="C28" s="146">
        <f>IF('KG1-1'!$C32="","",'KG1-1'!$C32)</f>
        <v/>
      </c>
      <c r="D28" s="148">
        <f>IF(B28="","",'KG1-1'!$B$2)</f>
        <v/>
      </c>
      <c r="E28" s="148">
        <f>IF(B28="","",MID(D28,FIND("-",D28&amp;"-")+1,10))</f>
        <v/>
      </c>
      <c r="F28" s="148">
        <f>IF(B28="","","نشط")</f>
        <v/>
      </c>
      <c r="G28" s="157">
        <f>IF(B28="","","")</f>
        <v/>
      </c>
      <c r="H28" s="146">
        <f>IF('KG1-1'!$K32="","",'KG1-1'!$K32)</f>
        <v/>
      </c>
      <c r="I28" s="148">
        <f>IF('KG1-1'!$J32="","",'KG1-1'!$J32)</f>
        <v/>
      </c>
      <c r="J28" s="148">
        <f>IF('KG1-1'!$M32="","",'KG1-1'!$M32)</f>
        <v/>
      </c>
      <c r="K28" s="148">
        <f>IF('KG1-1'!$N32="","",'KG1-1'!$N32)</f>
        <v/>
      </c>
      <c r="L28" s="148">
        <f>IF('KG1-1'!$D32="","",'KG1-1'!$D32)</f>
        <v/>
      </c>
      <c r="M28" s="148">
        <f>IF('KG1-1'!$E32="","",'KG1-1'!$E32)</f>
        <v/>
      </c>
      <c r="N28" s="148">
        <f>IF('KG1-1'!$F32="","",'KG1-1'!$F32)</f>
        <v/>
      </c>
      <c r="O28" s="158">
        <f>IF('KG1-1'!$G32="","",'KG1-1'!$G32)</f>
        <v/>
      </c>
      <c r="P28" s="158">
        <f>IF('KG1-1'!$O32="","",'KG1-1'!$O32)</f>
        <v/>
      </c>
      <c r="Q28" s="148">
        <f>IF('KG1-1'!$T32="","",'KG1-1'!$T32)</f>
        <v/>
      </c>
      <c r="R28" s="146">
        <f>IF('KG1-1'!$H32="","",'KG1-1'!$H32)</f>
        <v/>
      </c>
      <c r="S28" s="157">
        <f>IF('KG1-1'!$P32="","",'KG1-1'!$P32)</f>
        <v/>
      </c>
      <c r="T28" s="157">
        <f>IF('KG1-1'!$V32="","",'KG1-1'!$V32)</f>
        <v/>
      </c>
      <c r="U28" s="157">
        <f>IF('KG1-1'!$W32="","",'KG1-1'!$W32)</f>
        <v/>
      </c>
      <c r="V28" s="157">
        <f>IF('KG1-1'!$X32="","",'KG1-1'!$X32)</f>
        <v/>
      </c>
      <c r="W28" s="157">
        <f>IF('KG1-1'!$Y32="","",'KG1-1'!$Y32)</f>
        <v/>
      </c>
      <c r="X28" s="157">
        <f>IF('KG1-1'!$R32="","",'KG1-1'!$R32)</f>
        <v/>
      </c>
      <c r="Y28" s="148">
        <f>IF('KG1-1'!$S32="","",'KG1-1'!$S32)</f>
        <v/>
      </c>
      <c r="Z28" s="148">
        <f>IF('KG1-1'!$Q32="","",'KG1-1'!$Q32)</f>
        <v/>
      </c>
      <c r="AA28" s="148">
        <f>IF('KG1-1'!$I32="","",'KG1-1'!$I32)</f>
        <v/>
      </c>
      <c r="AB28" s="146">
        <f>IF(Q28="","",INDEX(LevelActions,MATCH(Q28,LevelValues,0)))</f>
        <v/>
      </c>
      <c r="AC28" s="148">
        <f>IF(J28="","",IF(J28=0,"—",IF(AND(L28=0,M28=0),Cat_L1,IF(O28&gt;=Cat_95,Cat_L2,IF(O28&gt;=Cat_90,Cat_L3,Cat_L4)))))</f>
        <v/>
      </c>
      <c r="AD28" s="146">
        <f>IF('KG1-1'!$L32="","",'KG1-1'!$L32)</f>
        <v/>
      </c>
      <c r="AE28" s="148">
        <f>IF(B28="","",IF(COUNTIF($B$5:$B$214,B28)&gt;1,"مكرر!",""))</f>
        <v/>
      </c>
      <c r="AF28" s="148">
        <f>IF(AND(B28&lt;&gt;"",F28="نشط",OR(Dash_Class="الكل",D28=Dash_Class)),1,0)</f>
        <v/>
      </c>
      <c r="AG28" s="40">
        <f>IF(OR(AF28=0,Dash_DayIdx=0),"",IF(INDEX('KG1-1'!$AD$7:$IM$7,Dash_DayIdx)&lt;&gt;"✓","",IF(INDEX('KG1-1'!$AD32:$IM32,Dash_DayIdx)="","P",IFERROR(INDEX(StatusCodes,MATCH(INDEX('KG1-1'!$AD32:$IM32,Dash_DayIdx),StatusLabels,0)),""))))</f>
        <v/>
      </c>
      <c r="AH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IF(LateAsPresent="نعم",COUNTIFS('KG1-1'!$AD32:$IM32,"متأخر",'KG1-1'!$AD$7:$IM$7,"✓",'KG1-1'!$AD$6:$IM$6,1,'KG1-1'!$AD$5:$IM$5,"&gt;="&amp;MAX('KG1-1'!$U32,Dash_PStart),'KG1-1'!$AD$5:$IM$5,"&lt;="&amp;Dash_PEnd),0))</f>
        <v/>
      </c>
      <c r="AI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COUNTIFS('KG1-1'!$AD32:$IM32,"غياب بدون عذر",'KG1-1'!$AD$7:$IM$7,"✓",'KG1-1'!$AD$6:$IM$6,1,'KG1-1'!$AD$5:$IM$5,"&gt;="&amp;MAX('KG1-1'!$U32,Dash_PStart),'KG1-1'!$AD$5:$IM$5,"&lt;="&amp;Dash_PEnd)+COUNTIFS('KG1-1'!$AD32:$IM32,"غياب بعذر",'KG1-1'!$AD$7:$IM$7,"✓",'KG1-1'!$AD$6:$IM$6,1,'KG1-1'!$AD$5:$IM$5,"&gt;="&amp;MAX('KG1-1'!$U32,Dash_PStart),'KG1-1'!$AD$5:$IM$5,"&lt;="&amp;Dash_PEnd)+COUNTIFS('KG1-1'!$AD32:$IM32,"متأخر",'KG1-1'!$AD$7:$IM$7,"✓",'KG1-1'!$AD$6:$IM$6,1,'KG1-1'!$AD$5:$IM$5,"&gt;="&amp;MAX('KG1-1'!$U32,Dash_PStart),'KG1-1'!$AD$5:$IM$5,"&lt;="&amp;Dash_PEnd))</f>
        <v/>
      </c>
      <c r="AJ28" s="40">
        <f>IF(AF28=0,0,IF(W28=Dash_Date,Thr_Critical,IF(V28=Dash_Date,Thr_High,IF(U28=Dash_Date,Thr_Repeated,IF(T28=Dash_Date,Thr_FollowUp,0)))))</f>
        <v/>
      </c>
      <c r="AK28" s="40">
        <f>IF(AJ28&gt;0,COUNTIF($AJ$5:AJ28,"&gt;0"),"")</f>
        <v/>
      </c>
      <c r="AL28" s="40">
        <f>IF(AND(B28&lt;&gt;"",F28="نشط",Q28&lt;&gt;"",Q28&gt;0),L28*1000+(999-ROW()),"")</f>
        <v/>
      </c>
      <c r="AM28" s="40">
        <f>IF(AND(AF28=1,J28&lt;&gt;"",J28&gt;0),ROUND(O28*10000,0)*1000000+K28*1000+(999-ROW()),"")</f>
        <v/>
      </c>
      <c r="AN28" s="40">
        <f>IF(AND(AF28=1,J28&lt;&gt;"",J28&gt;0),(L28+M28)*10000000+ROUND((1-O28)*10000,0)*1000+(999-ROW()),"")</f>
        <v/>
      </c>
      <c r="AO28" s="40">
        <f>IF(AND(AF28=1,Q28&lt;&gt;"",Q28&gt;=Thr_Critical),L28*1000+(999-ROW()),"")</f>
        <v/>
      </c>
      <c r="AP28" s="40">
        <f>IF(AND(B28&lt;&gt;"",F28="نشط",OR(Rpt_Class="الكل",D28=Rpt_Class)),1,0)</f>
        <v/>
      </c>
      <c r="AQ28" s="40">
        <f>IF(AND(AP28=1,Q28&lt;&gt;"",Q28&gt;0),L28*1000+(999-ROW()),"")</f>
        <v/>
      </c>
      <c r="AR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IF(LateAsPresent="نعم",COUNTIFS('KG1-1'!$AD32:$IM32,"متأخر",'KG1-1'!$AD$7:$IM$7,"✓",'KG1-1'!$AD$6:$IM$6,1,'KG1-1'!$AD$5:$IM$5,"&gt;="&amp;MAX('KG1-1'!$U32,Rpt_PStart),'KG1-1'!$AD$5:$IM$5,"&lt;="&amp;Rpt_PEnd),0))</f>
        <v/>
      </c>
      <c r="AS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COUNTIFS('KG1-1'!$AD32:$IM32,"غياب بدون عذر",'KG1-1'!$AD$7:$IM$7,"✓",'KG1-1'!$AD$6:$IM$6,1,'KG1-1'!$AD$5:$IM$5,"&gt;="&amp;MAX('KG1-1'!$U32,Rpt_PStart),'KG1-1'!$AD$5:$IM$5,"&lt;="&amp;Rpt_PEnd)+COUNTIFS('KG1-1'!$AD32:$IM32,"غياب بعذر",'KG1-1'!$AD$7:$IM$7,"✓",'KG1-1'!$AD$6:$IM$6,1,'KG1-1'!$AD$5:$IM$5,"&gt;="&amp;MAX('KG1-1'!$U32,Rpt_PStart),'KG1-1'!$AD$5:$IM$5,"&lt;="&amp;Rpt_PEnd)+COUNTIFS('KG1-1'!$AD32:$IM32,"متأخر",'KG1-1'!$AD$7:$IM$7,"✓",'KG1-1'!$AD$6:$IM$6,1,'KG1-1'!$AD$5:$IM$5,"&gt;="&amp;MAX('KG1-1'!$U32,Rpt_PStart),'KG1-1'!$AD$5:$IM$5,"&lt;="&amp;Rpt_PEnd))</f>
        <v/>
      </c>
      <c r="AT28" s="40">
        <f>IF(AP28=0,"",COUNTIFS('KG1-1'!$AD32:$IM32,"غياب بدون عذر",'KG1-1'!$AD$7:$IM$7,"✓",'KG1-1'!$AD$6:$IM$6,1,'KG1-1'!$AD$5:$IM$5,"&gt;="&amp;MAX('KG1-1'!$U32,Rpt_PStart),'KG1-1'!$AD$5:$IM$5,"&lt;="&amp;Rpt_PEnd)+COUNTIFS('KG1-1'!$AD32:$IM32,"غياب بعذر",'KG1-1'!$AD$7:$IM$7,"✓",'KG1-1'!$AD$6:$IM$6,1,'KG1-1'!$AD$5:$IM$5,"&gt;="&amp;MAX('KG1-1'!$U32,Rpt_PStart),'KG1-1'!$AD$5:$IM$5,"&lt;="&amp;Rpt_PEnd))</f>
        <v/>
      </c>
      <c r="AU28" s="40" t="n">
        <v>1</v>
      </c>
      <c r="AV28" s="40" t="n">
        <v>24</v>
      </c>
      <c r="AW28" s="40">
        <f>IF(OR(AP28=0,Rpt_DayIdx=0),"",IF(INDEX('KG1-1'!$AD$7:$IM$7,Rpt_DayIdx)&lt;&gt;"✓","",IF(INDEX('KG1-1'!$AD32:$IM32,Rpt_DayIdx)="","P",IFERROR(INDEX(StatusCodes,MATCH(INDEX('KG1-1'!$AD32:$IM32,Rpt_DayIdx),StatusLabels,0)),""))))</f>
        <v/>
      </c>
      <c r="AX28" s="40">
        <f>IF(AND(AP28=1,OR(AW28="A",AW28="E")),COUNTIFS($AP$5:AP28,1,$AW$5:AW28,"A")+COUNTIFS($AP$5:AP28,1,$AW$5:AW28,"E"),"")</f>
        <v/>
      </c>
    </row>
    <row r="29">
      <c r="A29" s="148">
        <f>IF(B29="","",ROW()-4)</f>
        <v/>
      </c>
      <c r="B29" s="148">
        <f>IF('KG1-1'!$B33="","",'KG1-1'!$B33)</f>
        <v/>
      </c>
      <c r="C29" s="146">
        <f>IF('KG1-1'!$C33="","",'KG1-1'!$C33)</f>
        <v/>
      </c>
      <c r="D29" s="148">
        <f>IF(B29="","",'KG1-1'!$B$2)</f>
        <v/>
      </c>
      <c r="E29" s="148">
        <f>IF(B29="","",MID(D29,FIND("-",D29&amp;"-")+1,10))</f>
        <v/>
      </c>
      <c r="F29" s="148">
        <f>IF(B29="","","نشط")</f>
        <v/>
      </c>
      <c r="G29" s="157">
        <f>IF(B29="","","")</f>
        <v/>
      </c>
      <c r="H29" s="146">
        <f>IF('KG1-1'!$K33="","",'KG1-1'!$K33)</f>
        <v/>
      </c>
      <c r="I29" s="148">
        <f>IF('KG1-1'!$J33="","",'KG1-1'!$J33)</f>
        <v/>
      </c>
      <c r="J29" s="148">
        <f>IF('KG1-1'!$M33="","",'KG1-1'!$M33)</f>
        <v/>
      </c>
      <c r="K29" s="148">
        <f>IF('KG1-1'!$N33="","",'KG1-1'!$N33)</f>
        <v/>
      </c>
      <c r="L29" s="148">
        <f>IF('KG1-1'!$D33="","",'KG1-1'!$D33)</f>
        <v/>
      </c>
      <c r="M29" s="148">
        <f>IF('KG1-1'!$E33="","",'KG1-1'!$E33)</f>
        <v/>
      </c>
      <c r="N29" s="148">
        <f>IF('KG1-1'!$F33="","",'KG1-1'!$F33)</f>
        <v/>
      </c>
      <c r="O29" s="158">
        <f>IF('KG1-1'!$G33="","",'KG1-1'!$G33)</f>
        <v/>
      </c>
      <c r="P29" s="158">
        <f>IF('KG1-1'!$O33="","",'KG1-1'!$O33)</f>
        <v/>
      </c>
      <c r="Q29" s="148">
        <f>IF('KG1-1'!$T33="","",'KG1-1'!$T33)</f>
        <v/>
      </c>
      <c r="R29" s="146">
        <f>IF('KG1-1'!$H33="","",'KG1-1'!$H33)</f>
        <v/>
      </c>
      <c r="S29" s="157">
        <f>IF('KG1-1'!$P33="","",'KG1-1'!$P33)</f>
        <v/>
      </c>
      <c r="T29" s="157">
        <f>IF('KG1-1'!$V33="","",'KG1-1'!$V33)</f>
        <v/>
      </c>
      <c r="U29" s="157">
        <f>IF('KG1-1'!$W33="","",'KG1-1'!$W33)</f>
        <v/>
      </c>
      <c r="V29" s="157">
        <f>IF('KG1-1'!$X33="","",'KG1-1'!$X33)</f>
        <v/>
      </c>
      <c r="W29" s="157">
        <f>IF('KG1-1'!$Y33="","",'KG1-1'!$Y33)</f>
        <v/>
      </c>
      <c r="X29" s="157">
        <f>IF('KG1-1'!$R33="","",'KG1-1'!$R33)</f>
        <v/>
      </c>
      <c r="Y29" s="148">
        <f>IF('KG1-1'!$S33="","",'KG1-1'!$S33)</f>
        <v/>
      </c>
      <c r="Z29" s="148">
        <f>IF('KG1-1'!$Q33="","",'KG1-1'!$Q33)</f>
        <v/>
      </c>
      <c r="AA29" s="148">
        <f>IF('KG1-1'!$I33="","",'KG1-1'!$I33)</f>
        <v/>
      </c>
      <c r="AB29" s="146">
        <f>IF(Q29="","",INDEX(LevelActions,MATCH(Q29,LevelValues,0)))</f>
        <v/>
      </c>
      <c r="AC29" s="148">
        <f>IF(J29="","",IF(J29=0,"—",IF(AND(L29=0,M29=0),Cat_L1,IF(O29&gt;=Cat_95,Cat_L2,IF(O29&gt;=Cat_90,Cat_L3,Cat_L4)))))</f>
        <v/>
      </c>
      <c r="AD29" s="146">
        <f>IF('KG1-1'!$L33="","",'KG1-1'!$L33)</f>
        <v/>
      </c>
      <c r="AE29" s="148">
        <f>IF(B29="","",IF(COUNTIF($B$5:$B$214,B29)&gt;1,"مكرر!",""))</f>
        <v/>
      </c>
      <c r="AF29" s="148">
        <f>IF(AND(B29&lt;&gt;"",F29="نشط",OR(Dash_Class="الكل",D29=Dash_Class)),1,0)</f>
        <v/>
      </c>
      <c r="AG29" s="40">
        <f>IF(OR(AF29=0,Dash_DayIdx=0),"",IF(INDEX('KG1-1'!$AD$7:$IM$7,Dash_DayIdx)&lt;&gt;"✓","",IF(INDEX('KG1-1'!$AD33:$IM33,Dash_DayIdx)="","P",IFERROR(INDEX(StatusCodes,MATCH(INDEX('KG1-1'!$AD33:$IM33,Dash_DayIdx),StatusLabels,0)),""))))</f>
        <v/>
      </c>
      <c r="AH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IF(LateAsPresent="نعم",COUNTIFS('KG1-1'!$AD33:$IM33,"متأخر",'KG1-1'!$AD$7:$IM$7,"✓",'KG1-1'!$AD$6:$IM$6,1,'KG1-1'!$AD$5:$IM$5,"&gt;="&amp;MAX('KG1-1'!$U33,Dash_PStart),'KG1-1'!$AD$5:$IM$5,"&lt;="&amp;Dash_PEnd),0))</f>
        <v/>
      </c>
      <c r="AI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COUNTIFS('KG1-1'!$AD33:$IM33,"غياب بدون عذر",'KG1-1'!$AD$7:$IM$7,"✓",'KG1-1'!$AD$6:$IM$6,1,'KG1-1'!$AD$5:$IM$5,"&gt;="&amp;MAX('KG1-1'!$U33,Dash_PStart),'KG1-1'!$AD$5:$IM$5,"&lt;="&amp;Dash_PEnd)+COUNTIFS('KG1-1'!$AD33:$IM33,"غياب بعذر",'KG1-1'!$AD$7:$IM$7,"✓",'KG1-1'!$AD$6:$IM$6,1,'KG1-1'!$AD$5:$IM$5,"&gt;="&amp;MAX('KG1-1'!$U33,Dash_PStart),'KG1-1'!$AD$5:$IM$5,"&lt;="&amp;Dash_PEnd)+COUNTIFS('KG1-1'!$AD33:$IM33,"متأخر",'KG1-1'!$AD$7:$IM$7,"✓",'KG1-1'!$AD$6:$IM$6,1,'KG1-1'!$AD$5:$IM$5,"&gt;="&amp;MAX('KG1-1'!$U33,Dash_PStart),'KG1-1'!$AD$5:$IM$5,"&lt;="&amp;Dash_PEnd))</f>
        <v/>
      </c>
      <c r="AJ29" s="40">
        <f>IF(AF29=0,0,IF(W29=Dash_Date,Thr_Critical,IF(V29=Dash_Date,Thr_High,IF(U29=Dash_Date,Thr_Repeated,IF(T29=Dash_Date,Thr_FollowUp,0)))))</f>
        <v/>
      </c>
      <c r="AK29" s="40">
        <f>IF(AJ29&gt;0,COUNTIF($AJ$5:AJ29,"&gt;0"),"")</f>
        <v/>
      </c>
      <c r="AL29" s="40">
        <f>IF(AND(B29&lt;&gt;"",F29="نشط",Q29&lt;&gt;"",Q29&gt;0),L29*1000+(999-ROW()),"")</f>
        <v/>
      </c>
      <c r="AM29" s="40">
        <f>IF(AND(AF29=1,J29&lt;&gt;"",J29&gt;0),ROUND(O29*10000,0)*1000000+K29*1000+(999-ROW()),"")</f>
        <v/>
      </c>
      <c r="AN29" s="40">
        <f>IF(AND(AF29=1,J29&lt;&gt;"",J29&gt;0),(L29+M29)*10000000+ROUND((1-O29)*10000,0)*1000+(999-ROW()),"")</f>
        <v/>
      </c>
      <c r="AO29" s="40">
        <f>IF(AND(AF29=1,Q29&lt;&gt;"",Q29&gt;=Thr_Critical),L29*1000+(999-ROW()),"")</f>
        <v/>
      </c>
      <c r="AP29" s="40">
        <f>IF(AND(B29&lt;&gt;"",F29="نشط",OR(Rpt_Class="الكل",D29=Rpt_Class)),1,0)</f>
        <v/>
      </c>
      <c r="AQ29" s="40">
        <f>IF(AND(AP29=1,Q29&lt;&gt;"",Q29&gt;0),L29*1000+(999-ROW()),"")</f>
        <v/>
      </c>
      <c r="AR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IF(LateAsPresent="نعم",COUNTIFS('KG1-1'!$AD33:$IM33,"متأخر",'KG1-1'!$AD$7:$IM$7,"✓",'KG1-1'!$AD$6:$IM$6,1,'KG1-1'!$AD$5:$IM$5,"&gt;="&amp;MAX('KG1-1'!$U33,Rpt_PStart),'KG1-1'!$AD$5:$IM$5,"&lt;="&amp;Rpt_PEnd),0))</f>
        <v/>
      </c>
      <c r="AS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COUNTIFS('KG1-1'!$AD33:$IM33,"غياب بدون عذر",'KG1-1'!$AD$7:$IM$7,"✓",'KG1-1'!$AD$6:$IM$6,1,'KG1-1'!$AD$5:$IM$5,"&gt;="&amp;MAX('KG1-1'!$U33,Rpt_PStart),'KG1-1'!$AD$5:$IM$5,"&lt;="&amp;Rpt_PEnd)+COUNTIFS('KG1-1'!$AD33:$IM33,"غياب بعذر",'KG1-1'!$AD$7:$IM$7,"✓",'KG1-1'!$AD$6:$IM$6,1,'KG1-1'!$AD$5:$IM$5,"&gt;="&amp;MAX('KG1-1'!$U33,Rpt_PStart),'KG1-1'!$AD$5:$IM$5,"&lt;="&amp;Rpt_PEnd)+COUNTIFS('KG1-1'!$AD33:$IM33,"متأخر",'KG1-1'!$AD$7:$IM$7,"✓",'KG1-1'!$AD$6:$IM$6,1,'KG1-1'!$AD$5:$IM$5,"&gt;="&amp;MAX('KG1-1'!$U33,Rpt_PStart),'KG1-1'!$AD$5:$IM$5,"&lt;="&amp;Rpt_PEnd))</f>
        <v/>
      </c>
      <c r="AT29" s="40">
        <f>IF(AP29=0,"",COUNTIFS('KG1-1'!$AD33:$IM33,"غياب بدون عذر",'KG1-1'!$AD$7:$IM$7,"✓",'KG1-1'!$AD$6:$IM$6,1,'KG1-1'!$AD$5:$IM$5,"&gt;="&amp;MAX('KG1-1'!$U33,Rpt_PStart),'KG1-1'!$AD$5:$IM$5,"&lt;="&amp;Rpt_PEnd)+COUNTIFS('KG1-1'!$AD33:$IM33,"غياب بعذر",'KG1-1'!$AD$7:$IM$7,"✓",'KG1-1'!$AD$6:$IM$6,1,'KG1-1'!$AD$5:$IM$5,"&gt;="&amp;MAX('KG1-1'!$U33,Rpt_PStart),'KG1-1'!$AD$5:$IM$5,"&lt;="&amp;Rpt_PEnd))</f>
        <v/>
      </c>
      <c r="AU29" s="40" t="n">
        <v>1</v>
      </c>
      <c r="AV29" s="40" t="n">
        <v>25</v>
      </c>
      <c r="AW29" s="40">
        <f>IF(OR(AP29=0,Rpt_DayIdx=0),"",IF(INDEX('KG1-1'!$AD$7:$IM$7,Rpt_DayIdx)&lt;&gt;"✓","",IF(INDEX('KG1-1'!$AD33:$IM33,Rpt_DayIdx)="","P",IFERROR(INDEX(StatusCodes,MATCH(INDEX('KG1-1'!$AD33:$IM33,Rpt_DayIdx),StatusLabels,0)),""))))</f>
        <v/>
      </c>
      <c r="AX29" s="40">
        <f>IF(AND(AP29=1,OR(AW29="A",AW29="E")),COUNTIFS($AP$5:AP29,1,$AW$5:AW29,"A")+COUNTIFS($AP$5:AP29,1,$AW$5:AW29,"E"),"")</f>
        <v/>
      </c>
    </row>
    <row r="30">
      <c r="A30" s="148">
        <f>IF(B30="","",ROW()-4)</f>
        <v/>
      </c>
      <c r="B30" s="148">
        <f>IF('KG1-1'!$B34="","",'KG1-1'!$B34)</f>
        <v/>
      </c>
      <c r="C30" s="146">
        <f>IF('KG1-1'!$C34="","",'KG1-1'!$C34)</f>
        <v/>
      </c>
      <c r="D30" s="148">
        <f>IF(B30="","",'KG1-1'!$B$2)</f>
        <v/>
      </c>
      <c r="E30" s="148">
        <f>IF(B30="","",MID(D30,FIND("-",D30&amp;"-")+1,10))</f>
        <v/>
      </c>
      <c r="F30" s="148">
        <f>IF(B30="","","نشط")</f>
        <v/>
      </c>
      <c r="G30" s="157">
        <f>IF(B30="","","")</f>
        <v/>
      </c>
      <c r="H30" s="146">
        <f>IF('KG1-1'!$K34="","",'KG1-1'!$K34)</f>
        <v/>
      </c>
      <c r="I30" s="148">
        <f>IF('KG1-1'!$J34="","",'KG1-1'!$J34)</f>
        <v/>
      </c>
      <c r="J30" s="148">
        <f>IF('KG1-1'!$M34="","",'KG1-1'!$M34)</f>
        <v/>
      </c>
      <c r="K30" s="148">
        <f>IF('KG1-1'!$N34="","",'KG1-1'!$N34)</f>
        <v/>
      </c>
      <c r="L30" s="148">
        <f>IF('KG1-1'!$D34="","",'KG1-1'!$D34)</f>
        <v/>
      </c>
      <c r="M30" s="148">
        <f>IF('KG1-1'!$E34="","",'KG1-1'!$E34)</f>
        <v/>
      </c>
      <c r="N30" s="148">
        <f>IF('KG1-1'!$F34="","",'KG1-1'!$F34)</f>
        <v/>
      </c>
      <c r="O30" s="158">
        <f>IF('KG1-1'!$G34="","",'KG1-1'!$G34)</f>
        <v/>
      </c>
      <c r="P30" s="158">
        <f>IF('KG1-1'!$O34="","",'KG1-1'!$O34)</f>
        <v/>
      </c>
      <c r="Q30" s="148">
        <f>IF('KG1-1'!$T34="","",'KG1-1'!$T34)</f>
        <v/>
      </c>
      <c r="R30" s="146">
        <f>IF('KG1-1'!$H34="","",'KG1-1'!$H34)</f>
        <v/>
      </c>
      <c r="S30" s="157">
        <f>IF('KG1-1'!$P34="","",'KG1-1'!$P34)</f>
        <v/>
      </c>
      <c r="T30" s="157">
        <f>IF('KG1-1'!$V34="","",'KG1-1'!$V34)</f>
        <v/>
      </c>
      <c r="U30" s="157">
        <f>IF('KG1-1'!$W34="","",'KG1-1'!$W34)</f>
        <v/>
      </c>
      <c r="V30" s="157">
        <f>IF('KG1-1'!$X34="","",'KG1-1'!$X34)</f>
        <v/>
      </c>
      <c r="W30" s="157">
        <f>IF('KG1-1'!$Y34="","",'KG1-1'!$Y34)</f>
        <v/>
      </c>
      <c r="X30" s="157">
        <f>IF('KG1-1'!$R34="","",'KG1-1'!$R34)</f>
        <v/>
      </c>
      <c r="Y30" s="148">
        <f>IF('KG1-1'!$S34="","",'KG1-1'!$S34)</f>
        <v/>
      </c>
      <c r="Z30" s="148">
        <f>IF('KG1-1'!$Q34="","",'KG1-1'!$Q34)</f>
        <v/>
      </c>
      <c r="AA30" s="148">
        <f>IF('KG1-1'!$I34="","",'KG1-1'!$I34)</f>
        <v/>
      </c>
      <c r="AB30" s="146">
        <f>IF(Q30="","",INDEX(LevelActions,MATCH(Q30,LevelValues,0)))</f>
        <v/>
      </c>
      <c r="AC30" s="148">
        <f>IF(J30="","",IF(J30=0,"—",IF(AND(L30=0,M30=0),Cat_L1,IF(O30&gt;=Cat_95,Cat_L2,IF(O30&gt;=Cat_90,Cat_L3,Cat_L4)))))</f>
        <v/>
      </c>
      <c r="AD30" s="146">
        <f>IF('KG1-1'!$L34="","",'KG1-1'!$L34)</f>
        <v/>
      </c>
      <c r="AE30" s="148">
        <f>IF(B30="","",IF(COUNTIF($B$5:$B$214,B30)&gt;1,"مكرر!",""))</f>
        <v/>
      </c>
      <c r="AF30" s="148">
        <f>IF(AND(B30&lt;&gt;"",F30="نشط",OR(Dash_Class="الكل",D30=Dash_Class)),1,0)</f>
        <v/>
      </c>
      <c r="AG30" s="40">
        <f>IF(OR(AF30=0,Dash_DayIdx=0),"",IF(INDEX('KG1-1'!$AD$7:$IM$7,Dash_DayIdx)&lt;&gt;"✓","",IF(INDEX('KG1-1'!$AD34:$IM34,Dash_DayIdx)="","P",IFERROR(INDEX(StatusCodes,MATCH(INDEX('KG1-1'!$AD34:$IM34,Dash_DayIdx),StatusLabels,0)),""))))</f>
        <v/>
      </c>
      <c r="AH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IF(LateAsPresent="نعم",COUNTIFS('KG1-1'!$AD34:$IM34,"متأخر",'KG1-1'!$AD$7:$IM$7,"✓",'KG1-1'!$AD$6:$IM$6,1,'KG1-1'!$AD$5:$IM$5,"&gt;="&amp;MAX('KG1-1'!$U34,Dash_PStart),'KG1-1'!$AD$5:$IM$5,"&lt;="&amp;Dash_PEnd),0))</f>
        <v/>
      </c>
      <c r="AI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COUNTIFS('KG1-1'!$AD34:$IM34,"غياب بدون عذر",'KG1-1'!$AD$7:$IM$7,"✓",'KG1-1'!$AD$6:$IM$6,1,'KG1-1'!$AD$5:$IM$5,"&gt;="&amp;MAX('KG1-1'!$U34,Dash_PStart),'KG1-1'!$AD$5:$IM$5,"&lt;="&amp;Dash_PEnd)+COUNTIFS('KG1-1'!$AD34:$IM34,"غياب بعذر",'KG1-1'!$AD$7:$IM$7,"✓",'KG1-1'!$AD$6:$IM$6,1,'KG1-1'!$AD$5:$IM$5,"&gt;="&amp;MAX('KG1-1'!$U34,Dash_PStart),'KG1-1'!$AD$5:$IM$5,"&lt;="&amp;Dash_PEnd)+COUNTIFS('KG1-1'!$AD34:$IM34,"متأخر",'KG1-1'!$AD$7:$IM$7,"✓",'KG1-1'!$AD$6:$IM$6,1,'KG1-1'!$AD$5:$IM$5,"&gt;="&amp;MAX('KG1-1'!$U34,Dash_PStart),'KG1-1'!$AD$5:$IM$5,"&lt;="&amp;Dash_PEnd))</f>
        <v/>
      </c>
      <c r="AJ30" s="40">
        <f>IF(AF30=0,0,IF(W30=Dash_Date,Thr_Critical,IF(V30=Dash_Date,Thr_High,IF(U30=Dash_Date,Thr_Repeated,IF(T30=Dash_Date,Thr_FollowUp,0)))))</f>
        <v/>
      </c>
      <c r="AK30" s="40">
        <f>IF(AJ30&gt;0,COUNTIF($AJ$5:AJ30,"&gt;0"),"")</f>
        <v/>
      </c>
      <c r="AL30" s="40">
        <f>IF(AND(B30&lt;&gt;"",F30="نشط",Q30&lt;&gt;"",Q30&gt;0),L30*1000+(999-ROW()),"")</f>
        <v/>
      </c>
      <c r="AM30" s="40">
        <f>IF(AND(AF30=1,J30&lt;&gt;"",J30&gt;0),ROUND(O30*10000,0)*1000000+K30*1000+(999-ROW()),"")</f>
        <v/>
      </c>
      <c r="AN30" s="40">
        <f>IF(AND(AF30=1,J30&lt;&gt;"",J30&gt;0),(L30+M30)*10000000+ROUND((1-O30)*10000,0)*1000+(999-ROW()),"")</f>
        <v/>
      </c>
      <c r="AO30" s="40">
        <f>IF(AND(AF30=1,Q30&lt;&gt;"",Q30&gt;=Thr_Critical),L30*1000+(999-ROW()),"")</f>
        <v/>
      </c>
      <c r="AP30" s="40">
        <f>IF(AND(B30&lt;&gt;"",F30="نشط",OR(Rpt_Class="الكل",D30=Rpt_Class)),1,0)</f>
        <v/>
      </c>
      <c r="AQ30" s="40">
        <f>IF(AND(AP30=1,Q30&lt;&gt;"",Q30&gt;0),L30*1000+(999-ROW()),"")</f>
        <v/>
      </c>
      <c r="AR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IF(LateAsPresent="نعم",COUNTIFS('KG1-1'!$AD34:$IM34,"متأخر",'KG1-1'!$AD$7:$IM$7,"✓",'KG1-1'!$AD$6:$IM$6,1,'KG1-1'!$AD$5:$IM$5,"&gt;="&amp;MAX('KG1-1'!$U34,Rpt_PStart),'KG1-1'!$AD$5:$IM$5,"&lt;="&amp;Rpt_PEnd),0))</f>
        <v/>
      </c>
      <c r="AS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COUNTIFS('KG1-1'!$AD34:$IM34,"غياب بدون عذر",'KG1-1'!$AD$7:$IM$7,"✓",'KG1-1'!$AD$6:$IM$6,1,'KG1-1'!$AD$5:$IM$5,"&gt;="&amp;MAX('KG1-1'!$U34,Rpt_PStart),'KG1-1'!$AD$5:$IM$5,"&lt;="&amp;Rpt_PEnd)+COUNTIFS('KG1-1'!$AD34:$IM34,"غياب بعذر",'KG1-1'!$AD$7:$IM$7,"✓",'KG1-1'!$AD$6:$IM$6,1,'KG1-1'!$AD$5:$IM$5,"&gt;="&amp;MAX('KG1-1'!$U34,Rpt_PStart),'KG1-1'!$AD$5:$IM$5,"&lt;="&amp;Rpt_PEnd)+COUNTIFS('KG1-1'!$AD34:$IM34,"متأخر",'KG1-1'!$AD$7:$IM$7,"✓",'KG1-1'!$AD$6:$IM$6,1,'KG1-1'!$AD$5:$IM$5,"&gt;="&amp;MAX('KG1-1'!$U34,Rpt_PStart),'KG1-1'!$AD$5:$IM$5,"&lt;="&amp;Rpt_PEnd))</f>
        <v/>
      </c>
      <c r="AT30" s="40">
        <f>IF(AP30=0,"",COUNTIFS('KG1-1'!$AD34:$IM34,"غياب بدون عذر",'KG1-1'!$AD$7:$IM$7,"✓",'KG1-1'!$AD$6:$IM$6,1,'KG1-1'!$AD$5:$IM$5,"&gt;="&amp;MAX('KG1-1'!$U34,Rpt_PStart),'KG1-1'!$AD$5:$IM$5,"&lt;="&amp;Rpt_PEnd)+COUNTIFS('KG1-1'!$AD34:$IM34,"غياب بعذر",'KG1-1'!$AD$7:$IM$7,"✓",'KG1-1'!$AD$6:$IM$6,1,'KG1-1'!$AD$5:$IM$5,"&gt;="&amp;MAX('KG1-1'!$U34,Rpt_PStart),'KG1-1'!$AD$5:$IM$5,"&lt;="&amp;Rpt_PEnd))</f>
        <v/>
      </c>
      <c r="AU30" s="40" t="n">
        <v>1</v>
      </c>
      <c r="AV30" s="40" t="n">
        <v>26</v>
      </c>
      <c r="AW30" s="40">
        <f>IF(OR(AP30=0,Rpt_DayIdx=0),"",IF(INDEX('KG1-1'!$AD$7:$IM$7,Rpt_DayIdx)&lt;&gt;"✓","",IF(INDEX('KG1-1'!$AD34:$IM34,Rpt_DayIdx)="","P",IFERROR(INDEX(StatusCodes,MATCH(INDEX('KG1-1'!$AD34:$IM34,Rpt_DayIdx),StatusLabels,0)),""))))</f>
        <v/>
      </c>
      <c r="AX30" s="40">
        <f>IF(AND(AP30=1,OR(AW30="A",AW30="E")),COUNTIFS($AP$5:AP30,1,$AW$5:AW30,"A")+COUNTIFS($AP$5:AP30,1,$AW$5:AW30,"E"),"")</f>
        <v/>
      </c>
    </row>
    <row r="31">
      <c r="A31" s="148">
        <f>IF(B31="","",ROW()-4)</f>
        <v/>
      </c>
      <c r="B31" s="148">
        <f>IF('KG1-1'!$B35="","",'KG1-1'!$B35)</f>
        <v/>
      </c>
      <c r="C31" s="146">
        <f>IF('KG1-1'!$C35="","",'KG1-1'!$C35)</f>
        <v/>
      </c>
      <c r="D31" s="148">
        <f>IF(B31="","",'KG1-1'!$B$2)</f>
        <v/>
      </c>
      <c r="E31" s="148">
        <f>IF(B31="","",MID(D31,FIND("-",D31&amp;"-")+1,10))</f>
        <v/>
      </c>
      <c r="F31" s="148">
        <f>IF(B31="","","نشط")</f>
        <v/>
      </c>
      <c r="G31" s="157">
        <f>IF(B31="","","")</f>
        <v/>
      </c>
      <c r="H31" s="146">
        <f>IF('KG1-1'!$K35="","",'KG1-1'!$K35)</f>
        <v/>
      </c>
      <c r="I31" s="148">
        <f>IF('KG1-1'!$J35="","",'KG1-1'!$J35)</f>
        <v/>
      </c>
      <c r="J31" s="148">
        <f>IF('KG1-1'!$M35="","",'KG1-1'!$M35)</f>
        <v/>
      </c>
      <c r="K31" s="148">
        <f>IF('KG1-1'!$N35="","",'KG1-1'!$N35)</f>
        <v/>
      </c>
      <c r="L31" s="148">
        <f>IF('KG1-1'!$D35="","",'KG1-1'!$D35)</f>
        <v/>
      </c>
      <c r="M31" s="148">
        <f>IF('KG1-1'!$E35="","",'KG1-1'!$E35)</f>
        <v/>
      </c>
      <c r="N31" s="148">
        <f>IF('KG1-1'!$F35="","",'KG1-1'!$F35)</f>
        <v/>
      </c>
      <c r="O31" s="158">
        <f>IF('KG1-1'!$G35="","",'KG1-1'!$G35)</f>
        <v/>
      </c>
      <c r="P31" s="158">
        <f>IF('KG1-1'!$O35="","",'KG1-1'!$O35)</f>
        <v/>
      </c>
      <c r="Q31" s="148">
        <f>IF('KG1-1'!$T35="","",'KG1-1'!$T35)</f>
        <v/>
      </c>
      <c r="R31" s="146">
        <f>IF('KG1-1'!$H35="","",'KG1-1'!$H35)</f>
        <v/>
      </c>
      <c r="S31" s="157">
        <f>IF('KG1-1'!$P35="","",'KG1-1'!$P35)</f>
        <v/>
      </c>
      <c r="T31" s="157">
        <f>IF('KG1-1'!$V35="","",'KG1-1'!$V35)</f>
        <v/>
      </c>
      <c r="U31" s="157">
        <f>IF('KG1-1'!$W35="","",'KG1-1'!$W35)</f>
        <v/>
      </c>
      <c r="V31" s="157">
        <f>IF('KG1-1'!$X35="","",'KG1-1'!$X35)</f>
        <v/>
      </c>
      <c r="W31" s="157">
        <f>IF('KG1-1'!$Y35="","",'KG1-1'!$Y35)</f>
        <v/>
      </c>
      <c r="X31" s="157">
        <f>IF('KG1-1'!$R35="","",'KG1-1'!$R35)</f>
        <v/>
      </c>
      <c r="Y31" s="148">
        <f>IF('KG1-1'!$S35="","",'KG1-1'!$S35)</f>
        <v/>
      </c>
      <c r="Z31" s="148">
        <f>IF('KG1-1'!$Q35="","",'KG1-1'!$Q35)</f>
        <v/>
      </c>
      <c r="AA31" s="148">
        <f>IF('KG1-1'!$I35="","",'KG1-1'!$I35)</f>
        <v/>
      </c>
      <c r="AB31" s="146">
        <f>IF(Q31="","",INDEX(LevelActions,MATCH(Q31,LevelValues,0)))</f>
        <v/>
      </c>
      <c r="AC31" s="148">
        <f>IF(J31="","",IF(J31=0,"—",IF(AND(L31=0,M31=0),Cat_L1,IF(O31&gt;=Cat_95,Cat_L2,IF(O31&gt;=Cat_90,Cat_L3,Cat_L4)))))</f>
        <v/>
      </c>
      <c r="AD31" s="146">
        <f>IF('KG1-1'!$L35="","",'KG1-1'!$L35)</f>
        <v/>
      </c>
      <c r="AE31" s="148">
        <f>IF(B31="","",IF(COUNTIF($B$5:$B$214,B31)&gt;1,"مكرر!",""))</f>
        <v/>
      </c>
      <c r="AF31" s="148">
        <f>IF(AND(B31&lt;&gt;"",F31="نشط",OR(Dash_Class="الكل",D31=Dash_Class)),1,0)</f>
        <v/>
      </c>
      <c r="AG31" s="40">
        <f>IF(OR(AF31=0,Dash_DayIdx=0),"",IF(INDEX('KG1-1'!$AD$7:$IM$7,Dash_DayIdx)&lt;&gt;"✓","",IF(INDEX('KG1-1'!$AD35:$IM35,Dash_DayIdx)="","P",IFERROR(INDEX(StatusCodes,MATCH(INDEX('KG1-1'!$AD35:$IM35,Dash_DayIdx),StatusLabels,0)),""))))</f>
        <v/>
      </c>
      <c r="AH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IF(LateAsPresent="نعم",COUNTIFS('KG1-1'!$AD35:$IM35,"متأخر",'KG1-1'!$AD$7:$IM$7,"✓",'KG1-1'!$AD$6:$IM$6,1,'KG1-1'!$AD$5:$IM$5,"&gt;="&amp;MAX('KG1-1'!$U35,Dash_PStart),'KG1-1'!$AD$5:$IM$5,"&lt;="&amp;Dash_PEnd),0))</f>
        <v/>
      </c>
      <c r="AI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COUNTIFS('KG1-1'!$AD35:$IM35,"غياب بدون عذر",'KG1-1'!$AD$7:$IM$7,"✓",'KG1-1'!$AD$6:$IM$6,1,'KG1-1'!$AD$5:$IM$5,"&gt;="&amp;MAX('KG1-1'!$U35,Dash_PStart),'KG1-1'!$AD$5:$IM$5,"&lt;="&amp;Dash_PEnd)+COUNTIFS('KG1-1'!$AD35:$IM35,"غياب بعذر",'KG1-1'!$AD$7:$IM$7,"✓",'KG1-1'!$AD$6:$IM$6,1,'KG1-1'!$AD$5:$IM$5,"&gt;="&amp;MAX('KG1-1'!$U35,Dash_PStart),'KG1-1'!$AD$5:$IM$5,"&lt;="&amp;Dash_PEnd)+COUNTIFS('KG1-1'!$AD35:$IM35,"متأخر",'KG1-1'!$AD$7:$IM$7,"✓",'KG1-1'!$AD$6:$IM$6,1,'KG1-1'!$AD$5:$IM$5,"&gt;="&amp;MAX('KG1-1'!$U35,Dash_PStart),'KG1-1'!$AD$5:$IM$5,"&lt;="&amp;Dash_PEnd))</f>
        <v/>
      </c>
      <c r="AJ31" s="40">
        <f>IF(AF31=0,0,IF(W31=Dash_Date,Thr_Critical,IF(V31=Dash_Date,Thr_High,IF(U31=Dash_Date,Thr_Repeated,IF(T31=Dash_Date,Thr_FollowUp,0)))))</f>
        <v/>
      </c>
      <c r="AK31" s="40">
        <f>IF(AJ31&gt;0,COUNTIF($AJ$5:AJ31,"&gt;0"),"")</f>
        <v/>
      </c>
      <c r="AL31" s="40">
        <f>IF(AND(B31&lt;&gt;"",F31="نشط",Q31&lt;&gt;"",Q31&gt;0),L31*1000+(999-ROW()),"")</f>
        <v/>
      </c>
      <c r="AM31" s="40">
        <f>IF(AND(AF31=1,J31&lt;&gt;"",J31&gt;0),ROUND(O31*10000,0)*1000000+K31*1000+(999-ROW()),"")</f>
        <v/>
      </c>
      <c r="AN31" s="40">
        <f>IF(AND(AF31=1,J31&lt;&gt;"",J31&gt;0),(L31+M31)*10000000+ROUND((1-O31)*10000,0)*1000+(999-ROW()),"")</f>
        <v/>
      </c>
      <c r="AO31" s="40">
        <f>IF(AND(AF31=1,Q31&lt;&gt;"",Q31&gt;=Thr_Critical),L31*1000+(999-ROW()),"")</f>
        <v/>
      </c>
      <c r="AP31" s="40">
        <f>IF(AND(B31&lt;&gt;"",F31="نشط",OR(Rpt_Class="الكل",D31=Rpt_Class)),1,0)</f>
        <v/>
      </c>
      <c r="AQ31" s="40">
        <f>IF(AND(AP31=1,Q31&lt;&gt;"",Q31&gt;0),L31*1000+(999-ROW()),"")</f>
        <v/>
      </c>
      <c r="AR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IF(LateAsPresent="نعم",COUNTIFS('KG1-1'!$AD35:$IM35,"متأخر",'KG1-1'!$AD$7:$IM$7,"✓",'KG1-1'!$AD$6:$IM$6,1,'KG1-1'!$AD$5:$IM$5,"&gt;="&amp;MAX('KG1-1'!$U35,Rpt_PStart),'KG1-1'!$AD$5:$IM$5,"&lt;="&amp;Rpt_PEnd),0))</f>
        <v/>
      </c>
      <c r="AS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COUNTIFS('KG1-1'!$AD35:$IM35,"غياب بدون عذر",'KG1-1'!$AD$7:$IM$7,"✓",'KG1-1'!$AD$6:$IM$6,1,'KG1-1'!$AD$5:$IM$5,"&gt;="&amp;MAX('KG1-1'!$U35,Rpt_PStart),'KG1-1'!$AD$5:$IM$5,"&lt;="&amp;Rpt_PEnd)+COUNTIFS('KG1-1'!$AD35:$IM35,"غياب بعذر",'KG1-1'!$AD$7:$IM$7,"✓",'KG1-1'!$AD$6:$IM$6,1,'KG1-1'!$AD$5:$IM$5,"&gt;="&amp;MAX('KG1-1'!$U35,Rpt_PStart),'KG1-1'!$AD$5:$IM$5,"&lt;="&amp;Rpt_PEnd)+COUNTIFS('KG1-1'!$AD35:$IM35,"متأخر",'KG1-1'!$AD$7:$IM$7,"✓",'KG1-1'!$AD$6:$IM$6,1,'KG1-1'!$AD$5:$IM$5,"&gt;="&amp;MAX('KG1-1'!$U35,Rpt_PStart),'KG1-1'!$AD$5:$IM$5,"&lt;="&amp;Rpt_PEnd))</f>
        <v/>
      </c>
      <c r="AT31" s="40">
        <f>IF(AP31=0,"",COUNTIFS('KG1-1'!$AD35:$IM35,"غياب بدون عذر",'KG1-1'!$AD$7:$IM$7,"✓",'KG1-1'!$AD$6:$IM$6,1,'KG1-1'!$AD$5:$IM$5,"&gt;="&amp;MAX('KG1-1'!$U35,Rpt_PStart),'KG1-1'!$AD$5:$IM$5,"&lt;="&amp;Rpt_PEnd)+COUNTIFS('KG1-1'!$AD35:$IM35,"غياب بعذر",'KG1-1'!$AD$7:$IM$7,"✓",'KG1-1'!$AD$6:$IM$6,1,'KG1-1'!$AD$5:$IM$5,"&gt;="&amp;MAX('KG1-1'!$U35,Rpt_PStart),'KG1-1'!$AD$5:$IM$5,"&lt;="&amp;Rpt_PEnd))</f>
        <v/>
      </c>
      <c r="AU31" s="40" t="n">
        <v>1</v>
      </c>
      <c r="AV31" s="40" t="n">
        <v>27</v>
      </c>
      <c r="AW31" s="40">
        <f>IF(OR(AP31=0,Rpt_DayIdx=0),"",IF(INDEX('KG1-1'!$AD$7:$IM$7,Rpt_DayIdx)&lt;&gt;"✓","",IF(INDEX('KG1-1'!$AD35:$IM35,Rpt_DayIdx)="","P",IFERROR(INDEX(StatusCodes,MATCH(INDEX('KG1-1'!$AD35:$IM35,Rpt_DayIdx),StatusLabels,0)),""))))</f>
        <v/>
      </c>
      <c r="AX31" s="40">
        <f>IF(AND(AP31=1,OR(AW31="A",AW31="E")),COUNTIFS($AP$5:AP31,1,$AW$5:AW31,"A")+COUNTIFS($AP$5:AP31,1,$AW$5:AW31,"E"),"")</f>
        <v/>
      </c>
    </row>
    <row r="32">
      <c r="A32" s="148">
        <f>IF(B32="","",ROW()-4)</f>
        <v/>
      </c>
      <c r="B32" s="148">
        <f>IF('KG1-1'!$B36="","",'KG1-1'!$B36)</f>
        <v/>
      </c>
      <c r="C32" s="146">
        <f>IF('KG1-1'!$C36="","",'KG1-1'!$C36)</f>
        <v/>
      </c>
      <c r="D32" s="148">
        <f>IF(B32="","",'KG1-1'!$B$2)</f>
        <v/>
      </c>
      <c r="E32" s="148">
        <f>IF(B32="","",MID(D32,FIND("-",D32&amp;"-")+1,10))</f>
        <v/>
      </c>
      <c r="F32" s="148">
        <f>IF(B32="","","نشط")</f>
        <v/>
      </c>
      <c r="G32" s="157">
        <f>IF(B32="","","")</f>
        <v/>
      </c>
      <c r="H32" s="146">
        <f>IF('KG1-1'!$K36="","",'KG1-1'!$K36)</f>
        <v/>
      </c>
      <c r="I32" s="148">
        <f>IF('KG1-1'!$J36="","",'KG1-1'!$J36)</f>
        <v/>
      </c>
      <c r="J32" s="148">
        <f>IF('KG1-1'!$M36="","",'KG1-1'!$M36)</f>
        <v/>
      </c>
      <c r="K32" s="148">
        <f>IF('KG1-1'!$N36="","",'KG1-1'!$N36)</f>
        <v/>
      </c>
      <c r="L32" s="148">
        <f>IF('KG1-1'!$D36="","",'KG1-1'!$D36)</f>
        <v/>
      </c>
      <c r="M32" s="148">
        <f>IF('KG1-1'!$E36="","",'KG1-1'!$E36)</f>
        <v/>
      </c>
      <c r="N32" s="148">
        <f>IF('KG1-1'!$F36="","",'KG1-1'!$F36)</f>
        <v/>
      </c>
      <c r="O32" s="158">
        <f>IF('KG1-1'!$G36="","",'KG1-1'!$G36)</f>
        <v/>
      </c>
      <c r="P32" s="158">
        <f>IF('KG1-1'!$O36="","",'KG1-1'!$O36)</f>
        <v/>
      </c>
      <c r="Q32" s="148">
        <f>IF('KG1-1'!$T36="","",'KG1-1'!$T36)</f>
        <v/>
      </c>
      <c r="R32" s="146">
        <f>IF('KG1-1'!$H36="","",'KG1-1'!$H36)</f>
        <v/>
      </c>
      <c r="S32" s="157">
        <f>IF('KG1-1'!$P36="","",'KG1-1'!$P36)</f>
        <v/>
      </c>
      <c r="T32" s="157">
        <f>IF('KG1-1'!$V36="","",'KG1-1'!$V36)</f>
        <v/>
      </c>
      <c r="U32" s="157">
        <f>IF('KG1-1'!$W36="","",'KG1-1'!$W36)</f>
        <v/>
      </c>
      <c r="V32" s="157">
        <f>IF('KG1-1'!$X36="","",'KG1-1'!$X36)</f>
        <v/>
      </c>
      <c r="W32" s="157">
        <f>IF('KG1-1'!$Y36="","",'KG1-1'!$Y36)</f>
        <v/>
      </c>
      <c r="X32" s="157">
        <f>IF('KG1-1'!$R36="","",'KG1-1'!$R36)</f>
        <v/>
      </c>
      <c r="Y32" s="148">
        <f>IF('KG1-1'!$S36="","",'KG1-1'!$S36)</f>
        <v/>
      </c>
      <c r="Z32" s="148">
        <f>IF('KG1-1'!$Q36="","",'KG1-1'!$Q36)</f>
        <v/>
      </c>
      <c r="AA32" s="148">
        <f>IF('KG1-1'!$I36="","",'KG1-1'!$I36)</f>
        <v/>
      </c>
      <c r="AB32" s="146">
        <f>IF(Q32="","",INDEX(LevelActions,MATCH(Q32,LevelValues,0)))</f>
        <v/>
      </c>
      <c r="AC32" s="148">
        <f>IF(J32="","",IF(J32=0,"—",IF(AND(L32=0,M32=0),Cat_L1,IF(O32&gt;=Cat_95,Cat_L2,IF(O32&gt;=Cat_90,Cat_L3,Cat_L4)))))</f>
        <v/>
      </c>
      <c r="AD32" s="146">
        <f>IF('KG1-1'!$L36="","",'KG1-1'!$L36)</f>
        <v/>
      </c>
      <c r="AE32" s="148">
        <f>IF(B32="","",IF(COUNTIF($B$5:$B$214,B32)&gt;1,"مكرر!",""))</f>
        <v/>
      </c>
      <c r="AF32" s="148">
        <f>IF(AND(B32&lt;&gt;"",F32="نشط",OR(Dash_Class="الكل",D32=Dash_Class)),1,0)</f>
        <v/>
      </c>
      <c r="AG32" s="40">
        <f>IF(OR(AF32=0,Dash_DayIdx=0),"",IF(INDEX('KG1-1'!$AD$7:$IM$7,Dash_DayIdx)&lt;&gt;"✓","",IF(INDEX('KG1-1'!$AD36:$IM36,Dash_DayIdx)="","P",IFERROR(INDEX(StatusCodes,MATCH(INDEX('KG1-1'!$AD36:$IM36,Dash_DayIdx),StatusLabels,0)),""))))</f>
        <v/>
      </c>
      <c r="AH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IF(LateAsPresent="نعم",COUNTIFS('KG1-1'!$AD36:$IM36,"متأخر",'KG1-1'!$AD$7:$IM$7,"✓",'KG1-1'!$AD$6:$IM$6,1,'KG1-1'!$AD$5:$IM$5,"&gt;="&amp;MAX('KG1-1'!$U36,Dash_PStart),'KG1-1'!$AD$5:$IM$5,"&lt;="&amp;Dash_PEnd),0))</f>
        <v/>
      </c>
      <c r="AI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COUNTIFS('KG1-1'!$AD36:$IM36,"غياب بدون عذر",'KG1-1'!$AD$7:$IM$7,"✓",'KG1-1'!$AD$6:$IM$6,1,'KG1-1'!$AD$5:$IM$5,"&gt;="&amp;MAX('KG1-1'!$U36,Dash_PStart),'KG1-1'!$AD$5:$IM$5,"&lt;="&amp;Dash_PEnd)+COUNTIFS('KG1-1'!$AD36:$IM36,"غياب بعذر",'KG1-1'!$AD$7:$IM$7,"✓",'KG1-1'!$AD$6:$IM$6,1,'KG1-1'!$AD$5:$IM$5,"&gt;="&amp;MAX('KG1-1'!$U36,Dash_PStart),'KG1-1'!$AD$5:$IM$5,"&lt;="&amp;Dash_PEnd)+COUNTIFS('KG1-1'!$AD36:$IM36,"متأخر",'KG1-1'!$AD$7:$IM$7,"✓",'KG1-1'!$AD$6:$IM$6,1,'KG1-1'!$AD$5:$IM$5,"&gt;="&amp;MAX('KG1-1'!$U36,Dash_PStart),'KG1-1'!$AD$5:$IM$5,"&lt;="&amp;Dash_PEnd))</f>
        <v/>
      </c>
      <c r="AJ32" s="40">
        <f>IF(AF32=0,0,IF(W32=Dash_Date,Thr_Critical,IF(V32=Dash_Date,Thr_High,IF(U32=Dash_Date,Thr_Repeated,IF(T32=Dash_Date,Thr_FollowUp,0)))))</f>
        <v/>
      </c>
      <c r="AK32" s="40">
        <f>IF(AJ32&gt;0,COUNTIF($AJ$5:AJ32,"&gt;0"),"")</f>
        <v/>
      </c>
      <c r="AL32" s="40">
        <f>IF(AND(B32&lt;&gt;"",F32="نشط",Q32&lt;&gt;"",Q32&gt;0),L32*1000+(999-ROW()),"")</f>
        <v/>
      </c>
      <c r="AM32" s="40">
        <f>IF(AND(AF32=1,J32&lt;&gt;"",J32&gt;0),ROUND(O32*10000,0)*1000000+K32*1000+(999-ROW()),"")</f>
        <v/>
      </c>
      <c r="AN32" s="40">
        <f>IF(AND(AF32=1,J32&lt;&gt;"",J32&gt;0),(L32+M32)*10000000+ROUND((1-O32)*10000,0)*1000+(999-ROW()),"")</f>
        <v/>
      </c>
      <c r="AO32" s="40">
        <f>IF(AND(AF32=1,Q32&lt;&gt;"",Q32&gt;=Thr_Critical),L32*1000+(999-ROW()),"")</f>
        <v/>
      </c>
      <c r="AP32" s="40">
        <f>IF(AND(B32&lt;&gt;"",F32="نشط",OR(Rpt_Class="الكل",D32=Rpt_Class)),1,0)</f>
        <v/>
      </c>
      <c r="AQ32" s="40">
        <f>IF(AND(AP32=1,Q32&lt;&gt;"",Q32&gt;0),L32*1000+(999-ROW()),"")</f>
        <v/>
      </c>
      <c r="AR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IF(LateAsPresent="نعم",COUNTIFS('KG1-1'!$AD36:$IM36,"متأخر",'KG1-1'!$AD$7:$IM$7,"✓",'KG1-1'!$AD$6:$IM$6,1,'KG1-1'!$AD$5:$IM$5,"&gt;="&amp;MAX('KG1-1'!$U36,Rpt_PStart),'KG1-1'!$AD$5:$IM$5,"&lt;="&amp;Rpt_PEnd),0))</f>
        <v/>
      </c>
      <c r="AS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COUNTIFS('KG1-1'!$AD36:$IM36,"غياب بدون عذر",'KG1-1'!$AD$7:$IM$7,"✓",'KG1-1'!$AD$6:$IM$6,1,'KG1-1'!$AD$5:$IM$5,"&gt;="&amp;MAX('KG1-1'!$U36,Rpt_PStart),'KG1-1'!$AD$5:$IM$5,"&lt;="&amp;Rpt_PEnd)+COUNTIFS('KG1-1'!$AD36:$IM36,"غياب بعذر",'KG1-1'!$AD$7:$IM$7,"✓",'KG1-1'!$AD$6:$IM$6,1,'KG1-1'!$AD$5:$IM$5,"&gt;="&amp;MAX('KG1-1'!$U36,Rpt_PStart),'KG1-1'!$AD$5:$IM$5,"&lt;="&amp;Rpt_PEnd)+COUNTIFS('KG1-1'!$AD36:$IM36,"متأخر",'KG1-1'!$AD$7:$IM$7,"✓",'KG1-1'!$AD$6:$IM$6,1,'KG1-1'!$AD$5:$IM$5,"&gt;="&amp;MAX('KG1-1'!$U36,Rpt_PStart),'KG1-1'!$AD$5:$IM$5,"&lt;="&amp;Rpt_PEnd))</f>
        <v/>
      </c>
      <c r="AT32" s="40">
        <f>IF(AP32=0,"",COUNTIFS('KG1-1'!$AD36:$IM36,"غياب بدون عذر",'KG1-1'!$AD$7:$IM$7,"✓",'KG1-1'!$AD$6:$IM$6,1,'KG1-1'!$AD$5:$IM$5,"&gt;="&amp;MAX('KG1-1'!$U36,Rpt_PStart),'KG1-1'!$AD$5:$IM$5,"&lt;="&amp;Rpt_PEnd)+COUNTIFS('KG1-1'!$AD36:$IM36,"غياب بعذر",'KG1-1'!$AD$7:$IM$7,"✓",'KG1-1'!$AD$6:$IM$6,1,'KG1-1'!$AD$5:$IM$5,"&gt;="&amp;MAX('KG1-1'!$U36,Rpt_PStart),'KG1-1'!$AD$5:$IM$5,"&lt;="&amp;Rpt_PEnd))</f>
        <v/>
      </c>
      <c r="AU32" s="40" t="n">
        <v>1</v>
      </c>
      <c r="AV32" s="40" t="n">
        <v>28</v>
      </c>
      <c r="AW32" s="40">
        <f>IF(OR(AP32=0,Rpt_DayIdx=0),"",IF(INDEX('KG1-1'!$AD$7:$IM$7,Rpt_DayIdx)&lt;&gt;"✓","",IF(INDEX('KG1-1'!$AD36:$IM36,Rpt_DayIdx)="","P",IFERROR(INDEX(StatusCodes,MATCH(INDEX('KG1-1'!$AD36:$IM36,Rpt_DayIdx),StatusLabels,0)),""))))</f>
        <v/>
      </c>
      <c r="AX32" s="40">
        <f>IF(AND(AP32=1,OR(AW32="A",AW32="E")),COUNTIFS($AP$5:AP32,1,$AW$5:AW32,"A")+COUNTIFS($AP$5:AP32,1,$AW$5:AW32,"E"),"")</f>
        <v/>
      </c>
    </row>
    <row r="33">
      <c r="A33" s="148">
        <f>IF(B33="","",ROW()-4)</f>
        <v/>
      </c>
      <c r="B33" s="148">
        <f>IF('KG1-1'!$B37="","",'KG1-1'!$B37)</f>
        <v/>
      </c>
      <c r="C33" s="146">
        <f>IF('KG1-1'!$C37="","",'KG1-1'!$C37)</f>
        <v/>
      </c>
      <c r="D33" s="148">
        <f>IF(B33="","",'KG1-1'!$B$2)</f>
        <v/>
      </c>
      <c r="E33" s="148">
        <f>IF(B33="","",MID(D33,FIND("-",D33&amp;"-")+1,10))</f>
        <v/>
      </c>
      <c r="F33" s="148">
        <f>IF(B33="","","نشط")</f>
        <v/>
      </c>
      <c r="G33" s="157">
        <f>IF(B33="","","")</f>
        <v/>
      </c>
      <c r="H33" s="146">
        <f>IF('KG1-1'!$K37="","",'KG1-1'!$K37)</f>
        <v/>
      </c>
      <c r="I33" s="148">
        <f>IF('KG1-1'!$J37="","",'KG1-1'!$J37)</f>
        <v/>
      </c>
      <c r="J33" s="148">
        <f>IF('KG1-1'!$M37="","",'KG1-1'!$M37)</f>
        <v/>
      </c>
      <c r="K33" s="148">
        <f>IF('KG1-1'!$N37="","",'KG1-1'!$N37)</f>
        <v/>
      </c>
      <c r="L33" s="148">
        <f>IF('KG1-1'!$D37="","",'KG1-1'!$D37)</f>
        <v/>
      </c>
      <c r="M33" s="148">
        <f>IF('KG1-1'!$E37="","",'KG1-1'!$E37)</f>
        <v/>
      </c>
      <c r="N33" s="148">
        <f>IF('KG1-1'!$F37="","",'KG1-1'!$F37)</f>
        <v/>
      </c>
      <c r="O33" s="158">
        <f>IF('KG1-1'!$G37="","",'KG1-1'!$G37)</f>
        <v/>
      </c>
      <c r="P33" s="158">
        <f>IF('KG1-1'!$O37="","",'KG1-1'!$O37)</f>
        <v/>
      </c>
      <c r="Q33" s="148">
        <f>IF('KG1-1'!$T37="","",'KG1-1'!$T37)</f>
        <v/>
      </c>
      <c r="R33" s="146">
        <f>IF('KG1-1'!$H37="","",'KG1-1'!$H37)</f>
        <v/>
      </c>
      <c r="S33" s="157">
        <f>IF('KG1-1'!$P37="","",'KG1-1'!$P37)</f>
        <v/>
      </c>
      <c r="T33" s="157">
        <f>IF('KG1-1'!$V37="","",'KG1-1'!$V37)</f>
        <v/>
      </c>
      <c r="U33" s="157">
        <f>IF('KG1-1'!$W37="","",'KG1-1'!$W37)</f>
        <v/>
      </c>
      <c r="V33" s="157">
        <f>IF('KG1-1'!$X37="","",'KG1-1'!$X37)</f>
        <v/>
      </c>
      <c r="W33" s="157">
        <f>IF('KG1-1'!$Y37="","",'KG1-1'!$Y37)</f>
        <v/>
      </c>
      <c r="X33" s="157">
        <f>IF('KG1-1'!$R37="","",'KG1-1'!$R37)</f>
        <v/>
      </c>
      <c r="Y33" s="148">
        <f>IF('KG1-1'!$S37="","",'KG1-1'!$S37)</f>
        <v/>
      </c>
      <c r="Z33" s="148">
        <f>IF('KG1-1'!$Q37="","",'KG1-1'!$Q37)</f>
        <v/>
      </c>
      <c r="AA33" s="148">
        <f>IF('KG1-1'!$I37="","",'KG1-1'!$I37)</f>
        <v/>
      </c>
      <c r="AB33" s="146">
        <f>IF(Q33="","",INDEX(LevelActions,MATCH(Q33,LevelValues,0)))</f>
        <v/>
      </c>
      <c r="AC33" s="148">
        <f>IF(J33="","",IF(J33=0,"—",IF(AND(L33=0,M33=0),Cat_L1,IF(O33&gt;=Cat_95,Cat_L2,IF(O33&gt;=Cat_90,Cat_L3,Cat_L4)))))</f>
        <v/>
      </c>
      <c r="AD33" s="146">
        <f>IF('KG1-1'!$L37="","",'KG1-1'!$L37)</f>
        <v/>
      </c>
      <c r="AE33" s="148">
        <f>IF(B33="","",IF(COUNTIF($B$5:$B$214,B33)&gt;1,"مكرر!",""))</f>
        <v/>
      </c>
      <c r="AF33" s="148">
        <f>IF(AND(B33&lt;&gt;"",F33="نشط",OR(Dash_Class="الكل",D33=Dash_Class)),1,0)</f>
        <v/>
      </c>
      <c r="AG33" s="40">
        <f>IF(OR(AF33=0,Dash_DayIdx=0),"",IF(INDEX('KG1-1'!$AD$7:$IM$7,Dash_DayIdx)&lt;&gt;"✓","",IF(INDEX('KG1-1'!$AD37:$IM37,Dash_DayIdx)="","P",IFERROR(INDEX(StatusCodes,MATCH(INDEX('KG1-1'!$AD37:$IM37,Dash_DayIdx),StatusLabels,0)),""))))</f>
        <v/>
      </c>
      <c r="AH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IF(LateAsPresent="نعم",COUNTIFS('KG1-1'!$AD37:$IM37,"متأخر",'KG1-1'!$AD$7:$IM$7,"✓",'KG1-1'!$AD$6:$IM$6,1,'KG1-1'!$AD$5:$IM$5,"&gt;="&amp;MAX('KG1-1'!$U37,Dash_PStart),'KG1-1'!$AD$5:$IM$5,"&lt;="&amp;Dash_PEnd),0))</f>
        <v/>
      </c>
      <c r="AI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COUNTIFS('KG1-1'!$AD37:$IM37,"غياب بدون عذر",'KG1-1'!$AD$7:$IM$7,"✓",'KG1-1'!$AD$6:$IM$6,1,'KG1-1'!$AD$5:$IM$5,"&gt;="&amp;MAX('KG1-1'!$U37,Dash_PStart),'KG1-1'!$AD$5:$IM$5,"&lt;="&amp;Dash_PEnd)+COUNTIFS('KG1-1'!$AD37:$IM37,"غياب بعذر",'KG1-1'!$AD$7:$IM$7,"✓",'KG1-1'!$AD$6:$IM$6,1,'KG1-1'!$AD$5:$IM$5,"&gt;="&amp;MAX('KG1-1'!$U37,Dash_PStart),'KG1-1'!$AD$5:$IM$5,"&lt;="&amp;Dash_PEnd)+COUNTIFS('KG1-1'!$AD37:$IM37,"متأخر",'KG1-1'!$AD$7:$IM$7,"✓",'KG1-1'!$AD$6:$IM$6,1,'KG1-1'!$AD$5:$IM$5,"&gt;="&amp;MAX('KG1-1'!$U37,Dash_PStart),'KG1-1'!$AD$5:$IM$5,"&lt;="&amp;Dash_PEnd))</f>
        <v/>
      </c>
      <c r="AJ33" s="40">
        <f>IF(AF33=0,0,IF(W33=Dash_Date,Thr_Critical,IF(V33=Dash_Date,Thr_High,IF(U33=Dash_Date,Thr_Repeated,IF(T33=Dash_Date,Thr_FollowUp,0)))))</f>
        <v/>
      </c>
      <c r="AK33" s="40">
        <f>IF(AJ33&gt;0,COUNTIF($AJ$5:AJ33,"&gt;0"),"")</f>
        <v/>
      </c>
      <c r="AL33" s="40">
        <f>IF(AND(B33&lt;&gt;"",F33="نشط",Q33&lt;&gt;"",Q33&gt;0),L33*1000+(999-ROW()),"")</f>
        <v/>
      </c>
      <c r="AM33" s="40">
        <f>IF(AND(AF33=1,J33&lt;&gt;"",J33&gt;0),ROUND(O33*10000,0)*1000000+K33*1000+(999-ROW()),"")</f>
        <v/>
      </c>
      <c r="AN33" s="40">
        <f>IF(AND(AF33=1,J33&lt;&gt;"",J33&gt;0),(L33+M33)*10000000+ROUND((1-O33)*10000,0)*1000+(999-ROW()),"")</f>
        <v/>
      </c>
      <c r="AO33" s="40">
        <f>IF(AND(AF33=1,Q33&lt;&gt;"",Q33&gt;=Thr_Critical),L33*1000+(999-ROW()),"")</f>
        <v/>
      </c>
      <c r="AP33" s="40">
        <f>IF(AND(B33&lt;&gt;"",F33="نشط",OR(Rpt_Class="الكل",D33=Rpt_Class)),1,0)</f>
        <v/>
      </c>
      <c r="AQ33" s="40">
        <f>IF(AND(AP33=1,Q33&lt;&gt;"",Q33&gt;0),L33*1000+(999-ROW()),"")</f>
        <v/>
      </c>
      <c r="AR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IF(LateAsPresent="نعم",COUNTIFS('KG1-1'!$AD37:$IM37,"متأخر",'KG1-1'!$AD$7:$IM$7,"✓",'KG1-1'!$AD$6:$IM$6,1,'KG1-1'!$AD$5:$IM$5,"&gt;="&amp;MAX('KG1-1'!$U37,Rpt_PStart),'KG1-1'!$AD$5:$IM$5,"&lt;="&amp;Rpt_PEnd),0))</f>
        <v/>
      </c>
      <c r="AS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COUNTIFS('KG1-1'!$AD37:$IM37,"غياب بدون عذر",'KG1-1'!$AD$7:$IM$7,"✓",'KG1-1'!$AD$6:$IM$6,1,'KG1-1'!$AD$5:$IM$5,"&gt;="&amp;MAX('KG1-1'!$U37,Rpt_PStart),'KG1-1'!$AD$5:$IM$5,"&lt;="&amp;Rpt_PEnd)+COUNTIFS('KG1-1'!$AD37:$IM37,"غياب بعذر",'KG1-1'!$AD$7:$IM$7,"✓",'KG1-1'!$AD$6:$IM$6,1,'KG1-1'!$AD$5:$IM$5,"&gt;="&amp;MAX('KG1-1'!$U37,Rpt_PStart),'KG1-1'!$AD$5:$IM$5,"&lt;="&amp;Rpt_PEnd)+COUNTIFS('KG1-1'!$AD37:$IM37,"متأخر",'KG1-1'!$AD$7:$IM$7,"✓",'KG1-1'!$AD$6:$IM$6,1,'KG1-1'!$AD$5:$IM$5,"&gt;="&amp;MAX('KG1-1'!$U37,Rpt_PStart),'KG1-1'!$AD$5:$IM$5,"&lt;="&amp;Rpt_PEnd))</f>
        <v/>
      </c>
      <c r="AT33" s="40">
        <f>IF(AP33=0,"",COUNTIFS('KG1-1'!$AD37:$IM37,"غياب بدون عذر",'KG1-1'!$AD$7:$IM$7,"✓",'KG1-1'!$AD$6:$IM$6,1,'KG1-1'!$AD$5:$IM$5,"&gt;="&amp;MAX('KG1-1'!$U37,Rpt_PStart),'KG1-1'!$AD$5:$IM$5,"&lt;="&amp;Rpt_PEnd)+COUNTIFS('KG1-1'!$AD37:$IM37,"غياب بعذر",'KG1-1'!$AD$7:$IM$7,"✓",'KG1-1'!$AD$6:$IM$6,1,'KG1-1'!$AD$5:$IM$5,"&gt;="&amp;MAX('KG1-1'!$U37,Rpt_PStart),'KG1-1'!$AD$5:$IM$5,"&lt;="&amp;Rpt_PEnd))</f>
        <v/>
      </c>
      <c r="AU33" s="40" t="n">
        <v>1</v>
      </c>
      <c r="AV33" s="40" t="n">
        <v>29</v>
      </c>
      <c r="AW33" s="40">
        <f>IF(OR(AP33=0,Rpt_DayIdx=0),"",IF(INDEX('KG1-1'!$AD$7:$IM$7,Rpt_DayIdx)&lt;&gt;"✓","",IF(INDEX('KG1-1'!$AD37:$IM37,Rpt_DayIdx)="","P",IFERROR(INDEX(StatusCodes,MATCH(INDEX('KG1-1'!$AD37:$IM37,Rpt_DayIdx),StatusLabels,0)),""))))</f>
        <v/>
      </c>
      <c r="AX33" s="40">
        <f>IF(AND(AP33=1,OR(AW33="A",AW33="E")),COUNTIFS($AP$5:AP33,1,$AW$5:AW33,"A")+COUNTIFS($AP$5:AP33,1,$AW$5:AW33,"E"),"")</f>
        <v/>
      </c>
    </row>
    <row r="34">
      <c r="A34" s="148">
        <f>IF(B34="","",ROW()-4)</f>
        <v/>
      </c>
      <c r="B34" s="148">
        <f>IF('KG1-1'!$B38="","",'KG1-1'!$B38)</f>
        <v/>
      </c>
      <c r="C34" s="146">
        <f>IF('KG1-1'!$C38="","",'KG1-1'!$C38)</f>
        <v/>
      </c>
      <c r="D34" s="148">
        <f>IF(B34="","",'KG1-1'!$B$2)</f>
        <v/>
      </c>
      <c r="E34" s="148">
        <f>IF(B34="","",MID(D34,FIND("-",D34&amp;"-")+1,10))</f>
        <v/>
      </c>
      <c r="F34" s="148">
        <f>IF(B34="","","نشط")</f>
        <v/>
      </c>
      <c r="G34" s="157">
        <f>IF(B34="","","")</f>
        <v/>
      </c>
      <c r="H34" s="146">
        <f>IF('KG1-1'!$K38="","",'KG1-1'!$K38)</f>
        <v/>
      </c>
      <c r="I34" s="148">
        <f>IF('KG1-1'!$J38="","",'KG1-1'!$J38)</f>
        <v/>
      </c>
      <c r="J34" s="148">
        <f>IF('KG1-1'!$M38="","",'KG1-1'!$M38)</f>
        <v/>
      </c>
      <c r="K34" s="148">
        <f>IF('KG1-1'!$N38="","",'KG1-1'!$N38)</f>
        <v/>
      </c>
      <c r="L34" s="148">
        <f>IF('KG1-1'!$D38="","",'KG1-1'!$D38)</f>
        <v/>
      </c>
      <c r="M34" s="148">
        <f>IF('KG1-1'!$E38="","",'KG1-1'!$E38)</f>
        <v/>
      </c>
      <c r="N34" s="148">
        <f>IF('KG1-1'!$F38="","",'KG1-1'!$F38)</f>
        <v/>
      </c>
      <c r="O34" s="158">
        <f>IF('KG1-1'!$G38="","",'KG1-1'!$G38)</f>
        <v/>
      </c>
      <c r="P34" s="158">
        <f>IF('KG1-1'!$O38="","",'KG1-1'!$O38)</f>
        <v/>
      </c>
      <c r="Q34" s="148">
        <f>IF('KG1-1'!$T38="","",'KG1-1'!$T38)</f>
        <v/>
      </c>
      <c r="R34" s="146">
        <f>IF('KG1-1'!$H38="","",'KG1-1'!$H38)</f>
        <v/>
      </c>
      <c r="S34" s="157">
        <f>IF('KG1-1'!$P38="","",'KG1-1'!$P38)</f>
        <v/>
      </c>
      <c r="T34" s="157">
        <f>IF('KG1-1'!$V38="","",'KG1-1'!$V38)</f>
        <v/>
      </c>
      <c r="U34" s="157">
        <f>IF('KG1-1'!$W38="","",'KG1-1'!$W38)</f>
        <v/>
      </c>
      <c r="V34" s="157">
        <f>IF('KG1-1'!$X38="","",'KG1-1'!$X38)</f>
        <v/>
      </c>
      <c r="W34" s="157">
        <f>IF('KG1-1'!$Y38="","",'KG1-1'!$Y38)</f>
        <v/>
      </c>
      <c r="X34" s="157">
        <f>IF('KG1-1'!$R38="","",'KG1-1'!$R38)</f>
        <v/>
      </c>
      <c r="Y34" s="148">
        <f>IF('KG1-1'!$S38="","",'KG1-1'!$S38)</f>
        <v/>
      </c>
      <c r="Z34" s="148">
        <f>IF('KG1-1'!$Q38="","",'KG1-1'!$Q38)</f>
        <v/>
      </c>
      <c r="AA34" s="148">
        <f>IF('KG1-1'!$I38="","",'KG1-1'!$I38)</f>
        <v/>
      </c>
      <c r="AB34" s="146">
        <f>IF(Q34="","",INDEX(LevelActions,MATCH(Q34,LevelValues,0)))</f>
        <v/>
      </c>
      <c r="AC34" s="148">
        <f>IF(J34="","",IF(J34=0,"—",IF(AND(L34=0,M34=0),Cat_L1,IF(O34&gt;=Cat_95,Cat_L2,IF(O34&gt;=Cat_90,Cat_L3,Cat_L4)))))</f>
        <v/>
      </c>
      <c r="AD34" s="146">
        <f>IF('KG1-1'!$L38="","",'KG1-1'!$L38)</f>
        <v/>
      </c>
      <c r="AE34" s="148">
        <f>IF(B34="","",IF(COUNTIF($B$5:$B$214,B34)&gt;1,"مكرر!",""))</f>
        <v/>
      </c>
      <c r="AF34" s="148">
        <f>IF(AND(B34&lt;&gt;"",F34="نشط",OR(Dash_Class="الكل",D34=Dash_Class)),1,0)</f>
        <v/>
      </c>
      <c r="AG34" s="40">
        <f>IF(OR(AF34=0,Dash_DayIdx=0),"",IF(INDEX('KG1-1'!$AD$7:$IM$7,Dash_DayIdx)&lt;&gt;"✓","",IF(INDEX('KG1-1'!$AD38:$IM38,Dash_DayIdx)="","P",IFERROR(INDEX(StatusCodes,MATCH(INDEX('KG1-1'!$AD38:$IM38,Dash_DayIdx),StatusLabels,0)),""))))</f>
        <v/>
      </c>
      <c r="AH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IF(LateAsPresent="نعم",COUNTIFS('KG1-1'!$AD38:$IM38,"متأخر",'KG1-1'!$AD$7:$IM$7,"✓",'KG1-1'!$AD$6:$IM$6,1,'KG1-1'!$AD$5:$IM$5,"&gt;="&amp;MAX('KG1-1'!$U38,Dash_PStart),'KG1-1'!$AD$5:$IM$5,"&lt;="&amp;Dash_PEnd),0))</f>
        <v/>
      </c>
      <c r="AI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COUNTIFS('KG1-1'!$AD38:$IM38,"غياب بدون عذر",'KG1-1'!$AD$7:$IM$7,"✓",'KG1-1'!$AD$6:$IM$6,1,'KG1-1'!$AD$5:$IM$5,"&gt;="&amp;MAX('KG1-1'!$U38,Dash_PStart),'KG1-1'!$AD$5:$IM$5,"&lt;="&amp;Dash_PEnd)+COUNTIFS('KG1-1'!$AD38:$IM38,"غياب بعذر",'KG1-1'!$AD$7:$IM$7,"✓",'KG1-1'!$AD$6:$IM$6,1,'KG1-1'!$AD$5:$IM$5,"&gt;="&amp;MAX('KG1-1'!$U38,Dash_PStart),'KG1-1'!$AD$5:$IM$5,"&lt;="&amp;Dash_PEnd)+COUNTIFS('KG1-1'!$AD38:$IM38,"متأخر",'KG1-1'!$AD$7:$IM$7,"✓",'KG1-1'!$AD$6:$IM$6,1,'KG1-1'!$AD$5:$IM$5,"&gt;="&amp;MAX('KG1-1'!$U38,Dash_PStart),'KG1-1'!$AD$5:$IM$5,"&lt;="&amp;Dash_PEnd))</f>
        <v/>
      </c>
      <c r="AJ34" s="40">
        <f>IF(AF34=0,0,IF(W34=Dash_Date,Thr_Critical,IF(V34=Dash_Date,Thr_High,IF(U34=Dash_Date,Thr_Repeated,IF(T34=Dash_Date,Thr_FollowUp,0)))))</f>
        <v/>
      </c>
      <c r="AK34" s="40">
        <f>IF(AJ34&gt;0,COUNTIF($AJ$5:AJ34,"&gt;0"),"")</f>
        <v/>
      </c>
      <c r="AL34" s="40">
        <f>IF(AND(B34&lt;&gt;"",F34="نشط",Q34&lt;&gt;"",Q34&gt;0),L34*1000+(999-ROW()),"")</f>
        <v/>
      </c>
      <c r="AM34" s="40">
        <f>IF(AND(AF34=1,J34&lt;&gt;"",J34&gt;0),ROUND(O34*10000,0)*1000000+K34*1000+(999-ROW()),"")</f>
        <v/>
      </c>
      <c r="AN34" s="40">
        <f>IF(AND(AF34=1,J34&lt;&gt;"",J34&gt;0),(L34+M34)*10000000+ROUND((1-O34)*10000,0)*1000+(999-ROW()),"")</f>
        <v/>
      </c>
      <c r="AO34" s="40">
        <f>IF(AND(AF34=1,Q34&lt;&gt;"",Q34&gt;=Thr_Critical),L34*1000+(999-ROW()),"")</f>
        <v/>
      </c>
      <c r="AP34" s="40">
        <f>IF(AND(B34&lt;&gt;"",F34="نشط",OR(Rpt_Class="الكل",D34=Rpt_Class)),1,0)</f>
        <v/>
      </c>
      <c r="AQ34" s="40">
        <f>IF(AND(AP34=1,Q34&lt;&gt;"",Q34&gt;0),L34*1000+(999-ROW()),"")</f>
        <v/>
      </c>
      <c r="AR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IF(LateAsPresent="نعم",COUNTIFS('KG1-1'!$AD38:$IM38,"متأخر",'KG1-1'!$AD$7:$IM$7,"✓",'KG1-1'!$AD$6:$IM$6,1,'KG1-1'!$AD$5:$IM$5,"&gt;="&amp;MAX('KG1-1'!$U38,Rpt_PStart),'KG1-1'!$AD$5:$IM$5,"&lt;="&amp;Rpt_PEnd),0))</f>
        <v/>
      </c>
      <c r="AS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COUNTIFS('KG1-1'!$AD38:$IM38,"غياب بدون عذر",'KG1-1'!$AD$7:$IM$7,"✓",'KG1-1'!$AD$6:$IM$6,1,'KG1-1'!$AD$5:$IM$5,"&gt;="&amp;MAX('KG1-1'!$U38,Rpt_PStart),'KG1-1'!$AD$5:$IM$5,"&lt;="&amp;Rpt_PEnd)+COUNTIFS('KG1-1'!$AD38:$IM38,"غياب بعذر",'KG1-1'!$AD$7:$IM$7,"✓",'KG1-1'!$AD$6:$IM$6,1,'KG1-1'!$AD$5:$IM$5,"&gt;="&amp;MAX('KG1-1'!$U38,Rpt_PStart),'KG1-1'!$AD$5:$IM$5,"&lt;="&amp;Rpt_PEnd)+COUNTIFS('KG1-1'!$AD38:$IM38,"متأخر",'KG1-1'!$AD$7:$IM$7,"✓",'KG1-1'!$AD$6:$IM$6,1,'KG1-1'!$AD$5:$IM$5,"&gt;="&amp;MAX('KG1-1'!$U38,Rpt_PStart),'KG1-1'!$AD$5:$IM$5,"&lt;="&amp;Rpt_PEnd))</f>
        <v/>
      </c>
      <c r="AT34" s="40">
        <f>IF(AP34=0,"",COUNTIFS('KG1-1'!$AD38:$IM38,"غياب بدون عذر",'KG1-1'!$AD$7:$IM$7,"✓",'KG1-1'!$AD$6:$IM$6,1,'KG1-1'!$AD$5:$IM$5,"&gt;="&amp;MAX('KG1-1'!$U38,Rpt_PStart),'KG1-1'!$AD$5:$IM$5,"&lt;="&amp;Rpt_PEnd)+COUNTIFS('KG1-1'!$AD38:$IM38,"غياب بعذر",'KG1-1'!$AD$7:$IM$7,"✓",'KG1-1'!$AD$6:$IM$6,1,'KG1-1'!$AD$5:$IM$5,"&gt;="&amp;MAX('KG1-1'!$U38,Rpt_PStart),'KG1-1'!$AD$5:$IM$5,"&lt;="&amp;Rpt_PEnd))</f>
        <v/>
      </c>
      <c r="AU34" s="40" t="n">
        <v>1</v>
      </c>
      <c r="AV34" s="40" t="n">
        <v>30</v>
      </c>
      <c r="AW34" s="40">
        <f>IF(OR(AP34=0,Rpt_DayIdx=0),"",IF(INDEX('KG1-1'!$AD$7:$IM$7,Rpt_DayIdx)&lt;&gt;"✓","",IF(INDEX('KG1-1'!$AD38:$IM38,Rpt_DayIdx)="","P",IFERROR(INDEX(StatusCodes,MATCH(INDEX('KG1-1'!$AD38:$IM38,Rpt_DayIdx),StatusLabels,0)),""))))</f>
        <v/>
      </c>
      <c r="AX34" s="40">
        <f>IF(AND(AP34=1,OR(AW34="A",AW34="E")),COUNTIFS($AP$5:AP34,1,$AW$5:AW34,"A")+COUNTIFS($AP$5:AP34,1,$AW$5:AW34,"E"),"")</f>
        <v/>
      </c>
    </row>
    <row r="35">
      <c r="A35" s="148">
        <f>IF(B35="","",ROW()-4)</f>
        <v/>
      </c>
      <c r="B35" s="148">
        <f>IF('KG1-2'!$B9="","",'KG1-2'!$B9)</f>
        <v/>
      </c>
      <c r="C35" s="146">
        <f>IF('KG1-2'!$C9="","",'KG1-2'!$C9)</f>
        <v/>
      </c>
      <c r="D35" s="148">
        <f>IF(B35="","",'KG1-2'!$B$2)</f>
        <v/>
      </c>
      <c r="E35" s="148">
        <f>IF(B35="","",MID(D35,FIND("-",D35&amp;"-")+1,10))</f>
        <v/>
      </c>
      <c r="F35" s="148">
        <f>IF(B35="","","نشط")</f>
        <v/>
      </c>
      <c r="G35" s="157">
        <f>IF(B35="","","")</f>
        <v/>
      </c>
      <c r="H35" s="146">
        <f>IF('KG1-2'!$K9="","",'KG1-2'!$K9)</f>
        <v/>
      </c>
      <c r="I35" s="148">
        <f>IF('KG1-2'!$J9="","",'KG1-2'!$J9)</f>
        <v/>
      </c>
      <c r="J35" s="148">
        <f>IF('KG1-2'!$M9="","",'KG1-2'!$M9)</f>
        <v/>
      </c>
      <c r="K35" s="148">
        <f>IF('KG1-2'!$N9="","",'KG1-2'!$N9)</f>
        <v/>
      </c>
      <c r="L35" s="148">
        <f>IF('KG1-2'!$D9="","",'KG1-2'!$D9)</f>
        <v/>
      </c>
      <c r="M35" s="148">
        <f>IF('KG1-2'!$E9="","",'KG1-2'!$E9)</f>
        <v/>
      </c>
      <c r="N35" s="148">
        <f>IF('KG1-2'!$F9="","",'KG1-2'!$F9)</f>
        <v/>
      </c>
      <c r="O35" s="158">
        <f>IF('KG1-2'!$G9="","",'KG1-2'!$G9)</f>
        <v/>
      </c>
      <c r="P35" s="158">
        <f>IF('KG1-2'!$O9="","",'KG1-2'!$O9)</f>
        <v/>
      </c>
      <c r="Q35" s="148">
        <f>IF('KG1-2'!$T9="","",'KG1-2'!$T9)</f>
        <v/>
      </c>
      <c r="R35" s="146">
        <f>IF('KG1-2'!$H9="","",'KG1-2'!$H9)</f>
        <v/>
      </c>
      <c r="S35" s="157">
        <f>IF('KG1-2'!$P9="","",'KG1-2'!$P9)</f>
        <v/>
      </c>
      <c r="T35" s="157">
        <f>IF('KG1-2'!$V9="","",'KG1-2'!$V9)</f>
        <v/>
      </c>
      <c r="U35" s="157">
        <f>IF('KG1-2'!$W9="","",'KG1-2'!$W9)</f>
        <v/>
      </c>
      <c r="V35" s="157">
        <f>IF('KG1-2'!$X9="","",'KG1-2'!$X9)</f>
        <v/>
      </c>
      <c r="W35" s="157">
        <f>IF('KG1-2'!$Y9="","",'KG1-2'!$Y9)</f>
        <v/>
      </c>
      <c r="X35" s="157">
        <f>IF('KG1-2'!$R9="","",'KG1-2'!$R9)</f>
        <v/>
      </c>
      <c r="Y35" s="148">
        <f>IF('KG1-2'!$S9="","",'KG1-2'!$S9)</f>
        <v/>
      </c>
      <c r="Z35" s="148">
        <f>IF('KG1-2'!$Q9="","",'KG1-2'!$Q9)</f>
        <v/>
      </c>
      <c r="AA35" s="148">
        <f>IF('KG1-2'!$I9="","",'KG1-2'!$I9)</f>
        <v/>
      </c>
      <c r="AB35" s="146">
        <f>IF(Q35="","",INDEX(LevelActions,MATCH(Q35,LevelValues,0)))</f>
        <v/>
      </c>
      <c r="AC35" s="148">
        <f>IF(J35="","",IF(J35=0,"—",IF(AND(L35=0,M35=0),Cat_L1,IF(O35&gt;=Cat_95,Cat_L2,IF(O35&gt;=Cat_90,Cat_L3,Cat_L4)))))</f>
        <v/>
      </c>
      <c r="AD35" s="146">
        <f>IF('KG1-2'!$L9="","",'KG1-2'!$L9)</f>
        <v/>
      </c>
      <c r="AE35" s="148">
        <f>IF(B35="","",IF(COUNTIF($B$5:$B$214,B35)&gt;1,"مكرر!",""))</f>
        <v/>
      </c>
      <c r="AF35" s="148">
        <f>IF(AND(B35&lt;&gt;"",F35="نشط",OR(Dash_Class="الكل",D35=Dash_Class)),1,0)</f>
        <v/>
      </c>
      <c r="AG35" s="40">
        <f>IF(OR(AF35=0,Dash_DayIdx=0),"",IF(INDEX('KG1-2'!$AD$7:$IM$7,Dash_DayIdx)&lt;&gt;"✓","",IF(INDEX('KG1-2'!$AD9:$IM9,Dash_DayIdx)="","P",IFERROR(INDEX(StatusCodes,MATCH(INDEX('KG1-2'!$AD9:$IM9,Dash_DayIdx),StatusLabels,0)),""))))</f>
        <v/>
      </c>
      <c r="AH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IF(LateAsPresent="نعم",COUNTIFS('KG1-2'!$AD9:$IM9,"متأخر",'KG1-2'!$AD$7:$IM$7,"✓",'KG1-2'!$AD$6:$IM$6,1,'KG1-2'!$AD$5:$IM$5,"&gt;="&amp;MAX('KG1-2'!$U9,Dash_PStart),'KG1-2'!$AD$5:$IM$5,"&lt;="&amp;Dash_PEnd),0))</f>
        <v/>
      </c>
      <c r="AI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COUNTIFS('KG1-2'!$AD9:$IM9,"غياب بدون عذر",'KG1-2'!$AD$7:$IM$7,"✓",'KG1-2'!$AD$6:$IM$6,1,'KG1-2'!$AD$5:$IM$5,"&gt;="&amp;MAX('KG1-2'!$U9,Dash_PStart),'KG1-2'!$AD$5:$IM$5,"&lt;="&amp;Dash_PEnd)+COUNTIFS('KG1-2'!$AD9:$IM9,"غياب بعذر",'KG1-2'!$AD$7:$IM$7,"✓",'KG1-2'!$AD$6:$IM$6,1,'KG1-2'!$AD$5:$IM$5,"&gt;="&amp;MAX('KG1-2'!$U9,Dash_PStart),'KG1-2'!$AD$5:$IM$5,"&lt;="&amp;Dash_PEnd)+COUNTIFS('KG1-2'!$AD9:$IM9,"متأخر",'KG1-2'!$AD$7:$IM$7,"✓",'KG1-2'!$AD$6:$IM$6,1,'KG1-2'!$AD$5:$IM$5,"&gt;="&amp;MAX('KG1-2'!$U9,Dash_PStart),'KG1-2'!$AD$5:$IM$5,"&lt;="&amp;Dash_PEnd))</f>
        <v/>
      </c>
      <c r="AJ35" s="40">
        <f>IF(AF35=0,0,IF(W35=Dash_Date,Thr_Critical,IF(V35=Dash_Date,Thr_High,IF(U35=Dash_Date,Thr_Repeated,IF(T35=Dash_Date,Thr_FollowUp,0)))))</f>
        <v/>
      </c>
      <c r="AK35" s="40">
        <f>IF(AJ35&gt;0,COUNTIF($AJ$5:AJ35,"&gt;0"),"")</f>
        <v/>
      </c>
      <c r="AL35" s="40">
        <f>IF(AND(B35&lt;&gt;"",F35="نشط",Q35&lt;&gt;"",Q35&gt;0),L35*1000+(999-ROW()),"")</f>
        <v/>
      </c>
      <c r="AM35" s="40">
        <f>IF(AND(AF35=1,J35&lt;&gt;"",J35&gt;0),ROUND(O35*10000,0)*1000000+K35*1000+(999-ROW()),"")</f>
        <v/>
      </c>
      <c r="AN35" s="40">
        <f>IF(AND(AF35=1,J35&lt;&gt;"",J35&gt;0),(L35+M35)*10000000+ROUND((1-O35)*10000,0)*1000+(999-ROW()),"")</f>
        <v/>
      </c>
      <c r="AO35" s="40">
        <f>IF(AND(AF35=1,Q35&lt;&gt;"",Q35&gt;=Thr_Critical),L35*1000+(999-ROW()),"")</f>
        <v/>
      </c>
      <c r="AP35" s="40">
        <f>IF(AND(B35&lt;&gt;"",F35="نشط",OR(Rpt_Class="الكل",D35=Rpt_Class)),1,0)</f>
        <v/>
      </c>
      <c r="AQ35" s="40">
        <f>IF(AND(AP35=1,Q35&lt;&gt;"",Q35&gt;0),L35*1000+(999-ROW()),"")</f>
        <v/>
      </c>
      <c r="AR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IF(LateAsPresent="نعم",COUNTIFS('KG1-2'!$AD9:$IM9,"متأخر",'KG1-2'!$AD$7:$IM$7,"✓",'KG1-2'!$AD$6:$IM$6,1,'KG1-2'!$AD$5:$IM$5,"&gt;="&amp;MAX('KG1-2'!$U9,Rpt_PStart),'KG1-2'!$AD$5:$IM$5,"&lt;="&amp;Rpt_PEnd),0))</f>
        <v/>
      </c>
      <c r="AS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COUNTIFS('KG1-2'!$AD9:$IM9,"غياب بدون عذر",'KG1-2'!$AD$7:$IM$7,"✓",'KG1-2'!$AD$6:$IM$6,1,'KG1-2'!$AD$5:$IM$5,"&gt;="&amp;MAX('KG1-2'!$U9,Rpt_PStart),'KG1-2'!$AD$5:$IM$5,"&lt;="&amp;Rpt_PEnd)+COUNTIFS('KG1-2'!$AD9:$IM9,"غياب بعذر",'KG1-2'!$AD$7:$IM$7,"✓",'KG1-2'!$AD$6:$IM$6,1,'KG1-2'!$AD$5:$IM$5,"&gt;="&amp;MAX('KG1-2'!$U9,Rpt_PStart),'KG1-2'!$AD$5:$IM$5,"&lt;="&amp;Rpt_PEnd)+COUNTIFS('KG1-2'!$AD9:$IM9,"متأخر",'KG1-2'!$AD$7:$IM$7,"✓",'KG1-2'!$AD$6:$IM$6,1,'KG1-2'!$AD$5:$IM$5,"&gt;="&amp;MAX('KG1-2'!$U9,Rpt_PStart),'KG1-2'!$AD$5:$IM$5,"&lt;="&amp;Rpt_PEnd))</f>
        <v/>
      </c>
      <c r="AT35" s="40">
        <f>IF(AP35=0,"",COUNTIFS('KG1-2'!$AD9:$IM9,"غياب بدون عذر",'KG1-2'!$AD$7:$IM$7,"✓",'KG1-2'!$AD$6:$IM$6,1,'KG1-2'!$AD$5:$IM$5,"&gt;="&amp;MAX('KG1-2'!$U9,Rpt_PStart),'KG1-2'!$AD$5:$IM$5,"&lt;="&amp;Rpt_PEnd)+COUNTIFS('KG1-2'!$AD9:$IM9,"غياب بعذر",'KG1-2'!$AD$7:$IM$7,"✓",'KG1-2'!$AD$6:$IM$6,1,'KG1-2'!$AD$5:$IM$5,"&gt;="&amp;MAX('KG1-2'!$U9,Rpt_PStart),'KG1-2'!$AD$5:$IM$5,"&lt;="&amp;Rpt_PEnd))</f>
        <v/>
      </c>
      <c r="AU35" s="40" t="n">
        <v>2</v>
      </c>
      <c r="AV35" s="40" t="n">
        <v>1</v>
      </c>
      <c r="AW35" s="40">
        <f>IF(OR(AP35=0,Rpt_DayIdx=0),"",IF(INDEX('KG1-2'!$AD$7:$IM$7,Rpt_DayIdx)&lt;&gt;"✓","",IF(INDEX('KG1-2'!$AD9:$IM9,Rpt_DayIdx)="","P",IFERROR(INDEX(StatusCodes,MATCH(INDEX('KG1-2'!$AD9:$IM9,Rpt_DayIdx),StatusLabels,0)),""))))</f>
        <v/>
      </c>
      <c r="AX35" s="40">
        <f>IF(AND(AP35=1,OR(AW35="A",AW35="E")),COUNTIFS($AP$5:AP35,1,$AW$5:AW35,"A")+COUNTIFS($AP$5:AP35,1,$AW$5:AW35,"E"),"")</f>
        <v/>
      </c>
    </row>
    <row r="36">
      <c r="A36" s="148">
        <f>IF(B36="","",ROW()-4)</f>
        <v/>
      </c>
      <c r="B36" s="148">
        <f>IF('KG1-2'!$B10="","",'KG1-2'!$B10)</f>
        <v/>
      </c>
      <c r="C36" s="146">
        <f>IF('KG1-2'!$C10="","",'KG1-2'!$C10)</f>
        <v/>
      </c>
      <c r="D36" s="148">
        <f>IF(B36="","",'KG1-2'!$B$2)</f>
        <v/>
      </c>
      <c r="E36" s="148">
        <f>IF(B36="","",MID(D36,FIND("-",D36&amp;"-")+1,10))</f>
        <v/>
      </c>
      <c r="F36" s="148">
        <f>IF(B36="","","نشط")</f>
        <v/>
      </c>
      <c r="G36" s="157">
        <f>IF(B36="","","")</f>
        <v/>
      </c>
      <c r="H36" s="146">
        <f>IF('KG1-2'!$K10="","",'KG1-2'!$K10)</f>
        <v/>
      </c>
      <c r="I36" s="148">
        <f>IF('KG1-2'!$J10="","",'KG1-2'!$J10)</f>
        <v/>
      </c>
      <c r="J36" s="148">
        <f>IF('KG1-2'!$M10="","",'KG1-2'!$M10)</f>
        <v/>
      </c>
      <c r="K36" s="148">
        <f>IF('KG1-2'!$N10="","",'KG1-2'!$N10)</f>
        <v/>
      </c>
      <c r="L36" s="148">
        <f>IF('KG1-2'!$D10="","",'KG1-2'!$D10)</f>
        <v/>
      </c>
      <c r="M36" s="148">
        <f>IF('KG1-2'!$E10="","",'KG1-2'!$E10)</f>
        <v/>
      </c>
      <c r="N36" s="148">
        <f>IF('KG1-2'!$F10="","",'KG1-2'!$F10)</f>
        <v/>
      </c>
      <c r="O36" s="158">
        <f>IF('KG1-2'!$G10="","",'KG1-2'!$G10)</f>
        <v/>
      </c>
      <c r="P36" s="158">
        <f>IF('KG1-2'!$O10="","",'KG1-2'!$O10)</f>
        <v/>
      </c>
      <c r="Q36" s="148">
        <f>IF('KG1-2'!$T10="","",'KG1-2'!$T10)</f>
        <v/>
      </c>
      <c r="R36" s="146">
        <f>IF('KG1-2'!$H10="","",'KG1-2'!$H10)</f>
        <v/>
      </c>
      <c r="S36" s="157">
        <f>IF('KG1-2'!$P10="","",'KG1-2'!$P10)</f>
        <v/>
      </c>
      <c r="T36" s="157">
        <f>IF('KG1-2'!$V10="","",'KG1-2'!$V10)</f>
        <v/>
      </c>
      <c r="U36" s="157">
        <f>IF('KG1-2'!$W10="","",'KG1-2'!$W10)</f>
        <v/>
      </c>
      <c r="V36" s="157">
        <f>IF('KG1-2'!$X10="","",'KG1-2'!$X10)</f>
        <v/>
      </c>
      <c r="W36" s="157">
        <f>IF('KG1-2'!$Y10="","",'KG1-2'!$Y10)</f>
        <v/>
      </c>
      <c r="X36" s="157">
        <f>IF('KG1-2'!$R10="","",'KG1-2'!$R10)</f>
        <v/>
      </c>
      <c r="Y36" s="148">
        <f>IF('KG1-2'!$S10="","",'KG1-2'!$S10)</f>
        <v/>
      </c>
      <c r="Z36" s="148">
        <f>IF('KG1-2'!$Q10="","",'KG1-2'!$Q10)</f>
        <v/>
      </c>
      <c r="AA36" s="148">
        <f>IF('KG1-2'!$I10="","",'KG1-2'!$I10)</f>
        <v/>
      </c>
      <c r="AB36" s="146">
        <f>IF(Q36="","",INDEX(LevelActions,MATCH(Q36,LevelValues,0)))</f>
        <v/>
      </c>
      <c r="AC36" s="148">
        <f>IF(J36="","",IF(J36=0,"—",IF(AND(L36=0,M36=0),Cat_L1,IF(O36&gt;=Cat_95,Cat_L2,IF(O36&gt;=Cat_90,Cat_L3,Cat_L4)))))</f>
        <v/>
      </c>
      <c r="AD36" s="146">
        <f>IF('KG1-2'!$L10="","",'KG1-2'!$L10)</f>
        <v/>
      </c>
      <c r="AE36" s="148">
        <f>IF(B36="","",IF(COUNTIF($B$5:$B$214,B36)&gt;1,"مكرر!",""))</f>
        <v/>
      </c>
      <c r="AF36" s="148">
        <f>IF(AND(B36&lt;&gt;"",F36="نشط",OR(Dash_Class="الكل",D36=Dash_Class)),1,0)</f>
        <v/>
      </c>
      <c r="AG36" s="40">
        <f>IF(OR(AF36=0,Dash_DayIdx=0),"",IF(INDEX('KG1-2'!$AD$7:$IM$7,Dash_DayIdx)&lt;&gt;"✓","",IF(INDEX('KG1-2'!$AD10:$IM10,Dash_DayIdx)="","P",IFERROR(INDEX(StatusCodes,MATCH(INDEX('KG1-2'!$AD10:$IM10,Dash_DayIdx),StatusLabels,0)),""))))</f>
        <v/>
      </c>
      <c r="AH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IF(LateAsPresent="نعم",COUNTIFS('KG1-2'!$AD10:$IM10,"متأخر",'KG1-2'!$AD$7:$IM$7,"✓",'KG1-2'!$AD$6:$IM$6,1,'KG1-2'!$AD$5:$IM$5,"&gt;="&amp;MAX('KG1-2'!$U10,Dash_PStart),'KG1-2'!$AD$5:$IM$5,"&lt;="&amp;Dash_PEnd),0))</f>
        <v/>
      </c>
      <c r="AI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COUNTIFS('KG1-2'!$AD10:$IM10,"غياب بدون عذر",'KG1-2'!$AD$7:$IM$7,"✓",'KG1-2'!$AD$6:$IM$6,1,'KG1-2'!$AD$5:$IM$5,"&gt;="&amp;MAX('KG1-2'!$U10,Dash_PStart),'KG1-2'!$AD$5:$IM$5,"&lt;="&amp;Dash_PEnd)+COUNTIFS('KG1-2'!$AD10:$IM10,"غياب بعذر",'KG1-2'!$AD$7:$IM$7,"✓",'KG1-2'!$AD$6:$IM$6,1,'KG1-2'!$AD$5:$IM$5,"&gt;="&amp;MAX('KG1-2'!$U10,Dash_PStart),'KG1-2'!$AD$5:$IM$5,"&lt;="&amp;Dash_PEnd)+COUNTIFS('KG1-2'!$AD10:$IM10,"متأخر",'KG1-2'!$AD$7:$IM$7,"✓",'KG1-2'!$AD$6:$IM$6,1,'KG1-2'!$AD$5:$IM$5,"&gt;="&amp;MAX('KG1-2'!$U10,Dash_PStart),'KG1-2'!$AD$5:$IM$5,"&lt;="&amp;Dash_PEnd))</f>
        <v/>
      </c>
      <c r="AJ36" s="40">
        <f>IF(AF36=0,0,IF(W36=Dash_Date,Thr_Critical,IF(V36=Dash_Date,Thr_High,IF(U36=Dash_Date,Thr_Repeated,IF(T36=Dash_Date,Thr_FollowUp,0)))))</f>
        <v/>
      </c>
      <c r="AK36" s="40">
        <f>IF(AJ36&gt;0,COUNTIF($AJ$5:AJ36,"&gt;0"),"")</f>
        <v/>
      </c>
      <c r="AL36" s="40">
        <f>IF(AND(B36&lt;&gt;"",F36="نشط",Q36&lt;&gt;"",Q36&gt;0),L36*1000+(999-ROW()),"")</f>
        <v/>
      </c>
      <c r="AM36" s="40">
        <f>IF(AND(AF36=1,J36&lt;&gt;"",J36&gt;0),ROUND(O36*10000,0)*1000000+K36*1000+(999-ROW()),"")</f>
        <v/>
      </c>
      <c r="AN36" s="40">
        <f>IF(AND(AF36=1,J36&lt;&gt;"",J36&gt;0),(L36+M36)*10000000+ROUND((1-O36)*10000,0)*1000+(999-ROW()),"")</f>
        <v/>
      </c>
      <c r="AO36" s="40">
        <f>IF(AND(AF36=1,Q36&lt;&gt;"",Q36&gt;=Thr_Critical),L36*1000+(999-ROW()),"")</f>
        <v/>
      </c>
      <c r="AP36" s="40">
        <f>IF(AND(B36&lt;&gt;"",F36="نشط",OR(Rpt_Class="الكل",D36=Rpt_Class)),1,0)</f>
        <v/>
      </c>
      <c r="AQ36" s="40">
        <f>IF(AND(AP36=1,Q36&lt;&gt;"",Q36&gt;0),L36*1000+(999-ROW()),"")</f>
        <v/>
      </c>
      <c r="AR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IF(LateAsPresent="نعم",COUNTIFS('KG1-2'!$AD10:$IM10,"متأخر",'KG1-2'!$AD$7:$IM$7,"✓",'KG1-2'!$AD$6:$IM$6,1,'KG1-2'!$AD$5:$IM$5,"&gt;="&amp;MAX('KG1-2'!$U10,Rpt_PStart),'KG1-2'!$AD$5:$IM$5,"&lt;="&amp;Rpt_PEnd),0))</f>
        <v/>
      </c>
      <c r="AS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COUNTIFS('KG1-2'!$AD10:$IM10,"غياب بدون عذر",'KG1-2'!$AD$7:$IM$7,"✓",'KG1-2'!$AD$6:$IM$6,1,'KG1-2'!$AD$5:$IM$5,"&gt;="&amp;MAX('KG1-2'!$U10,Rpt_PStart),'KG1-2'!$AD$5:$IM$5,"&lt;="&amp;Rpt_PEnd)+COUNTIFS('KG1-2'!$AD10:$IM10,"غياب بعذر",'KG1-2'!$AD$7:$IM$7,"✓",'KG1-2'!$AD$6:$IM$6,1,'KG1-2'!$AD$5:$IM$5,"&gt;="&amp;MAX('KG1-2'!$U10,Rpt_PStart),'KG1-2'!$AD$5:$IM$5,"&lt;="&amp;Rpt_PEnd)+COUNTIFS('KG1-2'!$AD10:$IM10,"متأخر",'KG1-2'!$AD$7:$IM$7,"✓",'KG1-2'!$AD$6:$IM$6,1,'KG1-2'!$AD$5:$IM$5,"&gt;="&amp;MAX('KG1-2'!$U10,Rpt_PStart),'KG1-2'!$AD$5:$IM$5,"&lt;="&amp;Rpt_PEnd))</f>
        <v/>
      </c>
      <c r="AT36" s="40">
        <f>IF(AP36=0,"",COUNTIFS('KG1-2'!$AD10:$IM10,"غياب بدون عذر",'KG1-2'!$AD$7:$IM$7,"✓",'KG1-2'!$AD$6:$IM$6,1,'KG1-2'!$AD$5:$IM$5,"&gt;="&amp;MAX('KG1-2'!$U10,Rpt_PStart),'KG1-2'!$AD$5:$IM$5,"&lt;="&amp;Rpt_PEnd)+COUNTIFS('KG1-2'!$AD10:$IM10,"غياب بعذر",'KG1-2'!$AD$7:$IM$7,"✓",'KG1-2'!$AD$6:$IM$6,1,'KG1-2'!$AD$5:$IM$5,"&gt;="&amp;MAX('KG1-2'!$U10,Rpt_PStart),'KG1-2'!$AD$5:$IM$5,"&lt;="&amp;Rpt_PEnd))</f>
        <v/>
      </c>
      <c r="AU36" s="40" t="n">
        <v>2</v>
      </c>
      <c r="AV36" s="40" t="n">
        <v>2</v>
      </c>
      <c r="AW36" s="40">
        <f>IF(OR(AP36=0,Rpt_DayIdx=0),"",IF(INDEX('KG1-2'!$AD$7:$IM$7,Rpt_DayIdx)&lt;&gt;"✓","",IF(INDEX('KG1-2'!$AD10:$IM10,Rpt_DayIdx)="","P",IFERROR(INDEX(StatusCodes,MATCH(INDEX('KG1-2'!$AD10:$IM10,Rpt_DayIdx),StatusLabels,0)),""))))</f>
        <v/>
      </c>
      <c r="AX36" s="40">
        <f>IF(AND(AP36=1,OR(AW36="A",AW36="E")),COUNTIFS($AP$5:AP36,1,$AW$5:AW36,"A")+COUNTIFS($AP$5:AP36,1,$AW$5:AW36,"E"),"")</f>
        <v/>
      </c>
    </row>
    <row r="37">
      <c r="A37" s="148">
        <f>IF(B37="","",ROW()-4)</f>
        <v/>
      </c>
      <c r="B37" s="148">
        <f>IF('KG1-2'!$B11="","",'KG1-2'!$B11)</f>
        <v/>
      </c>
      <c r="C37" s="146">
        <f>IF('KG1-2'!$C11="","",'KG1-2'!$C11)</f>
        <v/>
      </c>
      <c r="D37" s="148">
        <f>IF(B37="","",'KG1-2'!$B$2)</f>
        <v/>
      </c>
      <c r="E37" s="148">
        <f>IF(B37="","",MID(D37,FIND("-",D37&amp;"-")+1,10))</f>
        <v/>
      </c>
      <c r="F37" s="148">
        <f>IF(B37="","","نشط")</f>
        <v/>
      </c>
      <c r="G37" s="157">
        <f>IF(B37="","","")</f>
        <v/>
      </c>
      <c r="H37" s="146">
        <f>IF('KG1-2'!$K11="","",'KG1-2'!$K11)</f>
        <v/>
      </c>
      <c r="I37" s="148">
        <f>IF('KG1-2'!$J11="","",'KG1-2'!$J11)</f>
        <v/>
      </c>
      <c r="J37" s="148">
        <f>IF('KG1-2'!$M11="","",'KG1-2'!$M11)</f>
        <v/>
      </c>
      <c r="K37" s="148">
        <f>IF('KG1-2'!$N11="","",'KG1-2'!$N11)</f>
        <v/>
      </c>
      <c r="L37" s="148">
        <f>IF('KG1-2'!$D11="","",'KG1-2'!$D11)</f>
        <v/>
      </c>
      <c r="M37" s="148">
        <f>IF('KG1-2'!$E11="","",'KG1-2'!$E11)</f>
        <v/>
      </c>
      <c r="N37" s="148">
        <f>IF('KG1-2'!$F11="","",'KG1-2'!$F11)</f>
        <v/>
      </c>
      <c r="O37" s="158">
        <f>IF('KG1-2'!$G11="","",'KG1-2'!$G11)</f>
        <v/>
      </c>
      <c r="P37" s="158">
        <f>IF('KG1-2'!$O11="","",'KG1-2'!$O11)</f>
        <v/>
      </c>
      <c r="Q37" s="148">
        <f>IF('KG1-2'!$T11="","",'KG1-2'!$T11)</f>
        <v/>
      </c>
      <c r="R37" s="146">
        <f>IF('KG1-2'!$H11="","",'KG1-2'!$H11)</f>
        <v/>
      </c>
      <c r="S37" s="157">
        <f>IF('KG1-2'!$P11="","",'KG1-2'!$P11)</f>
        <v/>
      </c>
      <c r="T37" s="157">
        <f>IF('KG1-2'!$V11="","",'KG1-2'!$V11)</f>
        <v/>
      </c>
      <c r="U37" s="157">
        <f>IF('KG1-2'!$W11="","",'KG1-2'!$W11)</f>
        <v/>
      </c>
      <c r="V37" s="157">
        <f>IF('KG1-2'!$X11="","",'KG1-2'!$X11)</f>
        <v/>
      </c>
      <c r="W37" s="157">
        <f>IF('KG1-2'!$Y11="","",'KG1-2'!$Y11)</f>
        <v/>
      </c>
      <c r="X37" s="157">
        <f>IF('KG1-2'!$R11="","",'KG1-2'!$R11)</f>
        <v/>
      </c>
      <c r="Y37" s="148">
        <f>IF('KG1-2'!$S11="","",'KG1-2'!$S11)</f>
        <v/>
      </c>
      <c r="Z37" s="148">
        <f>IF('KG1-2'!$Q11="","",'KG1-2'!$Q11)</f>
        <v/>
      </c>
      <c r="AA37" s="148">
        <f>IF('KG1-2'!$I11="","",'KG1-2'!$I11)</f>
        <v/>
      </c>
      <c r="AB37" s="146">
        <f>IF(Q37="","",INDEX(LevelActions,MATCH(Q37,LevelValues,0)))</f>
        <v/>
      </c>
      <c r="AC37" s="148">
        <f>IF(J37="","",IF(J37=0,"—",IF(AND(L37=0,M37=0),Cat_L1,IF(O37&gt;=Cat_95,Cat_L2,IF(O37&gt;=Cat_90,Cat_L3,Cat_L4)))))</f>
        <v/>
      </c>
      <c r="AD37" s="146">
        <f>IF('KG1-2'!$L11="","",'KG1-2'!$L11)</f>
        <v/>
      </c>
      <c r="AE37" s="148">
        <f>IF(B37="","",IF(COUNTIF($B$5:$B$214,B37)&gt;1,"مكرر!",""))</f>
        <v/>
      </c>
      <c r="AF37" s="148">
        <f>IF(AND(B37&lt;&gt;"",F37="نشط",OR(Dash_Class="الكل",D37=Dash_Class)),1,0)</f>
        <v/>
      </c>
      <c r="AG37" s="40">
        <f>IF(OR(AF37=0,Dash_DayIdx=0),"",IF(INDEX('KG1-2'!$AD$7:$IM$7,Dash_DayIdx)&lt;&gt;"✓","",IF(INDEX('KG1-2'!$AD11:$IM11,Dash_DayIdx)="","P",IFERROR(INDEX(StatusCodes,MATCH(INDEX('KG1-2'!$AD11:$IM11,Dash_DayIdx),StatusLabels,0)),""))))</f>
        <v/>
      </c>
      <c r="AH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IF(LateAsPresent="نعم",COUNTIFS('KG1-2'!$AD11:$IM11,"متأخر",'KG1-2'!$AD$7:$IM$7,"✓",'KG1-2'!$AD$6:$IM$6,1,'KG1-2'!$AD$5:$IM$5,"&gt;="&amp;MAX('KG1-2'!$U11,Dash_PStart),'KG1-2'!$AD$5:$IM$5,"&lt;="&amp;Dash_PEnd),0))</f>
        <v/>
      </c>
      <c r="AI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COUNTIFS('KG1-2'!$AD11:$IM11,"غياب بدون عذر",'KG1-2'!$AD$7:$IM$7,"✓",'KG1-2'!$AD$6:$IM$6,1,'KG1-2'!$AD$5:$IM$5,"&gt;="&amp;MAX('KG1-2'!$U11,Dash_PStart),'KG1-2'!$AD$5:$IM$5,"&lt;="&amp;Dash_PEnd)+COUNTIFS('KG1-2'!$AD11:$IM11,"غياب بعذر",'KG1-2'!$AD$7:$IM$7,"✓",'KG1-2'!$AD$6:$IM$6,1,'KG1-2'!$AD$5:$IM$5,"&gt;="&amp;MAX('KG1-2'!$U11,Dash_PStart),'KG1-2'!$AD$5:$IM$5,"&lt;="&amp;Dash_PEnd)+COUNTIFS('KG1-2'!$AD11:$IM11,"متأخر",'KG1-2'!$AD$7:$IM$7,"✓",'KG1-2'!$AD$6:$IM$6,1,'KG1-2'!$AD$5:$IM$5,"&gt;="&amp;MAX('KG1-2'!$U11,Dash_PStart),'KG1-2'!$AD$5:$IM$5,"&lt;="&amp;Dash_PEnd))</f>
        <v/>
      </c>
      <c r="AJ37" s="40">
        <f>IF(AF37=0,0,IF(W37=Dash_Date,Thr_Critical,IF(V37=Dash_Date,Thr_High,IF(U37=Dash_Date,Thr_Repeated,IF(T37=Dash_Date,Thr_FollowUp,0)))))</f>
        <v/>
      </c>
      <c r="AK37" s="40">
        <f>IF(AJ37&gt;0,COUNTIF($AJ$5:AJ37,"&gt;0"),"")</f>
        <v/>
      </c>
      <c r="AL37" s="40">
        <f>IF(AND(B37&lt;&gt;"",F37="نشط",Q37&lt;&gt;"",Q37&gt;0),L37*1000+(999-ROW()),"")</f>
        <v/>
      </c>
      <c r="AM37" s="40">
        <f>IF(AND(AF37=1,J37&lt;&gt;"",J37&gt;0),ROUND(O37*10000,0)*1000000+K37*1000+(999-ROW()),"")</f>
        <v/>
      </c>
      <c r="AN37" s="40">
        <f>IF(AND(AF37=1,J37&lt;&gt;"",J37&gt;0),(L37+M37)*10000000+ROUND((1-O37)*10000,0)*1000+(999-ROW()),"")</f>
        <v/>
      </c>
      <c r="AO37" s="40">
        <f>IF(AND(AF37=1,Q37&lt;&gt;"",Q37&gt;=Thr_Critical),L37*1000+(999-ROW()),"")</f>
        <v/>
      </c>
      <c r="AP37" s="40">
        <f>IF(AND(B37&lt;&gt;"",F37="نشط",OR(Rpt_Class="الكل",D37=Rpt_Class)),1,0)</f>
        <v/>
      </c>
      <c r="AQ37" s="40">
        <f>IF(AND(AP37=1,Q37&lt;&gt;"",Q37&gt;0),L37*1000+(999-ROW()),"")</f>
        <v/>
      </c>
      <c r="AR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IF(LateAsPresent="نعم",COUNTIFS('KG1-2'!$AD11:$IM11,"متأخر",'KG1-2'!$AD$7:$IM$7,"✓",'KG1-2'!$AD$6:$IM$6,1,'KG1-2'!$AD$5:$IM$5,"&gt;="&amp;MAX('KG1-2'!$U11,Rpt_PStart),'KG1-2'!$AD$5:$IM$5,"&lt;="&amp;Rpt_PEnd),0))</f>
        <v/>
      </c>
      <c r="AS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COUNTIFS('KG1-2'!$AD11:$IM11,"غياب بدون عذر",'KG1-2'!$AD$7:$IM$7,"✓",'KG1-2'!$AD$6:$IM$6,1,'KG1-2'!$AD$5:$IM$5,"&gt;="&amp;MAX('KG1-2'!$U11,Rpt_PStart),'KG1-2'!$AD$5:$IM$5,"&lt;="&amp;Rpt_PEnd)+COUNTIFS('KG1-2'!$AD11:$IM11,"غياب بعذر",'KG1-2'!$AD$7:$IM$7,"✓",'KG1-2'!$AD$6:$IM$6,1,'KG1-2'!$AD$5:$IM$5,"&gt;="&amp;MAX('KG1-2'!$U11,Rpt_PStart),'KG1-2'!$AD$5:$IM$5,"&lt;="&amp;Rpt_PEnd)+COUNTIFS('KG1-2'!$AD11:$IM11,"متأخر",'KG1-2'!$AD$7:$IM$7,"✓",'KG1-2'!$AD$6:$IM$6,1,'KG1-2'!$AD$5:$IM$5,"&gt;="&amp;MAX('KG1-2'!$U11,Rpt_PStart),'KG1-2'!$AD$5:$IM$5,"&lt;="&amp;Rpt_PEnd))</f>
        <v/>
      </c>
      <c r="AT37" s="40">
        <f>IF(AP37=0,"",COUNTIFS('KG1-2'!$AD11:$IM11,"غياب بدون عذر",'KG1-2'!$AD$7:$IM$7,"✓",'KG1-2'!$AD$6:$IM$6,1,'KG1-2'!$AD$5:$IM$5,"&gt;="&amp;MAX('KG1-2'!$U11,Rpt_PStart),'KG1-2'!$AD$5:$IM$5,"&lt;="&amp;Rpt_PEnd)+COUNTIFS('KG1-2'!$AD11:$IM11,"غياب بعذر",'KG1-2'!$AD$7:$IM$7,"✓",'KG1-2'!$AD$6:$IM$6,1,'KG1-2'!$AD$5:$IM$5,"&gt;="&amp;MAX('KG1-2'!$U11,Rpt_PStart),'KG1-2'!$AD$5:$IM$5,"&lt;="&amp;Rpt_PEnd))</f>
        <v/>
      </c>
      <c r="AU37" s="40" t="n">
        <v>2</v>
      </c>
      <c r="AV37" s="40" t="n">
        <v>3</v>
      </c>
      <c r="AW37" s="40">
        <f>IF(OR(AP37=0,Rpt_DayIdx=0),"",IF(INDEX('KG1-2'!$AD$7:$IM$7,Rpt_DayIdx)&lt;&gt;"✓","",IF(INDEX('KG1-2'!$AD11:$IM11,Rpt_DayIdx)="","P",IFERROR(INDEX(StatusCodes,MATCH(INDEX('KG1-2'!$AD11:$IM11,Rpt_DayIdx),StatusLabels,0)),""))))</f>
        <v/>
      </c>
      <c r="AX37" s="40">
        <f>IF(AND(AP37=1,OR(AW37="A",AW37="E")),COUNTIFS($AP$5:AP37,1,$AW$5:AW37,"A")+COUNTIFS($AP$5:AP37,1,$AW$5:AW37,"E"),"")</f>
        <v/>
      </c>
    </row>
    <row r="38">
      <c r="A38" s="148">
        <f>IF(B38="","",ROW()-4)</f>
        <v/>
      </c>
      <c r="B38" s="148">
        <f>IF('KG1-2'!$B12="","",'KG1-2'!$B12)</f>
        <v/>
      </c>
      <c r="C38" s="146">
        <f>IF('KG1-2'!$C12="","",'KG1-2'!$C12)</f>
        <v/>
      </c>
      <c r="D38" s="148">
        <f>IF(B38="","",'KG1-2'!$B$2)</f>
        <v/>
      </c>
      <c r="E38" s="148">
        <f>IF(B38="","",MID(D38,FIND("-",D38&amp;"-")+1,10))</f>
        <v/>
      </c>
      <c r="F38" s="148">
        <f>IF(B38="","","نشط")</f>
        <v/>
      </c>
      <c r="G38" s="157">
        <f>IF(B38="","","")</f>
        <v/>
      </c>
      <c r="H38" s="146">
        <f>IF('KG1-2'!$K12="","",'KG1-2'!$K12)</f>
        <v/>
      </c>
      <c r="I38" s="148">
        <f>IF('KG1-2'!$J12="","",'KG1-2'!$J12)</f>
        <v/>
      </c>
      <c r="J38" s="148">
        <f>IF('KG1-2'!$M12="","",'KG1-2'!$M12)</f>
        <v/>
      </c>
      <c r="K38" s="148">
        <f>IF('KG1-2'!$N12="","",'KG1-2'!$N12)</f>
        <v/>
      </c>
      <c r="L38" s="148">
        <f>IF('KG1-2'!$D12="","",'KG1-2'!$D12)</f>
        <v/>
      </c>
      <c r="M38" s="148">
        <f>IF('KG1-2'!$E12="","",'KG1-2'!$E12)</f>
        <v/>
      </c>
      <c r="N38" s="148">
        <f>IF('KG1-2'!$F12="","",'KG1-2'!$F12)</f>
        <v/>
      </c>
      <c r="O38" s="158">
        <f>IF('KG1-2'!$G12="","",'KG1-2'!$G12)</f>
        <v/>
      </c>
      <c r="P38" s="158">
        <f>IF('KG1-2'!$O12="","",'KG1-2'!$O12)</f>
        <v/>
      </c>
      <c r="Q38" s="148">
        <f>IF('KG1-2'!$T12="","",'KG1-2'!$T12)</f>
        <v/>
      </c>
      <c r="R38" s="146">
        <f>IF('KG1-2'!$H12="","",'KG1-2'!$H12)</f>
        <v/>
      </c>
      <c r="S38" s="157">
        <f>IF('KG1-2'!$P12="","",'KG1-2'!$P12)</f>
        <v/>
      </c>
      <c r="T38" s="157">
        <f>IF('KG1-2'!$V12="","",'KG1-2'!$V12)</f>
        <v/>
      </c>
      <c r="U38" s="157">
        <f>IF('KG1-2'!$W12="","",'KG1-2'!$W12)</f>
        <v/>
      </c>
      <c r="V38" s="157">
        <f>IF('KG1-2'!$X12="","",'KG1-2'!$X12)</f>
        <v/>
      </c>
      <c r="W38" s="157">
        <f>IF('KG1-2'!$Y12="","",'KG1-2'!$Y12)</f>
        <v/>
      </c>
      <c r="X38" s="157">
        <f>IF('KG1-2'!$R12="","",'KG1-2'!$R12)</f>
        <v/>
      </c>
      <c r="Y38" s="148">
        <f>IF('KG1-2'!$S12="","",'KG1-2'!$S12)</f>
        <v/>
      </c>
      <c r="Z38" s="148">
        <f>IF('KG1-2'!$Q12="","",'KG1-2'!$Q12)</f>
        <v/>
      </c>
      <c r="AA38" s="148">
        <f>IF('KG1-2'!$I12="","",'KG1-2'!$I12)</f>
        <v/>
      </c>
      <c r="AB38" s="146">
        <f>IF(Q38="","",INDEX(LevelActions,MATCH(Q38,LevelValues,0)))</f>
        <v/>
      </c>
      <c r="AC38" s="148">
        <f>IF(J38="","",IF(J38=0,"—",IF(AND(L38=0,M38=0),Cat_L1,IF(O38&gt;=Cat_95,Cat_L2,IF(O38&gt;=Cat_90,Cat_L3,Cat_L4)))))</f>
        <v/>
      </c>
      <c r="AD38" s="146">
        <f>IF('KG1-2'!$L12="","",'KG1-2'!$L12)</f>
        <v/>
      </c>
      <c r="AE38" s="148">
        <f>IF(B38="","",IF(COUNTIF($B$5:$B$214,B38)&gt;1,"مكرر!",""))</f>
        <v/>
      </c>
      <c r="AF38" s="148">
        <f>IF(AND(B38&lt;&gt;"",F38="نشط",OR(Dash_Class="الكل",D38=Dash_Class)),1,0)</f>
        <v/>
      </c>
      <c r="AG38" s="40">
        <f>IF(OR(AF38=0,Dash_DayIdx=0),"",IF(INDEX('KG1-2'!$AD$7:$IM$7,Dash_DayIdx)&lt;&gt;"✓","",IF(INDEX('KG1-2'!$AD12:$IM12,Dash_DayIdx)="","P",IFERROR(INDEX(StatusCodes,MATCH(INDEX('KG1-2'!$AD12:$IM12,Dash_DayIdx),StatusLabels,0)),""))))</f>
        <v/>
      </c>
      <c r="AH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IF(LateAsPresent="نعم",COUNTIFS('KG1-2'!$AD12:$IM12,"متأخر",'KG1-2'!$AD$7:$IM$7,"✓",'KG1-2'!$AD$6:$IM$6,1,'KG1-2'!$AD$5:$IM$5,"&gt;="&amp;MAX('KG1-2'!$U12,Dash_PStart),'KG1-2'!$AD$5:$IM$5,"&lt;="&amp;Dash_PEnd),0))</f>
        <v/>
      </c>
      <c r="AI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COUNTIFS('KG1-2'!$AD12:$IM12,"غياب بدون عذر",'KG1-2'!$AD$7:$IM$7,"✓",'KG1-2'!$AD$6:$IM$6,1,'KG1-2'!$AD$5:$IM$5,"&gt;="&amp;MAX('KG1-2'!$U12,Dash_PStart),'KG1-2'!$AD$5:$IM$5,"&lt;="&amp;Dash_PEnd)+COUNTIFS('KG1-2'!$AD12:$IM12,"غياب بعذر",'KG1-2'!$AD$7:$IM$7,"✓",'KG1-2'!$AD$6:$IM$6,1,'KG1-2'!$AD$5:$IM$5,"&gt;="&amp;MAX('KG1-2'!$U12,Dash_PStart),'KG1-2'!$AD$5:$IM$5,"&lt;="&amp;Dash_PEnd)+COUNTIFS('KG1-2'!$AD12:$IM12,"متأخر",'KG1-2'!$AD$7:$IM$7,"✓",'KG1-2'!$AD$6:$IM$6,1,'KG1-2'!$AD$5:$IM$5,"&gt;="&amp;MAX('KG1-2'!$U12,Dash_PStart),'KG1-2'!$AD$5:$IM$5,"&lt;="&amp;Dash_PEnd))</f>
        <v/>
      </c>
      <c r="AJ38" s="40">
        <f>IF(AF38=0,0,IF(W38=Dash_Date,Thr_Critical,IF(V38=Dash_Date,Thr_High,IF(U38=Dash_Date,Thr_Repeated,IF(T38=Dash_Date,Thr_FollowUp,0)))))</f>
        <v/>
      </c>
      <c r="AK38" s="40">
        <f>IF(AJ38&gt;0,COUNTIF($AJ$5:AJ38,"&gt;0"),"")</f>
        <v/>
      </c>
      <c r="AL38" s="40">
        <f>IF(AND(B38&lt;&gt;"",F38="نشط",Q38&lt;&gt;"",Q38&gt;0),L38*1000+(999-ROW()),"")</f>
        <v/>
      </c>
      <c r="AM38" s="40">
        <f>IF(AND(AF38=1,J38&lt;&gt;"",J38&gt;0),ROUND(O38*10000,0)*1000000+K38*1000+(999-ROW()),"")</f>
        <v/>
      </c>
      <c r="AN38" s="40">
        <f>IF(AND(AF38=1,J38&lt;&gt;"",J38&gt;0),(L38+M38)*10000000+ROUND((1-O38)*10000,0)*1000+(999-ROW()),"")</f>
        <v/>
      </c>
      <c r="AO38" s="40">
        <f>IF(AND(AF38=1,Q38&lt;&gt;"",Q38&gt;=Thr_Critical),L38*1000+(999-ROW()),"")</f>
        <v/>
      </c>
      <c r="AP38" s="40">
        <f>IF(AND(B38&lt;&gt;"",F38="نشط",OR(Rpt_Class="الكل",D38=Rpt_Class)),1,0)</f>
        <v/>
      </c>
      <c r="AQ38" s="40">
        <f>IF(AND(AP38=1,Q38&lt;&gt;"",Q38&gt;0),L38*1000+(999-ROW()),"")</f>
        <v/>
      </c>
      <c r="AR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IF(LateAsPresent="نعم",COUNTIFS('KG1-2'!$AD12:$IM12,"متأخر",'KG1-2'!$AD$7:$IM$7,"✓",'KG1-2'!$AD$6:$IM$6,1,'KG1-2'!$AD$5:$IM$5,"&gt;="&amp;MAX('KG1-2'!$U12,Rpt_PStart),'KG1-2'!$AD$5:$IM$5,"&lt;="&amp;Rpt_PEnd),0))</f>
        <v/>
      </c>
      <c r="AS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COUNTIFS('KG1-2'!$AD12:$IM12,"غياب بدون عذر",'KG1-2'!$AD$7:$IM$7,"✓",'KG1-2'!$AD$6:$IM$6,1,'KG1-2'!$AD$5:$IM$5,"&gt;="&amp;MAX('KG1-2'!$U12,Rpt_PStart),'KG1-2'!$AD$5:$IM$5,"&lt;="&amp;Rpt_PEnd)+COUNTIFS('KG1-2'!$AD12:$IM12,"غياب بعذر",'KG1-2'!$AD$7:$IM$7,"✓",'KG1-2'!$AD$6:$IM$6,1,'KG1-2'!$AD$5:$IM$5,"&gt;="&amp;MAX('KG1-2'!$U12,Rpt_PStart),'KG1-2'!$AD$5:$IM$5,"&lt;="&amp;Rpt_PEnd)+COUNTIFS('KG1-2'!$AD12:$IM12,"متأخر",'KG1-2'!$AD$7:$IM$7,"✓",'KG1-2'!$AD$6:$IM$6,1,'KG1-2'!$AD$5:$IM$5,"&gt;="&amp;MAX('KG1-2'!$U12,Rpt_PStart),'KG1-2'!$AD$5:$IM$5,"&lt;="&amp;Rpt_PEnd))</f>
        <v/>
      </c>
      <c r="AT38" s="40">
        <f>IF(AP38=0,"",COUNTIFS('KG1-2'!$AD12:$IM12,"غياب بدون عذر",'KG1-2'!$AD$7:$IM$7,"✓",'KG1-2'!$AD$6:$IM$6,1,'KG1-2'!$AD$5:$IM$5,"&gt;="&amp;MAX('KG1-2'!$U12,Rpt_PStart),'KG1-2'!$AD$5:$IM$5,"&lt;="&amp;Rpt_PEnd)+COUNTIFS('KG1-2'!$AD12:$IM12,"غياب بعذر",'KG1-2'!$AD$7:$IM$7,"✓",'KG1-2'!$AD$6:$IM$6,1,'KG1-2'!$AD$5:$IM$5,"&gt;="&amp;MAX('KG1-2'!$U12,Rpt_PStart),'KG1-2'!$AD$5:$IM$5,"&lt;="&amp;Rpt_PEnd))</f>
        <v/>
      </c>
      <c r="AU38" s="40" t="n">
        <v>2</v>
      </c>
      <c r="AV38" s="40" t="n">
        <v>4</v>
      </c>
      <c r="AW38" s="40">
        <f>IF(OR(AP38=0,Rpt_DayIdx=0),"",IF(INDEX('KG1-2'!$AD$7:$IM$7,Rpt_DayIdx)&lt;&gt;"✓","",IF(INDEX('KG1-2'!$AD12:$IM12,Rpt_DayIdx)="","P",IFERROR(INDEX(StatusCodes,MATCH(INDEX('KG1-2'!$AD12:$IM12,Rpt_DayIdx),StatusLabels,0)),""))))</f>
        <v/>
      </c>
      <c r="AX38" s="40">
        <f>IF(AND(AP38=1,OR(AW38="A",AW38="E")),COUNTIFS($AP$5:AP38,1,$AW$5:AW38,"A")+COUNTIFS($AP$5:AP38,1,$AW$5:AW38,"E"),"")</f>
        <v/>
      </c>
    </row>
    <row r="39">
      <c r="A39" s="148">
        <f>IF(B39="","",ROW()-4)</f>
        <v/>
      </c>
      <c r="B39" s="148">
        <f>IF('KG1-2'!$B13="","",'KG1-2'!$B13)</f>
        <v/>
      </c>
      <c r="C39" s="146">
        <f>IF('KG1-2'!$C13="","",'KG1-2'!$C13)</f>
        <v/>
      </c>
      <c r="D39" s="148">
        <f>IF(B39="","",'KG1-2'!$B$2)</f>
        <v/>
      </c>
      <c r="E39" s="148">
        <f>IF(B39="","",MID(D39,FIND("-",D39&amp;"-")+1,10))</f>
        <v/>
      </c>
      <c r="F39" s="148">
        <f>IF(B39="","","نشط")</f>
        <v/>
      </c>
      <c r="G39" s="157">
        <f>IF(B39="","","")</f>
        <v/>
      </c>
      <c r="H39" s="146">
        <f>IF('KG1-2'!$K13="","",'KG1-2'!$K13)</f>
        <v/>
      </c>
      <c r="I39" s="148">
        <f>IF('KG1-2'!$J13="","",'KG1-2'!$J13)</f>
        <v/>
      </c>
      <c r="J39" s="148">
        <f>IF('KG1-2'!$M13="","",'KG1-2'!$M13)</f>
        <v/>
      </c>
      <c r="K39" s="148">
        <f>IF('KG1-2'!$N13="","",'KG1-2'!$N13)</f>
        <v/>
      </c>
      <c r="L39" s="148">
        <f>IF('KG1-2'!$D13="","",'KG1-2'!$D13)</f>
        <v/>
      </c>
      <c r="M39" s="148">
        <f>IF('KG1-2'!$E13="","",'KG1-2'!$E13)</f>
        <v/>
      </c>
      <c r="N39" s="148">
        <f>IF('KG1-2'!$F13="","",'KG1-2'!$F13)</f>
        <v/>
      </c>
      <c r="O39" s="158">
        <f>IF('KG1-2'!$G13="","",'KG1-2'!$G13)</f>
        <v/>
      </c>
      <c r="P39" s="158">
        <f>IF('KG1-2'!$O13="","",'KG1-2'!$O13)</f>
        <v/>
      </c>
      <c r="Q39" s="148">
        <f>IF('KG1-2'!$T13="","",'KG1-2'!$T13)</f>
        <v/>
      </c>
      <c r="R39" s="146">
        <f>IF('KG1-2'!$H13="","",'KG1-2'!$H13)</f>
        <v/>
      </c>
      <c r="S39" s="157">
        <f>IF('KG1-2'!$P13="","",'KG1-2'!$P13)</f>
        <v/>
      </c>
      <c r="T39" s="157">
        <f>IF('KG1-2'!$V13="","",'KG1-2'!$V13)</f>
        <v/>
      </c>
      <c r="U39" s="157">
        <f>IF('KG1-2'!$W13="","",'KG1-2'!$W13)</f>
        <v/>
      </c>
      <c r="V39" s="157">
        <f>IF('KG1-2'!$X13="","",'KG1-2'!$X13)</f>
        <v/>
      </c>
      <c r="W39" s="157">
        <f>IF('KG1-2'!$Y13="","",'KG1-2'!$Y13)</f>
        <v/>
      </c>
      <c r="X39" s="157">
        <f>IF('KG1-2'!$R13="","",'KG1-2'!$R13)</f>
        <v/>
      </c>
      <c r="Y39" s="148">
        <f>IF('KG1-2'!$S13="","",'KG1-2'!$S13)</f>
        <v/>
      </c>
      <c r="Z39" s="148">
        <f>IF('KG1-2'!$Q13="","",'KG1-2'!$Q13)</f>
        <v/>
      </c>
      <c r="AA39" s="148">
        <f>IF('KG1-2'!$I13="","",'KG1-2'!$I13)</f>
        <v/>
      </c>
      <c r="AB39" s="146">
        <f>IF(Q39="","",INDEX(LevelActions,MATCH(Q39,LevelValues,0)))</f>
        <v/>
      </c>
      <c r="AC39" s="148">
        <f>IF(J39="","",IF(J39=0,"—",IF(AND(L39=0,M39=0),Cat_L1,IF(O39&gt;=Cat_95,Cat_L2,IF(O39&gt;=Cat_90,Cat_L3,Cat_L4)))))</f>
        <v/>
      </c>
      <c r="AD39" s="146">
        <f>IF('KG1-2'!$L13="","",'KG1-2'!$L13)</f>
        <v/>
      </c>
      <c r="AE39" s="148">
        <f>IF(B39="","",IF(COUNTIF($B$5:$B$214,B39)&gt;1,"مكرر!",""))</f>
        <v/>
      </c>
      <c r="AF39" s="148">
        <f>IF(AND(B39&lt;&gt;"",F39="نشط",OR(Dash_Class="الكل",D39=Dash_Class)),1,0)</f>
        <v/>
      </c>
      <c r="AG39" s="40">
        <f>IF(OR(AF39=0,Dash_DayIdx=0),"",IF(INDEX('KG1-2'!$AD$7:$IM$7,Dash_DayIdx)&lt;&gt;"✓","",IF(INDEX('KG1-2'!$AD13:$IM13,Dash_DayIdx)="","P",IFERROR(INDEX(StatusCodes,MATCH(INDEX('KG1-2'!$AD13:$IM13,Dash_DayIdx),StatusLabels,0)),""))))</f>
        <v/>
      </c>
      <c r="AH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IF(LateAsPresent="نعم",COUNTIFS('KG1-2'!$AD13:$IM13,"متأخر",'KG1-2'!$AD$7:$IM$7,"✓",'KG1-2'!$AD$6:$IM$6,1,'KG1-2'!$AD$5:$IM$5,"&gt;="&amp;MAX('KG1-2'!$U13,Dash_PStart),'KG1-2'!$AD$5:$IM$5,"&lt;="&amp;Dash_PEnd),0))</f>
        <v/>
      </c>
      <c r="AI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COUNTIFS('KG1-2'!$AD13:$IM13,"غياب بدون عذر",'KG1-2'!$AD$7:$IM$7,"✓",'KG1-2'!$AD$6:$IM$6,1,'KG1-2'!$AD$5:$IM$5,"&gt;="&amp;MAX('KG1-2'!$U13,Dash_PStart),'KG1-2'!$AD$5:$IM$5,"&lt;="&amp;Dash_PEnd)+COUNTIFS('KG1-2'!$AD13:$IM13,"غياب بعذر",'KG1-2'!$AD$7:$IM$7,"✓",'KG1-2'!$AD$6:$IM$6,1,'KG1-2'!$AD$5:$IM$5,"&gt;="&amp;MAX('KG1-2'!$U13,Dash_PStart),'KG1-2'!$AD$5:$IM$5,"&lt;="&amp;Dash_PEnd)+COUNTIFS('KG1-2'!$AD13:$IM13,"متأخر",'KG1-2'!$AD$7:$IM$7,"✓",'KG1-2'!$AD$6:$IM$6,1,'KG1-2'!$AD$5:$IM$5,"&gt;="&amp;MAX('KG1-2'!$U13,Dash_PStart),'KG1-2'!$AD$5:$IM$5,"&lt;="&amp;Dash_PEnd))</f>
        <v/>
      </c>
      <c r="AJ39" s="40">
        <f>IF(AF39=0,0,IF(W39=Dash_Date,Thr_Critical,IF(V39=Dash_Date,Thr_High,IF(U39=Dash_Date,Thr_Repeated,IF(T39=Dash_Date,Thr_FollowUp,0)))))</f>
        <v/>
      </c>
      <c r="AK39" s="40">
        <f>IF(AJ39&gt;0,COUNTIF($AJ$5:AJ39,"&gt;0"),"")</f>
        <v/>
      </c>
      <c r="AL39" s="40">
        <f>IF(AND(B39&lt;&gt;"",F39="نشط",Q39&lt;&gt;"",Q39&gt;0),L39*1000+(999-ROW()),"")</f>
        <v/>
      </c>
      <c r="AM39" s="40">
        <f>IF(AND(AF39=1,J39&lt;&gt;"",J39&gt;0),ROUND(O39*10000,0)*1000000+K39*1000+(999-ROW()),"")</f>
        <v/>
      </c>
      <c r="AN39" s="40">
        <f>IF(AND(AF39=1,J39&lt;&gt;"",J39&gt;0),(L39+M39)*10000000+ROUND((1-O39)*10000,0)*1000+(999-ROW()),"")</f>
        <v/>
      </c>
      <c r="AO39" s="40">
        <f>IF(AND(AF39=1,Q39&lt;&gt;"",Q39&gt;=Thr_Critical),L39*1000+(999-ROW()),"")</f>
        <v/>
      </c>
      <c r="AP39" s="40">
        <f>IF(AND(B39&lt;&gt;"",F39="نشط",OR(Rpt_Class="الكل",D39=Rpt_Class)),1,0)</f>
        <v/>
      </c>
      <c r="AQ39" s="40">
        <f>IF(AND(AP39=1,Q39&lt;&gt;"",Q39&gt;0),L39*1000+(999-ROW()),"")</f>
        <v/>
      </c>
      <c r="AR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IF(LateAsPresent="نعم",COUNTIFS('KG1-2'!$AD13:$IM13,"متأخر",'KG1-2'!$AD$7:$IM$7,"✓",'KG1-2'!$AD$6:$IM$6,1,'KG1-2'!$AD$5:$IM$5,"&gt;="&amp;MAX('KG1-2'!$U13,Rpt_PStart),'KG1-2'!$AD$5:$IM$5,"&lt;="&amp;Rpt_PEnd),0))</f>
        <v/>
      </c>
      <c r="AS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COUNTIFS('KG1-2'!$AD13:$IM13,"غياب بدون عذر",'KG1-2'!$AD$7:$IM$7,"✓",'KG1-2'!$AD$6:$IM$6,1,'KG1-2'!$AD$5:$IM$5,"&gt;="&amp;MAX('KG1-2'!$U13,Rpt_PStart),'KG1-2'!$AD$5:$IM$5,"&lt;="&amp;Rpt_PEnd)+COUNTIFS('KG1-2'!$AD13:$IM13,"غياب بعذر",'KG1-2'!$AD$7:$IM$7,"✓",'KG1-2'!$AD$6:$IM$6,1,'KG1-2'!$AD$5:$IM$5,"&gt;="&amp;MAX('KG1-2'!$U13,Rpt_PStart),'KG1-2'!$AD$5:$IM$5,"&lt;="&amp;Rpt_PEnd)+COUNTIFS('KG1-2'!$AD13:$IM13,"متأخر",'KG1-2'!$AD$7:$IM$7,"✓",'KG1-2'!$AD$6:$IM$6,1,'KG1-2'!$AD$5:$IM$5,"&gt;="&amp;MAX('KG1-2'!$U13,Rpt_PStart),'KG1-2'!$AD$5:$IM$5,"&lt;="&amp;Rpt_PEnd))</f>
        <v/>
      </c>
      <c r="AT39" s="40">
        <f>IF(AP39=0,"",COUNTIFS('KG1-2'!$AD13:$IM13,"غياب بدون عذر",'KG1-2'!$AD$7:$IM$7,"✓",'KG1-2'!$AD$6:$IM$6,1,'KG1-2'!$AD$5:$IM$5,"&gt;="&amp;MAX('KG1-2'!$U13,Rpt_PStart),'KG1-2'!$AD$5:$IM$5,"&lt;="&amp;Rpt_PEnd)+COUNTIFS('KG1-2'!$AD13:$IM13,"غياب بعذر",'KG1-2'!$AD$7:$IM$7,"✓",'KG1-2'!$AD$6:$IM$6,1,'KG1-2'!$AD$5:$IM$5,"&gt;="&amp;MAX('KG1-2'!$U13,Rpt_PStart),'KG1-2'!$AD$5:$IM$5,"&lt;="&amp;Rpt_PEnd))</f>
        <v/>
      </c>
      <c r="AU39" s="40" t="n">
        <v>2</v>
      </c>
      <c r="AV39" s="40" t="n">
        <v>5</v>
      </c>
      <c r="AW39" s="40">
        <f>IF(OR(AP39=0,Rpt_DayIdx=0),"",IF(INDEX('KG1-2'!$AD$7:$IM$7,Rpt_DayIdx)&lt;&gt;"✓","",IF(INDEX('KG1-2'!$AD13:$IM13,Rpt_DayIdx)="","P",IFERROR(INDEX(StatusCodes,MATCH(INDEX('KG1-2'!$AD13:$IM13,Rpt_DayIdx),StatusLabels,0)),""))))</f>
        <v/>
      </c>
      <c r="AX39" s="40">
        <f>IF(AND(AP39=1,OR(AW39="A",AW39="E")),COUNTIFS($AP$5:AP39,1,$AW$5:AW39,"A")+COUNTIFS($AP$5:AP39,1,$AW$5:AW39,"E"),"")</f>
        <v/>
      </c>
    </row>
    <row r="40">
      <c r="A40" s="148">
        <f>IF(B40="","",ROW()-4)</f>
        <v/>
      </c>
      <c r="B40" s="148">
        <f>IF('KG1-2'!$B14="","",'KG1-2'!$B14)</f>
        <v/>
      </c>
      <c r="C40" s="146">
        <f>IF('KG1-2'!$C14="","",'KG1-2'!$C14)</f>
        <v/>
      </c>
      <c r="D40" s="148">
        <f>IF(B40="","",'KG1-2'!$B$2)</f>
        <v/>
      </c>
      <c r="E40" s="148">
        <f>IF(B40="","",MID(D40,FIND("-",D40&amp;"-")+1,10))</f>
        <v/>
      </c>
      <c r="F40" s="148">
        <f>IF(B40="","","نشط")</f>
        <v/>
      </c>
      <c r="G40" s="157">
        <f>IF(B40="","","")</f>
        <v/>
      </c>
      <c r="H40" s="146">
        <f>IF('KG1-2'!$K14="","",'KG1-2'!$K14)</f>
        <v/>
      </c>
      <c r="I40" s="148">
        <f>IF('KG1-2'!$J14="","",'KG1-2'!$J14)</f>
        <v/>
      </c>
      <c r="J40" s="148">
        <f>IF('KG1-2'!$M14="","",'KG1-2'!$M14)</f>
        <v/>
      </c>
      <c r="K40" s="148">
        <f>IF('KG1-2'!$N14="","",'KG1-2'!$N14)</f>
        <v/>
      </c>
      <c r="L40" s="148">
        <f>IF('KG1-2'!$D14="","",'KG1-2'!$D14)</f>
        <v/>
      </c>
      <c r="M40" s="148">
        <f>IF('KG1-2'!$E14="","",'KG1-2'!$E14)</f>
        <v/>
      </c>
      <c r="N40" s="148">
        <f>IF('KG1-2'!$F14="","",'KG1-2'!$F14)</f>
        <v/>
      </c>
      <c r="O40" s="158">
        <f>IF('KG1-2'!$G14="","",'KG1-2'!$G14)</f>
        <v/>
      </c>
      <c r="P40" s="158">
        <f>IF('KG1-2'!$O14="","",'KG1-2'!$O14)</f>
        <v/>
      </c>
      <c r="Q40" s="148">
        <f>IF('KG1-2'!$T14="","",'KG1-2'!$T14)</f>
        <v/>
      </c>
      <c r="R40" s="146">
        <f>IF('KG1-2'!$H14="","",'KG1-2'!$H14)</f>
        <v/>
      </c>
      <c r="S40" s="157">
        <f>IF('KG1-2'!$P14="","",'KG1-2'!$P14)</f>
        <v/>
      </c>
      <c r="T40" s="157">
        <f>IF('KG1-2'!$V14="","",'KG1-2'!$V14)</f>
        <v/>
      </c>
      <c r="U40" s="157">
        <f>IF('KG1-2'!$W14="","",'KG1-2'!$W14)</f>
        <v/>
      </c>
      <c r="V40" s="157">
        <f>IF('KG1-2'!$X14="","",'KG1-2'!$X14)</f>
        <v/>
      </c>
      <c r="W40" s="157">
        <f>IF('KG1-2'!$Y14="","",'KG1-2'!$Y14)</f>
        <v/>
      </c>
      <c r="X40" s="157">
        <f>IF('KG1-2'!$R14="","",'KG1-2'!$R14)</f>
        <v/>
      </c>
      <c r="Y40" s="148">
        <f>IF('KG1-2'!$S14="","",'KG1-2'!$S14)</f>
        <v/>
      </c>
      <c r="Z40" s="148">
        <f>IF('KG1-2'!$Q14="","",'KG1-2'!$Q14)</f>
        <v/>
      </c>
      <c r="AA40" s="148">
        <f>IF('KG1-2'!$I14="","",'KG1-2'!$I14)</f>
        <v/>
      </c>
      <c r="AB40" s="146">
        <f>IF(Q40="","",INDEX(LevelActions,MATCH(Q40,LevelValues,0)))</f>
        <v/>
      </c>
      <c r="AC40" s="148">
        <f>IF(J40="","",IF(J40=0,"—",IF(AND(L40=0,M40=0),Cat_L1,IF(O40&gt;=Cat_95,Cat_L2,IF(O40&gt;=Cat_90,Cat_L3,Cat_L4)))))</f>
        <v/>
      </c>
      <c r="AD40" s="146">
        <f>IF('KG1-2'!$L14="","",'KG1-2'!$L14)</f>
        <v/>
      </c>
      <c r="AE40" s="148">
        <f>IF(B40="","",IF(COUNTIF($B$5:$B$214,B40)&gt;1,"مكرر!",""))</f>
        <v/>
      </c>
      <c r="AF40" s="148">
        <f>IF(AND(B40&lt;&gt;"",F40="نشط",OR(Dash_Class="الكل",D40=Dash_Class)),1,0)</f>
        <v/>
      </c>
      <c r="AG40" s="40">
        <f>IF(OR(AF40=0,Dash_DayIdx=0),"",IF(INDEX('KG1-2'!$AD$7:$IM$7,Dash_DayIdx)&lt;&gt;"✓","",IF(INDEX('KG1-2'!$AD14:$IM14,Dash_DayIdx)="","P",IFERROR(INDEX(StatusCodes,MATCH(INDEX('KG1-2'!$AD14:$IM14,Dash_DayIdx),StatusLabels,0)),""))))</f>
        <v/>
      </c>
      <c r="AH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IF(LateAsPresent="نعم",COUNTIFS('KG1-2'!$AD14:$IM14,"متأخر",'KG1-2'!$AD$7:$IM$7,"✓",'KG1-2'!$AD$6:$IM$6,1,'KG1-2'!$AD$5:$IM$5,"&gt;="&amp;MAX('KG1-2'!$U14,Dash_PStart),'KG1-2'!$AD$5:$IM$5,"&lt;="&amp;Dash_PEnd),0))</f>
        <v/>
      </c>
      <c r="AI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COUNTIFS('KG1-2'!$AD14:$IM14,"غياب بدون عذر",'KG1-2'!$AD$7:$IM$7,"✓",'KG1-2'!$AD$6:$IM$6,1,'KG1-2'!$AD$5:$IM$5,"&gt;="&amp;MAX('KG1-2'!$U14,Dash_PStart),'KG1-2'!$AD$5:$IM$5,"&lt;="&amp;Dash_PEnd)+COUNTIFS('KG1-2'!$AD14:$IM14,"غياب بعذر",'KG1-2'!$AD$7:$IM$7,"✓",'KG1-2'!$AD$6:$IM$6,1,'KG1-2'!$AD$5:$IM$5,"&gt;="&amp;MAX('KG1-2'!$U14,Dash_PStart),'KG1-2'!$AD$5:$IM$5,"&lt;="&amp;Dash_PEnd)+COUNTIFS('KG1-2'!$AD14:$IM14,"متأخر",'KG1-2'!$AD$7:$IM$7,"✓",'KG1-2'!$AD$6:$IM$6,1,'KG1-2'!$AD$5:$IM$5,"&gt;="&amp;MAX('KG1-2'!$U14,Dash_PStart),'KG1-2'!$AD$5:$IM$5,"&lt;="&amp;Dash_PEnd))</f>
        <v/>
      </c>
      <c r="AJ40" s="40">
        <f>IF(AF40=0,0,IF(W40=Dash_Date,Thr_Critical,IF(V40=Dash_Date,Thr_High,IF(U40=Dash_Date,Thr_Repeated,IF(T40=Dash_Date,Thr_FollowUp,0)))))</f>
        <v/>
      </c>
      <c r="AK40" s="40">
        <f>IF(AJ40&gt;0,COUNTIF($AJ$5:AJ40,"&gt;0"),"")</f>
        <v/>
      </c>
      <c r="AL40" s="40">
        <f>IF(AND(B40&lt;&gt;"",F40="نشط",Q40&lt;&gt;"",Q40&gt;0),L40*1000+(999-ROW()),"")</f>
        <v/>
      </c>
      <c r="AM40" s="40">
        <f>IF(AND(AF40=1,J40&lt;&gt;"",J40&gt;0),ROUND(O40*10000,0)*1000000+K40*1000+(999-ROW()),"")</f>
        <v/>
      </c>
      <c r="AN40" s="40">
        <f>IF(AND(AF40=1,J40&lt;&gt;"",J40&gt;0),(L40+M40)*10000000+ROUND((1-O40)*10000,0)*1000+(999-ROW()),"")</f>
        <v/>
      </c>
      <c r="AO40" s="40">
        <f>IF(AND(AF40=1,Q40&lt;&gt;"",Q40&gt;=Thr_Critical),L40*1000+(999-ROW()),"")</f>
        <v/>
      </c>
      <c r="AP40" s="40">
        <f>IF(AND(B40&lt;&gt;"",F40="نشط",OR(Rpt_Class="الكل",D40=Rpt_Class)),1,0)</f>
        <v/>
      </c>
      <c r="AQ40" s="40">
        <f>IF(AND(AP40=1,Q40&lt;&gt;"",Q40&gt;0),L40*1000+(999-ROW()),"")</f>
        <v/>
      </c>
      <c r="AR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IF(LateAsPresent="نعم",COUNTIFS('KG1-2'!$AD14:$IM14,"متأخر",'KG1-2'!$AD$7:$IM$7,"✓",'KG1-2'!$AD$6:$IM$6,1,'KG1-2'!$AD$5:$IM$5,"&gt;="&amp;MAX('KG1-2'!$U14,Rpt_PStart),'KG1-2'!$AD$5:$IM$5,"&lt;="&amp;Rpt_PEnd),0))</f>
        <v/>
      </c>
      <c r="AS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COUNTIFS('KG1-2'!$AD14:$IM14,"غياب بدون عذر",'KG1-2'!$AD$7:$IM$7,"✓",'KG1-2'!$AD$6:$IM$6,1,'KG1-2'!$AD$5:$IM$5,"&gt;="&amp;MAX('KG1-2'!$U14,Rpt_PStart),'KG1-2'!$AD$5:$IM$5,"&lt;="&amp;Rpt_PEnd)+COUNTIFS('KG1-2'!$AD14:$IM14,"غياب بعذر",'KG1-2'!$AD$7:$IM$7,"✓",'KG1-2'!$AD$6:$IM$6,1,'KG1-2'!$AD$5:$IM$5,"&gt;="&amp;MAX('KG1-2'!$U14,Rpt_PStart),'KG1-2'!$AD$5:$IM$5,"&lt;="&amp;Rpt_PEnd)+COUNTIFS('KG1-2'!$AD14:$IM14,"متأخر",'KG1-2'!$AD$7:$IM$7,"✓",'KG1-2'!$AD$6:$IM$6,1,'KG1-2'!$AD$5:$IM$5,"&gt;="&amp;MAX('KG1-2'!$U14,Rpt_PStart),'KG1-2'!$AD$5:$IM$5,"&lt;="&amp;Rpt_PEnd))</f>
        <v/>
      </c>
      <c r="AT40" s="40">
        <f>IF(AP40=0,"",COUNTIFS('KG1-2'!$AD14:$IM14,"غياب بدون عذر",'KG1-2'!$AD$7:$IM$7,"✓",'KG1-2'!$AD$6:$IM$6,1,'KG1-2'!$AD$5:$IM$5,"&gt;="&amp;MAX('KG1-2'!$U14,Rpt_PStart),'KG1-2'!$AD$5:$IM$5,"&lt;="&amp;Rpt_PEnd)+COUNTIFS('KG1-2'!$AD14:$IM14,"غياب بعذر",'KG1-2'!$AD$7:$IM$7,"✓",'KG1-2'!$AD$6:$IM$6,1,'KG1-2'!$AD$5:$IM$5,"&gt;="&amp;MAX('KG1-2'!$U14,Rpt_PStart),'KG1-2'!$AD$5:$IM$5,"&lt;="&amp;Rpt_PEnd))</f>
        <v/>
      </c>
      <c r="AU40" s="40" t="n">
        <v>2</v>
      </c>
      <c r="AV40" s="40" t="n">
        <v>6</v>
      </c>
      <c r="AW40" s="40">
        <f>IF(OR(AP40=0,Rpt_DayIdx=0),"",IF(INDEX('KG1-2'!$AD$7:$IM$7,Rpt_DayIdx)&lt;&gt;"✓","",IF(INDEX('KG1-2'!$AD14:$IM14,Rpt_DayIdx)="","P",IFERROR(INDEX(StatusCodes,MATCH(INDEX('KG1-2'!$AD14:$IM14,Rpt_DayIdx),StatusLabels,0)),""))))</f>
        <v/>
      </c>
      <c r="AX40" s="40">
        <f>IF(AND(AP40=1,OR(AW40="A",AW40="E")),COUNTIFS($AP$5:AP40,1,$AW$5:AW40,"A")+COUNTIFS($AP$5:AP40,1,$AW$5:AW40,"E"),"")</f>
        <v/>
      </c>
    </row>
    <row r="41">
      <c r="A41" s="148">
        <f>IF(B41="","",ROW()-4)</f>
        <v/>
      </c>
      <c r="B41" s="148">
        <f>IF('KG1-2'!$B15="","",'KG1-2'!$B15)</f>
        <v/>
      </c>
      <c r="C41" s="146">
        <f>IF('KG1-2'!$C15="","",'KG1-2'!$C15)</f>
        <v/>
      </c>
      <c r="D41" s="148">
        <f>IF(B41="","",'KG1-2'!$B$2)</f>
        <v/>
      </c>
      <c r="E41" s="148">
        <f>IF(B41="","",MID(D41,FIND("-",D41&amp;"-")+1,10))</f>
        <v/>
      </c>
      <c r="F41" s="148">
        <f>IF(B41="","","نشط")</f>
        <v/>
      </c>
      <c r="G41" s="157">
        <f>IF(B41="","","")</f>
        <v/>
      </c>
      <c r="H41" s="146">
        <f>IF('KG1-2'!$K15="","",'KG1-2'!$K15)</f>
        <v/>
      </c>
      <c r="I41" s="148">
        <f>IF('KG1-2'!$J15="","",'KG1-2'!$J15)</f>
        <v/>
      </c>
      <c r="J41" s="148">
        <f>IF('KG1-2'!$M15="","",'KG1-2'!$M15)</f>
        <v/>
      </c>
      <c r="K41" s="148">
        <f>IF('KG1-2'!$N15="","",'KG1-2'!$N15)</f>
        <v/>
      </c>
      <c r="L41" s="148">
        <f>IF('KG1-2'!$D15="","",'KG1-2'!$D15)</f>
        <v/>
      </c>
      <c r="M41" s="148">
        <f>IF('KG1-2'!$E15="","",'KG1-2'!$E15)</f>
        <v/>
      </c>
      <c r="N41" s="148">
        <f>IF('KG1-2'!$F15="","",'KG1-2'!$F15)</f>
        <v/>
      </c>
      <c r="O41" s="158">
        <f>IF('KG1-2'!$G15="","",'KG1-2'!$G15)</f>
        <v/>
      </c>
      <c r="P41" s="158">
        <f>IF('KG1-2'!$O15="","",'KG1-2'!$O15)</f>
        <v/>
      </c>
      <c r="Q41" s="148">
        <f>IF('KG1-2'!$T15="","",'KG1-2'!$T15)</f>
        <v/>
      </c>
      <c r="R41" s="146">
        <f>IF('KG1-2'!$H15="","",'KG1-2'!$H15)</f>
        <v/>
      </c>
      <c r="S41" s="157">
        <f>IF('KG1-2'!$P15="","",'KG1-2'!$P15)</f>
        <v/>
      </c>
      <c r="T41" s="157">
        <f>IF('KG1-2'!$V15="","",'KG1-2'!$V15)</f>
        <v/>
      </c>
      <c r="U41" s="157">
        <f>IF('KG1-2'!$W15="","",'KG1-2'!$W15)</f>
        <v/>
      </c>
      <c r="V41" s="157">
        <f>IF('KG1-2'!$X15="","",'KG1-2'!$X15)</f>
        <v/>
      </c>
      <c r="W41" s="157">
        <f>IF('KG1-2'!$Y15="","",'KG1-2'!$Y15)</f>
        <v/>
      </c>
      <c r="X41" s="157">
        <f>IF('KG1-2'!$R15="","",'KG1-2'!$R15)</f>
        <v/>
      </c>
      <c r="Y41" s="148">
        <f>IF('KG1-2'!$S15="","",'KG1-2'!$S15)</f>
        <v/>
      </c>
      <c r="Z41" s="148">
        <f>IF('KG1-2'!$Q15="","",'KG1-2'!$Q15)</f>
        <v/>
      </c>
      <c r="AA41" s="148">
        <f>IF('KG1-2'!$I15="","",'KG1-2'!$I15)</f>
        <v/>
      </c>
      <c r="AB41" s="146">
        <f>IF(Q41="","",INDEX(LevelActions,MATCH(Q41,LevelValues,0)))</f>
        <v/>
      </c>
      <c r="AC41" s="148">
        <f>IF(J41="","",IF(J41=0,"—",IF(AND(L41=0,M41=0),Cat_L1,IF(O41&gt;=Cat_95,Cat_L2,IF(O41&gt;=Cat_90,Cat_L3,Cat_L4)))))</f>
        <v/>
      </c>
      <c r="AD41" s="146">
        <f>IF('KG1-2'!$L15="","",'KG1-2'!$L15)</f>
        <v/>
      </c>
      <c r="AE41" s="148">
        <f>IF(B41="","",IF(COUNTIF($B$5:$B$214,B41)&gt;1,"مكرر!",""))</f>
        <v/>
      </c>
      <c r="AF41" s="148">
        <f>IF(AND(B41&lt;&gt;"",F41="نشط",OR(Dash_Class="الكل",D41=Dash_Class)),1,0)</f>
        <v/>
      </c>
      <c r="AG41" s="40">
        <f>IF(OR(AF41=0,Dash_DayIdx=0),"",IF(INDEX('KG1-2'!$AD$7:$IM$7,Dash_DayIdx)&lt;&gt;"✓","",IF(INDEX('KG1-2'!$AD15:$IM15,Dash_DayIdx)="","P",IFERROR(INDEX(StatusCodes,MATCH(INDEX('KG1-2'!$AD15:$IM15,Dash_DayIdx),StatusLabels,0)),""))))</f>
        <v/>
      </c>
      <c r="AH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IF(LateAsPresent="نعم",COUNTIFS('KG1-2'!$AD15:$IM15,"متأخر",'KG1-2'!$AD$7:$IM$7,"✓",'KG1-2'!$AD$6:$IM$6,1,'KG1-2'!$AD$5:$IM$5,"&gt;="&amp;MAX('KG1-2'!$U15,Dash_PStart),'KG1-2'!$AD$5:$IM$5,"&lt;="&amp;Dash_PEnd),0))</f>
        <v/>
      </c>
      <c r="AI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COUNTIFS('KG1-2'!$AD15:$IM15,"غياب بدون عذر",'KG1-2'!$AD$7:$IM$7,"✓",'KG1-2'!$AD$6:$IM$6,1,'KG1-2'!$AD$5:$IM$5,"&gt;="&amp;MAX('KG1-2'!$U15,Dash_PStart),'KG1-2'!$AD$5:$IM$5,"&lt;="&amp;Dash_PEnd)+COUNTIFS('KG1-2'!$AD15:$IM15,"غياب بعذر",'KG1-2'!$AD$7:$IM$7,"✓",'KG1-2'!$AD$6:$IM$6,1,'KG1-2'!$AD$5:$IM$5,"&gt;="&amp;MAX('KG1-2'!$U15,Dash_PStart),'KG1-2'!$AD$5:$IM$5,"&lt;="&amp;Dash_PEnd)+COUNTIFS('KG1-2'!$AD15:$IM15,"متأخر",'KG1-2'!$AD$7:$IM$7,"✓",'KG1-2'!$AD$6:$IM$6,1,'KG1-2'!$AD$5:$IM$5,"&gt;="&amp;MAX('KG1-2'!$U15,Dash_PStart),'KG1-2'!$AD$5:$IM$5,"&lt;="&amp;Dash_PEnd))</f>
        <v/>
      </c>
      <c r="AJ41" s="40">
        <f>IF(AF41=0,0,IF(W41=Dash_Date,Thr_Critical,IF(V41=Dash_Date,Thr_High,IF(U41=Dash_Date,Thr_Repeated,IF(T41=Dash_Date,Thr_FollowUp,0)))))</f>
        <v/>
      </c>
      <c r="AK41" s="40">
        <f>IF(AJ41&gt;0,COUNTIF($AJ$5:AJ41,"&gt;0"),"")</f>
        <v/>
      </c>
      <c r="AL41" s="40">
        <f>IF(AND(B41&lt;&gt;"",F41="نشط",Q41&lt;&gt;"",Q41&gt;0),L41*1000+(999-ROW()),"")</f>
        <v/>
      </c>
      <c r="AM41" s="40">
        <f>IF(AND(AF41=1,J41&lt;&gt;"",J41&gt;0),ROUND(O41*10000,0)*1000000+K41*1000+(999-ROW()),"")</f>
        <v/>
      </c>
      <c r="AN41" s="40">
        <f>IF(AND(AF41=1,J41&lt;&gt;"",J41&gt;0),(L41+M41)*10000000+ROUND((1-O41)*10000,0)*1000+(999-ROW()),"")</f>
        <v/>
      </c>
      <c r="AO41" s="40">
        <f>IF(AND(AF41=1,Q41&lt;&gt;"",Q41&gt;=Thr_Critical),L41*1000+(999-ROW()),"")</f>
        <v/>
      </c>
      <c r="AP41" s="40">
        <f>IF(AND(B41&lt;&gt;"",F41="نشط",OR(Rpt_Class="الكل",D41=Rpt_Class)),1,0)</f>
        <v/>
      </c>
      <c r="AQ41" s="40">
        <f>IF(AND(AP41=1,Q41&lt;&gt;"",Q41&gt;0),L41*1000+(999-ROW()),"")</f>
        <v/>
      </c>
      <c r="AR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IF(LateAsPresent="نعم",COUNTIFS('KG1-2'!$AD15:$IM15,"متأخر",'KG1-2'!$AD$7:$IM$7,"✓",'KG1-2'!$AD$6:$IM$6,1,'KG1-2'!$AD$5:$IM$5,"&gt;="&amp;MAX('KG1-2'!$U15,Rpt_PStart),'KG1-2'!$AD$5:$IM$5,"&lt;="&amp;Rpt_PEnd),0))</f>
        <v/>
      </c>
      <c r="AS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COUNTIFS('KG1-2'!$AD15:$IM15,"غياب بدون عذر",'KG1-2'!$AD$7:$IM$7,"✓",'KG1-2'!$AD$6:$IM$6,1,'KG1-2'!$AD$5:$IM$5,"&gt;="&amp;MAX('KG1-2'!$U15,Rpt_PStart),'KG1-2'!$AD$5:$IM$5,"&lt;="&amp;Rpt_PEnd)+COUNTIFS('KG1-2'!$AD15:$IM15,"غياب بعذر",'KG1-2'!$AD$7:$IM$7,"✓",'KG1-2'!$AD$6:$IM$6,1,'KG1-2'!$AD$5:$IM$5,"&gt;="&amp;MAX('KG1-2'!$U15,Rpt_PStart),'KG1-2'!$AD$5:$IM$5,"&lt;="&amp;Rpt_PEnd)+COUNTIFS('KG1-2'!$AD15:$IM15,"متأخر",'KG1-2'!$AD$7:$IM$7,"✓",'KG1-2'!$AD$6:$IM$6,1,'KG1-2'!$AD$5:$IM$5,"&gt;="&amp;MAX('KG1-2'!$U15,Rpt_PStart),'KG1-2'!$AD$5:$IM$5,"&lt;="&amp;Rpt_PEnd))</f>
        <v/>
      </c>
      <c r="AT41" s="40">
        <f>IF(AP41=0,"",COUNTIFS('KG1-2'!$AD15:$IM15,"غياب بدون عذر",'KG1-2'!$AD$7:$IM$7,"✓",'KG1-2'!$AD$6:$IM$6,1,'KG1-2'!$AD$5:$IM$5,"&gt;="&amp;MAX('KG1-2'!$U15,Rpt_PStart),'KG1-2'!$AD$5:$IM$5,"&lt;="&amp;Rpt_PEnd)+COUNTIFS('KG1-2'!$AD15:$IM15,"غياب بعذر",'KG1-2'!$AD$7:$IM$7,"✓",'KG1-2'!$AD$6:$IM$6,1,'KG1-2'!$AD$5:$IM$5,"&gt;="&amp;MAX('KG1-2'!$U15,Rpt_PStart),'KG1-2'!$AD$5:$IM$5,"&lt;="&amp;Rpt_PEnd))</f>
        <v/>
      </c>
      <c r="AU41" s="40" t="n">
        <v>2</v>
      </c>
      <c r="AV41" s="40" t="n">
        <v>7</v>
      </c>
      <c r="AW41" s="40">
        <f>IF(OR(AP41=0,Rpt_DayIdx=0),"",IF(INDEX('KG1-2'!$AD$7:$IM$7,Rpt_DayIdx)&lt;&gt;"✓","",IF(INDEX('KG1-2'!$AD15:$IM15,Rpt_DayIdx)="","P",IFERROR(INDEX(StatusCodes,MATCH(INDEX('KG1-2'!$AD15:$IM15,Rpt_DayIdx),StatusLabels,0)),""))))</f>
        <v/>
      </c>
      <c r="AX41" s="40">
        <f>IF(AND(AP41=1,OR(AW41="A",AW41="E")),COUNTIFS($AP$5:AP41,1,$AW$5:AW41,"A")+COUNTIFS($AP$5:AP41,1,$AW$5:AW41,"E"),"")</f>
        <v/>
      </c>
    </row>
    <row r="42">
      <c r="A42" s="148">
        <f>IF(B42="","",ROW()-4)</f>
        <v/>
      </c>
      <c r="B42" s="148">
        <f>IF('KG1-2'!$B16="","",'KG1-2'!$B16)</f>
        <v/>
      </c>
      <c r="C42" s="146">
        <f>IF('KG1-2'!$C16="","",'KG1-2'!$C16)</f>
        <v/>
      </c>
      <c r="D42" s="148">
        <f>IF(B42="","",'KG1-2'!$B$2)</f>
        <v/>
      </c>
      <c r="E42" s="148">
        <f>IF(B42="","",MID(D42,FIND("-",D42&amp;"-")+1,10))</f>
        <v/>
      </c>
      <c r="F42" s="148">
        <f>IF(B42="","","نشط")</f>
        <v/>
      </c>
      <c r="G42" s="157">
        <f>IF(B42="","","")</f>
        <v/>
      </c>
      <c r="H42" s="146">
        <f>IF('KG1-2'!$K16="","",'KG1-2'!$K16)</f>
        <v/>
      </c>
      <c r="I42" s="148">
        <f>IF('KG1-2'!$J16="","",'KG1-2'!$J16)</f>
        <v/>
      </c>
      <c r="J42" s="148">
        <f>IF('KG1-2'!$M16="","",'KG1-2'!$M16)</f>
        <v/>
      </c>
      <c r="K42" s="148">
        <f>IF('KG1-2'!$N16="","",'KG1-2'!$N16)</f>
        <v/>
      </c>
      <c r="L42" s="148">
        <f>IF('KG1-2'!$D16="","",'KG1-2'!$D16)</f>
        <v/>
      </c>
      <c r="M42" s="148">
        <f>IF('KG1-2'!$E16="","",'KG1-2'!$E16)</f>
        <v/>
      </c>
      <c r="N42" s="148">
        <f>IF('KG1-2'!$F16="","",'KG1-2'!$F16)</f>
        <v/>
      </c>
      <c r="O42" s="158">
        <f>IF('KG1-2'!$G16="","",'KG1-2'!$G16)</f>
        <v/>
      </c>
      <c r="P42" s="158">
        <f>IF('KG1-2'!$O16="","",'KG1-2'!$O16)</f>
        <v/>
      </c>
      <c r="Q42" s="148">
        <f>IF('KG1-2'!$T16="","",'KG1-2'!$T16)</f>
        <v/>
      </c>
      <c r="R42" s="146">
        <f>IF('KG1-2'!$H16="","",'KG1-2'!$H16)</f>
        <v/>
      </c>
      <c r="S42" s="157">
        <f>IF('KG1-2'!$P16="","",'KG1-2'!$P16)</f>
        <v/>
      </c>
      <c r="T42" s="157">
        <f>IF('KG1-2'!$V16="","",'KG1-2'!$V16)</f>
        <v/>
      </c>
      <c r="U42" s="157">
        <f>IF('KG1-2'!$W16="","",'KG1-2'!$W16)</f>
        <v/>
      </c>
      <c r="V42" s="157">
        <f>IF('KG1-2'!$X16="","",'KG1-2'!$X16)</f>
        <v/>
      </c>
      <c r="W42" s="157">
        <f>IF('KG1-2'!$Y16="","",'KG1-2'!$Y16)</f>
        <v/>
      </c>
      <c r="X42" s="157">
        <f>IF('KG1-2'!$R16="","",'KG1-2'!$R16)</f>
        <v/>
      </c>
      <c r="Y42" s="148">
        <f>IF('KG1-2'!$S16="","",'KG1-2'!$S16)</f>
        <v/>
      </c>
      <c r="Z42" s="148">
        <f>IF('KG1-2'!$Q16="","",'KG1-2'!$Q16)</f>
        <v/>
      </c>
      <c r="AA42" s="148">
        <f>IF('KG1-2'!$I16="","",'KG1-2'!$I16)</f>
        <v/>
      </c>
      <c r="AB42" s="146">
        <f>IF(Q42="","",INDEX(LevelActions,MATCH(Q42,LevelValues,0)))</f>
        <v/>
      </c>
      <c r="AC42" s="148">
        <f>IF(J42="","",IF(J42=0,"—",IF(AND(L42=0,M42=0),Cat_L1,IF(O42&gt;=Cat_95,Cat_L2,IF(O42&gt;=Cat_90,Cat_L3,Cat_L4)))))</f>
        <v/>
      </c>
      <c r="AD42" s="146">
        <f>IF('KG1-2'!$L16="","",'KG1-2'!$L16)</f>
        <v/>
      </c>
      <c r="AE42" s="148">
        <f>IF(B42="","",IF(COUNTIF($B$5:$B$214,B42)&gt;1,"مكرر!",""))</f>
        <v/>
      </c>
      <c r="AF42" s="148">
        <f>IF(AND(B42&lt;&gt;"",F42="نشط",OR(Dash_Class="الكل",D42=Dash_Class)),1,0)</f>
        <v/>
      </c>
      <c r="AG42" s="40">
        <f>IF(OR(AF42=0,Dash_DayIdx=0),"",IF(INDEX('KG1-2'!$AD$7:$IM$7,Dash_DayIdx)&lt;&gt;"✓","",IF(INDEX('KG1-2'!$AD16:$IM16,Dash_DayIdx)="","P",IFERROR(INDEX(StatusCodes,MATCH(INDEX('KG1-2'!$AD16:$IM16,Dash_DayIdx),StatusLabels,0)),""))))</f>
        <v/>
      </c>
      <c r="AH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IF(LateAsPresent="نعم",COUNTIFS('KG1-2'!$AD16:$IM16,"متأخر",'KG1-2'!$AD$7:$IM$7,"✓",'KG1-2'!$AD$6:$IM$6,1,'KG1-2'!$AD$5:$IM$5,"&gt;="&amp;MAX('KG1-2'!$U16,Dash_PStart),'KG1-2'!$AD$5:$IM$5,"&lt;="&amp;Dash_PEnd),0))</f>
        <v/>
      </c>
      <c r="AI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COUNTIFS('KG1-2'!$AD16:$IM16,"غياب بدون عذر",'KG1-2'!$AD$7:$IM$7,"✓",'KG1-2'!$AD$6:$IM$6,1,'KG1-2'!$AD$5:$IM$5,"&gt;="&amp;MAX('KG1-2'!$U16,Dash_PStart),'KG1-2'!$AD$5:$IM$5,"&lt;="&amp;Dash_PEnd)+COUNTIFS('KG1-2'!$AD16:$IM16,"غياب بعذر",'KG1-2'!$AD$7:$IM$7,"✓",'KG1-2'!$AD$6:$IM$6,1,'KG1-2'!$AD$5:$IM$5,"&gt;="&amp;MAX('KG1-2'!$U16,Dash_PStart),'KG1-2'!$AD$5:$IM$5,"&lt;="&amp;Dash_PEnd)+COUNTIFS('KG1-2'!$AD16:$IM16,"متأخر",'KG1-2'!$AD$7:$IM$7,"✓",'KG1-2'!$AD$6:$IM$6,1,'KG1-2'!$AD$5:$IM$5,"&gt;="&amp;MAX('KG1-2'!$U16,Dash_PStart),'KG1-2'!$AD$5:$IM$5,"&lt;="&amp;Dash_PEnd))</f>
        <v/>
      </c>
      <c r="AJ42" s="40">
        <f>IF(AF42=0,0,IF(W42=Dash_Date,Thr_Critical,IF(V42=Dash_Date,Thr_High,IF(U42=Dash_Date,Thr_Repeated,IF(T42=Dash_Date,Thr_FollowUp,0)))))</f>
        <v/>
      </c>
      <c r="AK42" s="40">
        <f>IF(AJ42&gt;0,COUNTIF($AJ$5:AJ42,"&gt;0"),"")</f>
        <v/>
      </c>
      <c r="AL42" s="40">
        <f>IF(AND(B42&lt;&gt;"",F42="نشط",Q42&lt;&gt;"",Q42&gt;0),L42*1000+(999-ROW()),"")</f>
        <v/>
      </c>
      <c r="AM42" s="40">
        <f>IF(AND(AF42=1,J42&lt;&gt;"",J42&gt;0),ROUND(O42*10000,0)*1000000+K42*1000+(999-ROW()),"")</f>
        <v/>
      </c>
      <c r="AN42" s="40">
        <f>IF(AND(AF42=1,J42&lt;&gt;"",J42&gt;0),(L42+M42)*10000000+ROUND((1-O42)*10000,0)*1000+(999-ROW()),"")</f>
        <v/>
      </c>
      <c r="AO42" s="40">
        <f>IF(AND(AF42=1,Q42&lt;&gt;"",Q42&gt;=Thr_Critical),L42*1000+(999-ROW()),"")</f>
        <v/>
      </c>
      <c r="AP42" s="40">
        <f>IF(AND(B42&lt;&gt;"",F42="نشط",OR(Rpt_Class="الكل",D42=Rpt_Class)),1,0)</f>
        <v/>
      </c>
      <c r="AQ42" s="40">
        <f>IF(AND(AP42=1,Q42&lt;&gt;"",Q42&gt;0),L42*1000+(999-ROW()),"")</f>
        <v/>
      </c>
      <c r="AR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IF(LateAsPresent="نعم",COUNTIFS('KG1-2'!$AD16:$IM16,"متأخر",'KG1-2'!$AD$7:$IM$7,"✓",'KG1-2'!$AD$6:$IM$6,1,'KG1-2'!$AD$5:$IM$5,"&gt;="&amp;MAX('KG1-2'!$U16,Rpt_PStart),'KG1-2'!$AD$5:$IM$5,"&lt;="&amp;Rpt_PEnd),0))</f>
        <v/>
      </c>
      <c r="AS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COUNTIFS('KG1-2'!$AD16:$IM16,"غياب بدون عذر",'KG1-2'!$AD$7:$IM$7,"✓",'KG1-2'!$AD$6:$IM$6,1,'KG1-2'!$AD$5:$IM$5,"&gt;="&amp;MAX('KG1-2'!$U16,Rpt_PStart),'KG1-2'!$AD$5:$IM$5,"&lt;="&amp;Rpt_PEnd)+COUNTIFS('KG1-2'!$AD16:$IM16,"غياب بعذر",'KG1-2'!$AD$7:$IM$7,"✓",'KG1-2'!$AD$6:$IM$6,1,'KG1-2'!$AD$5:$IM$5,"&gt;="&amp;MAX('KG1-2'!$U16,Rpt_PStart),'KG1-2'!$AD$5:$IM$5,"&lt;="&amp;Rpt_PEnd)+COUNTIFS('KG1-2'!$AD16:$IM16,"متأخر",'KG1-2'!$AD$7:$IM$7,"✓",'KG1-2'!$AD$6:$IM$6,1,'KG1-2'!$AD$5:$IM$5,"&gt;="&amp;MAX('KG1-2'!$U16,Rpt_PStart),'KG1-2'!$AD$5:$IM$5,"&lt;="&amp;Rpt_PEnd))</f>
        <v/>
      </c>
      <c r="AT42" s="40">
        <f>IF(AP42=0,"",COUNTIFS('KG1-2'!$AD16:$IM16,"غياب بدون عذر",'KG1-2'!$AD$7:$IM$7,"✓",'KG1-2'!$AD$6:$IM$6,1,'KG1-2'!$AD$5:$IM$5,"&gt;="&amp;MAX('KG1-2'!$U16,Rpt_PStart),'KG1-2'!$AD$5:$IM$5,"&lt;="&amp;Rpt_PEnd)+COUNTIFS('KG1-2'!$AD16:$IM16,"غياب بعذر",'KG1-2'!$AD$7:$IM$7,"✓",'KG1-2'!$AD$6:$IM$6,1,'KG1-2'!$AD$5:$IM$5,"&gt;="&amp;MAX('KG1-2'!$U16,Rpt_PStart),'KG1-2'!$AD$5:$IM$5,"&lt;="&amp;Rpt_PEnd))</f>
        <v/>
      </c>
      <c r="AU42" s="40" t="n">
        <v>2</v>
      </c>
      <c r="AV42" s="40" t="n">
        <v>8</v>
      </c>
      <c r="AW42" s="40">
        <f>IF(OR(AP42=0,Rpt_DayIdx=0),"",IF(INDEX('KG1-2'!$AD$7:$IM$7,Rpt_DayIdx)&lt;&gt;"✓","",IF(INDEX('KG1-2'!$AD16:$IM16,Rpt_DayIdx)="","P",IFERROR(INDEX(StatusCodes,MATCH(INDEX('KG1-2'!$AD16:$IM16,Rpt_DayIdx),StatusLabels,0)),""))))</f>
        <v/>
      </c>
      <c r="AX42" s="40">
        <f>IF(AND(AP42=1,OR(AW42="A",AW42="E")),COUNTIFS($AP$5:AP42,1,$AW$5:AW42,"A")+COUNTIFS($AP$5:AP42,1,$AW$5:AW42,"E"),"")</f>
        <v/>
      </c>
    </row>
    <row r="43">
      <c r="A43" s="148">
        <f>IF(B43="","",ROW()-4)</f>
        <v/>
      </c>
      <c r="B43" s="148">
        <f>IF('KG1-2'!$B17="","",'KG1-2'!$B17)</f>
        <v/>
      </c>
      <c r="C43" s="146">
        <f>IF('KG1-2'!$C17="","",'KG1-2'!$C17)</f>
        <v/>
      </c>
      <c r="D43" s="148">
        <f>IF(B43="","",'KG1-2'!$B$2)</f>
        <v/>
      </c>
      <c r="E43" s="148">
        <f>IF(B43="","",MID(D43,FIND("-",D43&amp;"-")+1,10))</f>
        <v/>
      </c>
      <c r="F43" s="148">
        <f>IF(B43="","","نشط")</f>
        <v/>
      </c>
      <c r="G43" s="157">
        <f>IF(B43="","","")</f>
        <v/>
      </c>
      <c r="H43" s="146">
        <f>IF('KG1-2'!$K17="","",'KG1-2'!$K17)</f>
        <v/>
      </c>
      <c r="I43" s="148">
        <f>IF('KG1-2'!$J17="","",'KG1-2'!$J17)</f>
        <v/>
      </c>
      <c r="J43" s="148">
        <f>IF('KG1-2'!$M17="","",'KG1-2'!$M17)</f>
        <v/>
      </c>
      <c r="K43" s="148">
        <f>IF('KG1-2'!$N17="","",'KG1-2'!$N17)</f>
        <v/>
      </c>
      <c r="L43" s="148">
        <f>IF('KG1-2'!$D17="","",'KG1-2'!$D17)</f>
        <v/>
      </c>
      <c r="M43" s="148">
        <f>IF('KG1-2'!$E17="","",'KG1-2'!$E17)</f>
        <v/>
      </c>
      <c r="N43" s="148">
        <f>IF('KG1-2'!$F17="","",'KG1-2'!$F17)</f>
        <v/>
      </c>
      <c r="O43" s="158">
        <f>IF('KG1-2'!$G17="","",'KG1-2'!$G17)</f>
        <v/>
      </c>
      <c r="P43" s="158">
        <f>IF('KG1-2'!$O17="","",'KG1-2'!$O17)</f>
        <v/>
      </c>
      <c r="Q43" s="148">
        <f>IF('KG1-2'!$T17="","",'KG1-2'!$T17)</f>
        <v/>
      </c>
      <c r="R43" s="146">
        <f>IF('KG1-2'!$H17="","",'KG1-2'!$H17)</f>
        <v/>
      </c>
      <c r="S43" s="157">
        <f>IF('KG1-2'!$P17="","",'KG1-2'!$P17)</f>
        <v/>
      </c>
      <c r="T43" s="157">
        <f>IF('KG1-2'!$V17="","",'KG1-2'!$V17)</f>
        <v/>
      </c>
      <c r="U43" s="157">
        <f>IF('KG1-2'!$W17="","",'KG1-2'!$W17)</f>
        <v/>
      </c>
      <c r="V43" s="157">
        <f>IF('KG1-2'!$X17="","",'KG1-2'!$X17)</f>
        <v/>
      </c>
      <c r="W43" s="157">
        <f>IF('KG1-2'!$Y17="","",'KG1-2'!$Y17)</f>
        <v/>
      </c>
      <c r="X43" s="157">
        <f>IF('KG1-2'!$R17="","",'KG1-2'!$R17)</f>
        <v/>
      </c>
      <c r="Y43" s="148">
        <f>IF('KG1-2'!$S17="","",'KG1-2'!$S17)</f>
        <v/>
      </c>
      <c r="Z43" s="148">
        <f>IF('KG1-2'!$Q17="","",'KG1-2'!$Q17)</f>
        <v/>
      </c>
      <c r="AA43" s="148">
        <f>IF('KG1-2'!$I17="","",'KG1-2'!$I17)</f>
        <v/>
      </c>
      <c r="AB43" s="146">
        <f>IF(Q43="","",INDEX(LevelActions,MATCH(Q43,LevelValues,0)))</f>
        <v/>
      </c>
      <c r="AC43" s="148">
        <f>IF(J43="","",IF(J43=0,"—",IF(AND(L43=0,M43=0),Cat_L1,IF(O43&gt;=Cat_95,Cat_L2,IF(O43&gt;=Cat_90,Cat_L3,Cat_L4)))))</f>
        <v/>
      </c>
      <c r="AD43" s="146">
        <f>IF('KG1-2'!$L17="","",'KG1-2'!$L17)</f>
        <v/>
      </c>
      <c r="AE43" s="148">
        <f>IF(B43="","",IF(COUNTIF($B$5:$B$214,B43)&gt;1,"مكرر!",""))</f>
        <v/>
      </c>
      <c r="AF43" s="148">
        <f>IF(AND(B43&lt;&gt;"",F43="نشط",OR(Dash_Class="الكل",D43=Dash_Class)),1,0)</f>
        <v/>
      </c>
      <c r="AG43" s="40">
        <f>IF(OR(AF43=0,Dash_DayIdx=0),"",IF(INDEX('KG1-2'!$AD$7:$IM$7,Dash_DayIdx)&lt;&gt;"✓","",IF(INDEX('KG1-2'!$AD17:$IM17,Dash_DayIdx)="","P",IFERROR(INDEX(StatusCodes,MATCH(INDEX('KG1-2'!$AD17:$IM17,Dash_DayIdx),StatusLabels,0)),""))))</f>
        <v/>
      </c>
      <c r="AH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IF(LateAsPresent="نعم",COUNTIFS('KG1-2'!$AD17:$IM17,"متأخر",'KG1-2'!$AD$7:$IM$7,"✓",'KG1-2'!$AD$6:$IM$6,1,'KG1-2'!$AD$5:$IM$5,"&gt;="&amp;MAX('KG1-2'!$U17,Dash_PStart),'KG1-2'!$AD$5:$IM$5,"&lt;="&amp;Dash_PEnd),0))</f>
        <v/>
      </c>
      <c r="AI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COUNTIFS('KG1-2'!$AD17:$IM17,"غياب بدون عذر",'KG1-2'!$AD$7:$IM$7,"✓",'KG1-2'!$AD$6:$IM$6,1,'KG1-2'!$AD$5:$IM$5,"&gt;="&amp;MAX('KG1-2'!$U17,Dash_PStart),'KG1-2'!$AD$5:$IM$5,"&lt;="&amp;Dash_PEnd)+COUNTIFS('KG1-2'!$AD17:$IM17,"غياب بعذر",'KG1-2'!$AD$7:$IM$7,"✓",'KG1-2'!$AD$6:$IM$6,1,'KG1-2'!$AD$5:$IM$5,"&gt;="&amp;MAX('KG1-2'!$U17,Dash_PStart),'KG1-2'!$AD$5:$IM$5,"&lt;="&amp;Dash_PEnd)+COUNTIFS('KG1-2'!$AD17:$IM17,"متأخر",'KG1-2'!$AD$7:$IM$7,"✓",'KG1-2'!$AD$6:$IM$6,1,'KG1-2'!$AD$5:$IM$5,"&gt;="&amp;MAX('KG1-2'!$U17,Dash_PStart),'KG1-2'!$AD$5:$IM$5,"&lt;="&amp;Dash_PEnd))</f>
        <v/>
      </c>
      <c r="AJ43" s="40">
        <f>IF(AF43=0,0,IF(W43=Dash_Date,Thr_Critical,IF(V43=Dash_Date,Thr_High,IF(U43=Dash_Date,Thr_Repeated,IF(T43=Dash_Date,Thr_FollowUp,0)))))</f>
        <v/>
      </c>
      <c r="AK43" s="40">
        <f>IF(AJ43&gt;0,COUNTIF($AJ$5:AJ43,"&gt;0"),"")</f>
        <v/>
      </c>
      <c r="AL43" s="40">
        <f>IF(AND(B43&lt;&gt;"",F43="نشط",Q43&lt;&gt;"",Q43&gt;0),L43*1000+(999-ROW()),"")</f>
        <v/>
      </c>
      <c r="AM43" s="40">
        <f>IF(AND(AF43=1,J43&lt;&gt;"",J43&gt;0),ROUND(O43*10000,0)*1000000+K43*1000+(999-ROW()),"")</f>
        <v/>
      </c>
      <c r="AN43" s="40">
        <f>IF(AND(AF43=1,J43&lt;&gt;"",J43&gt;0),(L43+M43)*10000000+ROUND((1-O43)*10000,0)*1000+(999-ROW()),"")</f>
        <v/>
      </c>
      <c r="AO43" s="40">
        <f>IF(AND(AF43=1,Q43&lt;&gt;"",Q43&gt;=Thr_Critical),L43*1000+(999-ROW()),"")</f>
        <v/>
      </c>
      <c r="AP43" s="40">
        <f>IF(AND(B43&lt;&gt;"",F43="نشط",OR(Rpt_Class="الكل",D43=Rpt_Class)),1,0)</f>
        <v/>
      </c>
      <c r="AQ43" s="40">
        <f>IF(AND(AP43=1,Q43&lt;&gt;"",Q43&gt;0),L43*1000+(999-ROW()),"")</f>
        <v/>
      </c>
      <c r="AR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IF(LateAsPresent="نعم",COUNTIFS('KG1-2'!$AD17:$IM17,"متأخر",'KG1-2'!$AD$7:$IM$7,"✓",'KG1-2'!$AD$6:$IM$6,1,'KG1-2'!$AD$5:$IM$5,"&gt;="&amp;MAX('KG1-2'!$U17,Rpt_PStart),'KG1-2'!$AD$5:$IM$5,"&lt;="&amp;Rpt_PEnd),0))</f>
        <v/>
      </c>
      <c r="AS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COUNTIFS('KG1-2'!$AD17:$IM17,"غياب بدون عذر",'KG1-2'!$AD$7:$IM$7,"✓",'KG1-2'!$AD$6:$IM$6,1,'KG1-2'!$AD$5:$IM$5,"&gt;="&amp;MAX('KG1-2'!$U17,Rpt_PStart),'KG1-2'!$AD$5:$IM$5,"&lt;="&amp;Rpt_PEnd)+COUNTIFS('KG1-2'!$AD17:$IM17,"غياب بعذر",'KG1-2'!$AD$7:$IM$7,"✓",'KG1-2'!$AD$6:$IM$6,1,'KG1-2'!$AD$5:$IM$5,"&gt;="&amp;MAX('KG1-2'!$U17,Rpt_PStart),'KG1-2'!$AD$5:$IM$5,"&lt;="&amp;Rpt_PEnd)+COUNTIFS('KG1-2'!$AD17:$IM17,"متأخر",'KG1-2'!$AD$7:$IM$7,"✓",'KG1-2'!$AD$6:$IM$6,1,'KG1-2'!$AD$5:$IM$5,"&gt;="&amp;MAX('KG1-2'!$U17,Rpt_PStart),'KG1-2'!$AD$5:$IM$5,"&lt;="&amp;Rpt_PEnd))</f>
        <v/>
      </c>
      <c r="AT43" s="40">
        <f>IF(AP43=0,"",COUNTIFS('KG1-2'!$AD17:$IM17,"غياب بدون عذر",'KG1-2'!$AD$7:$IM$7,"✓",'KG1-2'!$AD$6:$IM$6,1,'KG1-2'!$AD$5:$IM$5,"&gt;="&amp;MAX('KG1-2'!$U17,Rpt_PStart),'KG1-2'!$AD$5:$IM$5,"&lt;="&amp;Rpt_PEnd)+COUNTIFS('KG1-2'!$AD17:$IM17,"غياب بعذر",'KG1-2'!$AD$7:$IM$7,"✓",'KG1-2'!$AD$6:$IM$6,1,'KG1-2'!$AD$5:$IM$5,"&gt;="&amp;MAX('KG1-2'!$U17,Rpt_PStart),'KG1-2'!$AD$5:$IM$5,"&lt;="&amp;Rpt_PEnd))</f>
        <v/>
      </c>
      <c r="AU43" s="40" t="n">
        <v>2</v>
      </c>
      <c r="AV43" s="40" t="n">
        <v>9</v>
      </c>
      <c r="AW43" s="40">
        <f>IF(OR(AP43=0,Rpt_DayIdx=0),"",IF(INDEX('KG1-2'!$AD$7:$IM$7,Rpt_DayIdx)&lt;&gt;"✓","",IF(INDEX('KG1-2'!$AD17:$IM17,Rpt_DayIdx)="","P",IFERROR(INDEX(StatusCodes,MATCH(INDEX('KG1-2'!$AD17:$IM17,Rpt_DayIdx),StatusLabels,0)),""))))</f>
        <v/>
      </c>
      <c r="AX43" s="40">
        <f>IF(AND(AP43=1,OR(AW43="A",AW43="E")),COUNTIFS($AP$5:AP43,1,$AW$5:AW43,"A")+COUNTIFS($AP$5:AP43,1,$AW$5:AW43,"E"),"")</f>
        <v/>
      </c>
    </row>
    <row r="44">
      <c r="A44" s="148">
        <f>IF(B44="","",ROW()-4)</f>
        <v/>
      </c>
      <c r="B44" s="148">
        <f>IF('KG1-2'!$B18="","",'KG1-2'!$B18)</f>
        <v/>
      </c>
      <c r="C44" s="146">
        <f>IF('KG1-2'!$C18="","",'KG1-2'!$C18)</f>
        <v/>
      </c>
      <c r="D44" s="148">
        <f>IF(B44="","",'KG1-2'!$B$2)</f>
        <v/>
      </c>
      <c r="E44" s="148">
        <f>IF(B44="","",MID(D44,FIND("-",D44&amp;"-")+1,10))</f>
        <v/>
      </c>
      <c r="F44" s="148">
        <f>IF(B44="","","نشط")</f>
        <v/>
      </c>
      <c r="G44" s="157">
        <f>IF(B44="","","")</f>
        <v/>
      </c>
      <c r="H44" s="146">
        <f>IF('KG1-2'!$K18="","",'KG1-2'!$K18)</f>
        <v/>
      </c>
      <c r="I44" s="148">
        <f>IF('KG1-2'!$J18="","",'KG1-2'!$J18)</f>
        <v/>
      </c>
      <c r="J44" s="148">
        <f>IF('KG1-2'!$M18="","",'KG1-2'!$M18)</f>
        <v/>
      </c>
      <c r="K44" s="148">
        <f>IF('KG1-2'!$N18="","",'KG1-2'!$N18)</f>
        <v/>
      </c>
      <c r="L44" s="148">
        <f>IF('KG1-2'!$D18="","",'KG1-2'!$D18)</f>
        <v/>
      </c>
      <c r="M44" s="148">
        <f>IF('KG1-2'!$E18="","",'KG1-2'!$E18)</f>
        <v/>
      </c>
      <c r="N44" s="148">
        <f>IF('KG1-2'!$F18="","",'KG1-2'!$F18)</f>
        <v/>
      </c>
      <c r="O44" s="158">
        <f>IF('KG1-2'!$G18="","",'KG1-2'!$G18)</f>
        <v/>
      </c>
      <c r="P44" s="158">
        <f>IF('KG1-2'!$O18="","",'KG1-2'!$O18)</f>
        <v/>
      </c>
      <c r="Q44" s="148">
        <f>IF('KG1-2'!$T18="","",'KG1-2'!$T18)</f>
        <v/>
      </c>
      <c r="R44" s="146">
        <f>IF('KG1-2'!$H18="","",'KG1-2'!$H18)</f>
        <v/>
      </c>
      <c r="S44" s="157">
        <f>IF('KG1-2'!$P18="","",'KG1-2'!$P18)</f>
        <v/>
      </c>
      <c r="T44" s="157">
        <f>IF('KG1-2'!$V18="","",'KG1-2'!$V18)</f>
        <v/>
      </c>
      <c r="U44" s="157">
        <f>IF('KG1-2'!$W18="","",'KG1-2'!$W18)</f>
        <v/>
      </c>
      <c r="V44" s="157">
        <f>IF('KG1-2'!$X18="","",'KG1-2'!$X18)</f>
        <v/>
      </c>
      <c r="W44" s="157">
        <f>IF('KG1-2'!$Y18="","",'KG1-2'!$Y18)</f>
        <v/>
      </c>
      <c r="X44" s="157">
        <f>IF('KG1-2'!$R18="","",'KG1-2'!$R18)</f>
        <v/>
      </c>
      <c r="Y44" s="148">
        <f>IF('KG1-2'!$S18="","",'KG1-2'!$S18)</f>
        <v/>
      </c>
      <c r="Z44" s="148">
        <f>IF('KG1-2'!$Q18="","",'KG1-2'!$Q18)</f>
        <v/>
      </c>
      <c r="AA44" s="148">
        <f>IF('KG1-2'!$I18="","",'KG1-2'!$I18)</f>
        <v/>
      </c>
      <c r="AB44" s="146">
        <f>IF(Q44="","",INDEX(LevelActions,MATCH(Q44,LevelValues,0)))</f>
        <v/>
      </c>
      <c r="AC44" s="148">
        <f>IF(J44="","",IF(J44=0,"—",IF(AND(L44=0,M44=0),Cat_L1,IF(O44&gt;=Cat_95,Cat_L2,IF(O44&gt;=Cat_90,Cat_L3,Cat_L4)))))</f>
        <v/>
      </c>
      <c r="AD44" s="146">
        <f>IF('KG1-2'!$L18="","",'KG1-2'!$L18)</f>
        <v/>
      </c>
      <c r="AE44" s="148">
        <f>IF(B44="","",IF(COUNTIF($B$5:$B$214,B44)&gt;1,"مكرر!",""))</f>
        <v/>
      </c>
      <c r="AF44" s="148">
        <f>IF(AND(B44&lt;&gt;"",F44="نشط",OR(Dash_Class="الكل",D44=Dash_Class)),1,0)</f>
        <v/>
      </c>
      <c r="AG44" s="40">
        <f>IF(OR(AF44=0,Dash_DayIdx=0),"",IF(INDEX('KG1-2'!$AD$7:$IM$7,Dash_DayIdx)&lt;&gt;"✓","",IF(INDEX('KG1-2'!$AD18:$IM18,Dash_DayIdx)="","P",IFERROR(INDEX(StatusCodes,MATCH(INDEX('KG1-2'!$AD18:$IM18,Dash_DayIdx),StatusLabels,0)),""))))</f>
        <v/>
      </c>
      <c r="AH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IF(LateAsPresent="نعم",COUNTIFS('KG1-2'!$AD18:$IM18,"متأخر",'KG1-2'!$AD$7:$IM$7,"✓",'KG1-2'!$AD$6:$IM$6,1,'KG1-2'!$AD$5:$IM$5,"&gt;="&amp;MAX('KG1-2'!$U18,Dash_PStart),'KG1-2'!$AD$5:$IM$5,"&lt;="&amp;Dash_PEnd),0))</f>
        <v/>
      </c>
      <c r="AI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COUNTIFS('KG1-2'!$AD18:$IM18,"غياب بدون عذر",'KG1-2'!$AD$7:$IM$7,"✓",'KG1-2'!$AD$6:$IM$6,1,'KG1-2'!$AD$5:$IM$5,"&gt;="&amp;MAX('KG1-2'!$U18,Dash_PStart),'KG1-2'!$AD$5:$IM$5,"&lt;="&amp;Dash_PEnd)+COUNTIFS('KG1-2'!$AD18:$IM18,"غياب بعذر",'KG1-2'!$AD$7:$IM$7,"✓",'KG1-2'!$AD$6:$IM$6,1,'KG1-2'!$AD$5:$IM$5,"&gt;="&amp;MAX('KG1-2'!$U18,Dash_PStart),'KG1-2'!$AD$5:$IM$5,"&lt;="&amp;Dash_PEnd)+COUNTIFS('KG1-2'!$AD18:$IM18,"متأخر",'KG1-2'!$AD$7:$IM$7,"✓",'KG1-2'!$AD$6:$IM$6,1,'KG1-2'!$AD$5:$IM$5,"&gt;="&amp;MAX('KG1-2'!$U18,Dash_PStart),'KG1-2'!$AD$5:$IM$5,"&lt;="&amp;Dash_PEnd))</f>
        <v/>
      </c>
      <c r="AJ44" s="40">
        <f>IF(AF44=0,0,IF(W44=Dash_Date,Thr_Critical,IF(V44=Dash_Date,Thr_High,IF(U44=Dash_Date,Thr_Repeated,IF(T44=Dash_Date,Thr_FollowUp,0)))))</f>
        <v/>
      </c>
      <c r="AK44" s="40">
        <f>IF(AJ44&gt;0,COUNTIF($AJ$5:AJ44,"&gt;0"),"")</f>
        <v/>
      </c>
      <c r="AL44" s="40">
        <f>IF(AND(B44&lt;&gt;"",F44="نشط",Q44&lt;&gt;"",Q44&gt;0),L44*1000+(999-ROW()),"")</f>
        <v/>
      </c>
      <c r="AM44" s="40">
        <f>IF(AND(AF44=1,J44&lt;&gt;"",J44&gt;0),ROUND(O44*10000,0)*1000000+K44*1000+(999-ROW()),"")</f>
        <v/>
      </c>
      <c r="AN44" s="40">
        <f>IF(AND(AF44=1,J44&lt;&gt;"",J44&gt;0),(L44+M44)*10000000+ROUND((1-O44)*10000,0)*1000+(999-ROW()),"")</f>
        <v/>
      </c>
      <c r="AO44" s="40">
        <f>IF(AND(AF44=1,Q44&lt;&gt;"",Q44&gt;=Thr_Critical),L44*1000+(999-ROW()),"")</f>
        <v/>
      </c>
      <c r="AP44" s="40">
        <f>IF(AND(B44&lt;&gt;"",F44="نشط",OR(Rpt_Class="الكل",D44=Rpt_Class)),1,0)</f>
        <v/>
      </c>
      <c r="AQ44" s="40">
        <f>IF(AND(AP44=1,Q44&lt;&gt;"",Q44&gt;0),L44*1000+(999-ROW()),"")</f>
        <v/>
      </c>
      <c r="AR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IF(LateAsPresent="نعم",COUNTIFS('KG1-2'!$AD18:$IM18,"متأخر",'KG1-2'!$AD$7:$IM$7,"✓",'KG1-2'!$AD$6:$IM$6,1,'KG1-2'!$AD$5:$IM$5,"&gt;="&amp;MAX('KG1-2'!$U18,Rpt_PStart),'KG1-2'!$AD$5:$IM$5,"&lt;="&amp;Rpt_PEnd),0))</f>
        <v/>
      </c>
      <c r="AS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COUNTIFS('KG1-2'!$AD18:$IM18,"غياب بدون عذر",'KG1-2'!$AD$7:$IM$7,"✓",'KG1-2'!$AD$6:$IM$6,1,'KG1-2'!$AD$5:$IM$5,"&gt;="&amp;MAX('KG1-2'!$U18,Rpt_PStart),'KG1-2'!$AD$5:$IM$5,"&lt;="&amp;Rpt_PEnd)+COUNTIFS('KG1-2'!$AD18:$IM18,"غياب بعذر",'KG1-2'!$AD$7:$IM$7,"✓",'KG1-2'!$AD$6:$IM$6,1,'KG1-2'!$AD$5:$IM$5,"&gt;="&amp;MAX('KG1-2'!$U18,Rpt_PStart),'KG1-2'!$AD$5:$IM$5,"&lt;="&amp;Rpt_PEnd)+COUNTIFS('KG1-2'!$AD18:$IM18,"متأخر",'KG1-2'!$AD$7:$IM$7,"✓",'KG1-2'!$AD$6:$IM$6,1,'KG1-2'!$AD$5:$IM$5,"&gt;="&amp;MAX('KG1-2'!$U18,Rpt_PStart),'KG1-2'!$AD$5:$IM$5,"&lt;="&amp;Rpt_PEnd))</f>
        <v/>
      </c>
      <c r="AT44" s="40">
        <f>IF(AP44=0,"",COUNTIFS('KG1-2'!$AD18:$IM18,"غياب بدون عذر",'KG1-2'!$AD$7:$IM$7,"✓",'KG1-2'!$AD$6:$IM$6,1,'KG1-2'!$AD$5:$IM$5,"&gt;="&amp;MAX('KG1-2'!$U18,Rpt_PStart),'KG1-2'!$AD$5:$IM$5,"&lt;="&amp;Rpt_PEnd)+COUNTIFS('KG1-2'!$AD18:$IM18,"غياب بعذر",'KG1-2'!$AD$7:$IM$7,"✓",'KG1-2'!$AD$6:$IM$6,1,'KG1-2'!$AD$5:$IM$5,"&gt;="&amp;MAX('KG1-2'!$U18,Rpt_PStart),'KG1-2'!$AD$5:$IM$5,"&lt;="&amp;Rpt_PEnd))</f>
        <v/>
      </c>
      <c r="AU44" s="40" t="n">
        <v>2</v>
      </c>
      <c r="AV44" s="40" t="n">
        <v>10</v>
      </c>
      <c r="AW44" s="40">
        <f>IF(OR(AP44=0,Rpt_DayIdx=0),"",IF(INDEX('KG1-2'!$AD$7:$IM$7,Rpt_DayIdx)&lt;&gt;"✓","",IF(INDEX('KG1-2'!$AD18:$IM18,Rpt_DayIdx)="","P",IFERROR(INDEX(StatusCodes,MATCH(INDEX('KG1-2'!$AD18:$IM18,Rpt_DayIdx),StatusLabels,0)),""))))</f>
        <v/>
      </c>
      <c r="AX44" s="40">
        <f>IF(AND(AP44=1,OR(AW44="A",AW44="E")),COUNTIFS($AP$5:AP44,1,$AW$5:AW44,"A")+COUNTIFS($AP$5:AP44,1,$AW$5:AW44,"E"),"")</f>
        <v/>
      </c>
    </row>
    <row r="45">
      <c r="A45" s="148">
        <f>IF(B45="","",ROW()-4)</f>
        <v/>
      </c>
      <c r="B45" s="148">
        <f>IF('KG1-2'!$B19="","",'KG1-2'!$B19)</f>
        <v/>
      </c>
      <c r="C45" s="146">
        <f>IF('KG1-2'!$C19="","",'KG1-2'!$C19)</f>
        <v/>
      </c>
      <c r="D45" s="148">
        <f>IF(B45="","",'KG1-2'!$B$2)</f>
        <v/>
      </c>
      <c r="E45" s="148">
        <f>IF(B45="","",MID(D45,FIND("-",D45&amp;"-")+1,10))</f>
        <v/>
      </c>
      <c r="F45" s="148">
        <f>IF(B45="","","نشط")</f>
        <v/>
      </c>
      <c r="G45" s="157">
        <f>IF(B45="","","")</f>
        <v/>
      </c>
      <c r="H45" s="146">
        <f>IF('KG1-2'!$K19="","",'KG1-2'!$K19)</f>
        <v/>
      </c>
      <c r="I45" s="148">
        <f>IF('KG1-2'!$J19="","",'KG1-2'!$J19)</f>
        <v/>
      </c>
      <c r="J45" s="148">
        <f>IF('KG1-2'!$M19="","",'KG1-2'!$M19)</f>
        <v/>
      </c>
      <c r="K45" s="148">
        <f>IF('KG1-2'!$N19="","",'KG1-2'!$N19)</f>
        <v/>
      </c>
      <c r="L45" s="148">
        <f>IF('KG1-2'!$D19="","",'KG1-2'!$D19)</f>
        <v/>
      </c>
      <c r="M45" s="148">
        <f>IF('KG1-2'!$E19="","",'KG1-2'!$E19)</f>
        <v/>
      </c>
      <c r="N45" s="148">
        <f>IF('KG1-2'!$F19="","",'KG1-2'!$F19)</f>
        <v/>
      </c>
      <c r="O45" s="158">
        <f>IF('KG1-2'!$G19="","",'KG1-2'!$G19)</f>
        <v/>
      </c>
      <c r="P45" s="158">
        <f>IF('KG1-2'!$O19="","",'KG1-2'!$O19)</f>
        <v/>
      </c>
      <c r="Q45" s="148">
        <f>IF('KG1-2'!$T19="","",'KG1-2'!$T19)</f>
        <v/>
      </c>
      <c r="R45" s="146">
        <f>IF('KG1-2'!$H19="","",'KG1-2'!$H19)</f>
        <v/>
      </c>
      <c r="S45" s="157">
        <f>IF('KG1-2'!$P19="","",'KG1-2'!$P19)</f>
        <v/>
      </c>
      <c r="T45" s="157">
        <f>IF('KG1-2'!$V19="","",'KG1-2'!$V19)</f>
        <v/>
      </c>
      <c r="U45" s="157">
        <f>IF('KG1-2'!$W19="","",'KG1-2'!$W19)</f>
        <v/>
      </c>
      <c r="V45" s="157">
        <f>IF('KG1-2'!$X19="","",'KG1-2'!$X19)</f>
        <v/>
      </c>
      <c r="W45" s="157">
        <f>IF('KG1-2'!$Y19="","",'KG1-2'!$Y19)</f>
        <v/>
      </c>
      <c r="X45" s="157">
        <f>IF('KG1-2'!$R19="","",'KG1-2'!$R19)</f>
        <v/>
      </c>
      <c r="Y45" s="148">
        <f>IF('KG1-2'!$S19="","",'KG1-2'!$S19)</f>
        <v/>
      </c>
      <c r="Z45" s="148">
        <f>IF('KG1-2'!$Q19="","",'KG1-2'!$Q19)</f>
        <v/>
      </c>
      <c r="AA45" s="148">
        <f>IF('KG1-2'!$I19="","",'KG1-2'!$I19)</f>
        <v/>
      </c>
      <c r="AB45" s="146">
        <f>IF(Q45="","",INDEX(LevelActions,MATCH(Q45,LevelValues,0)))</f>
        <v/>
      </c>
      <c r="AC45" s="148">
        <f>IF(J45="","",IF(J45=0,"—",IF(AND(L45=0,M45=0),Cat_L1,IF(O45&gt;=Cat_95,Cat_L2,IF(O45&gt;=Cat_90,Cat_L3,Cat_L4)))))</f>
        <v/>
      </c>
      <c r="AD45" s="146">
        <f>IF('KG1-2'!$L19="","",'KG1-2'!$L19)</f>
        <v/>
      </c>
      <c r="AE45" s="148">
        <f>IF(B45="","",IF(COUNTIF($B$5:$B$214,B45)&gt;1,"مكرر!",""))</f>
        <v/>
      </c>
      <c r="AF45" s="148">
        <f>IF(AND(B45&lt;&gt;"",F45="نشط",OR(Dash_Class="الكل",D45=Dash_Class)),1,0)</f>
        <v/>
      </c>
      <c r="AG45" s="40">
        <f>IF(OR(AF45=0,Dash_DayIdx=0),"",IF(INDEX('KG1-2'!$AD$7:$IM$7,Dash_DayIdx)&lt;&gt;"✓","",IF(INDEX('KG1-2'!$AD19:$IM19,Dash_DayIdx)="","P",IFERROR(INDEX(StatusCodes,MATCH(INDEX('KG1-2'!$AD19:$IM19,Dash_DayIdx),StatusLabels,0)),""))))</f>
        <v/>
      </c>
      <c r="AH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IF(LateAsPresent="نعم",COUNTIFS('KG1-2'!$AD19:$IM19,"متأخر",'KG1-2'!$AD$7:$IM$7,"✓",'KG1-2'!$AD$6:$IM$6,1,'KG1-2'!$AD$5:$IM$5,"&gt;="&amp;MAX('KG1-2'!$U19,Dash_PStart),'KG1-2'!$AD$5:$IM$5,"&lt;="&amp;Dash_PEnd),0))</f>
        <v/>
      </c>
      <c r="AI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COUNTIFS('KG1-2'!$AD19:$IM19,"غياب بدون عذر",'KG1-2'!$AD$7:$IM$7,"✓",'KG1-2'!$AD$6:$IM$6,1,'KG1-2'!$AD$5:$IM$5,"&gt;="&amp;MAX('KG1-2'!$U19,Dash_PStart),'KG1-2'!$AD$5:$IM$5,"&lt;="&amp;Dash_PEnd)+COUNTIFS('KG1-2'!$AD19:$IM19,"غياب بعذر",'KG1-2'!$AD$7:$IM$7,"✓",'KG1-2'!$AD$6:$IM$6,1,'KG1-2'!$AD$5:$IM$5,"&gt;="&amp;MAX('KG1-2'!$U19,Dash_PStart),'KG1-2'!$AD$5:$IM$5,"&lt;="&amp;Dash_PEnd)+COUNTIFS('KG1-2'!$AD19:$IM19,"متأخر",'KG1-2'!$AD$7:$IM$7,"✓",'KG1-2'!$AD$6:$IM$6,1,'KG1-2'!$AD$5:$IM$5,"&gt;="&amp;MAX('KG1-2'!$U19,Dash_PStart),'KG1-2'!$AD$5:$IM$5,"&lt;="&amp;Dash_PEnd))</f>
        <v/>
      </c>
      <c r="AJ45" s="40">
        <f>IF(AF45=0,0,IF(W45=Dash_Date,Thr_Critical,IF(V45=Dash_Date,Thr_High,IF(U45=Dash_Date,Thr_Repeated,IF(T45=Dash_Date,Thr_FollowUp,0)))))</f>
        <v/>
      </c>
      <c r="AK45" s="40">
        <f>IF(AJ45&gt;0,COUNTIF($AJ$5:AJ45,"&gt;0"),"")</f>
        <v/>
      </c>
      <c r="AL45" s="40">
        <f>IF(AND(B45&lt;&gt;"",F45="نشط",Q45&lt;&gt;"",Q45&gt;0),L45*1000+(999-ROW()),"")</f>
        <v/>
      </c>
      <c r="AM45" s="40">
        <f>IF(AND(AF45=1,J45&lt;&gt;"",J45&gt;0),ROUND(O45*10000,0)*1000000+K45*1000+(999-ROW()),"")</f>
        <v/>
      </c>
      <c r="AN45" s="40">
        <f>IF(AND(AF45=1,J45&lt;&gt;"",J45&gt;0),(L45+M45)*10000000+ROUND((1-O45)*10000,0)*1000+(999-ROW()),"")</f>
        <v/>
      </c>
      <c r="AO45" s="40">
        <f>IF(AND(AF45=1,Q45&lt;&gt;"",Q45&gt;=Thr_Critical),L45*1000+(999-ROW()),"")</f>
        <v/>
      </c>
      <c r="AP45" s="40">
        <f>IF(AND(B45&lt;&gt;"",F45="نشط",OR(Rpt_Class="الكل",D45=Rpt_Class)),1,0)</f>
        <v/>
      </c>
      <c r="AQ45" s="40">
        <f>IF(AND(AP45=1,Q45&lt;&gt;"",Q45&gt;0),L45*1000+(999-ROW()),"")</f>
        <v/>
      </c>
      <c r="AR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IF(LateAsPresent="نعم",COUNTIFS('KG1-2'!$AD19:$IM19,"متأخر",'KG1-2'!$AD$7:$IM$7,"✓",'KG1-2'!$AD$6:$IM$6,1,'KG1-2'!$AD$5:$IM$5,"&gt;="&amp;MAX('KG1-2'!$U19,Rpt_PStart),'KG1-2'!$AD$5:$IM$5,"&lt;="&amp;Rpt_PEnd),0))</f>
        <v/>
      </c>
      <c r="AS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COUNTIFS('KG1-2'!$AD19:$IM19,"غياب بدون عذر",'KG1-2'!$AD$7:$IM$7,"✓",'KG1-2'!$AD$6:$IM$6,1,'KG1-2'!$AD$5:$IM$5,"&gt;="&amp;MAX('KG1-2'!$U19,Rpt_PStart),'KG1-2'!$AD$5:$IM$5,"&lt;="&amp;Rpt_PEnd)+COUNTIFS('KG1-2'!$AD19:$IM19,"غياب بعذر",'KG1-2'!$AD$7:$IM$7,"✓",'KG1-2'!$AD$6:$IM$6,1,'KG1-2'!$AD$5:$IM$5,"&gt;="&amp;MAX('KG1-2'!$U19,Rpt_PStart),'KG1-2'!$AD$5:$IM$5,"&lt;="&amp;Rpt_PEnd)+COUNTIFS('KG1-2'!$AD19:$IM19,"متأخر",'KG1-2'!$AD$7:$IM$7,"✓",'KG1-2'!$AD$6:$IM$6,1,'KG1-2'!$AD$5:$IM$5,"&gt;="&amp;MAX('KG1-2'!$U19,Rpt_PStart),'KG1-2'!$AD$5:$IM$5,"&lt;="&amp;Rpt_PEnd))</f>
        <v/>
      </c>
      <c r="AT45" s="40">
        <f>IF(AP45=0,"",COUNTIFS('KG1-2'!$AD19:$IM19,"غياب بدون عذر",'KG1-2'!$AD$7:$IM$7,"✓",'KG1-2'!$AD$6:$IM$6,1,'KG1-2'!$AD$5:$IM$5,"&gt;="&amp;MAX('KG1-2'!$U19,Rpt_PStart),'KG1-2'!$AD$5:$IM$5,"&lt;="&amp;Rpt_PEnd)+COUNTIFS('KG1-2'!$AD19:$IM19,"غياب بعذر",'KG1-2'!$AD$7:$IM$7,"✓",'KG1-2'!$AD$6:$IM$6,1,'KG1-2'!$AD$5:$IM$5,"&gt;="&amp;MAX('KG1-2'!$U19,Rpt_PStart),'KG1-2'!$AD$5:$IM$5,"&lt;="&amp;Rpt_PEnd))</f>
        <v/>
      </c>
      <c r="AU45" s="40" t="n">
        <v>2</v>
      </c>
      <c r="AV45" s="40" t="n">
        <v>11</v>
      </c>
      <c r="AW45" s="40">
        <f>IF(OR(AP45=0,Rpt_DayIdx=0),"",IF(INDEX('KG1-2'!$AD$7:$IM$7,Rpt_DayIdx)&lt;&gt;"✓","",IF(INDEX('KG1-2'!$AD19:$IM19,Rpt_DayIdx)="","P",IFERROR(INDEX(StatusCodes,MATCH(INDEX('KG1-2'!$AD19:$IM19,Rpt_DayIdx),StatusLabels,0)),""))))</f>
        <v/>
      </c>
      <c r="AX45" s="40">
        <f>IF(AND(AP45=1,OR(AW45="A",AW45="E")),COUNTIFS($AP$5:AP45,1,$AW$5:AW45,"A")+COUNTIFS($AP$5:AP45,1,$AW$5:AW45,"E"),"")</f>
        <v/>
      </c>
    </row>
    <row r="46">
      <c r="A46" s="148">
        <f>IF(B46="","",ROW()-4)</f>
        <v/>
      </c>
      <c r="B46" s="148">
        <f>IF('KG1-2'!$B20="","",'KG1-2'!$B20)</f>
        <v/>
      </c>
      <c r="C46" s="146">
        <f>IF('KG1-2'!$C20="","",'KG1-2'!$C20)</f>
        <v/>
      </c>
      <c r="D46" s="148">
        <f>IF(B46="","",'KG1-2'!$B$2)</f>
        <v/>
      </c>
      <c r="E46" s="148">
        <f>IF(B46="","",MID(D46,FIND("-",D46&amp;"-")+1,10))</f>
        <v/>
      </c>
      <c r="F46" s="148">
        <f>IF(B46="","","نشط")</f>
        <v/>
      </c>
      <c r="G46" s="157">
        <f>IF(B46="","","")</f>
        <v/>
      </c>
      <c r="H46" s="146">
        <f>IF('KG1-2'!$K20="","",'KG1-2'!$K20)</f>
        <v/>
      </c>
      <c r="I46" s="148">
        <f>IF('KG1-2'!$J20="","",'KG1-2'!$J20)</f>
        <v/>
      </c>
      <c r="J46" s="148">
        <f>IF('KG1-2'!$M20="","",'KG1-2'!$M20)</f>
        <v/>
      </c>
      <c r="K46" s="148">
        <f>IF('KG1-2'!$N20="","",'KG1-2'!$N20)</f>
        <v/>
      </c>
      <c r="L46" s="148">
        <f>IF('KG1-2'!$D20="","",'KG1-2'!$D20)</f>
        <v/>
      </c>
      <c r="M46" s="148">
        <f>IF('KG1-2'!$E20="","",'KG1-2'!$E20)</f>
        <v/>
      </c>
      <c r="N46" s="148">
        <f>IF('KG1-2'!$F20="","",'KG1-2'!$F20)</f>
        <v/>
      </c>
      <c r="O46" s="158">
        <f>IF('KG1-2'!$G20="","",'KG1-2'!$G20)</f>
        <v/>
      </c>
      <c r="P46" s="158">
        <f>IF('KG1-2'!$O20="","",'KG1-2'!$O20)</f>
        <v/>
      </c>
      <c r="Q46" s="148">
        <f>IF('KG1-2'!$T20="","",'KG1-2'!$T20)</f>
        <v/>
      </c>
      <c r="R46" s="146">
        <f>IF('KG1-2'!$H20="","",'KG1-2'!$H20)</f>
        <v/>
      </c>
      <c r="S46" s="157">
        <f>IF('KG1-2'!$P20="","",'KG1-2'!$P20)</f>
        <v/>
      </c>
      <c r="T46" s="157">
        <f>IF('KG1-2'!$V20="","",'KG1-2'!$V20)</f>
        <v/>
      </c>
      <c r="U46" s="157">
        <f>IF('KG1-2'!$W20="","",'KG1-2'!$W20)</f>
        <v/>
      </c>
      <c r="V46" s="157">
        <f>IF('KG1-2'!$X20="","",'KG1-2'!$X20)</f>
        <v/>
      </c>
      <c r="W46" s="157">
        <f>IF('KG1-2'!$Y20="","",'KG1-2'!$Y20)</f>
        <v/>
      </c>
      <c r="X46" s="157">
        <f>IF('KG1-2'!$R20="","",'KG1-2'!$R20)</f>
        <v/>
      </c>
      <c r="Y46" s="148">
        <f>IF('KG1-2'!$S20="","",'KG1-2'!$S20)</f>
        <v/>
      </c>
      <c r="Z46" s="148">
        <f>IF('KG1-2'!$Q20="","",'KG1-2'!$Q20)</f>
        <v/>
      </c>
      <c r="AA46" s="148">
        <f>IF('KG1-2'!$I20="","",'KG1-2'!$I20)</f>
        <v/>
      </c>
      <c r="AB46" s="146">
        <f>IF(Q46="","",INDEX(LevelActions,MATCH(Q46,LevelValues,0)))</f>
        <v/>
      </c>
      <c r="AC46" s="148">
        <f>IF(J46="","",IF(J46=0,"—",IF(AND(L46=0,M46=0),Cat_L1,IF(O46&gt;=Cat_95,Cat_L2,IF(O46&gt;=Cat_90,Cat_L3,Cat_L4)))))</f>
        <v/>
      </c>
      <c r="AD46" s="146">
        <f>IF('KG1-2'!$L20="","",'KG1-2'!$L20)</f>
        <v/>
      </c>
      <c r="AE46" s="148">
        <f>IF(B46="","",IF(COUNTIF($B$5:$B$214,B46)&gt;1,"مكرر!",""))</f>
        <v/>
      </c>
      <c r="AF46" s="148">
        <f>IF(AND(B46&lt;&gt;"",F46="نشط",OR(Dash_Class="الكل",D46=Dash_Class)),1,0)</f>
        <v/>
      </c>
      <c r="AG46" s="40">
        <f>IF(OR(AF46=0,Dash_DayIdx=0),"",IF(INDEX('KG1-2'!$AD$7:$IM$7,Dash_DayIdx)&lt;&gt;"✓","",IF(INDEX('KG1-2'!$AD20:$IM20,Dash_DayIdx)="","P",IFERROR(INDEX(StatusCodes,MATCH(INDEX('KG1-2'!$AD20:$IM20,Dash_DayIdx),StatusLabels,0)),""))))</f>
        <v/>
      </c>
      <c r="AH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IF(LateAsPresent="نعم",COUNTIFS('KG1-2'!$AD20:$IM20,"متأخر",'KG1-2'!$AD$7:$IM$7,"✓",'KG1-2'!$AD$6:$IM$6,1,'KG1-2'!$AD$5:$IM$5,"&gt;="&amp;MAX('KG1-2'!$U20,Dash_PStart),'KG1-2'!$AD$5:$IM$5,"&lt;="&amp;Dash_PEnd),0))</f>
        <v/>
      </c>
      <c r="AI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COUNTIFS('KG1-2'!$AD20:$IM20,"غياب بدون عذر",'KG1-2'!$AD$7:$IM$7,"✓",'KG1-2'!$AD$6:$IM$6,1,'KG1-2'!$AD$5:$IM$5,"&gt;="&amp;MAX('KG1-2'!$U20,Dash_PStart),'KG1-2'!$AD$5:$IM$5,"&lt;="&amp;Dash_PEnd)+COUNTIFS('KG1-2'!$AD20:$IM20,"غياب بعذر",'KG1-2'!$AD$7:$IM$7,"✓",'KG1-2'!$AD$6:$IM$6,1,'KG1-2'!$AD$5:$IM$5,"&gt;="&amp;MAX('KG1-2'!$U20,Dash_PStart),'KG1-2'!$AD$5:$IM$5,"&lt;="&amp;Dash_PEnd)+COUNTIFS('KG1-2'!$AD20:$IM20,"متأخر",'KG1-2'!$AD$7:$IM$7,"✓",'KG1-2'!$AD$6:$IM$6,1,'KG1-2'!$AD$5:$IM$5,"&gt;="&amp;MAX('KG1-2'!$U20,Dash_PStart),'KG1-2'!$AD$5:$IM$5,"&lt;="&amp;Dash_PEnd))</f>
        <v/>
      </c>
      <c r="AJ46" s="40">
        <f>IF(AF46=0,0,IF(W46=Dash_Date,Thr_Critical,IF(V46=Dash_Date,Thr_High,IF(U46=Dash_Date,Thr_Repeated,IF(T46=Dash_Date,Thr_FollowUp,0)))))</f>
        <v/>
      </c>
      <c r="AK46" s="40">
        <f>IF(AJ46&gt;0,COUNTIF($AJ$5:AJ46,"&gt;0"),"")</f>
        <v/>
      </c>
      <c r="AL46" s="40">
        <f>IF(AND(B46&lt;&gt;"",F46="نشط",Q46&lt;&gt;"",Q46&gt;0),L46*1000+(999-ROW()),"")</f>
        <v/>
      </c>
      <c r="AM46" s="40">
        <f>IF(AND(AF46=1,J46&lt;&gt;"",J46&gt;0),ROUND(O46*10000,0)*1000000+K46*1000+(999-ROW()),"")</f>
        <v/>
      </c>
      <c r="AN46" s="40">
        <f>IF(AND(AF46=1,J46&lt;&gt;"",J46&gt;0),(L46+M46)*10000000+ROUND((1-O46)*10000,0)*1000+(999-ROW()),"")</f>
        <v/>
      </c>
      <c r="AO46" s="40">
        <f>IF(AND(AF46=1,Q46&lt;&gt;"",Q46&gt;=Thr_Critical),L46*1000+(999-ROW()),"")</f>
        <v/>
      </c>
      <c r="AP46" s="40">
        <f>IF(AND(B46&lt;&gt;"",F46="نشط",OR(Rpt_Class="الكل",D46=Rpt_Class)),1,0)</f>
        <v/>
      </c>
      <c r="AQ46" s="40">
        <f>IF(AND(AP46=1,Q46&lt;&gt;"",Q46&gt;0),L46*1000+(999-ROW()),"")</f>
        <v/>
      </c>
      <c r="AR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IF(LateAsPresent="نعم",COUNTIFS('KG1-2'!$AD20:$IM20,"متأخر",'KG1-2'!$AD$7:$IM$7,"✓",'KG1-2'!$AD$6:$IM$6,1,'KG1-2'!$AD$5:$IM$5,"&gt;="&amp;MAX('KG1-2'!$U20,Rpt_PStart),'KG1-2'!$AD$5:$IM$5,"&lt;="&amp;Rpt_PEnd),0))</f>
        <v/>
      </c>
      <c r="AS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COUNTIFS('KG1-2'!$AD20:$IM20,"غياب بدون عذر",'KG1-2'!$AD$7:$IM$7,"✓",'KG1-2'!$AD$6:$IM$6,1,'KG1-2'!$AD$5:$IM$5,"&gt;="&amp;MAX('KG1-2'!$U20,Rpt_PStart),'KG1-2'!$AD$5:$IM$5,"&lt;="&amp;Rpt_PEnd)+COUNTIFS('KG1-2'!$AD20:$IM20,"غياب بعذر",'KG1-2'!$AD$7:$IM$7,"✓",'KG1-2'!$AD$6:$IM$6,1,'KG1-2'!$AD$5:$IM$5,"&gt;="&amp;MAX('KG1-2'!$U20,Rpt_PStart),'KG1-2'!$AD$5:$IM$5,"&lt;="&amp;Rpt_PEnd)+COUNTIFS('KG1-2'!$AD20:$IM20,"متأخر",'KG1-2'!$AD$7:$IM$7,"✓",'KG1-2'!$AD$6:$IM$6,1,'KG1-2'!$AD$5:$IM$5,"&gt;="&amp;MAX('KG1-2'!$U20,Rpt_PStart),'KG1-2'!$AD$5:$IM$5,"&lt;="&amp;Rpt_PEnd))</f>
        <v/>
      </c>
      <c r="AT46" s="40">
        <f>IF(AP46=0,"",COUNTIFS('KG1-2'!$AD20:$IM20,"غياب بدون عذر",'KG1-2'!$AD$7:$IM$7,"✓",'KG1-2'!$AD$6:$IM$6,1,'KG1-2'!$AD$5:$IM$5,"&gt;="&amp;MAX('KG1-2'!$U20,Rpt_PStart),'KG1-2'!$AD$5:$IM$5,"&lt;="&amp;Rpt_PEnd)+COUNTIFS('KG1-2'!$AD20:$IM20,"غياب بعذر",'KG1-2'!$AD$7:$IM$7,"✓",'KG1-2'!$AD$6:$IM$6,1,'KG1-2'!$AD$5:$IM$5,"&gt;="&amp;MAX('KG1-2'!$U20,Rpt_PStart),'KG1-2'!$AD$5:$IM$5,"&lt;="&amp;Rpt_PEnd))</f>
        <v/>
      </c>
      <c r="AU46" s="40" t="n">
        <v>2</v>
      </c>
      <c r="AV46" s="40" t="n">
        <v>12</v>
      </c>
      <c r="AW46" s="40">
        <f>IF(OR(AP46=0,Rpt_DayIdx=0),"",IF(INDEX('KG1-2'!$AD$7:$IM$7,Rpt_DayIdx)&lt;&gt;"✓","",IF(INDEX('KG1-2'!$AD20:$IM20,Rpt_DayIdx)="","P",IFERROR(INDEX(StatusCodes,MATCH(INDEX('KG1-2'!$AD20:$IM20,Rpt_DayIdx),StatusLabels,0)),""))))</f>
        <v/>
      </c>
      <c r="AX46" s="40">
        <f>IF(AND(AP46=1,OR(AW46="A",AW46="E")),COUNTIFS($AP$5:AP46,1,$AW$5:AW46,"A")+COUNTIFS($AP$5:AP46,1,$AW$5:AW46,"E"),"")</f>
        <v/>
      </c>
    </row>
    <row r="47">
      <c r="A47" s="148">
        <f>IF(B47="","",ROW()-4)</f>
        <v/>
      </c>
      <c r="B47" s="148">
        <f>IF('KG1-2'!$B21="","",'KG1-2'!$B21)</f>
        <v/>
      </c>
      <c r="C47" s="146">
        <f>IF('KG1-2'!$C21="","",'KG1-2'!$C21)</f>
        <v/>
      </c>
      <c r="D47" s="148">
        <f>IF(B47="","",'KG1-2'!$B$2)</f>
        <v/>
      </c>
      <c r="E47" s="148">
        <f>IF(B47="","",MID(D47,FIND("-",D47&amp;"-")+1,10))</f>
        <v/>
      </c>
      <c r="F47" s="148">
        <f>IF(B47="","","نشط")</f>
        <v/>
      </c>
      <c r="G47" s="157">
        <f>IF(B47="","","")</f>
        <v/>
      </c>
      <c r="H47" s="146">
        <f>IF('KG1-2'!$K21="","",'KG1-2'!$K21)</f>
        <v/>
      </c>
      <c r="I47" s="148">
        <f>IF('KG1-2'!$J21="","",'KG1-2'!$J21)</f>
        <v/>
      </c>
      <c r="J47" s="148">
        <f>IF('KG1-2'!$M21="","",'KG1-2'!$M21)</f>
        <v/>
      </c>
      <c r="K47" s="148">
        <f>IF('KG1-2'!$N21="","",'KG1-2'!$N21)</f>
        <v/>
      </c>
      <c r="L47" s="148">
        <f>IF('KG1-2'!$D21="","",'KG1-2'!$D21)</f>
        <v/>
      </c>
      <c r="M47" s="148">
        <f>IF('KG1-2'!$E21="","",'KG1-2'!$E21)</f>
        <v/>
      </c>
      <c r="N47" s="148">
        <f>IF('KG1-2'!$F21="","",'KG1-2'!$F21)</f>
        <v/>
      </c>
      <c r="O47" s="158">
        <f>IF('KG1-2'!$G21="","",'KG1-2'!$G21)</f>
        <v/>
      </c>
      <c r="P47" s="158">
        <f>IF('KG1-2'!$O21="","",'KG1-2'!$O21)</f>
        <v/>
      </c>
      <c r="Q47" s="148">
        <f>IF('KG1-2'!$T21="","",'KG1-2'!$T21)</f>
        <v/>
      </c>
      <c r="R47" s="146">
        <f>IF('KG1-2'!$H21="","",'KG1-2'!$H21)</f>
        <v/>
      </c>
      <c r="S47" s="157">
        <f>IF('KG1-2'!$P21="","",'KG1-2'!$P21)</f>
        <v/>
      </c>
      <c r="T47" s="157">
        <f>IF('KG1-2'!$V21="","",'KG1-2'!$V21)</f>
        <v/>
      </c>
      <c r="U47" s="157">
        <f>IF('KG1-2'!$W21="","",'KG1-2'!$W21)</f>
        <v/>
      </c>
      <c r="V47" s="157">
        <f>IF('KG1-2'!$X21="","",'KG1-2'!$X21)</f>
        <v/>
      </c>
      <c r="W47" s="157">
        <f>IF('KG1-2'!$Y21="","",'KG1-2'!$Y21)</f>
        <v/>
      </c>
      <c r="X47" s="157">
        <f>IF('KG1-2'!$R21="","",'KG1-2'!$R21)</f>
        <v/>
      </c>
      <c r="Y47" s="148">
        <f>IF('KG1-2'!$S21="","",'KG1-2'!$S21)</f>
        <v/>
      </c>
      <c r="Z47" s="148">
        <f>IF('KG1-2'!$Q21="","",'KG1-2'!$Q21)</f>
        <v/>
      </c>
      <c r="AA47" s="148">
        <f>IF('KG1-2'!$I21="","",'KG1-2'!$I21)</f>
        <v/>
      </c>
      <c r="AB47" s="146">
        <f>IF(Q47="","",INDEX(LevelActions,MATCH(Q47,LevelValues,0)))</f>
        <v/>
      </c>
      <c r="AC47" s="148">
        <f>IF(J47="","",IF(J47=0,"—",IF(AND(L47=0,M47=0),Cat_L1,IF(O47&gt;=Cat_95,Cat_L2,IF(O47&gt;=Cat_90,Cat_L3,Cat_L4)))))</f>
        <v/>
      </c>
      <c r="AD47" s="146">
        <f>IF('KG1-2'!$L21="","",'KG1-2'!$L21)</f>
        <v/>
      </c>
      <c r="AE47" s="148">
        <f>IF(B47="","",IF(COUNTIF($B$5:$B$214,B47)&gt;1,"مكرر!",""))</f>
        <v/>
      </c>
      <c r="AF47" s="148">
        <f>IF(AND(B47&lt;&gt;"",F47="نشط",OR(Dash_Class="الكل",D47=Dash_Class)),1,0)</f>
        <v/>
      </c>
      <c r="AG47" s="40">
        <f>IF(OR(AF47=0,Dash_DayIdx=0),"",IF(INDEX('KG1-2'!$AD$7:$IM$7,Dash_DayIdx)&lt;&gt;"✓","",IF(INDEX('KG1-2'!$AD21:$IM21,Dash_DayIdx)="","P",IFERROR(INDEX(StatusCodes,MATCH(INDEX('KG1-2'!$AD21:$IM21,Dash_DayIdx),StatusLabels,0)),""))))</f>
        <v/>
      </c>
      <c r="AH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IF(LateAsPresent="نعم",COUNTIFS('KG1-2'!$AD21:$IM21,"متأخر",'KG1-2'!$AD$7:$IM$7,"✓",'KG1-2'!$AD$6:$IM$6,1,'KG1-2'!$AD$5:$IM$5,"&gt;="&amp;MAX('KG1-2'!$U21,Dash_PStart),'KG1-2'!$AD$5:$IM$5,"&lt;="&amp;Dash_PEnd),0))</f>
        <v/>
      </c>
      <c r="AI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COUNTIFS('KG1-2'!$AD21:$IM21,"غياب بدون عذر",'KG1-2'!$AD$7:$IM$7,"✓",'KG1-2'!$AD$6:$IM$6,1,'KG1-2'!$AD$5:$IM$5,"&gt;="&amp;MAX('KG1-2'!$U21,Dash_PStart),'KG1-2'!$AD$5:$IM$5,"&lt;="&amp;Dash_PEnd)+COUNTIFS('KG1-2'!$AD21:$IM21,"غياب بعذر",'KG1-2'!$AD$7:$IM$7,"✓",'KG1-2'!$AD$6:$IM$6,1,'KG1-2'!$AD$5:$IM$5,"&gt;="&amp;MAX('KG1-2'!$U21,Dash_PStart),'KG1-2'!$AD$5:$IM$5,"&lt;="&amp;Dash_PEnd)+COUNTIFS('KG1-2'!$AD21:$IM21,"متأخر",'KG1-2'!$AD$7:$IM$7,"✓",'KG1-2'!$AD$6:$IM$6,1,'KG1-2'!$AD$5:$IM$5,"&gt;="&amp;MAX('KG1-2'!$U21,Dash_PStart),'KG1-2'!$AD$5:$IM$5,"&lt;="&amp;Dash_PEnd))</f>
        <v/>
      </c>
      <c r="AJ47" s="40">
        <f>IF(AF47=0,0,IF(W47=Dash_Date,Thr_Critical,IF(V47=Dash_Date,Thr_High,IF(U47=Dash_Date,Thr_Repeated,IF(T47=Dash_Date,Thr_FollowUp,0)))))</f>
        <v/>
      </c>
      <c r="AK47" s="40">
        <f>IF(AJ47&gt;0,COUNTIF($AJ$5:AJ47,"&gt;0"),"")</f>
        <v/>
      </c>
      <c r="AL47" s="40">
        <f>IF(AND(B47&lt;&gt;"",F47="نشط",Q47&lt;&gt;"",Q47&gt;0),L47*1000+(999-ROW()),"")</f>
        <v/>
      </c>
      <c r="AM47" s="40">
        <f>IF(AND(AF47=1,J47&lt;&gt;"",J47&gt;0),ROUND(O47*10000,0)*1000000+K47*1000+(999-ROW()),"")</f>
        <v/>
      </c>
      <c r="AN47" s="40">
        <f>IF(AND(AF47=1,J47&lt;&gt;"",J47&gt;0),(L47+M47)*10000000+ROUND((1-O47)*10000,0)*1000+(999-ROW()),"")</f>
        <v/>
      </c>
      <c r="AO47" s="40">
        <f>IF(AND(AF47=1,Q47&lt;&gt;"",Q47&gt;=Thr_Critical),L47*1000+(999-ROW()),"")</f>
        <v/>
      </c>
      <c r="AP47" s="40">
        <f>IF(AND(B47&lt;&gt;"",F47="نشط",OR(Rpt_Class="الكل",D47=Rpt_Class)),1,0)</f>
        <v/>
      </c>
      <c r="AQ47" s="40">
        <f>IF(AND(AP47=1,Q47&lt;&gt;"",Q47&gt;0),L47*1000+(999-ROW()),"")</f>
        <v/>
      </c>
      <c r="AR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IF(LateAsPresent="نعم",COUNTIFS('KG1-2'!$AD21:$IM21,"متأخر",'KG1-2'!$AD$7:$IM$7,"✓",'KG1-2'!$AD$6:$IM$6,1,'KG1-2'!$AD$5:$IM$5,"&gt;="&amp;MAX('KG1-2'!$U21,Rpt_PStart),'KG1-2'!$AD$5:$IM$5,"&lt;="&amp;Rpt_PEnd),0))</f>
        <v/>
      </c>
      <c r="AS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COUNTIFS('KG1-2'!$AD21:$IM21,"غياب بدون عذر",'KG1-2'!$AD$7:$IM$7,"✓",'KG1-2'!$AD$6:$IM$6,1,'KG1-2'!$AD$5:$IM$5,"&gt;="&amp;MAX('KG1-2'!$U21,Rpt_PStart),'KG1-2'!$AD$5:$IM$5,"&lt;="&amp;Rpt_PEnd)+COUNTIFS('KG1-2'!$AD21:$IM21,"غياب بعذر",'KG1-2'!$AD$7:$IM$7,"✓",'KG1-2'!$AD$6:$IM$6,1,'KG1-2'!$AD$5:$IM$5,"&gt;="&amp;MAX('KG1-2'!$U21,Rpt_PStart),'KG1-2'!$AD$5:$IM$5,"&lt;="&amp;Rpt_PEnd)+COUNTIFS('KG1-2'!$AD21:$IM21,"متأخر",'KG1-2'!$AD$7:$IM$7,"✓",'KG1-2'!$AD$6:$IM$6,1,'KG1-2'!$AD$5:$IM$5,"&gt;="&amp;MAX('KG1-2'!$U21,Rpt_PStart),'KG1-2'!$AD$5:$IM$5,"&lt;="&amp;Rpt_PEnd))</f>
        <v/>
      </c>
      <c r="AT47" s="40">
        <f>IF(AP47=0,"",COUNTIFS('KG1-2'!$AD21:$IM21,"غياب بدون عذر",'KG1-2'!$AD$7:$IM$7,"✓",'KG1-2'!$AD$6:$IM$6,1,'KG1-2'!$AD$5:$IM$5,"&gt;="&amp;MAX('KG1-2'!$U21,Rpt_PStart),'KG1-2'!$AD$5:$IM$5,"&lt;="&amp;Rpt_PEnd)+COUNTIFS('KG1-2'!$AD21:$IM21,"غياب بعذر",'KG1-2'!$AD$7:$IM$7,"✓",'KG1-2'!$AD$6:$IM$6,1,'KG1-2'!$AD$5:$IM$5,"&gt;="&amp;MAX('KG1-2'!$U21,Rpt_PStart),'KG1-2'!$AD$5:$IM$5,"&lt;="&amp;Rpt_PEnd))</f>
        <v/>
      </c>
      <c r="AU47" s="40" t="n">
        <v>2</v>
      </c>
      <c r="AV47" s="40" t="n">
        <v>13</v>
      </c>
      <c r="AW47" s="40">
        <f>IF(OR(AP47=0,Rpt_DayIdx=0),"",IF(INDEX('KG1-2'!$AD$7:$IM$7,Rpt_DayIdx)&lt;&gt;"✓","",IF(INDEX('KG1-2'!$AD21:$IM21,Rpt_DayIdx)="","P",IFERROR(INDEX(StatusCodes,MATCH(INDEX('KG1-2'!$AD21:$IM21,Rpt_DayIdx),StatusLabels,0)),""))))</f>
        <v/>
      </c>
      <c r="AX47" s="40">
        <f>IF(AND(AP47=1,OR(AW47="A",AW47="E")),COUNTIFS($AP$5:AP47,1,$AW$5:AW47,"A")+COUNTIFS($AP$5:AP47,1,$AW$5:AW47,"E"),"")</f>
        <v/>
      </c>
    </row>
    <row r="48">
      <c r="A48" s="148">
        <f>IF(B48="","",ROW()-4)</f>
        <v/>
      </c>
      <c r="B48" s="148">
        <f>IF('KG1-2'!$B22="","",'KG1-2'!$B22)</f>
        <v/>
      </c>
      <c r="C48" s="146">
        <f>IF('KG1-2'!$C22="","",'KG1-2'!$C22)</f>
        <v/>
      </c>
      <c r="D48" s="148">
        <f>IF(B48="","",'KG1-2'!$B$2)</f>
        <v/>
      </c>
      <c r="E48" s="148">
        <f>IF(B48="","",MID(D48,FIND("-",D48&amp;"-")+1,10))</f>
        <v/>
      </c>
      <c r="F48" s="148">
        <f>IF(B48="","","نشط")</f>
        <v/>
      </c>
      <c r="G48" s="157">
        <f>IF(B48="","","")</f>
        <v/>
      </c>
      <c r="H48" s="146">
        <f>IF('KG1-2'!$K22="","",'KG1-2'!$K22)</f>
        <v/>
      </c>
      <c r="I48" s="148">
        <f>IF('KG1-2'!$J22="","",'KG1-2'!$J22)</f>
        <v/>
      </c>
      <c r="J48" s="148">
        <f>IF('KG1-2'!$M22="","",'KG1-2'!$M22)</f>
        <v/>
      </c>
      <c r="K48" s="148">
        <f>IF('KG1-2'!$N22="","",'KG1-2'!$N22)</f>
        <v/>
      </c>
      <c r="L48" s="148">
        <f>IF('KG1-2'!$D22="","",'KG1-2'!$D22)</f>
        <v/>
      </c>
      <c r="M48" s="148">
        <f>IF('KG1-2'!$E22="","",'KG1-2'!$E22)</f>
        <v/>
      </c>
      <c r="N48" s="148">
        <f>IF('KG1-2'!$F22="","",'KG1-2'!$F22)</f>
        <v/>
      </c>
      <c r="O48" s="158">
        <f>IF('KG1-2'!$G22="","",'KG1-2'!$G22)</f>
        <v/>
      </c>
      <c r="P48" s="158">
        <f>IF('KG1-2'!$O22="","",'KG1-2'!$O22)</f>
        <v/>
      </c>
      <c r="Q48" s="148">
        <f>IF('KG1-2'!$T22="","",'KG1-2'!$T22)</f>
        <v/>
      </c>
      <c r="R48" s="146">
        <f>IF('KG1-2'!$H22="","",'KG1-2'!$H22)</f>
        <v/>
      </c>
      <c r="S48" s="157">
        <f>IF('KG1-2'!$P22="","",'KG1-2'!$P22)</f>
        <v/>
      </c>
      <c r="T48" s="157">
        <f>IF('KG1-2'!$V22="","",'KG1-2'!$V22)</f>
        <v/>
      </c>
      <c r="U48" s="157">
        <f>IF('KG1-2'!$W22="","",'KG1-2'!$W22)</f>
        <v/>
      </c>
      <c r="V48" s="157">
        <f>IF('KG1-2'!$X22="","",'KG1-2'!$X22)</f>
        <v/>
      </c>
      <c r="W48" s="157">
        <f>IF('KG1-2'!$Y22="","",'KG1-2'!$Y22)</f>
        <v/>
      </c>
      <c r="X48" s="157">
        <f>IF('KG1-2'!$R22="","",'KG1-2'!$R22)</f>
        <v/>
      </c>
      <c r="Y48" s="148">
        <f>IF('KG1-2'!$S22="","",'KG1-2'!$S22)</f>
        <v/>
      </c>
      <c r="Z48" s="148">
        <f>IF('KG1-2'!$Q22="","",'KG1-2'!$Q22)</f>
        <v/>
      </c>
      <c r="AA48" s="148">
        <f>IF('KG1-2'!$I22="","",'KG1-2'!$I22)</f>
        <v/>
      </c>
      <c r="AB48" s="146">
        <f>IF(Q48="","",INDEX(LevelActions,MATCH(Q48,LevelValues,0)))</f>
        <v/>
      </c>
      <c r="AC48" s="148">
        <f>IF(J48="","",IF(J48=0,"—",IF(AND(L48=0,M48=0),Cat_L1,IF(O48&gt;=Cat_95,Cat_L2,IF(O48&gt;=Cat_90,Cat_L3,Cat_L4)))))</f>
        <v/>
      </c>
      <c r="AD48" s="146">
        <f>IF('KG1-2'!$L22="","",'KG1-2'!$L22)</f>
        <v/>
      </c>
      <c r="AE48" s="148">
        <f>IF(B48="","",IF(COUNTIF($B$5:$B$214,B48)&gt;1,"مكرر!",""))</f>
        <v/>
      </c>
      <c r="AF48" s="148">
        <f>IF(AND(B48&lt;&gt;"",F48="نشط",OR(Dash_Class="الكل",D48=Dash_Class)),1,0)</f>
        <v/>
      </c>
      <c r="AG48" s="40">
        <f>IF(OR(AF48=0,Dash_DayIdx=0),"",IF(INDEX('KG1-2'!$AD$7:$IM$7,Dash_DayIdx)&lt;&gt;"✓","",IF(INDEX('KG1-2'!$AD22:$IM22,Dash_DayIdx)="","P",IFERROR(INDEX(StatusCodes,MATCH(INDEX('KG1-2'!$AD22:$IM22,Dash_DayIdx),StatusLabels,0)),""))))</f>
        <v/>
      </c>
      <c r="AH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IF(LateAsPresent="نعم",COUNTIFS('KG1-2'!$AD22:$IM22,"متأخر",'KG1-2'!$AD$7:$IM$7,"✓",'KG1-2'!$AD$6:$IM$6,1,'KG1-2'!$AD$5:$IM$5,"&gt;="&amp;MAX('KG1-2'!$U22,Dash_PStart),'KG1-2'!$AD$5:$IM$5,"&lt;="&amp;Dash_PEnd),0))</f>
        <v/>
      </c>
      <c r="AI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COUNTIFS('KG1-2'!$AD22:$IM22,"غياب بدون عذر",'KG1-2'!$AD$7:$IM$7,"✓",'KG1-2'!$AD$6:$IM$6,1,'KG1-2'!$AD$5:$IM$5,"&gt;="&amp;MAX('KG1-2'!$U22,Dash_PStart),'KG1-2'!$AD$5:$IM$5,"&lt;="&amp;Dash_PEnd)+COUNTIFS('KG1-2'!$AD22:$IM22,"غياب بعذر",'KG1-2'!$AD$7:$IM$7,"✓",'KG1-2'!$AD$6:$IM$6,1,'KG1-2'!$AD$5:$IM$5,"&gt;="&amp;MAX('KG1-2'!$U22,Dash_PStart),'KG1-2'!$AD$5:$IM$5,"&lt;="&amp;Dash_PEnd)+COUNTIFS('KG1-2'!$AD22:$IM22,"متأخر",'KG1-2'!$AD$7:$IM$7,"✓",'KG1-2'!$AD$6:$IM$6,1,'KG1-2'!$AD$5:$IM$5,"&gt;="&amp;MAX('KG1-2'!$U22,Dash_PStart),'KG1-2'!$AD$5:$IM$5,"&lt;="&amp;Dash_PEnd))</f>
        <v/>
      </c>
      <c r="AJ48" s="40">
        <f>IF(AF48=0,0,IF(W48=Dash_Date,Thr_Critical,IF(V48=Dash_Date,Thr_High,IF(U48=Dash_Date,Thr_Repeated,IF(T48=Dash_Date,Thr_FollowUp,0)))))</f>
        <v/>
      </c>
      <c r="AK48" s="40">
        <f>IF(AJ48&gt;0,COUNTIF($AJ$5:AJ48,"&gt;0"),"")</f>
        <v/>
      </c>
      <c r="AL48" s="40">
        <f>IF(AND(B48&lt;&gt;"",F48="نشط",Q48&lt;&gt;"",Q48&gt;0),L48*1000+(999-ROW()),"")</f>
        <v/>
      </c>
      <c r="AM48" s="40">
        <f>IF(AND(AF48=1,J48&lt;&gt;"",J48&gt;0),ROUND(O48*10000,0)*1000000+K48*1000+(999-ROW()),"")</f>
        <v/>
      </c>
      <c r="AN48" s="40">
        <f>IF(AND(AF48=1,J48&lt;&gt;"",J48&gt;0),(L48+M48)*10000000+ROUND((1-O48)*10000,0)*1000+(999-ROW()),"")</f>
        <v/>
      </c>
      <c r="AO48" s="40">
        <f>IF(AND(AF48=1,Q48&lt;&gt;"",Q48&gt;=Thr_Critical),L48*1000+(999-ROW()),"")</f>
        <v/>
      </c>
      <c r="AP48" s="40">
        <f>IF(AND(B48&lt;&gt;"",F48="نشط",OR(Rpt_Class="الكل",D48=Rpt_Class)),1,0)</f>
        <v/>
      </c>
      <c r="AQ48" s="40">
        <f>IF(AND(AP48=1,Q48&lt;&gt;"",Q48&gt;0),L48*1000+(999-ROW()),"")</f>
        <v/>
      </c>
      <c r="AR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IF(LateAsPresent="نعم",COUNTIFS('KG1-2'!$AD22:$IM22,"متأخر",'KG1-2'!$AD$7:$IM$7,"✓",'KG1-2'!$AD$6:$IM$6,1,'KG1-2'!$AD$5:$IM$5,"&gt;="&amp;MAX('KG1-2'!$U22,Rpt_PStart),'KG1-2'!$AD$5:$IM$5,"&lt;="&amp;Rpt_PEnd),0))</f>
        <v/>
      </c>
      <c r="AS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COUNTIFS('KG1-2'!$AD22:$IM22,"غياب بدون عذر",'KG1-2'!$AD$7:$IM$7,"✓",'KG1-2'!$AD$6:$IM$6,1,'KG1-2'!$AD$5:$IM$5,"&gt;="&amp;MAX('KG1-2'!$U22,Rpt_PStart),'KG1-2'!$AD$5:$IM$5,"&lt;="&amp;Rpt_PEnd)+COUNTIFS('KG1-2'!$AD22:$IM22,"غياب بعذر",'KG1-2'!$AD$7:$IM$7,"✓",'KG1-2'!$AD$6:$IM$6,1,'KG1-2'!$AD$5:$IM$5,"&gt;="&amp;MAX('KG1-2'!$U22,Rpt_PStart),'KG1-2'!$AD$5:$IM$5,"&lt;="&amp;Rpt_PEnd)+COUNTIFS('KG1-2'!$AD22:$IM22,"متأخر",'KG1-2'!$AD$7:$IM$7,"✓",'KG1-2'!$AD$6:$IM$6,1,'KG1-2'!$AD$5:$IM$5,"&gt;="&amp;MAX('KG1-2'!$U22,Rpt_PStart),'KG1-2'!$AD$5:$IM$5,"&lt;="&amp;Rpt_PEnd))</f>
        <v/>
      </c>
      <c r="AT48" s="40">
        <f>IF(AP48=0,"",COUNTIFS('KG1-2'!$AD22:$IM22,"غياب بدون عذر",'KG1-2'!$AD$7:$IM$7,"✓",'KG1-2'!$AD$6:$IM$6,1,'KG1-2'!$AD$5:$IM$5,"&gt;="&amp;MAX('KG1-2'!$U22,Rpt_PStart),'KG1-2'!$AD$5:$IM$5,"&lt;="&amp;Rpt_PEnd)+COUNTIFS('KG1-2'!$AD22:$IM22,"غياب بعذر",'KG1-2'!$AD$7:$IM$7,"✓",'KG1-2'!$AD$6:$IM$6,1,'KG1-2'!$AD$5:$IM$5,"&gt;="&amp;MAX('KG1-2'!$U22,Rpt_PStart),'KG1-2'!$AD$5:$IM$5,"&lt;="&amp;Rpt_PEnd))</f>
        <v/>
      </c>
      <c r="AU48" s="40" t="n">
        <v>2</v>
      </c>
      <c r="AV48" s="40" t="n">
        <v>14</v>
      </c>
      <c r="AW48" s="40">
        <f>IF(OR(AP48=0,Rpt_DayIdx=0),"",IF(INDEX('KG1-2'!$AD$7:$IM$7,Rpt_DayIdx)&lt;&gt;"✓","",IF(INDEX('KG1-2'!$AD22:$IM22,Rpt_DayIdx)="","P",IFERROR(INDEX(StatusCodes,MATCH(INDEX('KG1-2'!$AD22:$IM22,Rpt_DayIdx),StatusLabels,0)),""))))</f>
        <v/>
      </c>
      <c r="AX48" s="40">
        <f>IF(AND(AP48=1,OR(AW48="A",AW48="E")),COUNTIFS($AP$5:AP48,1,$AW$5:AW48,"A")+COUNTIFS($AP$5:AP48,1,$AW$5:AW48,"E"),"")</f>
        <v/>
      </c>
    </row>
    <row r="49">
      <c r="A49" s="148">
        <f>IF(B49="","",ROW()-4)</f>
        <v/>
      </c>
      <c r="B49" s="148">
        <f>IF('KG1-2'!$B23="","",'KG1-2'!$B23)</f>
        <v/>
      </c>
      <c r="C49" s="146">
        <f>IF('KG1-2'!$C23="","",'KG1-2'!$C23)</f>
        <v/>
      </c>
      <c r="D49" s="148">
        <f>IF(B49="","",'KG1-2'!$B$2)</f>
        <v/>
      </c>
      <c r="E49" s="148">
        <f>IF(B49="","",MID(D49,FIND("-",D49&amp;"-")+1,10))</f>
        <v/>
      </c>
      <c r="F49" s="148">
        <f>IF(B49="","","نشط")</f>
        <v/>
      </c>
      <c r="G49" s="157">
        <f>IF(B49="","","")</f>
        <v/>
      </c>
      <c r="H49" s="146">
        <f>IF('KG1-2'!$K23="","",'KG1-2'!$K23)</f>
        <v/>
      </c>
      <c r="I49" s="148">
        <f>IF('KG1-2'!$J23="","",'KG1-2'!$J23)</f>
        <v/>
      </c>
      <c r="J49" s="148">
        <f>IF('KG1-2'!$M23="","",'KG1-2'!$M23)</f>
        <v/>
      </c>
      <c r="K49" s="148">
        <f>IF('KG1-2'!$N23="","",'KG1-2'!$N23)</f>
        <v/>
      </c>
      <c r="L49" s="148">
        <f>IF('KG1-2'!$D23="","",'KG1-2'!$D23)</f>
        <v/>
      </c>
      <c r="M49" s="148">
        <f>IF('KG1-2'!$E23="","",'KG1-2'!$E23)</f>
        <v/>
      </c>
      <c r="N49" s="148">
        <f>IF('KG1-2'!$F23="","",'KG1-2'!$F23)</f>
        <v/>
      </c>
      <c r="O49" s="158">
        <f>IF('KG1-2'!$G23="","",'KG1-2'!$G23)</f>
        <v/>
      </c>
      <c r="P49" s="158">
        <f>IF('KG1-2'!$O23="","",'KG1-2'!$O23)</f>
        <v/>
      </c>
      <c r="Q49" s="148">
        <f>IF('KG1-2'!$T23="","",'KG1-2'!$T23)</f>
        <v/>
      </c>
      <c r="R49" s="146">
        <f>IF('KG1-2'!$H23="","",'KG1-2'!$H23)</f>
        <v/>
      </c>
      <c r="S49" s="157">
        <f>IF('KG1-2'!$P23="","",'KG1-2'!$P23)</f>
        <v/>
      </c>
      <c r="T49" s="157">
        <f>IF('KG1-2'!$V23="","",'KG1-2'!$V23)</f>
        <v/>
      </c>
      <c r="U49" s="157">
        <f>IF('KG1-2'!$W23="","",'KG1-2'!$W23)</f>
        <v/>
      </c>
      <c r="V49" s="157">
        <f>IF('KG1-2'!$X23="","",'KG1-2'!$X23)</f>
        <v/>
      </c>
      <c r="W49" s="157">
        <f>IF('KG1-2'!$Y23="","",'KG1-2'!$Y23)</f>
        <v/>
      </c>
      <c r="X49" s="157">
        <f>IF('KG1-2'!$R23="","",'KG1-2'!$R23)</f>
        <v/>
      </c>
      <c r="Y49" s="148">
        <f>IF('KG1-2'!$S23="","",'KG1-2'!$S23)</f>
        <v/>
      </c>
      <c r="Z49" s="148">
        <f>IF('KG1-2'!$Q23="","",'KG1-2'!$Q23)</f>
        <v/>
      </c>
      <c r="AA49" s="148">
        <f>IF('KG1-2'!$I23="","",'KG1-2'!$I23)</f>
        <v/>
      </c>
      <c r="AB49" s="146">
        <f>IF(Q49="","",INDEX(LevelActions,MATCH(Q49,LevelValues,0)))</f>
        <v/>
      </c>
      <c r="AC49" s="148">
        <f>IF(J49="","",IF(J49=0,"—",IF(AND(L49=0,M49=0),Cat_L1,IF(O49&gt;=Cat_95,Cat_L2,IF(O49&gt;=Cat_90,Cat_L3,Cat_L4)))))</f>
        <v/>
      </c>
      <c r="AD49" s="146">
        <f>IF('KG1-2'!$L23="","",'KG1-2'!$L23)</f>
        <v/>
      </c>
      <c r="AE49" s="148">
        <f>IF(B49="","",IF(COUNTIF($B$5:$B$214,B49)&gt;1,"مكرر!",""))</f>
        <v/>
      </c>
      <c r="AF49" s="148">
        <f>IF(AND(B49&lt;&gt;"",F49="نشط",OR(Dash_Class="الكل",D49=Dash_Class)),1,0)</f>
        <v/>
      </c>
      <c r="AG49" s="40">
        <f>IF(OR(AF49=0,Dash_DayIdx=0),"",IF(INDEX('KG1-2'!$AD$7:$IM$7,Dash_DayIdx)&lt;&gt;"✓","",IF(INDEX('KG1-2'!$AD23:$IM23,Dash_DayIdx)="","P",IFERROR(INDEX(StatusCodes,MATCH(INDEX('KG1-2'!$AD23:$IM23,Dash_DayIdx),StatusLabels,0)),""))))</f>
        <v/>
      </c>
      <c r="AH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IF(LateAsPresent="نعم",COUNTIFS('KG1-2'!$AD23:$IM23,"متأخر",'KG1-2'!$AD$7:$IM$7,"✓",'KG1-2'!$AD$6:$IM$6,1,'KG1-2'!$AD$5:$IM$5,"&gt;="&amp;MAX('KG1-2'!$U23,Dash_PStart),'KG1-2'!$AD$5:$IM$5,"&lt;="&amp;Dash_PEnd),0))</f>
        <v/>
      </c>
      <c r="AI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COUNTIFS('KG1-2'!$AD23:$IM23,"غياب بدون عذر",'KG1-2'!$AD$7:$IM$7,"✓",'KG1-2'!$AD$6:$IM$6,1,'KG1-2'!$AD$5:$IM$5,"&gt;="&amp;MAX('KG1-2'!$U23,Dash_PStart),'KG1-2'!$AD$5:$IM$5,"&lt;="&amp;Dash_PEnd)+COUNTIFS('KG1-2'!$AD23:$IM23,"غياب بعذر",'KG1-2'!$AD$7:$IM$7,"✓",'KG1-2'!$AD$6:$IM$6,1,'KG1-2'!$AD$5:$IM$5,"&gt;="&amp;MAX('KG1-2'!$U23,Dash_PStart),'KG1-2'!$AD$5:$IM$5,"&lt;="&amp;Dash_PEnd)+COUNTIFS('KG1-2'!$AD23:$IM23,"متأخر",'KG1-2'!$AD$7:$IM$7,"✓",'KG1-2'!$AD$6:$IM$6,1,'KG1-2'!$AD$5:$IM$5,"&gt;="&amp;MAX('KG1-2'!$U23,Dash_PStart),'KG1-2'!$AD$5:$IM$5,"&lt;="&amp;Dash_PEnd))</f>
        <v/>
      </c>
      <c r="AJ49" s="40">
        <f>IF(AF49=0,0,IF(W49=Dash_Date,Thr_Critical,IF(V49=Dash_Date,Thr_High,IF(U49=Dash_Date,Thr_Repeated,IF(T49=Dash_Date,Thr_FollowUp,0)))))</f>
        <v/>
      </c>
      <c r="AK49" s="40">
        <f>IF(AJ49&gt;0,COUNTIF($AJ$5:AJ49,"&gt;0"),"")</f>
        <v/>
      </c>
      <c r="AL49" s="40">
        <f>IF(AND(B49&lt;&gt;"",F49="نشط",Q49&lt;&gt;"",Q49&gt;0),L49*1000+(999-ROW()),"")</f>
        <v/>
      </c>
      <c r="AM49" s="40">
        <f>IF(AND(AF49=1,J49&lt;&gt;"",J49&gt;0),ROUND(O49*10000,0)*1000000+K49*1000+(999-ROW()),"")</f>
        <v/>
      </c>
      <c r="AN49" s="40">
        <f>IF(AND(AF49=1,J49&lt;&gt;"",J49&gt;0),(L49+M49)*10000000+ROUND((1-O49)*10000,0)*1000+(999-ROW()),"")</f>
        <v/>
      </c>
      <c r="AO49" s="40">
        <f>IF(AND(AF49=1,Q49&lt;&gt;"",Q49&gt;=Thr_Critical),L49*1000+(999-ROW()),"")</f>
        <v/>
      </c>
      <c r="AP49" s="40">
        <f>IF(AND(B49&lt;&gt;"",F49="نشط",OR(Rpt_Class="الكل",D49=Rpt_Class)),1,0)</f>
        <v/>
      </c>
      <c r="AQ49" s="40">
        <f>IF(AND(AP49=1,Q49&lt;&gt;"",Q49&gt;0),L49*1000+(999-ROW()),"")</f>
        <v/>
      </c>
      <c r="AR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IF(LateAsPresent="نعم",COUNTIFS('KG1-2'!$AD23:$IM23,"متأخر",'KG1-2'!$AD$7:$IM$7,"✓",'KG1-2'!$AD$6:$IM$6,1,'KG1-2'!$AD$5:$IM$5,"&gt;="&amp;MAX('KG1-2'!$U23,Rpt_PStart),'KG1-2'!$AD$5:$IM$5,"&lt;="&amp;Rpt_PEnd),0))</f>
        <v/>
      </c>
      <c r="AS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COUNTIFS('KG1-2'!$AD23:$IM23,"غياب بدون عذر",'KG1-2'!$AD$7:$IM$7,"✓",'KG1-2'!$AD$6:$IM$6,1,'KG1-2'!$AD$5:$IM$5,"&gt;="&amp;MAX('KG1-2'!$U23,Rpt_PStart),'KG1-2'!$AD$5:$IM$5,"&lt;="&amp;Rpt_PEnd)+COUNTIFS('KG1-2'!$AD23:$IM23,"غياب بعذر",'KG1-2'!$AD$7:$IM$7,"✓",'KG1-2'!$AD$6:$IM$6,1,'KG1-2'!$AD$5:$IM$5,"&gt;="&amp;MAX('KG1-2'!$U23,Rpt_PStart),'KG1-2'!$AD$5:$IM$5,"&lt;="&amp;Rpt_PEnd)+COUNTIFS('KG1-2'!$AD23:$IM23,"متأخر",'KG1-2'!$AD$7:$IM$7,"✓",'KG1-2'!$AD$6:$IM$6,1,'KG1-2'!$AD$5:$IM$5,"&gt;="&amp;MAX('KG1-2'!$U23,Rpt_PStart),'KG1-2'!$AD$5:$IM$5,"&lt;="&amp;Rpt_PEnd))</f>
        <v/>
      </c>
      <c r="AT49" s="40">
        <f>IF(AP49=0,"",COUNTIFS('KG1-2'!$AD23:$IM23,"غياب بدون عذر",'KG1-2'!$AD$7:$IM$7,"✓",'KG1-2'!$AD$6:$IM$6,1,'KG1-2'!$AD$5:$IM$5,"&gt;="&amp;MAX('KG1-2'!$U23,Rpt_PStart),'KG1-2'!$AD$5:$IM$5,"&lt;="&amp;Rpt_PEnd)+COUNTIFS('KG1-2'!$AD23:$IM23,"غياب بعذر",'KG1-2'!$AD$7:$IM$7,"✓",'KG1-2'!$AD$6:$IM$6,1,'KG1-2'!$AD$5:$IM$5,"&gt;="&amp;MAX('KG1-2'!$U23,Rpt_PStart),'KG1-2'!$AD$5:$IM$5,"&lt;="&amp;Rpt_PEnd))</f>
        <v/>
      </c>
      <c r="AU49" s="40" t="n">
        <v>2</v>
      </c>
      <c r="AV49" s="40" t="n">
        <v>15</v>
      </c>
      <c r="AW49" s="40">
        <f>IF(OR(AP49=0,Rpt_DayIdx=0),"",IF(INDEX('KG1-2'!$AD$7:$IM$7,Rpt_DayIdx)&lt;&gt;"✓","",IF(INDEX('KG1-2'!$AD23:$IM23,Rpt_DayIdx)="","P",IFERROR(INDEX(StatusCodes,MATCH(INDEX('KG1-2'!$AD23:$IM23,Rpt_DayIdx),StatusLabels,0)),""))))</f>
        <v/>
      </c>
      <c r="AX49" s="40">
        <f>IF(AND(AP49=1,OR(AW49="A",AW49="E")),COUNTIFS($AP$5:AP49,1,$AW$5:AW49,"A")+COUNTIFS($AP$5:AP49,1,$AW$5:AW49,"E"),"")</f>
        <v/>
      </c>
    </row>
    <row r="50">
      <c r="A50" s="148">
        <f>IF(B50="","",ROW()-4)</f>
        <v/>
      </c>
      <c r="B50" s="148">
        <f>IF('KG1-2'!$B24="","",'KG1-2'!$B24)</f>
        <v/>
      </c>
      <c r="C50" s="146">
        <f>IF('KG1-2'!$C24="","",'KG1-2'!$C24)</f>
        <v/>
      </c>
      <c r="D50" s="148">
        <f>IF(B50="","",'KG1-2'!$B$2)</f>
        <v/>
      </c>
      <c r="E50" s="148">
        <f>IF(B50="","",MID(D50,FIND("-",D50&amp;"-")+1,10))</f>
        <v/>
      </c>
      <c r="F50" s="148">
        <f>IF(B50="","","نشط")</f>
        <v/>
      </c>
      <c r="G50" s="157">
        <f>IF(B50="","","")</f>
        <v/>
      </c>
      <c r="H50" s="146">
        <f>IF('KG1-2'!$K24="","",'KG1-2'!$K24)</f>
        <v/>
      </c>
      <c r="I50" s="148">
        <f>IF('KG1-2'!$J24="","",'KG1-2'!$J24)</f>
        <v/>
      </c>
      <c r="J50" s="148">
        <f>IF('KG1-2'!$M24="","",'KG1-2'!$M24)</f>
        <v/>
      </c>
      <c r="K50" s="148">
        <f>IF('KG1-2'!$N24="","",'KG1-2'!$N24)</f>
        <v/>
      </c>
      <c r="L50" s="148">
        <f>IF('KG1-2'!$D24="","",'KG1-2'!$D24)</f>
        <v/>
      </c>
      <c r="M50" s="148">
        <f>IF('KG1-2'!$E24="","",'KG1-2'!$E24)</f>
        <v/>
      </c>
      <c r="N50" s="148">
        <f>IF('KG1-2'!$F24="","",'KG1-2'!$F24)</f>
        <v/>
      </c>
      <c r="O50" s="158">
        <f>IF('KG1-2'!$G24="","",'KG1-2'!$G24)</f>
        <v/>
      </c>
      <c r="P50" s="158">
        <f>IF('KG1-2'!$O24="","",'KG1-2'!$O24)</f>
        <v/>
      </c>
      <c r="Q50" s="148">
        <f>IF('KG1-2'!$T24="","",'KG1-2'!$T24)</f>
        <v/>
      </c>
      <c r="R50" s="146">
        <f>IF('KG1-2'!$H24="","",'KG1-2'!$H24)</f>
        <v/>
      </c>
      <c r="S50" s="157">
        <f>IF('KG1-2'!$P24="","",'KG1-2'!$P24)</f>
        <v/>
      </c>
      <c r="T50" s="157">
        <f>IF('KG1-2'!$V24="","",'KG1-2'!$V24)</f>
        <v/>
      </c>
      <c r="U50" s="157">
        <f>IF('KG1-2'!$W24="","",'KG1-2'!$W24)</f>
        <v/>
      </c>
      <c r="V50" s="157">
        <f>IF('KG1-2'!$X24="","",'KG1-2'!$X24)</f>
        <v/>
      </c>
      <c r="W50" s="157">
        <f>IF('KG1-2'!$Y24="","",'KG1-2'!$Y24)</f>
        <v/>
      </c>
      <c r="X50" s="157">
        <f>IF('KG1-2'!$R24="","",'KG1-2'!$R24)</f>
        <v/>
      </c>
      <c r="Y50" s="148">
        <f>IF('KG1-2'!$S24="","",'KG1-2'!$S24)</f>
        <v/>
      </c>
      <c r="Z50" s="148">
        <f>IF('KG1-2'!$Q24="","",'KG1-2'!$Q24)</f>
        <v/>
      </c>
      <c r="AA50" s="148">
        <f>IF('KG1-2'!$I24="","",'KG1-2'!$I24)</f>
        <v/>
      </c>
      <c r="AB50" s="146">
        <f>IF(Q50="","",INDEX(LevelActions,MATCH(Q50,LevelValues,0)))</f>
        <v/>
      </c>
      <c r="AC50" s="148">
        <f>IF(J50="","",IF(J50=0,"—",IF(AND(L50=0,M50=0),Cat_L1,IF(O50&gt;=Cat_95,Cat_L2,IF(O50&gt;=Cat_90,Cat_L3,Cat_L4)))))</f>
        <v/>
      </c>
      <c r="AD50" s="146">
        <f>IF('KG1-2'!$L24="","",'KG1-2'!$L24)</f>
        <v/>
      </c>
      <c r="AE50" s="148">
        <f>IF(B50="","",IF(COUNTIF($B$5:$B$214,B50)&gt;1,"مكرر!",""))</f>
        <v/>
      </c>
      <c r="AF50" s="148">
        <f>IF(AND(B50&lt;&gt;"",F50="نشط",OR(Dash_Class="الكل",D50=Dash_Class)),1,0)</f>
        <v/>
      </c>
      <c r="AG50" s="40">
        <f>IF(OR(AF50=0,Dash_DayIdx=0),"",IF(INDEX('KG1-2'!$AD$7:$IM$7,Dash_DayIdx)&lt;&gt;"✓","",IF(INDEX('KG1-2'!$AD24:$IM24,Dash_DayIdx)="","P",IFERROR(INDEX(StatusCodes,MATCH(INDEX('KG1-2'!$AD24:$IM24,Dash_DayIdx),StatusLabels,0)),""))))</f>
        <v/>
      </c>
      <c r="AH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IF(LateAsPresent="نعم",COUNTIFS('KG1-2'!$AD24:$IM24,"متأخر",'KG1-2'!$AD$7:$IM$7,"✓",'KG1-2'!$AD$6:$IM$6,1,'KG1-2'!$AD$5:$IM$5,"&gt;="&amp;MAX('KG1-2'!$U24,Dash_PStart),'KG1-2'!$AD$5:$IM$5,"&lt;="&amp;Dash_PEnd),0))</f>
        <v/>
      </c>
      <c r="AI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COUNTIFS('KG1-2'!$AD24:$IM24,"غياب بدون عذر",'KG1-2'!$AD$7:$IM$7,"✓",'KG1-2'!$AD$6:$IM$6,1,'KG1-2'!$AD$5:$IM$5,"&gt;="&amp;MAX('KG1-2'!$U24,Dash_PStart),'KG1-2'!$AD$5:$IM$5,"&lt;="&amp;Dash_PEnd)+COUNTIFS('KG1-2'!$AD24:$IM24,"غياب بعذر",'KG1-2'!$AD$7:$IM$7,"✓",'KG1-2'!$AD$6:$IM$6,1,'KG1-2'!$AD$5:$IM$5,"&gt;="&amp;MAX('KG1-2'!$U24,Dash_PStart),'KG1-2'!$AD$5:$IM$5,"&lt;="&amp;Dash_PEnd)+COUNTIFS('KG1-2'!$AD24:$IM24,"متأخر",'KG1-2'!$AD$7:$IM$7,"✓",'KG1-2'!$AD$6:$IM$6,1,'KG1-2'!$AD$5:$IM$5,"&gt;="&amp;MAX('KG1-2'!$U24,Dash_PStart),'KG1-2'!$AD$5:$IM$5,"&lt;="&amp;Dash_PEnd))</f>
        <v/>
      </c>
      <c r="AJ50" s="40">
        <f>IF(AF50=0,0,IF(W50=Dash_Date,Thr_Critical,IF(V50=Dash_Date,Thr_High,IF(U50=Dash_Date,Thr_Repeated,IF(T50=Dash_Date,Thr_FollowUp,0)))))</f>
        <v/>
      </c>
      <c r="AK50" s="40">
        <f>IF(AJ50&gt;0,COUNTIF($AJ$5:AJ50,"&gt;0"),"")</f>
        <v/>
      </c>
      <c r="AL50" s="40">
        <f>IF(AND(B50&lt;&gt;"",F50="نشط",Q50&lt;&gt;"",Q50&gt;0),L50*1000+(999-ROW()),"")</f>
        <v/>
      </c>
      <c r="AM50" s="40">
        <f>IF(AND(AF50=1,J50&lt;&gt;"",J50&gt;0),ROUND(O50*10000,0)*1000000+K50*1000+(999-ROW()),"")</f>
        <v/>
      </c>
      <c r="AN50" s="40">
        <f>IF(AND(AF50=1,J50&lt;&gt;"",J50&gt;0),(L50+M50)*10000000+ROUND((1-O50)*10000,0)*1000+(999-ROW()),"")</f>
        <v/>
      </c>
      <c r="AO50" s="40">
        <f>IF(AND(AF50=1,Q50&lt;&gt;"",Q50&gt;=Thr_Critical),L50*1000+(999-ROW()),"")</f>
        <v/>
      </c>
      <c r="AP50" s="40">
        <f>IF(AND(B50&lt;&gt;"",F50="نشط",OR(Rpt_Class="الكل",D50=Rpt_Class)),1,0)</f>
        <v/>
      </c>
      <c r="AQ50" s="40">
        <f>IF(AND(AP50=1,Q50&lt;&gt;"",Q50&gt;0),L50*1000+(999-ROW()),"")</f>
        <v/>
      </c>
      <c r="AR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IF(LateAsPresent="نعم",COUNTIFS('KG1-2'!$AD24:$IM24,"متأخر",'KG1-2'!$AD$7:$IM$7,"✓",'KG1-2'!$AD$6:$IM$6,1,'KG1-2'!$AD$5:$IM$5,"&gt;="&amp;MAX('KG1-2'!$U24,Rpt_PStart),'KG1-2'!$AD$5:$IM$5,"&lt;="&amp;Rpt_PEnd),0))</f>
        <v/>
      </c>
      <c r="AS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COUNTIFS('KG1-2'!$AD24:$IM24,"غياب بدون عذر",'KG1-2'!$AD$7:$IM$7,"✓",'KG1-2'!$AD$6:$IM$6,1,'KG1-2'!$AD$5:$IM$5,"&gt;="&amp;MAX('KG1-2'!$U24,Rpt_PStart),'KG1-2'!$AD$5:$IM$5,"&lt;="&amp;Rpt_PEnd)+COUNTIFS('KG1-2'!$AD24:$IM24,"غياب بعذر",'KG1-2'!$AD$7:$IM$7,"✓",'KG1-2'!$AD$6:$IM$6,1,'KG1-2'!$AD$5:$IM$5,"&gt;="&amp;MAX('KG1-2'!$U24,Rpt_PStart),'KG1-2'!$AD$5:$IM$5,"&lt;="&amp;Rpt_PEnd)+COUNTIFS('KG1-2'!$AD24:$IM24,"متأخر",'KG1-2'!$AD$7:$IM$7,"✓",'KG1-2'!$AD$6:$IM$6,1,'KG1-2'!$AD$5:$IM$5,"&gt;="&amp;MAX('KG1-2'!$U24,Rpt_PStart),'KG1-2'!$AD$5:$IM$5,"&lt;="&amp;Rpt_PEnd))</f>
        <v/>
      </c>
      <c r="AT50" s="40">
        <f>IF(AP50=0,"",COUNTIFS('KG1-2'!$AD24:$IM24,"غياب بدون عذر",'KG1-2'!$AD$7:$IM$7,"✓",'KG1-2'!$AD$6:$IM$6,1,'KG1-2'!$AD$5:$IM$5,"&gt;="&amp;MAX('KG1-2'!$U24,Rpt_PStart),'KG1-2'!$AD$5:$IM$5,"&lt;="&amp;Rpt_PEnd)+COUNTIFS('KG1-2'!$AD24:$IM24,"غياب بعذر",'KG1-2'!$AD$7:$IM$7,"✓",'KG1-2'!$AD$6:$IM$6,1,'KG1-2'!$AD$5:$IM$5,"&gt;="&amp;MAX('KG1-2'!$U24,Rpt_PStart),'KG1-2'!$AD$5:$IM$5,"&lt;="&amp;Rpt_PEnd))</f>
        <v/>
      </c>
      <c r="AU50" s="40" t="n">
        <v>2</v>
      </c>
      <c r="AV50" s="40" t="n">
        <v>16</v>
      </c>
      <c r="AW50" s="40">
        <f>IF(OR(AP50=0,Rpt_DayIdx=0),"",IF(INDEX('KG1-2'!$AD$7:$IM$7,Rpt_DayIdx)&lt;&gt;"✓","",IF(INDEX('KG1-2'!$AD24:$IM24,Rpt_DayIdx)="","P",IFERROR(INDEX(StatusCodes,MATCH(INDEX('KG1-2'!$AD24:$IM24,Rpt_DayIdx),StatusLabels,0)),""))))</f>
        <v/>
      </c>
      <c r="AX50" s="40">
        <f>IF(AND(AP50=1,OR(AW50="A",AW50="E")),COUNTIFS($AP$5:AP50,1,$AW$5:AW50,"A")+COUNTIFS($AP$5:AP50,1,$AW$5:AW50,"E"),"")</f>
        <v/>
      </c>
    </row>
    <row r="51">
      <c r="A51" s="148">
        <f>IF(B51="","",ROW()-4)</f>
        <v/>
      </c>
      <c r="B51" s="148">
        <f>IF('KG1-2'!$B25="","",'KG1-2'!$B25)</f>
        <v/>
      </c>
      <c r="C51" s="146">
        <f>IF('KG1-2'!$C25="","",'KG1-2'!$C25)</f>
        <v/>
      </c>
      <c r="D51" s="148">
        <f>IF(B51="","",'KG1-2'!$B$2)</f>
        <v/>
      </c>
      <c r="E51" s="148">
        <f>IF(B51="","",MID(D51,FIND("-",D51&amp;"-")+1,10))</f>
        <v/>
      </c>
      <c r="F51" s="148">
        <f>IF(B51="","","نشط")</f>
        <v/>
      </c>
      <c r="G51" s="157">
        <f>IF(B51="","","")</f>
        <v/>
      </c>
      <c r="H51" s="146">
        <f>IF('KG1-2'!$K25="","",'KG1-2'!$K25)</f>
        <v/>
      </c>
      <c r="I51" s="148">
        <f>IF('KG1-2'!$J25="","",'KG1-2'!$J25)</f>
        <v/>
      </c>
      <c r="J51" s="148">
        <f>IF('KG1-2'!$M25="","",'KG1-2'!$M25)</f>
        <v/>
      </c>
      <c r="K51" s="148">
        <f>IF('KG1-2'!$N25="","",'KG1-2'!$N25)</f>
        <v/>
      </c>
      <c r="L51" s="148">
        <f>IF('KG1-2'!$D25="","",'KG1-2'!$D25)</f>
        <v/>
      </c>
      <c r="M51" s="148">
        <f>IF('KG1-2'!$E25="","",'KG1-2'!$E25)</f>
        <v/>
      </c>
      <c r="N51" s="148">
        <f>IF('KG1-2'!$F25="","",'KG1-2'!$F25)</f>
        <v/>
      </c>
      <c r="O51" s="158">
        <f>IF('KG1-2'!$G25="","",'KG1-2'!$G25)</f>
        <v/>
      </c>
      <c r="P51" s="158">
        <f>IF('KG1-2'!$O25="","",'KG1-2'!$O25)</f>
        <v/>
      </c>
      <c r="Q51" s="148">
        <f>IF('KG1-2'!$T25="","",'KG1-2'!$T25)</f>
        <v/>
      </c>
      <c r="R51" s="146">
        <f>IF('KG1-2'!$H25="","",'KG1-2'!$H25)</f>
        <v/>
      </c>
      <c r="S51" s="157">
        <f>IF('KG1-2'!$P25="","",'KG1-2'!$P25)</f>
        <v/>
      </c>
      <c r="T51" s="157">
        <f>IF('KG1-2'!$V25="","",'KG1-2'!$V25)</f>
        <v/>
      </c>
      <c r="U51" s="157">
        <f>IF('KG1-2'!$W25="","",'KG1-2'!$W25)</f>
        <v/>
      </c>
      <c r="V51" s="157">
        <f>IF('KG1-2'!$X25="","",'KG1-2'!$X25)</f>
        <v/>
      </c>
      <c r="W51" s="157">
        <f>IF('KG1-2'!$Y25="","",'KG1-2'!$Y25)</f>
        <v/>
      </c>
      <c r="X51" s="157">
        <f>IF('KG1-2'!$R25="","",'KG1-2'!$R25)</f>
        <v/>
      </c>
      <c r="Y51" s="148">
        <f>IF('KG1-2'!$S25="","",'KG1-2'!$S25)</f>
        <v/>
      </c>
      <c r="Z51" s="148">
        <f>IF('KG1-2'!$Q25="","",'KG1-2'!$Q25)</f>
        <v/>
      </c>
      <c r="AA51" s="148">
        <f>IF('KG1-2'!$I25="","",'KG1-2'!$I25)</f>
        <v/>
      </c>
      <c r="AB51" s="146">
        <f>IF(Q51="","",INDEX(LevelActions,MATCH(Q51,LevelValues,0)))</f>
        <v/>
      </c>
      <c r="AC51" s="148">
        <f>IF(J51="","",IF(J51=0,"—",IF(AND(L51=0,M51=0),Cat_L1,IF(O51&gt;=Cat_95,Cat_L2,IF(O51&gt;=Cat_90,Cat_L3,Cat_L4)))))</f>
        <v/>
      </c>
      <c r="AD51" s="146">
        <f>IF('KG1-2'!$L25="","",'KG1-2'!$L25)</f>
        <v/>
      </c>
      <c r="AE51" s="148">
        <f>IF(B51="","",IF(COUNTIF($B$5:$B$214,B51)&gt;1,"مكرر!",""))</f>
        <v/>
      </c>
      <c r="AF51" s="148">
        <f>IF(AND(B51&lt;&gt;"",F51="نشط",OR(Dash_Class="الكل",D51=Dash_Class)),1,0)</f>
        <v/>
      </c>
      <c r="AG51" s="40">
        <f>IF(OR(AF51=0,Dash_DayIdx=0),"",IF(INDEX('KG1-2'!$AD$7:$IM$7,Dash_DayIdx)&lt;&gt;"✓","",IF(INDEX('KG1-2'!$AD25:$IM25,Dash_DayIdx)="","P",IFERROR(INDEX(StatusCodes,MATCH(INDEX('KG1-2'!$AD25:$IM25,Dash_DayIdx),StatusLabels,0)),""))))</f>
        <v/>
      </c>
      <c r="AH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IF(LateAsPresent="نعم",COUNTIFS('KG1-2'!$AD25:$IM25,"متأخر",'KG1-2'!$AD$7:$IM$7,"✓",'KG1-2'!$AD$6:$IM$6,1,'KG1-2'!$AD$5:$IM$5,"&gt;="&amp;MAX('KG1-2'!$U25,Dash_PStart),'KG1-2'!$AD$5:$IM$5,"&lt;="&amp;Dash_PEnd),0))</f>
        <v/>
      </c>
      <c r="AI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COUNTIFS('KG1-2'!$AD25:$IM25,"غياب بدون عذر",'KG1-2'!$AD$7:$IM$7,"✓",'KG1-2'!$AD$6:$IM$6,1,'KG1-2'!$AD$5:$IM$5,"&gt;="&amp;MAX('KG1-2'!$U25,Dash_PStart),'KG1-2'!$AD$5:$IM$5,"&lt;="&amp;Dash_PEnd)+COUNTIFS('KG1-2'!$AD25:$IM25,"غياب بعذر",'KG1-2'!$AD$7:$IM$7,"✓",'KG1-2'!$AD$6:$IM$6,1,'KG1-2'!$AD$5:$IM$5,"&gt;="&amp;MAX('KG1-2'!$U25,Dash_PStart),'KG1-2'!$AD$5:$IM$5,"&lt;="&amp;Dash_PEnd)+COUNTIFS('KG1-2'!$AD25:$IM25,"متأخر",'KG1-2'!$AD$7:$IM$7,"✓",'KG1-2'!$AD$6:$IM$6,1,'KG1-2'!$AD$5:$IM$5,"&gt;="&amp;MAX('KG1-2'!$U25,Dash_PStart),'KG1-2'!$AD$5:$IM$5,"&lt;="&amp;Dash_PEnd))</f>
        <v/>
      </c>
      <c r="AJ51" s="40">
        <f>IF(AF51=0,0,IF(W51=Dash_Date,Thr_Critical,IF(V51=Dash_Date,Thr_High,IF(U51=Dash_Date,Thr_Repeated,IF(T51=Dash_Date,Thr_FollowUp,0)))))</f>
        <v/>
      </c>
      <c r="AK51" s="40">
        <f>IF(AJ51&gt;0,COUNTIF($AJ$5:AJ51,"&gt;0"),"")</f>
        <v/>
      </c>
      <c r="AL51" s="40">
        <f>IF(AND(B51&lt;&gt;"",F51="نشط",Q51&lt;&gt;"",Q51&gt;0),L51*1000+(999-ROW()),"")</f>
        <v/>
      </c>
      <c r="AM51" s="40">
        <f>IF(AND(AF51=1,J51&lt;&gt;"",J51&gt;0),ROUND(O51*10000,0)*1000000+K51*1000+(999-ROW()),"")</f>
        <v/>
      </c>
      <c r="AN51" s="40">
        <f>IF(AND(AF51=1,J51&lt;&gt;"",J51&gt;0),(L51+M51)*10000000+ROUND((1-O51)*10000,0)*1000+(999-ROW()),"")</f>
        <v/>
      </c>
      <c r="AO51" s="40">
        <f>IF(AND(AF51=1,Q51&lt;&gt;"",Q51&gt;=Thr_Critical),L51*1000+(999-ROW()),"")</f>
        <v/>
      </c>
      <c r="AP51" s="40">
        <f>IF(AND(B51&lt;&gt;"",F51="نشط",OR(Rpt_Class="الكل",D51=Rpt_Class)),1,0)</f>
        <v/>
      </c>
      <c r="AQ51" s="40">
        <f>IF(AND(AP51=1,Q51&lt;&gt;"",Q51&gt;0),L51*1000+(999-ROW()),"")</f>
        <v/>
      </c>
      <c r="AR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IF(LateAsPresent="نعم",COUNTIFS('KG1-2'!$AD25:$IM25,"متأخر",'KG1-2'!$AD$7:$IM$7,"✓",'KG1-2'!$AD$6:$IM$6,1,'KG1-2'!$AD$5:$IM$5,"&gt;="&amp;MAX('KG1-2'!$U25,Rpt_PStart),'KG1-2'!$AD$5:$IM$5,"&lt;="&amp;Rpt_PEnd),0))</f>
        <v/>
      </c>
      <c r="AS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COUNTIFS('KG1-2'!$AD25:$IM25,"غياب بدون عذر",'KG1-2'!$AD$7:$IM$7,"✓",'KG1-2'!$AD$6:$IM$6,1,'KG1-2'!$AD$5:$IM$5,"&gt;="&amp;MAX('KG1-2'!$U25,Rpt_PStart),'KG1-2'!$AD$5:$IM$5,"&lt;="&amp;Rpt_PEnd)+COUNTIFS('KG1-2'!$AD25:$IM25,"غياب بعذر",'KG1-2'!$AD$7:$IM$7,"✓",'KG1-2'!$AD$6:$IM$6,1,'KG1-2'!$AD$5:$IM$5,"&gt;="&amp;MAX('KG1-2'!$U25,Rpt_PStart),'KG1-2'!$AD$5:$IM$5,"&lt;="&amp;Rpt_PEnd)+COUNTIFS('KG1-2'!$AD25:$IM25,"متأخر",'KG1-2'!$AD$7:$IM$7,"✓",'KG1-2'!$AD$6:$IM$6,1,'KG1-2'!$AD$5:$IM$5,"&gt;="&amp;MAX('KG1-2'!$U25,Rpt_PStart),'KG1-2'!$AD$5:$IM$5,"&lt;="&amp;Rpt_PEnd))</f>
        <v/>
      </c>
      <c r="AT51" s="40">
        <f>IF(AP51=0,"",COUNTIFS('KG1-2'!$AD25:$IM25,"غياب بدون عذر",'KG1-2'!$AD$7:$IM$7,"✓",'KG1-2'!$AD$6:$IM$6,1,'KG1-2'!$AD$5:$IM$5,"&gt;="&amp;MAX('KG1-2'!$U25,Rpt_PStart),'KG1-2'!$AD$5:$IM$5,"&lt;="&amp;Rpt_PEnd)+COUNTIFS('KG1-2'!$AD25:$IM25,"غياب بعذر",'KG1-2'!$AD$7:$IM$7,"✓",'KG1-2'!$AD$6:$IM$6,1,'KG1-2'!$AD$5:$IM$5,"&gt;="&amp;MAX('KG1-2'!$U25,Rpt_PStart),'KG1-2'!$AD$5:$IM$5,"&lt;="&amp;Rpt_PEnd))</f>
        <v/>
      </c>
      <c r="AU51" s="40" t="n">
        <v>2</v>
      </c>
      <c r="AV51" s="40" t="n">
        <v>17</v>
      </c>
      <c r="AW51" s="40">
        <f>IF(OR(AP51=0,Rpt_DayIdx=0),"",IF(INDEX('KG1-2'!$AD$7:$IM$7,Rpt_DayIdx)&lt;&gt;"✓","",IF(INDEX('KG1-2'!$AD25:$IM25,Rpt_DayIdx)="","P",IFERROR(INDEX(StatusCodes,MATCH(INDEX('KG1-2'!$AD25:$IM25,Rpt_DayIdx),StatusLabels,0)),""))))</f>
        <v/>
      </c>
      <c r="AX51" s="40">
        <f>IF(AND(AP51=1,OR(AW51="A",AW51="E")),COUNTIFS($AP$5:AP51,1,$AW$5:AW51,"A")+COUNTIFS($AP$5:AP51,1,$AW$5:AW51,"E"),"")</f>
        <v/>
      </c>
    </row>
    <row r="52">
      <c r="A52" s="148">
        <f>IF(B52="","",ROW()-4)</f>
        <v/>
      </c>
      <c r="B52" s="148">
        <f>IF('KG1-2'!$B26="","",'KG1-2'!$B26)</f>
        <v/>
      </c>
      <c r="C52" s="146">
        <f>IF('KG1-2'!$C26="","",'KG1-2'!$C26)</f>
        <v/>
      </c>
      <c r="D52" s="148">
        <f>IF(B52="","",'KG1-2'!$B$2)</f>
        <v/>
      </c>
      <c r="E52" s="148">
        <f>IF(B52="","",MID(D52,FIND("-",D52&amp;"-")+1,10))</f>
        <v/>
      </c>
      <c r="F52" s="148">
        <f>IF(B52="","","نشط")</f>
        <v/>
      </c>
      <c r="G52" s="157">
        <f>IF(B52="","","")</f>
        <v/>
      </c>
      <c r="H52" s="146">
        <f>IF('KG1-2'!$K26="","",'KG1-2'!$K26)</f>
        <v/>
      </c>
      <c r="I52" s="148">
        <f>IF('KG1-2'!$J26="","",'KG1-2'!$J26)</f>
        <v/>
      </c>
      <c r="J52" s="148">
        <f>IF('KG1-2'!$M26="","",'KG1-2'!$M26)</f>
        <v/>
      </c>
      <c r="K52" s="148">
        <f>IF('KG1-2'!$N26="","",'KG1-2'!$N26)</f>
        <v/>
      </c>
      <c r="L52" s="148">
        <f>IF('KG1-2'!$D26="","",'KG1-2'!$D26)</f>
        <v/>
      </c>
      <c r="M52" s="148">
        <f>IF('KG1-2'!$E26="","",'KG1-2'!$E26)</f>
        <v/>
      </c>
      <c r="N52" s="148">
        <f>IF('KG1-2'!$F26="","",'KG1-2'!$F26)</f>
        <v/>
      </c>
      <c r="O52" s="158">
        <f>IF('KG1-2'!$G26="","",'KG1-2'!$G26)</f>
        <v/>
      </c>
      <c r="P52" s="158">
        <f>IF('KG1-2'!$O26="","",'KG1-2'!$O26)</f>
        <v/>
      </c>
      <c r="Q52" s="148">
        <f>IF('KG1-2'!$T26="","",'KG1-2'!$T26)</f>
        <v/>
      </c>
      <c r="R52" s="146">
        <f>IF('KG1-2'!$H26="","",'KG1-2'!$H26)</f>
        <v/>
      </c>
      <c r="S52" s="157">
        <f>IF('KG1-2'!$P26="","",'KG1-2'!$P26)</f>
        <v/>
      </c>
      <c r="T52" s="157">
        <f>IF('KG1-2'!$V26="","",'KG1-2'!$V26)</f>
        <v/>
      </c>
      <c r="U52" s="157">
        <f>IF('KG1-2'!$W26="","",'KG1-2'!$W26)</f>
        <v/>
      </c>
      <c r="V52" s="157">
        <f>IF('KG1-2'!$X26="","",'KG1-2'!$X26)</f>
        <v/>
      </c>
      <c r="W52" s="157">
        <f>IF('KG1-2'!$Y26="","",'KG1-2'!$Y26)</f>
        <v/>
      </c>
      <c r="X52" s="157">
        <f>IF('KG1-2'!$R26="","",'KG1-2'!$R26)</f>
        <v/>
      </c>
      <c r="Y52" s="148">
        <f>IF('KG1-2'!$S26="","",'KG1-2'!$S26)</f>
        <v/>
      </c>
      <c r="Z52" s="148">
        <f>IF('KG1-2'!$Q26="","",'KG1-2'!$Q26)</f>
        <v/>
      </c>
      <c r="AA52" s="148">
        <f>IF('KG1-2'!$I26="","",'KG1-2'!$I26)</f>
        <v/>
      </c>
      <c r="AB52" s="146">
        <f>IF(Q52="","",INDEX(LevelActions,MATCH(Q52,LevelValues,0)))</f>
        <v/>
      </c>
      <c r="AC52" s="148">
        <f>IF(J52="","",IF(J52=0,"—",IF(AND(L52=0,M52=0),Cat_L1,IF(O52&gt;=Cat_95,Cat_L2,IF(O52&gt;=Cat_90,Cat_L3,Cat_L4)))))</f>
        <v/>
      </c>
      <c r="AD52" s="146">
        <f>IF('KG1-2'!$L26="","",'KG1-2'!$L26)</f>
        <v/>
      </c>
      <c r="AE52" s="148">
        <f>IF(B52="","",IF(COUNTIF($B$5:$B$214,B52)&gt;1,"مكرر!",""))</f>
        <v/>
      </c>
      <c r="AF52" s="148">
        <f>IF(AND(B52&lt;&gt;"",F52="نشط",OR(Dash_Class="الكل",D52=Dash_Class)),1,0)</f>
        <v/>
      </c>
      <c r="AG52" s="40">
        <f>IF(OR(AF52=0,Dash_DayIdx=0),"",IF(INDEX('KG1-2'!$AD$7:$IM$7,Dash_DayIdx)&lt;&gt;"✓","",IF(INDEX('KG1-2'!$AD26:$IM26,Dash_DayIdx)="","P",IFERROR(INDEX(StatusCodes,MATCH(INDEX('KG1-2'!$AD26:$IM26,Dash_DayIdx),StatusLabels,0)),""))))</f>
        <v/>
      </c>
      <c r="AH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IF(LateAsPresent="نعم",COUNTIFS('KG1-2'!$AD26:$IM26,"متأخر",'KG1-2'!$AD$7:$IM$7,"✓",'KG1-2'!$AD$6:$IM$6,1,'KG1-2'!$AD$5:$IM$5,"&gt;="&amp;MAX('KG1-2'!$U26,Dash_PStart),'KG1-2'!$AD$5:$IM$5,"&lt;="&amp;Dash_PEnd),0))</f>
        <v/>
      </c>
      <c r="AI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COUNTIFS('KG1-2'!$AD26:$IM26,"غياب بدون عذر",'KG1-2'!$AD$7:$IM$7,"✓",'KG1-2'!$AD$6:$IM$6,1,'KG1-2'!$AD$5:$IM$5,"&gt;="&amp;MAX('KG1-2'!$U26,Dash_PStart),'KG1-2'!$AD$5:$IM$5,"&lt;="&amp;Dash_PEnd)+COUNTIFS('KG1-2'!$AD26:$IM26,"غياب بعذر",'KG1-2'!$AD$7:$IM$7,"✓",'KG1-2'!$AD$6:$IM$6,1,'KG1-2'!$AD$5:$IM$5,"&gt;="&amp;MAX('KG1-2'!$U26,Dash_PStart),'KG1-2'!$AD$5:$IM$5,"&lt;="&amp;Dash_PEnd)+COUNTIFS('KG1-2'!$AD26:$IM26,"متأخر",'KG1-2'!$AD$7:$IM$7,"✓",'KG1-2'!$AD$6:$IM$6,1,'KG1-2'!$AD$5:$IM$5,"&gt;="&amp;MAX('KG1-2'!$U26,Dash_PStart),'KG1-2'!$AD$5:$IM$5,"&lt;="&amp;Dash_PEnd))</f>
        <v/>
      </c>
      <c r="AJ52" s="40">
        <f>IF(AF52=0,0,IF(W52=Dash_Date,Thr_Critical,IF(V52=Dash_Date,Thr_High,IF(U52=Dash_Date,Thr_Repeated,IF(T52=Dash_Date,Thr_FollowUp,0)))))</f>
        <v/>
      </c>
      <c r="AK52" s="40">
        <f>IF(AJ52&gt;0,COUNTIF($AJ$5:AJ52,"&gt;0"),"")</f>
        <v/>
      </c>
      <c r="AL52" s="40">
        <f>IF(AND(B52&lt;&gt;"",F52="نشط",Q52&lt;&gt;"",Q52&gt;0),L52*1000+(999-ROW()),"")</f>
        <v/>
      </c>
      <c r="AM52" s="40">
        <f>IF(AND(AF52=1,J52&lt;&gt;"",J52&gt;0),ROUND(O52*10000,0)*1000000+K52*1000+(999-ROW()),"")</f>
        <v/>
      </c>
      <c r="AN52" s="40">
        <f>IF(AND(AF52=1,J52&lt;&gt;"",J52&gt;0),(L52+M52)*10000000+ROUND((1-O52)*10000,0)*1000+(999-ROW()),"")</f>
        <v/>
      </c>
      <c r="AO52" s="40">
        <f>IF(AND(AF52=1,Q52&lt;&gt;"",Q52&gt;=Thr_Critical),L52*1000+(999-ROW()),"")</f>
        <v/>
      </c>
      <c r="AP52" s="40">
        <f>IF(AND(B52&lt;&gt;"",F52="نشط",OR(Rpt_Class="الكل",D52=Rpt_Class)),1,0)</f>
        <v/>
      </c>
      <c r="AQ52" s="40">
        <f>IF(AND(AP52=1,Q52&lt;&gt;"",Q52&gt;0),L52*1000+(999-ROW()),"")</f>
        <v/>
      </c>
      <c r="AR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IF(LateAsPresent="نعم",COUNTIFS('KG1-2'!$AD26:$IM26,"متأخر",'KG1-2'!$AD$7:$IM$7,"✓",'KG1-2'!$AD$6:$IM$6,1,'KG1-2'!$AD$5:$IM$5,"&gt;="&amp;MAX('KG1-2'!$U26,Rpt_PStart),'KG1-2'!$AD$5:$IM$5,"&lt;="&amp;Rpt_PEnd),0))</f>
        <v/>
      </c>
      <c r="AS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COUNTIFS('KG1-2'!$AD26:$IM26,"غياب بدون عذر",'KG1-2'!$AD$7:$IM$7,"✓",'KG1-2'!$AD$6:$IM$6,1,'KG1-2'!$AD$5:$IM$5,"&gt;="&amp;MAX('KG1-2'!$U26,Rpt_PStart),'KG1-2'!$AD$5:$IM$5,"&lt;="&amp;Rpt_PEnd)+COUNTIFS('KG1-2'!$AD26:$IM26,"غياب بعذر",'KG1-2'!$AD$7:$IM$7,"✓",'KG1-2'!$AD$6:$IM$6,1,'KG1-2'!$AD$5:$IM$5,"&gt;="&amp;MAX('KG1-2'!$U26,Rpt_PStart),'KG1-2'!$AD$5:$IM$5,"&lt;="&amp;Rpt_PEnd)+COUNTIFS('KG1-2'!$AD26:$IM26,"متأخر",'KG1-2'!$AD$7:$IM$7,"✓",'KG1-2'!$AD$6:$IM$6,1,'KG1-2'!$AD$5:$IM$5,"&gt;="&amp;MAX('KG1-2'!$U26,Rpt_PStart),'KG1-2'!$AD$5:$IM$5,"&lt;="&amp;Rpt_PEnd))</f>
        <v/>
      </c>
      <c r="AT52" s="40">
        <f>IF(AP52=0,"",COUNTIFS('KG1-2'!$AD26:$IM26,"غياب بدون عذر",'KG1-2'!$AD$7:$IM$7,"✓",'KG1-2'!$AD$6:$IM$6,1,'KG1-2'!$AD$5:$IM$5,"&gt;="&amp;MAX('KG1-2'!$U26,Rpt_PStart),'KG1-2'!$AD$5:$IM$5,"&lt;="&amp;Rpt_PEnd)+COUNTIFS('KG1-2'!$AD26:$IM26,"غياب بعذر",'KG1-2'!$AD$7:$IM$7,"✓",'KG1-2'!$AD$6:$IM$6,1,'KG1-2'!$AD$5:$IM$5,"&gt;="&amp;MAX('KG1-2'!$U26,Rpt_PStart),'KG1-2'!$AD$5:$IM$5,"&lt;="&amp;Rpt_PEnd))</f>
        <v/>
      </c>
      <c r="AU52" s="40" t="n">
        <v>2</v>
      </c>
      <c r="AV52" s="40" t="n">
        <v>18</v>
      </c>
      <c r="AW52" s="40">
        <f>IF(OR(AP52=0,Rpt_DayIdx=0),"",IF(INDEX('KG1-2'!$AD$7:$IM$7,Rpt_DayIdx)&lt;&gt;"✓","",IF(INDEX('KG1-2'!$AD26:$IM26,Rpt_DayIdx)="","P",IFERROR(INDEX(StatusCodes,MATCH(INDEX('KG1-2'!$AD26:$IM26,Rpt_DayIdx),StatusLabels,0)),""))))</f>
        <v/>
      </c>
      <c r="AX52" s="40">
        <f>IF(AND(AP52=1,OR(AW52="A",AW52="E")),COUNTIFS($AP$5:AP52,1,$AW$5:AW52,"A")+COUNTIFS($AP$5:AP52,1,$AW$5:AW52,"E"),"")</f>
        <v/>
      </c>
    </row>
    <row r="53">
      <c r="A53" s="148">
        <f>IF(B53="","",ROW()-4)</f>
        <v/>
      </c>
      <c r="B53" s="148">
        <f>IF('KG1-2'!$B27="","",'KG1-2'!$B27)</f>
        <v/>
      </c>
      <c r="C53" s="146">
        <f>IF('KG1-2'!$C27="","",'KG1-2'!$C27)</f>
        <v/>
      </c>
      <c r="D53" s="148">
        <f>IF(B53="","",'KG1-2'!$B$2)</f>
        <v/>
      </c>
      <c r="E53" s="148">
        <f>IF(B53="","",MID(D53,FIND("-",D53&amp;"-")+1,10))</f>
        <v/>
      </c>
      <c r="F53" s="148">
        <f>IF(B53="","","نشط")</f>
        <v/>
      </c>
      <c r="G53" s="157">
        <f>IF(B53="","","")</f>
        <v/>
      </c>
      <c r="H53" s="146">
        <f>IF('KG1-2'!$K27="","",'KG1-2'!$K27)</f>
        <v/>
      </c>
      <c r="I53" s="148">
        <f>IF('KG1-2'!$J27="","",'KG1-2'!$J27)</f>
        <v/>
      </c>
      <c r="J53" s="148">
        <f>IF('KG1-2'!$M27="","",'KG1-2'!$M27)</f>
        <v/>
      </c>
      <c r="K53" s="148">
        <f>IF('KG1-2'!$N27="","",'KG1-2'!$N27)</f>
        <v/>
      </c>
      <c r="L53" s="148">
        <f>IF('KG1-2'!$D27="","",'KG1-2'!$D27)</f>
        <v/>
      </c>
      <c r="M53" s="148">
        <f>IF('KG1-2'!$E27="","",'KG1-2'!$E27)</f>
        <v/>
      </c>
      <c r="N53" s="148">
        <f>IF('KG1-2'!$F27="","",'KG1-2'!$F27)</f>
        <v/>
      </c>
      <c r="O53" s="158">
        <f>IF('KG1-2'!$G27="","",'KG1-2'!$G27)</f>
        <v/>
      </c>
      <c r="P53" s="158">
        <f>IF('KG1-2'!$O27="","",'KG1-2'!$O27)</f>
        <v/>
      </c>
      <c r="Q53" s="148">
        <f>IF('KG1-2'!$T27="","",'KG1-2'!$T27)</f>
        <v/>
      </c>
      <c r="R53" s="146">
        <f>IF('KG1-2'!$H27="","",'KG1-2'!$H27)</f>
        <v/>
      </c>
      <c r="S53" s="157">
        <f>IF('KG1-2'!$P27="","",'KG1-2'!$P27)</f>
        <v/>
      </c>
      <c r="T53" s="157">
        <f>IF('KG1-2'!$V27="","",'KG1-2'!$V27)</f>
        <v/>
      </c>
      <c r="U53" s="157">
        <f>IF('KG1-2'!$W27="","",'KG1-2'!$W27)</f>
        <v/>
      </c>
      <c r="V53" s="157">
        <f>IF('KG1-2'!$X27="","",'KG1-2'!$X27)</f>
        <v/>
      </c>
      <c r="W53" s="157">
        <f>IF('KG1-2'!$Y27="","",'KG1-2'!$Y27)</f>
        <v/>
      </c>
      <c r="X53" s="157">
        <f>IF('KG1-2'!$R27="","",'KG1-2'!$R27)</f>
        <v/>
      </c>
      <c r="Y53" s="148">
        <f>IF('KG1-2'!$S27="","",'KG1-2'!$S27)</f>
        <v/>
      </c>
      <c r="Z53" s="148">
        <f>IF('KG1-2'!$Q27="","",'KG1-2'!$Q27)</f>
        <v/>
      </c>
      <c r="AA53" s="148">
        <f>IF('KG1-2'!$I27="","",'KG1-2'!$I27)</f>
        <v/>
      </c>
      <c r="AB53" s="146">
        <f>IF(Q53="","",INDEX(LevelActions,MATCH(Q53,LevelValues,0)))</f>
        <v/>
      </c>
      <c r="AC53" s="148">
        <f>IF(J53="","",IF(J53=0,"—",IF(AND(L53=0,M53=0),Cat_L1,IF(O53&gt;=Cat_95,Cat_L2,IF(O53&gt;=Cat_90,Cat_L3,Cat_L4)))))</f>
        <v/>
      </c>
      <c r="AD53" s="146">
        <f>IF('KG1-2'!$L27="","",'KG1-2'!$L27)</f>
        <v/>
      </c>
      <c r="AE53" s="148">
        <f>IF(B53="","",IF(COUNTIF($B$5:$B$214,B53)&gt;1,"مكرر!",""))</f>
        <v/>
      </c>
      <c r="AF53" s="148">
        <f>IF(AND(B53&lt;&gt;"",F53="نشط",OR(Dash_Class="الكل",D53=Dash_Class)),1,0)</f>
        <v/>
      </c>
      <c r="AG53" s="40">
        <f>IF(OR(AF53=0,Dash_DayIdx=0),"",IF(INDEX('KG1-2'!$AD$7:$IM$7,Dash_DayIdx)&lt;&gt;"✓","",IF(INDEX('KG1-2'!$AD27:$IM27,Dash_DayIdx)="","P",IFERROR(INDEX(StatusCodes,MATCH(INDEX('KG1-2'!$AD27:$IM27,Dash_DayIdx),StatusLabels,0)),""))))</f>
        <v/>
      </c>
      <c r="AH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IF(LateAsPresent="نعم",COUNTIFS('KG1-2'!$AD27:$IM27,"متأخر",'KG1-2'!$AD$7:$IM$7,"✓",'KG1-2'!$AD$6:$IM$6,1,'KG1-2'!$AD$5:$IM$5,"&gt;="&amp;MAX('KG1-2'!$U27,Dash_PStart),'KG1-2'!$AD$5:$IM$5,"&lt;="&amp;Dash_PEnd),0))</f>
        <v/>
      </c>
      <c r="AI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COUNTIFS('KG1-2'!$AD27:$IM27,"غياب بدون عذر",'KG1-2'!$AD$7:$IM$7,"✓",'KG1-2'!$AD$6:$IM$6,1,'KG1-2'!$AD$5:$IM$5,"&gt;="&amp;MAX('KG1-2'!$U27,Dash_PStart),'KG1-2'!$AD$5:$IM$5,"&lt;="&amp;Dash_PEnd)+COUNTIFS('KG1-2'!$AD27:$IM27,"غياب بعذر",'KG1-2'!$AD$7:$IM$7,"✓",'KG1-2'!$AD$6:$IM$6,1,'KG1-2'!$AD$5:$IM$5,"&gt;="&amp;MAX('KG1-2'!$U27,Dash_PStart),'KG1-2'!$AD$5:$IM$5,"&lt;="&amp;Dash_PEnd)+COUNTIFS('KG1-2'!$AD27:$IM27,"متأخر",'KG1-2'!$AD$7:$IM$7,"✓",'KG1-2'!$AD$6:$IM$6,1,'KG1-2'!$AD$5:$IM$5,"&gt;="&amp;MAX('KG1-2'!$U27,Dash_PStart),'KG1-2'!$AD$5:$IM$5,"&lt;="&amp;Dash_PEnd))</f>
        <v/>
      </c>
      <c r="AJ53" s="40">
        <f>IF(AF53=0,0,IF(W53=Dash_Date,Thr_Critical,IF(V53=Dash_Date,Thr_High,IF(U53=Dash_Date,Thr_Repeated,IF(T53=Dash_Date,Thr_FollowUp,0)))))</f>
        <v/>
      </c>
      <c r="AK53" s="40">
        <f>IF(AJ53&gt;0,COUNTIF($AJ$5:AJ53,"&gt;0"),"")</f>
        <v/>
      </c>
      <c r="AL53" s="40">
        <f>IF(AND(B53&lt;&gt;"",F53="نشط",Q53&lt;&gt;"",Q53&gt;0),L53*1000+(999-ROW()),"")</f>
        <v/>
      </c>
      <c r="AM53" s="40">
        <f>IF(AND(AF53=1,J53&lt;&gt;"",J53&gt;0),ROUND(O53*10000,0)*1000000+K53*1000+(999-ROW()),"")</f>
        <v/>
      </c>
      <c r="AN53" s="40">
        <f>IF(AND(AF53=1,J53&lt;&gt;"",J53&gt;0),(L53+M53)*10000000+ROUND((1-O53)*10000,0)*1000+(999-ROW()),"")</f>
        <v/>
      </c>
      <c r="AO53" s="40">
        <f>IF(AND(AF53=1,Q53&lt;&gt;"",Q53&gt;=Thr_Critical),L53*1000+(999-ROW()),"")</f>
        <v/>
      </c>
      <c r="AP53" s="40">
        <f>IF(AND(B53&lt;&gt;"",F53="نشط",OR(Rpt_Class="الكل",D53=Rpt_Class)),1,0)</f>
        <v/>
      </c>
      <c r="AQ53" s="40">
        <f>IF(AND(AP53=1,Q53&lt;&gt;"",Q53&gt;0),L53*1000+(999-ROW()),"")</f>
        <v/>
      </c>
      <c r="AR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IF(LateAsPresent="نعم",COUNTIFS('KG1-2'!$AD27:$IM27,"متأخر",'KG1-2'!$AD$7:$IM$7,"✓",'KG1-2'!$AD$6:$IM$6,1,'KG1-2'!$AD$5:$IM$5,"&gt;="&amp;MAX('KG1-2'!$U27,Rpt_PStart),'KG1-2'!$AD$5:$IM$5,"&lt;="&amp;Rpt_PEnd),0))</f>
        <v/>
      </c>
      <c r="AS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COUNTIFS('KG1-2'!$AD27:$IM27,"غياب بدون عذر",'KG1-2'!$AD$7:$IM$7,"✓",'KG1-2'!$AD$6:$IM$6,1,'KG1-2'!$AD$5:$IM$5,"&gt;="&amp;MAX('KG1-2'!$U27,Rpt_PStart),'KG1-2'!$AD$5:$IM$5,"&lt;="&amp;Rpt_PEnd)+COUNTIFS('KG1-2'!$AD27:$IM27,"غياب بعذر",'KG1-2'!$AD$7:$IM$7,"✓",'KG1-2'!$AD$6:$IM$6,1,'KG1-2'!$AD$5:$IM$5,"&gt;="&amp;MAX('KG1-2'!$U27,Rpt_PStart),'KG1-2'!$AD$5:$IM$5,"&lt;="&amp;Rpt_PEnd)+COUNTIFS('KG1-2'!$AD27:$IM27,"متأخر",'KG1-2'!$AD$7:$IM$7,"✓",'KG1-2'!$AD$6:$IM$6,1,'KG1-2'!$AD$5:$IM$5,"&gt;="&amp;MAX('KG1-2'!$U27,Rpt_PStart),'KG1-2'!$AD$5:$IM$5,"&lt;="&amp;Rpt_PEnd))</f>
        <v/>
      </c>
      <c r="AT53" s="40">
        <f>IF(AP53=0,"",COUNTIFS('KG1-2'!$AD27:$IM27,"غياب بدون عذر",'KG1-2'!$AD$7:$IM$7,"✓",'KG1-2'!$AD$6:$IM$6,1,'KG1-2'!$AD$5:$IM$5,"&gt;="&amp;MAX('KG1-2'!$U27,Rpt_PStart),'KG1-2'!$AD$5:$IM$5,"&lt;="&amp;Rpt_PEnd)+COUNTIFS('KG1-2'!$AD27:$IM27,"غياب بعذر",'KG1-2'!$AD$7:$IM$7,"✓",'KG1-2'!$AD$6:$IM$6,1,'KG1-2'!$AD$5:$IM$5,"&gt;="&amp;MAX('KG1-2'!$U27,Rpt_PStart),'KG1-2'!$AD$5:$IM$5,"&lt;="&amp;Rpt_PEnd))</f>
        <v/>
      </c>
      <c r="AU53" s="40" t="n">
        <v>2</v>
      </c>
      <c r="AV53" s="40" t="n">
        <v>19</v>
      </c>
      <c r="AW53" s="40">
        <f>IF(OR(AP53=0,Rpt_DayIdx=0),"",IF(INDEX('KG1-2'!$AD$7:$IM$7,Rpt_DayIdx)&lt;&gt;"✓","",IF(INDEX('KG1-2'!$AD27:$IM27,Rpt_DayIdx)="","P",IFERROR(INDEX(StatusCodes,MATCH(INDEX('KG1-2'!$AD27:$IM27,Rpt_DayIdx),StatusLabels,0)),""))))</f>
        <v/>
      </c>
      <c r="AX53" s="40">
        <f>IF(AND(AP53=1,OR(AW53="A",AW53="E")),COUNTIFS($AP$5:AP53,1,$AW$5:AW53,"A")+COUNTIFS($AP$5:AP53,1,$AW$5:AW53,"E"),"")</f>
        <v/>
      </c>
    </row>
    <row r="54">
      <c r="A54" s="148">
        <f>IF(B54="","",ROW()-4)</f>
        <v/>
      </c>
      <c r="B54" s="148">
        <f>IF('KG1-2'!$B28="","",'KG1-2'!$B28)</f>
        <v/>
      </c>
      <c r="C54" s="146">
        <f>IF('KG1-2'!$C28="","",'KG1-2'!$C28)</f>
        <v/>
      </c>
      <c r="D54" s="148">
        <f>IF(B54="","",'KG1-2'!$B$2)</f>
        <v/>
      </c>
      <c r="E54" s="148">
        <f>IF(B54="","",MID(D54,FIND("-",D54&amp;"-")+1,10))</f>
        <v/>
      </c>
      <c r="F54" s="148">
        <f>IF(B54="","","نشط")</f>
        <v/>
      </c>
      <c r="G54" s="157">
        <f>IF(B54="","","")</f>
        <v/>
      </c>
      <c r="H54" s="146">
        <f>IF('KG1-2'!$K28="","",'KG1-2'!$K28)</f>
        <v/>
      </c>
      <c r="I54" s="148">
        <f>IF('KG1-2'!$J28="","",'KG1-2'!$J28)</f>
        <v/>
      </c>
      <c r="J54" s="148">
        <f>IF('KG1-2'!$M28="","",'KG1-2'!$M28)</f>
        <v/>
      </c>
      <c r="K54" s="148">
        <f>IF('KG1-2'!$N28="","",'KG1-2'!$N28)</f>
        <v/>
      </c>
      <c r="L54" s="148">
        <f>IF('KG1-2'!$D28="","",'KG1-2'!$D28)</f>
        <v/>
      </c>
      <c r="M54" s="148">
        <f>IF('KG1-2'!$E28="","",'KG1-2'!$E28)</f>
        <v/>
      </c>
      <c r="N54" s="148">
        <f>IF('KG1-2'!$F28="","",'KG1-2'!$F28)</f>
        <v/>
      </c>
      <c r="O54" s="158">
        <f>IF('KG1-2'!$G28="","",'KG1-2'!$G28)</f>
        <v/>
      </c>
      <c r="P54" s="158">
        <f>IF('KG1-2'!$O28="","",'KG1-2'!$O28)</f>
        <v/>
      </c>
      <c r="Q54" s="148">
        <f>IF('KG1-2'!$T28="","",'KG1-2'!$T28)</f>
        <v/>
      </c>
      <c r="R54" s="146">
        <f>IF('KG1-2'!$H28="","",'KG1-2'!$H28)</f>
        <v/>
      </c>
      <c r="S54" s="157">
        <f>IF('KG1-2'!$P28="","",'KG1-2'!$P28)</f>
        <v/>
      </c>
      <c r="T54" s="157">
        <f>IF('KG1-2'!$V28="","",'KG1-2'!$V28)</f>
        <v/>
      </c>
      <c r="U54" s="157">
        <f>IF('KG1-2'!$W28="","",'KG1-2'!$W28)</f>
        <v/>
      </c>
      <c r="V54" s="157">
        <f>IF('KG1-2'!$X28="","",'KG1-2'!$X28)</f>
        <v/>
      </c>
      <c r="W54" s="157">
        <f>IF('KG1-2'!$Y28="","",'KG1-2'!$Y28)</f>
        <v/>
      </c>
      <c r="X54" s="157">
        <f>IF('KG1-2'!$R28="","",'KG1-2'!$R28)</f>
        <v/>
      </c>
      <c r="Y54" s="148">
        <f>IF('KG1-2'!$S28="","",'KG1-2'!$S28)</f>
        <v/>
      </c>
      <c r="Z54" s="148">
        <f>IF('KG1-2'!$Q28="","",'KG1-2'!$Q28)</f>
        <v/>
      </c>
      <c r="AA54" s="148">
        <f>IF('KG1-2'!$I28="","",'KG1-2'!$I28)</f>
        <v/>
      </c>
      <c r="AB54" s="146">
        <f>IF(Q54="","",INDEX(LevelActions,MATCH(Q54,LevelValues,0)))</f>
        <v/>
      </c>
      <c r="AC54" s="148">
        <f>IF(J54="","",IF(J54=0,"—",IF(AND(L54=0,M54=0),Cat_L1,IF(O54&gt;=Cat_95,Cat_L2,IF(O54&gt;=Cat_90,Cat_L3,Cat_L4)))))</f>
        <v/>
      </c>
      <c r="AD54" s="146">
        <f>IF('KG1-2'!$L28="","",'KG1-2'!$L28)</f>
        <v/>
      </c>
      <c r="AE54" s="148">
        <f>IF(B54="","",IF(COUNTIF($B$5:$B$214,B54)&gt;1,"مكرر!",""))</f>
        <v/>
      </c>
      <c r="AF54" s="148">
        <f>IF(AND(B54&lt;&gt;"",F54="نشط",OR(Dash_Class="الكل",D54=Dash_Class)),1,0)</f>
        <v/>
      </c>
      <c r="AG54" s="40">
        <f>IF(OR(AF54=0,Dash_DayIdx=0),"",IF(INDEX('KG1-2'!$AD$7:$IM$7,Dash_DayIdx)&lt;&gt;"✓","",IF(INDEX('KG1-2'!$AD28:$IM28,Dash_DayIdx)="","P",IFERROR(INDEX(StatusCodes,MATCH(INDEX('KG1-2'!$AD28:$IM28,Dash_DayIdx),StatusLabels,0)),""))))</f>
        <v/>
      </c>
      <c r="AH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IF(LateAsPresent="نعم",COUNTIFS('KG1-2'!$AD28:$IM28,"متأخر",'KG1-2'!$AD$7:$IM$7,"✓",'KG1-2'!$AD$6:$IM$6,1,'KG1-2'!$AD$5:$IM$5,"&gt;="&amp;MAX('KG1-2'!$U28,Dash_PStart),'KG1-2'!$AD$5:$IM$5,"&lt;="&amp;Dash_PEnd),0))</f>
        <v/>
      </c>
      <c r="AI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COUNTIFS('KG1-2'!$AD28:$IM28,"غياب بدون عذر",'KG1-2'!$AD$7:$IM$7,"✓",'KG1-2'!$AD$6:$IM$6,1,'KG1-2'!$AD$5:$IM$5,"&gt;="&amp;MAX('KG1-2'!$U28,Dash_PStart),'KG1-2'!$AD$5:$IM$5,"&lt;="&amp;Dash_PEnd)+COUNTIFS('KG1-2'!$AD28:$IM28,"غياب بعذر",'KG1-2'!$AD$7:$IM$7,"✓",'KG1-2'!$AD$6:$IM$6,1,'KG1-2'!$AD$5:$IM$5,"&gt;="&amp;MAX('KG1-2'!$U28,Dash_PStart),'KG1-2'!$AD$5:$IM$5,"&lt;="&amp;Dash_PEnd)+COUNTIFS('KG1-2'!$AD28:$IM28,"متأخر",'KG1-2'!$AD$7:$IM$7,"✓",'KG1-2'!$AD$6:$IM$6,1,'KG1-2'!$AD$5:$IM$5,"&gt;="&amp;MAX('KG1-2'!$U28,Dash_PStart),'KG1-2'!$AD$5:$IM$5,"&lt;="&amp;Dash_PEnd))</f>
        <v/>
      </c>
      <c r="AJ54" s="40">
        <f>IF(AF54=0,0,IF(W54=Dash_Date,Thr_Critical,IF(V54=Dash_Date,Thr_High,IF(U54=Dash_Date,Thr_Repeated,IF(T54=Dash_Date,Thr_FollowUp,0)))))</f>
        <v/>
      </c>
      <c r="AK54" s="40">
        <f>IF(AJ54&gt;0,COUNTIF($AJ$5:AJ54,"&gt;0"),"")</f>
        <v/>
      </c>
      <c r="AL54" s="40">
        <f>IF(AND(B54&lt;&gt;"",F54="نشط",Q54&lt;&gt;"",Q54&gt;0),L54*1000+(999-ROW()),"")</f>
        <v/>
      </c>
      <c r="AM54" s="40">
        <f>IF(AND(AF54=1,J54&lt;&gt;"",J54&gt;0),ROUND(O54*10000,0)*1000000+K54*1000+(999-ROW()),"")</f>
        <v/>
      </c>
      <c r="AN54" s="40">
        <f>IF(AND(AF54=1,J54&lt;&gt;"",J54&gt;0),(L54+M54)*10000000+ROUND((1-O54)*10000,0)*1000+(999-ROW()),"")</f>
        <v/>
      </c>
      <c r="AO54" s="40">
        <f>IF(AND(AF54=1,Q54&lt;&gt;"",Q54&gt;=Thr_Critical),L54*1000+(999-ROW()),"")</f>
        <v/>
      </c>
      <c r="AP54" s="40">
        <f>IF(AND(B54&lt;&gt;"",F54="نشط",OR(Rpt_Class="الكل",D54=Rpt_Class)),1,0)</f>
        <v/>
      </c>
      <c r="AQ54" s="40">
        <f>IF(AND(AP54=1,Q54&lt;&gt;"",Q54&gt;0),L54*1000+(999-ROW()),"")</f>
        <v/>
      </c>
      <c r="AR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IF(LateAsPresent="نعم",COUNTIFS('KG1-2'!$AD28:$IM28,"متأخر",'KG1-2'!$AD$7:$IM$7,"✓",'KG1-2'!$AD$6:$IM$6,1,'KG1-2'!$AD$5:$IM$5,"&gt;="&amp;MAX('KG1-2'!$U28,Rpt_PStart),'KG1-2'!$AD$5:$IM$5,"&lt;="&amp;Rpt_PEnd),0))</f>
        <v/>
      </c>
      <c r="AS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COUNTIFS('KG1-2'!$AD28:$IM28,"غياب بدون عذر",'KG1-2'!$AD$7:$IM$7,"✓",'KG1-2'!$AD$6:$IM$6,1,'KG1-2'!$AD$5:$IM$5,"&gt;="&amp;MAX('KG1-2'!$U28,Rpt_PStart),'KG1-2'!$AD$5:$IM$5,"&lt;="&amp;Rpt_PEnd)+COUNTIFS('KG1-2'!$AD28:$IM28,"غياب بعذر",'KG1-2'!$AD$7:$IM$7,"✓",'KG1-2'!$AD$6:$IM$6,1,'KG1-2'!$AD$5:$IM$5,"&gt;="&amp;MAX('KG1-2'!$U28,Rpt_PStart),'KG1-2'!$AD$5:$IM$5,"&lt;="&amp;Rpt_PEnd)+COUNTIFS('KG1-2'!$AD28:$IM28,"متأخر",'KG1-2'!$AD$7:$IM$7,"✓",'KG1-2'!$AD$6:$IM$6,1,'KG1-2'!$AD$5:$IM$5,"&gt;="&amp;MAX('KG1-2'!$U28,Rpt_PStart),'KG1-2'!$AD$5:$IM$5,"&lt;="&amp;Rpt_PEnd))</f>
        <v/>
      </c>
      <c r="AT54" s="40">
        <f>IF(AP54=0,"",COUNTIFS('KG1-2'!$AD28:$IM28,"غياب بدون عذر",'KG1-2'!$AD$7:$IM$7,"✓",'KG1-2'!$AD$6:$IM$6,1,'KG1-2'!$AD$5:$IM$5,"&gt;="&amp;MAX('KG1-2'!$U28,Rpt_PStart),'KG1-2'!$AD$5:$IM$5,"&lt;="&amp;Rpt_PEnd)+COUNTIFS('KG1-2'!$AD28:$IM28,"غياب بعذر",'KG1-2'!$AD$7:$IM$7,"✓",'KG1-2'!$AD$6:$IM$6,1,'KG1-2'!$AD$5:$IM$5,"&gt;="&amp;MAX('KG1-2'!$U28,Rpt_PStart),'KG1-2'!$AD$5:$IM$5,"&lt;="&amp;Rpt_PEnd))</f>
        <v/>
      </c>
      <c r="AU54" s="40" t="n">
        <v>2</v>
      </c>
      <c r="AV54" s="40" t="n">
        <v>20</v>
      </c>
      <c r="AW54" s="40">
        <f>IF(OR(AP54=0,Rpt_DayIdx=0),"",IF(INDEX('KG1-2'!$AD$7:$IM$7,Rpt_DayIdx)&lt;&gt;"✓","",IF(INDEX('KG1-2'!$AD28:$IM28,Rpt_DayIdx)="","P",IFERROR(INDEX(StatusCodes,MATCH(INDEX('KG1-2'!$AD28:$IM28,Rpt_DayIdx),StatusLabels,0)),""))))</f>
        <v/>
      </c>
      <c r="AX54" s="40">
        <f>IF(AND(AP54=1,OR(AW54="A",AW54="E")),COUNTIFS($AP$5:AP54,1,$AW$5:AW54,"A")+COUNTIFS($AP$5:AP54,1,$AW$5:AW54,"E"),"")</f>
        <v/>
      </c>
    </row>
    <row r="55">
      <c r="A55" s="148">
        <f>IF(B55="","",ROW()-4)</f>
        <v/>
      </c>
      <c r="B55" s="148">
        <f>IF('KG1-2'!$B29="","",'KG1-2'!$B29)</f>
        <v/>
      </c>
      <c r="C55" s="146">
        <f>IF('KG1-2'!$C29="","",'KG1-2'!$C29)</f>
        <v/>
      </c>
      <c r="D55" s="148">
        <f>IF(B55="","",'KG1-2'!$B$2)</f>
        <v/>
      </c>
      <c r="E55" s="148">
        <f>IF(B55="","",MID(D55,FIND("-",D55&amp;"-")+1,10))</f>
        <v/>
      </c>
      <c r="F55" s="148">
        <f>IF(B55="","","نشط")</f>
        <v/>
      </c>
      <c r="G55" s="157">
        <f>IF(B55="","","")</f>
        <v/>
      </c>
      <c r="H55" s="146">
        <f>IF('KG1-2'!$K29="","",'KG1-2'!$K29)</f>
        <v/>
      </c>
      <c r="I55" s="148">
        <f>IF('KG1-2'!$J29="","",'KG1-2'!$J29)</f>
        <v/>
      </c>
      <c r="J55" s="148">
        <f>IF('KG1-2'!$M29="","",'KG1-2'!$M29)</f>
        <v/>
      </c>
      <c r="K55" s="148">
        <f>IF('KG1-2'!$N29="","",'KG1-2'!$N29)</f>
        <v/>
      </c>
      <c r="L55" s="148">
        <f>IF('KG1-2'!$D29="","",'KG1-2'!$D29)</f>
        <v/>
      </c>
      <c r="M55" s="148">
        <f>IF('KG1-2'!$E29="","",'KG1-2'!$E29)</f>
        <v/>
      </c>
      <c r="N55" s="148">
        <f>IF('KG1-2'!$F29="","",'KG1-2'!$F29)</f>
        <v/>
      </c>
      <c r="O55" s="158">
        <f>IF('KG1-2'!$G29="","",'KG1-2'!$G29)</f>
        <v/>
      </c>
      <c r="P55" s="158">
        <f>IF('KG1-2'!$O29="","",'KG1-2'!$O29)</f>
        <v/>
      </c>
      <c r="Q55" s="148">
        <f>IF('KG1-2'!$T29="","",'KG1-2'!$T29)</f>
        <v/>
      </c>
      <c r="R55" s="146">
        <f>IF('KG1-2'!$H29="","",'KG1-2'!$H29)</f>
        <v/>
      </c>
      <c r="S55" s="157">
        <f>IF('KG1-2'!$P29="","",'KG1-2'!$P29)</f>
        <v/>
      </c>
      <c r="T55" s="157">
        <f>IF('KG1-2'!$V29="","",'KG1-2'!$V29)</f>
        <v/>
      </c>
      <c r="U55" s="157">
        <f>IF('KG1-2'!$W29="","",'KG1-2'!$W29)</f>
        <v/>
      </c>
      <c r="V55" s="157">
        <f>IF('KG1-2'!$X29="","",'KG1-2'!$X29)</f>
        <v/>
      </c>
      <c r="W55" s="157">
        <f>IF('KG1-2'!$Y29="","",'KG1-2'!$Y29)</f>
        <v/>
      </c>
      <c r="X55" s="157">
        <f>IF('KG1-2'!$R29="","",'KG1-2'!$R29)</f>
        <v/>
      </c>
      <c r="Y55" s="148">
        <f>IF('KG1-2'!$S29="","",'KG1-2'!$S29)</f>
        <v/>
      </c>
      <c r="Z55" s="148">
        <f>IF('KG1-2'!$Q29="","",'KG1-2'!$Q29)</f>
        <v/>
      </c>
      <c r="AA55" s="148">
        <f>IF('KG1-2'!$I29="","",'KG1-2'!$I29)</f>
        <v/>
      </c>
      <c r="AB55" s="146">
        <f>IF(Q55="","",INDEX(LevelActions,MATCH(Q55,LevelValues,0)))</f>
        <v/>
      </c>
      <c r="AC55" s="148">
        <f>IF(J55="","",IF(J55=0,"—",IF(AND(L55=0,M55=0),Cat_L1,IF(O55&gt;=Cat_95,Cat_L2,IF(O55&gt;=Cat_90,Cat_L3,Cat_L4)))))</f>
        <v/>
      </c>
      <c r="AD55" s="146">
        <f>IF('KG1-2'!$L29="","",'KG1-2'!$L29)</f>
        <v/>
      </c>
      <c r="AE55" s="148">
        <f>IF(B55="","",IF(COUNTIF($B$5:$B$214,B55)&gt;1,"مكرر!",""))</f>
        <v/>
      </c>
      <c r="AF55" s="148">
        <f>IF(AND(B55&lt;&gt;"",F55="نشط",OR(Dash_Class="الكل",D55=Dash_Class)),1,0)</f>
        <v/>
      </c>
      <c r="AG55" s="40">
        <f>IF(OR(AF55=0,Dash_DayIdx=0),"",IF(INDEX('KG1-2'!$AD$7:$IM$7,Dash_DayIdx)&lt;&gt;"✓","",IF(INDEX('KG1-2'!$AD29:$IM29,Dash_DayIdx)="","P",IFERROR(INDEX(StatusCodes,MATCH(INDEX('KG1-2'!$AD29:$IM29,Dash_DayIdx),StatusLabels,0)),""))))</f>
        <v/>
      </c>
      <c r="AH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IF(LateAsPresent="نعم",COUNTIFS('KG1-2'!$AD29:$IM29,"متأخر",'KG1-2'!$AD$7:$IM$7,"✓",'KG1-2'!$AD$6:$IM$6,1,'KG1-2'!$AD$5:$IM$5,"&gt;="&amp;MAX('KG1-2'!$U29,Dash_PStart),'KG1-2'!$AD$5:$IM$5,"&lt;="&amp;Dash_PEnd),0))</f>
        <v/>
      </c>
      <c r="AI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COUNTIFS('KG1-2'!$AD29:$IM29,"غياب بدون عذر",'KG1-2'!$AD$7:$IM$7,"✓",'KG1-2'!$AD$6:$IM$6,1,'KG1-2'!$AD$5:$IM$5,"&gt;="&amp;MAX('KG1-2'!$U29,Dash_PStart),'KG1-2'!$AD$5:$IM$5,"&lt;="&amp;Dash_PEnd)+COUNTIFS('KG1-2'!$AD29:$IM29,"غياب بعذر",'KG1-2'!$AD$7:$IM$7,"✓",'KG1-2'!$AD$6:$IM$6,1,'KG1-2'!$AD$5:$IM$5,"&gt;="&amp;MAX('KG1-2'!$U29,Dash_PStart),'KG1-2'!$AD$5:$IM$5,"&lt;="&amp;Dash_PEnd)+COUNTIFS('KG1-2'!$AD29:$IM29,"متأخر",'KG1-2'!$AD$7:$IM$7,"✓",'KG1-2'!$AD$6:$IM$6,1,'KG1-2'!$AD$5:$IM$5,"&gt;="&amp;MAX('KG1-2'!$U29,Dash_PStart),'KG1-2'!$AD$5:$IM$5,"&lt;="&amp;Dash_PEnd))</f>
        <v/>
      </c>
      <c r="AJ55" s="40">
        <f>IF(AF55=0,0,IF(W55=Dash_Date,Thr_Critical,IF(V55=Dash_Date,Thr_High,IF(U55=Dash_Date,Thr_Repeated,IF(T55=Dash_Date,Thr_FollowUp,0)))))</f>
        <v/>
      </c>
      <c r="AK55" s="40">
        <f>IF(AJ55&gt;0,COUNTIF($AJ$5:AJ55,"&gt;0"),"")</f>
        <v/>
      </c>
      <c r="AL55" s="40">
        <f>IF(AND(B55&lt;&gt;"",F55="نشط",Q55&lt;&gt;"",Q55&gt;0),L55*1000+(999-ROW()),"")</f>
        <v/>
      </c>
      <c r="AM55" s="40">
        <f>IF(AND(AF55=1,J55&lt;&gt;"",J55&gt;0),ROUND(O55*10000,0)*1000000+K55*1000+(999-ROW()),"")</f>
        <v/>
      </c>
      <c r="AN55" s="40">
        <f>IF(AND(AF55=1,J55&lt;&gt;"",J55&gt;0),(L55+M55)*10000000+ROUND((1-O55)*10000,0)*1000+(999-ROW()),"")</f>
        <v/>
      </c>
      <c r="AO55" s="40">
        <f>IF(AND(AF55=1,Q55&lt;&gt;"",Q55&gt;=Thr_Critical),L55*1000+(999-ROW()),"")</f>
        <v/>
      </c>
      <c r="AP55" s="40">
        <f>IF(AND(B55&lt;&gt;"",F55="نشط",OR(Rpt_Class="الكل",D55=Rpt_Class)),1,0)</f>
        <v/>
      </c>
      <c r="AQ55" s="40">
        <f>IF(AND(AP55=1,Q55&lt;&gt;"",Q55&gt;0),L55*1000+(999-ROW()),"")</f>
        <v/>
      </c>
      <c r="AR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IF(LateAsPresent="نعم",COUNTIFS('KG1-2'!$AD29:$IM29,"متأخر",'KG1-2'!$AD$7:$IM$7,"✓",'KG1-2'!$AD$6:$IM$6,1,'KG1-2'!$AD$5:$IM$5,"&gt;="&amp;MAX('KG1-2'!$U29,Rpt_PStart),'KG1-2'!$AD$5:$IM$5,"&lt;="&amp;Rpt_PEnd),0))</f>
        <v/>
      </c>
      <c r="AS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COUNTIFS('KG1-2'!$AD29:$IM29,"غياب بدون عذر",'KG1-2'!$AD$7:$IM$7,"✓",'KG1-2'!$AD$6:$IM$6,1,'KG1-2'!$AD$5:$IM$5,"&gt;="&amp;MAX('KG1-2'!$U29,Rpt_PStart),'KG1-2'!$AD$5:$IM$5,"&lt;="&amp;Rpt_PEnd)+COUNTIFS('KG1-2'!$AD29:$IM29,"غياب بعذر",'KG1-2'!$AD$7:$IM$7,"✓",'KG1-2'!$AD$6:$IM$6,1,'KG1-2'!$AD$5:$IM$5,"&gt;="&amp;MAX('KG1-2'!$U29,Rpt_PStart),'KG1-2'!$AD$5:$IM$5,"&lt;="&amp;Rpt_PEnd)+COUNTIFS('KG1-2'!$AD29:$IM29,"متأخر",'KG1-2'!$AD$7:$IM$7,"✓",'KG1-2'!$AD$6:$IM$6,1,'KG1-2'!$AD$5:$IM$5,"&gt;="&amp;MAX('KG1-2'!$U29,Rpt_PStart),'KG1-2'!$AD$5:$IM$5,"&lt;="&amp;Rpt_PEnd))</f>
        <v/>
      </c>
      <c r="AT55" s="40">
        <f>IF(AP55=0,"",COUNTIFS('KG1-2'!$AD29:$IM29,"غياب بدون عذر",'KG1-2'!$AD$7:$IM$7,"✓",'KG1-2'!$AD$6:$IM$6,1,'KG1-2'!$AD$5:$IM$5,"&gt;="&amp;MAX('KG1-2'!$U29,Rpt_PStart),'KG1-2'!$AD$5:$IM$5,"&lt;="&amp;Rpt_PEnd)+COUNTIFS('KG1-2'!$AD29:$IM29,"غياب بعذر",'KG1-2'!$AD$7:$IM$7,"✓",'KG1-2'!$AD$6:$IM$6,1,'KG1-2'!$AD$5:$IM$5,"&gt;="&amp;MAX('KG1-2'!$U29,Rpt_PStart),'KG1-2'!$AD$5:$IM$5,"&lt;="&amp;Rpt_PEnd))</f>
        <v/>
      </c>
      <c r="AU55" s="40" t="n">
        <v>2</v>
      </c>
      <c r="AV55" s="40" t="n">
        <v>21</v>
      </c>
      <c r="AW55" s="40">
        <f>IF(OR(AP55=0,Rpt_DayIdx=0),"",IF(INDEX('KG1-2'!$AD$7:$IM$7,Rpt_DayIdx)&lt;&gt;"✓","",IF(INDEX('KG1-2'!$AD29:$IM29,Rpt_DayIdx)="","P",IFERROR(INDEX(StatusCodes,MATCH(INDEX('KG1-2'!$AD29:$IM29,Rpt_DayIdx),StatusLabels,0)),""))))</f>
        <v/>
      </c>
      <c r="AX55" s="40">
        <f>IF(AND(AP55=1,OR(AW55="A",AW55="E")),COUNTIFS($AP$5:AP55,1,$AW$5:AW55,"A")+COUNTIFS($AP$5:AP55,1,$AW$5:AW55,"E"),"")</f>
        <v/>
      </c>
    </row>
    <row r="56">
      <c r="A56" s="148">
        <f>IF(B56="","",ROW()-4)</f>
        <v/>
      </c>
      <c r="B56" s="148">
        <f>IF('KG1-2'!$B30="","",'KG1-2'!$B30)</f>
        <v/>
      </c>
      <c r="C56" s="146">
        <f>IF('KG1-2'!$C30="","",'KG1-2'!$C30)</f>
        <v/>
      </c>
      <c r="D56" s="148">
        <f>IF(B56="","",'KG1-2'!$B$2)</f>
        <v/>
      </c>
      <c r="E56" s="148">
        <f>IF(B56="","",MID(D56,FIND("-",D56&amp;"-")+1,10))</f>
        <v/>
      </c>
      <c r="F56" s="148">
        <f>IF(B56="","","نشط")</f>
        <v/>
      </c>
      <c r="G56" s="157">
        <f>IF(B56="","","")</f>
        <v/>
      </c>
      <c r="H56" s="146">
        <f>IF('KG1-2'!$K30="","",'KG1-2'!$K30)</f>
        <v/>
      </c>
      <c r="I56" s="148">
        <f>IF('KG1-2'!$J30="","",'KG1-2'!$J30)</f>
        <v/>
      </c>
      <c r="J56" s="148">
        <f>IF('KG1-2'!$M30="","",'KG1-2'!$M30)</f>
        <v/>
      </c>
      <c r="K56" s="148">
        <f>IF('KG1-2'!$N30="","",'KG1-2'!$N30)</f>
        <v/>
      </c>
      <c r="L56" s="148">
        <f>IF('KG1-2'!$D30="","",'KG1-2'!$D30)</f>
        <v/>
      </c>
      <c r="M56" s="148">
        <f>IF('KG1-2'!$E30="","",'KG1-2'!$E30)</f>
        <v/>
      </c>
      <c r="N56" s="148">
        <f>IF('KG1-2'!$F30="","",'KG1-2'!$F30)</f>
        <v/>
      </c>
      <c r="O56" s="158">
        <f>IF('KG1-2'!$G30="","",'KG1-2'!$G30)</f>
        <v/>
      </c>
      <c r="P56" s="158">
        <f>IF('KG1-2'!$O30="","",'KG1-2'!$O30)</f>
        <v/>
      </c>
      <c r="Q56" s="148">
        <f>IF('KG1-2'!$T30="","",'KG1-2'!$T30)</f>
        <v/>
      </c>
      <c r="R56" s="146">
        <f>IF('KG1-2'!$H30="","",'KG1-2'!$H30)</f>
        <v/>
      </c>
      <c r="S56" s="157">
        <f>IF('KG1-2'!$P30="","",'KG1-2'!$P30)</f>
        <v/>
      </c>
      <c r="T56" s="157">
        <f>IF('KG1-2'!$V30="","",'KG1-2'!$V30)</f>
        <v/>
      </c>
      <c r="U56" s="157">
        <f>IF('KG1-2'!$W30="","",'KG1-2'!$W30)</f>
        <v/>
      </c>
      <c r="V56" s="157">
        <f>IF('KG1-2'!$X30="","",'KG1-2'!$X30)</f>
        <v/>
      </c>
      <c r="W56" s="157">
        <f>IF('KG1-2'!$Y30="","",'KG1-2'!$Y30)</f>
        <v/>
      </c>
      <c r="X56" s="157">
        <f>IF('KG1-2'!$R30="","",'KG1-2'!$R30)</f>
        <v/>
      </c>
      <c r="Y56" s="148">
        <f>IF('KG1-2'!$S30="","",'KG1-2'!$S30)</f>
        <v/>
      </c>
      <c r="Z56" s="148">
        <f>IF('KG1-2'!$Q30="","",'KG1-2'!$Q30)</f>
        <v/>
      </c>
      <c r="AA56" s="148">
        <f>IF('KG1-2'!$I30="","",'KG1-2'!$I30)</f>
        <v/>
      </c>
      <c r="AB56" s="146">
        <f>IF(Q56="","",INDEX(LevelActions,MATCH(Q56,LevelValues,0)))</f>
        <v/>
      </c>
      <c r="AC56" s="148">
        <f>IF(J56="","",IF(J56=0,"—",IF(AND(L56=0,M56=0),Cat_L1,IF(O56&gt;=Cat_95,Cat_L2,IF(O56&gt;=Cat_90,Cat_L3,Cat_L4)))))</f>
        <v/>
      </c>
      <c r="AD56" s="146">
        <f>IF('KG1-2'!$L30="","",'KG1-2'!$L30)</f>
        <v/>
      </c>
      <c r="AE56" s="148">
        <f>IF(B56="","",IF(COUNTIF($B$5:$B$214,B56)&gt;1,"مكرر!",""))</f>
        <v/>
      </c>
      <c r="AF56" s="148">
        <f>IF(AND(B56&lt;&gt;"",F56="نشط",OR(Dash_Class="الكل",D56=Dash_Class)),1,0)</f>
        <v/>
      </c>
      <c r="AG56" s="40">
        <f>IF(OR(AF56=0,Dash_DayIdx=0),"",IF(INDEX('KG1-2'!$AD$7:$IM$7,Dash_DayIdx)&lt;&gt;"✓","",IF(INDEX('KG1-2'!$AD30:$IM30,Dash_DayIdx)="","P",IFERROR(INDEX(StatusCodes,MATCH(INDEX('KG1-2'!$AD30:$IM30,Dash_DayIdx),StatusLabels,0)),""))))</f>
        <v/>
      </c>
      <c r="AH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IF(LateAsPresent="نعم",COUNTIFS('KG1-2'!$AD30:$IM30,"متأخر",'KG1-2'!$AD$7:$IM$7,"✓",'KG1-2'!$AD$6:$IM$6,1,'KG1-2'!$AD$5:$IM$5,"&gt;="&amp;MAX('KG1-2'!$U30,Dash_PStart),'KG1-2'!$AD$5:$IM$5,"&lt;="&amp;Dash_PEnd),0))</f>
        <v/>
      </c>
      <c r="AI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COUNTIFS('KG1-2'!$AD30:$IM30,"غياب بدون عذر",'KG1-2'!$AD$7:$IM$7,"✓",'KG1-2'!$AD$6:$IM$6,1,'KG1-2'!$AD$5:$IM$5,"&gt;="&amp;MAX('KG1-2'!$U30,Dash_PStart),'KG1-2'!$AD$5:$IM$5,"&lt;="&amp;Dash_PEnd)+COUNTIFS('KG1-2'!$AD30:$IM30,"غياب بعذر",'KG1-2'!$AD$7:$IM$7,"✓",'KG1-2'!$AD$6:$IM$6,1,'KG1-2'!$AD$5:$IM$5,"&gt;="&amp;MAX('KG1-2'!$U30,Dash_PStart),'KG1-2'!$AD$5:$IM$5,"&lt;="&amp;Dash_PEnd)+COUNTIFS('KG1-2'!$AD30:$IM30,"متأخر",'KG1-2'!$AD$7:$IM$7,"✓",'KG1-2'!$AD$6:$IM$6,1,'KG1-2'!$AD$5:$IM$5,"&gt;="&amp;MAX('KG1-2'!$U30,Dash_PStart),'KG1-2'!$AD$5:$IM$5,"&lt;="&amp;Dash_PEnd))</f>
        <v/>
      </c>
      <c r="AJ56" s="40">
        <f>IF(AF56=0,0,IF(W56=Dash_Date,Thr_Critical,IF(V56=Dash_Date,Thr_High,IF(U56=Dash_Date,Thr_Repeated,IF(T56=Dash_Date,Thr_FollowUp,0)))))</f>
        <v/>
      </c>
      <c r="AK56" s="40">
        <f>IF(AJ56&gt;0,COUNTIF($AJ$5:AJ56,"&gt;0"),"")</f>
        <v/>
      </c>
      <c r="AL56" s="40">
        <f>IF(AND(B56&lt;&gt;"",F56="نشط",Q56&lt;&gt;"",Q56&gt;0),L56*1000+(999-ROW()),"")</f>
        <v/>
      </c>
      <c r="AM56" s="40">
        <f>IF(AND(AF56=1,J56&lt;&gt;"",J56&gt;0),ROUND(O56*10000,0)*1000000+K56*1000+(999-ROW()),"")</f>
        <v/>
      </c>
      <c r="AN56" s="40">
        <f>IF(AND(AF56=1,J56&lt;&gt;"",J56&gt;0),(L56+M56)*10000000+ROUND((1-O56)*10000,0)*1000+(999-ROW()),"")</f>
        <v/>
      </c>
      <c r="AO56" s="40">
        <f>IF(AND(AF56=1,Q56&lt;&gt;"",Q56&gt;=Thr_Critical),L56*1000+(999-ROW()),"")</f>
        <v/>
      </c>
      <c r="AP56" s="40">
        <f>IF(AND(B56&lt;&gt;"",F56="نشط",OR(Rpt_Class="الكل",D56=Rpt_Class)),1,0)</f>
        <v/>
      </c>
      <c r="AQ56" s="40">
        <f>IF(AND(AP56=1,Q56&lt;&gt;"",Q56&gt;0),L56*1000+(999-ROW()),"")</f>
        <v/>
      </c>
      <c r="AR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IF(LateAsPresent="نعم",COUNTIFS('KG1-2'!$AD30:$IM30,"متأخر",'KG1-2'!$AD$7:$IM$7,"✓",'KG1-2'!$AD$6:$IM$6,1,'KG1-2'!$AD$5:$IM$5,"&gt;="&amp;MAX('KG1-2'!$U30,Rpt_PStart),'KG1-2'!$AD$5:$IM$5,"&lt;="&amp;Rpt_PEnd),0))</f>
        <v/>
      </c>
      <c r="AS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COUNTIFS('KG1-2'!$AD30:$IM30,"غياب بدون عذر",'KG1-2'!$AD$7:$IM$7,"✓",'KG1-2'!$AD$6:$IM$6,1,'KG1-2'!$AD$5:$IM$5,"&gt;="&amp;MAX('KG1-2'!$U30,Rpt_PStart),'KG1-2'!$AD$5:$IM$5,"&lt;="&amp;Rpt_PEnd)+COUNTIFS('KG1-2'!$AD30:$IM30,"غياب بعذر",'KG1-2'!$AD$7:$IM$7,"✓",'KG1-2'!$AD$6:$IM$6,1,'KG1-2'!$AD$5:$IM$5,"&gt;="&amp;MAX('KG1-2'!$U30,Rpt_PStart),'KG1-2'!$AD$5:$IM$5,"&lt;="&amp;Rpt_PEnd)+COUNTIFS('KG1-2'!$AD30:$IM30,"متأخر",'KG1-2'!$AD$7:$IM$7,"✓",'KG1-2'!$AD$6:$IM$6,1,'KG1-2'!$AD$5:$IM$5,"&gt;="&amp;MAX('KG1-2'!$U30,Rpt_PStart),'KG1-2'!$AD$5:$IM$5,"&lt;="&amp;Rpt_PEnd))</f>
        <v/>
      </c>
      <c r="AT56" s="40">
        <f>IF(AP56=0,"",COUNTIFS('KG1-2'!$AD30:$IM30,"غياب بدون عذر",'KG1-2'!$AD$7:$IM$7,"✓",'KG1-2'!$AD$6:$IM$6,1,'KG1-2'!$AD$5:$IM$5,"&gt;="&amp;MAX('KG1-2'!$U30,Rpt_PStart),'KG1-2'!$AD$5:$IM$5,"&lt;="&amp;Rpt_PEnd)+COUNTIFS('KG1-2'!$AD30:$IM30,"غياب بعذر",'KG1-2'!$AD$7:$IM$7,"✓",'KG1-2'!$AD$6:$IM$6,1,'KG1-2'!$AD$5:$IM$5,"&gt;="&amp;MAX('KG1-2'!$U30,Rpt_PStart),'KG1-2'!$AD$5:$IM$5,"&lt;="&amp;Rpt_PEnd))</f>
        <v/>
      </c>
      <c r="AU56" s="40" t="n">
        <v>2</v>
      </c>
      <c r="AV56" s="40" t="n">
        <v>22</v>
      </c>
      <c r="AW56" s="40">
        <f>IF(OR(AP56=0,Rpt_DayIdx=0),"",IF(INDEX('KG1-2'!$AD$7:$IM$7,Rpt_DayIdx)&lt;&gt;"✓","",IF(INDEX('KG1-2'!$AD30:$IM30,Rpt_DayIdx)="","P",IFERROR(INDEX(StatusCodes,MATCH(INDEX('KG1-2'!$AD30:$IM30,Rpt_DayIdx),StatusLabels,0)),""))))</f>
        <v/>
      </c>
      <c r="AX56" s="40">
        <f>IF(AND(AP56=1,OR(AW56="A",AW56="E")),COUNTIFS($AP$5:AP56,1,$AW$5:AW56,"A")+COUNTIFS($AP$5:AP56,1,$AW$5:AW56,"E"),"")</f>
        <v/>
      </c>
    </row>
    <row r="57">
      <c r="A57" s="148">
        <f>IF(B57="","",ROW()-4)</f>
        <v/>
      </c>
      <c r="B57" s="148">
        <f>IF('KG1-2'!$B31="","",'KG1-2'!$B31)</f>
        <v/>
      </c>
      <c r="C57" s="146">
        <f>IF('KG1-2'!$C31="","",'KG1-2'!$C31)</f>
        <v/>
      </c>
      <c r="D57" s="148">
        <f>IF(B57="","",'KG1-2'!$B$2)</f>
        <v/>
      </c>
      <c r="E57" s="148">
        <f>IF(B57="","",MID(D57,FIND("-",D57&amp;"-")+1,10))</f>
        <v/>
      </c>
      <c r="F57" s="148">
        <f>IF(B57="","","نشط")</f>
        <v/>
      </c>
      <c r="G57" s="157">
        <f>IF(B57="","","")</f>
        <v/>
      </c>
      <c r="H57" s="146">
        <f>IF('KG1-2'!$K31="","",'KG1-2'!$K31)</f>
        <v/>
      </c>
      <c r="I57" s="148">
        <f>IF('KG1-2'!$J31="","",'KG1-2'!$J31)</f>
        <v/>
      </c>
      <c r="J57" s="148">
        <f>IF('KG1-2'!$M31="","",'KG1-2'!$M31)</f>
        <v/>
      </c>
      <c r="K57" s="148">
        <f>IF('KG1-2'!$N31="","",'KG1-2'!$N31)</f>
        <v/>
      </c>
      <c r="L57" s="148">
        <f>IF('KG1-2'!$D31="","",'KG1-2'!$D31)</f>
        <v/>
      </c>
      <c r="M57" s="148">
        <f>IF('KG1-2'!$E31="","",'KG1-2'!$E31)</f>
        <v/>
      </c>
      <c r="N57" s="148">
        <f>IF('KG1-2'!$F31="","",'KG1-2'!$F31)</f>
        <v/>
      </c>
      <c r="O57" s="158">
        <f>IF('KG1-2'!$G31="","",'KG1-2'!$G31)</f>
        <v/>
      </c>
      <c r="P57" s="158">
        <f>IF('KG1-2'!$O31="","",'KG1-2'!$O31)</f>
        <v/>
      </c>
      <c r="Q57" s="148">
        <f>IF('KG1-2'!$T31="","",'KG1-2'!$T31)</f>
        <v/>
      </c>
      <c r="R57" s="146">
        <f>IF('KG1-2'!$H31="","",'KG1-2'!$H31)</f>
        <v/>
      </c>
      <c r="S57" s="157">
        <f>IF('KG1-2'!$P31="","",'KG1-2'!$P31)</f>
        <v/>
      </c>
      <c r="T57" s="157">
        <f>IF('KG1-2'!$V31="","",'KG1-2'!$V31)</f>
        <v/>
      </c>
      <c r="U57" s="157">
        <f>IF('KG1-2'!$W31="","",'KG1-2'!$W31)</f>
        <v/>
      </c>
      <c r="V57" s="157">
        <f>IF('KG1-2'!$X31="","",'KG1-2'!$X31)</f>
        <v/>
      </c>
      <c r="W57" s="157">
        <f>IF('KG1-2'!$Y31="","",'KG1-2'!$Y31)</f>
        <v/>
      </c>
      <c r="X57" s="157">
        <f>IF('KG1-2'!$R31="","",'KG1-2'!$R31)</f>
        <v/>
      </c>
      <c r="Y57" s="148">
        <f>IF('KG1-2'!$S31="","",'KG1-2'!$S31)</f>
        <v/>
      </c>
      <c r="Z57" s="148">
        <f>IF('KG1-2'!$Q31="","",'KG1-2'!$Q31)</f>
        <v/>
      </c>
      <c r="AA57" s="148">
        <f>IF('KG1-2'!$I31="","",'KG1-2'!$I31)</f>
        <v/>
      </c>
      <c r="AB57" s="146">
        <f>IF(Q57="","",INDEX(LevelActions,MATCH(Q57,LevelValues,0)))</f>
        <v/>
      </c>
      <c r="AC57" s="148">
        <f>IF(J57="","",IF(J57=0,"—",IF(AND(L57=0,M57=0),Cat_L1,IF(O57&gt;=Cat_95,Cat_L2,IF(O57&gt;=Cat_90,Cat_L3,Cat_L4)))))</f>
        <v/>
      </c>
      <c r="AD57" s="146">
        <f>IF('KG1-2'!$L31="","",'KG1-2'!$L31)</f>
        <v/>
      </c>
      <c r="AE57" s="148">
        <f>IF(B57="","",IF(COUNTIF($B$5:$B$214,B57)&gt;1,"مكرر!",""))</f>
        <v/>
      </c>
      <c r="AF57" s="148">
        <f>IF(AND(B57&lt;&gt;"",F57="نشط",OR(Dash_Class="الكل",D57=Dash_Class)),1,0)</f>
        <v/>
      </c>
      <c r="AG57" s="40">
        <f>IF(OR(AF57=0,Dash_DayIdx=0),"",IF(INDEX('KG1-2'!$AD$7:$IM$7,Dash_DayIdx)&lt;&gt;"✓","",IF(INDEX('KG1-2'!$AD31:$IM31,Dash_DayIdx)="","P",IFERROR(INDEX(StatusCodes,MATCH(INDEX('KG1-2'!$AD31:$IM31,Dash_DayIdx),StatusLabels,0)),""))))</f>
        <v/>
      </c>
      <c r="AH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IF(LateAsPresent="نعم",COUNTIFS('KG1-2'!$AD31:$IM31,"متأخر",'KG1-2'!$AD$7:$IM$7,"✓",'KG1-2'!$AD$6:$IM$6,1,'KG1-2'!$AD$5:$IM$5,"&gt;="&amp;MAX('KG1-2'!$U31,Dash_PStart),'KG1-2'!$AD$5:$IM$5,"&lt;="&amp;Dash_PEnd),0))</f>
        <v/>
      </c>
      <c r="AI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COUNTIFS('KG1-2'!$AD31:$IM31,"غياب بدون عذر",'KG1-2'!$AD$7:$IM$7,"✓",'KG1-2'!$AD$6:$IM$6,1,'KG1-2'!$AD$5:$IM$5,"&gt;="&amp;MAX('KG1-2'!$U31,Dash_PStart),'KG1-2'!$AD$5:$IM$5,"&lt;="&amp;Dash_PEnd)+COUNTIFS('KG1-2'!$AD31:$IM31,"غياب بعذر",'KG1-2'!$AD$7:$IM$7,"✓",'KG1-2'!$AD$6:$IM$6,1,'KG1-2'!$AD$5:$IM$5,"&gt;="&amp;MAX('KG1-2'!$U31,Dash_PStart),'KG1-2'!$AD$5:$IM$5,"&lt;="&amp;Dash_PEnd)+COUNTIFS('KG1-2'!$AD31:$IM31,"متأخر",'KG1-2'!$AD$7:$IM$7,"✓",'KG1-2'!$AD$6:$IM$6,1,'KG1-2'!$AD$5:$IM$5,"&gt;="&amp;MAX('KG1-2'!$U31,Dash_PStart),'KG1-2'!$AD$5:$IM$5,"&lt;="&amp;Dash_PEnd))</f>
        <v/>
      </c>
      <c r="AJ57" s="40">
        <f>IF(AF57=0,0,IF(W57=Dash_Date,Thr_Critical,IF(V57=Dash_Date,Thr_High,IF(U57=Dash_Date,Thr_Repeated,IF(T57=Dash_Date,Thr_FollowUp,0)))))</f>
        <v/>
      </c>
      <c r="AK57" s="40">
        <f>IF(AJ57&gt;0,COUNTIF($AJ$5:AJ57,"&gt;0"),"")</f>
        <v/>
      </c>
      <c r="AL57" s="40">
        <f>IF(AND(B57&lt;&gt;"",F57="نشط",Q57&lt;&gt;"",Q57&gt;0),L57*1000+(999-ROW()),"")</f>
        <v/>
      </c>
      <c r="AM57" s="40">
        <f>IF(AND(AF57=1,J57&lt;&gt;"",J57&gt;0),ROUND(O57*10000,0)*1000000+K57*1000+(999-ROW()),"")</f>
        <v/>
      </c>
      <c r="AN57" s="40">
        <f>IF(AND(AF57=1,J57&lt;&gt;"",J57&gt;0),(L57+M57)*10000000+ROUND((1-O57)*10000,0)*1000+(999-ROW()),"")</f>
        <v/>
      </c>
      <c r="AO57" s="40">
        <f>IF(AND(AF57=1,Q57&lt;&gt;"",Q57&gt;=Thr_Critical),L57*1000+(999-ROW()),"")</f>
        <v/>
      </c>
      <c r="AP57" s="40">
        <f>IF(AND(B57&lt;&gt;"",F57="نشط",OR(Rpt_Class="الكل",D57=Rpt_Class)),1,0)</f>
        <v/>
      </c>
      <c r="AQ57" s="40">
        <f>IF(AND(AP57=1,Q57&lt;&gt;"",Q57&gt;0),L57*1000+(999-ROW()),"")</f>
        <v/>
      </c>
      <c r="AR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IF(LateAsPresent="نعم",COUNTIFS('KG1-2'!$AD31:$IM31,"متأخر",'KG1-2'!$AD$7:$IM$7,"✓",'KG1-2'!$AD$6:$IM$6,1,'KG1-2'!$AD$5:$IM$5,"&gt;="&amp;MAX('KG1-2'!$U31,Rpt_PStart),'KG1-2'!$AD$5:$IM$5,"&lt;="&amp;Rpt_PEnd),0))</f>
        <v/>
      </c>
      <c r="AS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COUNTIFS('KG1-2'!$AD31:$IM31,"غياب بدون عذر",'KG1-2'!$AD$7:$IM$7,"✓",'KG1-2'!$AD$6:$IM$6,1,'KG1-2'!$AD$5:$IM$5,"&gt;="&amp;MAX('KG1-2'!$U31,Rpt_PStart),'KG1-2'!$AD$5:$IM$5,"&lt;="&amp;Rpt_PEnd)+COUNTIFS('KG1-2'!$AD31:$IM31,"غياب بعذر",'KG1-2'!$AD$7:$IM$7,"✓",'KG1-2'!$AD$6:$IM$6,1,'KG1-2'!$AD$5:$IM$5,"&gt;="&amp;MAX('KG1-2'!$U31,Rpt_PStart),'KG1-2'!$AD$5:$IM$5,"&lt;="&amp;Rpt_PEnd)+COUNTIFS('KG1-2'!$AD31:$IM31,"متأخر",'KG1-2'!$AD$7:$IM$7,"✓",'KG1-2'!$AD$6:$IM$6,1,'KG1-2'!$AD$5:$IM$5,"&gt;="&amp;MAX('KG1-2'!$U31,Rpt_PStart),'KG1-2'!$AD$5:$IM$5,"&lt;="&amp;Rpt_PEnd))</f>
        <v/>
      </c>
      <c r="AT57" s="40">
        <f>IF(AP57=0,"",COUNTIFS('KG1-2'!$AD31:$IM31,"غياب بدون عذر",'KG1-2'!$AD$7:$IM$7,"✓",'KG1-2'!$AD$6:$IM$6,1,'KG1-2'!$AD$5:$IM$5,"&gt;="&amp;MAX('KG1-2'!$U31,Rpt_PStart),'KG1-2'!$AD$5:$IM$5,"&lt;="&amp;Rpt_PEnd)+COUNTIFS('KG1-2'!$AD31:$IM31,"غياب بعذر",'KG1-2'!$AD$7:$IM$7,"✓",'KG1-2'!$AD$6:$IM$6,1,'KG1-2'!$AD$5:$IM$5,"&gt;="&amp;MAX('KG1-2'!$U31,Rpt_PStart),'KG1-2'!$AD$5:$IM$5,"&lt;="&amp;Rpt_PEnd))</f>
        <v/>
      </c>
      <c r="AU57" s="40" t="n">
        <v>2</v>
      </c>
      <c r="AV57" s="40" t="n">
        <v>23</v>
      </c>
      <c r="AW57" s="40">
        <f>IF(OR(AP57=0,Rpt_DayIdx=0),"",IF(INDEX('KG1-2'!$AD$7:$IM$7,Rpt_DayIdx)&lt;&gt;"✓","",IF(INDEX('KG1-2'!$AD31:$IM31,Rpt_DayIdx)="","P",IFERROR(INDEX(StatusCodes,MATCH(INDEX('KG1-2'!$AD31:$IM31,Rpt_DayIdx),StatusLabels,0)),""))))</f>
        <v/>
      </c>
      <c r="AX57" s="40">
        <f>IF(AND(AP57=1,OR(AW57="A",AW57="E")),COUNTIFS($AP$5:AP57,1,$AW$5:AW57,"A")+COUNTIFS($AP$5:AP57,1,$AW$5:AW57,"E"),"")</f>
        <v/>
      </c>
    </row>
    <row r="58">
      <c r="A58" s="148">
        <f>IF(B58="","",ROW()-4)</f>
        <v/>
      </c>
      <c r="B58" s="148">
        <f>IF('KG1-2'!$B32="","",'KG1-2'!$B32)</f>
        <v/>
      </c>
      <c r="C58" s="146">
        <f>IF('KG1-2'!$C32="","",'KG1-2'!$C32)</f>
        <v/>
      </c>
      <c r="D58" s="148">
        <f>IF(B58="","",'KG1-2'!$B$2)</f>
        <v/>
      </c>
      <c r="E58" s="148">
        <f>IF(B58="","",MID(D58,FIND("-",D58&amp;"-")+1,10))</f>
        <v/>
      </c>
      <c r="F58" s="148">
        <f>IF(B58="","","نشط")</f>
        <v/>
      </c>
      <c r="G58" s="157">
        <f>IF(B58="","","")</f>
        <v/>
      </c>
      <c r="H58" s="146">
        <f>IF('KG1-2'!$K32="","",'KG1-2'!$K32)</f>
        <v/>
      </c>
      <c r="I58" s="148">
        <f>IF('KG1-2'!$J32="","",'KG1-2'!$J32)</f>
        <v/>
      </c>
      <c r="J58" s="148">
        <f>IF('KG1-2'!$M32="","",'KG1-2'!$M32)</f>
        <v/>
      </c>
      <c r="K58" s="148">
        <f>IF('KG1-2'!$N32="","",'KG1-2'!$N32)</f>
        <v/>
      </c>
      <c r="L58" s="148">
        <f>IF('KG1-2'!$D32="","",'KG1-2'!$D32)</f>
        <v/>
      </c>
      <c r="M58" s="148">
        <f>IF('KG1-2'!$E32="","",'KG1-2'!$E32)</f>
        <v/>
      </c>
      <c r="N58" s="148">
        <f>IF('KG1-2'!$F32="","",'KG1-2'!$F32)</f>
        <v/>
      </c>
      <c r="O58" s="158">
        <f>IF('KG1-2'!$G32="","",'KG1-2'!$G32)</f>
        <v/>
      </c>
      <c r="P58" s="158">
        <f>IF('KG1-2'!$O32="","",'KG1-2'!$O32)</f>
        <v/>
      </c>
      <c r="Q58" s="148">
        <f>IF('KG1-2'!$T32="","",'KG1-2'!$T32)</f>
        <v/>
      </c>
      <c r="R58" s="146">
        <f>IF('KG1-2'!$H32="","",'KG1-2'!$H32)</f>
        <v/>
      </c>
      <c r="S58" s="157">
        <f>IF('KG1-2'!$P32="","",'KG1-2'!$P32)</f>
        <v/>
      </c>
      <c r="T58" s="157">
        <f>IF('KG1-2'!$V32="","",'KG1-2'!$V32)</f>
        <v/>
      </c>
      <c r="U58" s="157">
        <f>IF('KG1-2'!$W32="","",'KG1-2'!$W32)</f>
        <v/>
      </c>
      <c r="V58" s="157">
        <f>IF('KG1-2'!$X32="","",'KG1-2'!$X32)</f>
        <v/>
      </c>
      <c r="W58" s="157">
        <f>IF('KG1-2'!$Y32="","",'KG1-2'!$Y32)</f>
        <v/>
      </c>
      <c r="X58" s="157">
        <f>IF('KG1-2'!$R32="","",'KG1-2'!$R32)</f>
        <v/>
      </c>
      <c r="Y58" s="148">
        <f>IF('KG1-2'!$S32="","",'KG1-2'!$S32)</f>
        <v/>
      </c>
      <c r="Z58" s="148">
        <f>IF('KG1-2'!$Q32="","",'KG1-2'!$Q32)</f>
        <v/>
      </c>
      <c r="AA58" s="148">
        <f>IF('KG1-2'!$I32="","",'KG1-2'!$I32)</f>
        <v/>
      </c>
      <c r="AB58" s="146">
        <f>IF(Q58="","",INDEX(LevelActions,MATCH(Q58,LevelValues,0)))</f>
        <v/>
      </c>
      <c r="AC58" s="148">
        <f>IF(J58="","",IF(J58=0,"—",IF(AND(L58=0,M58=0),Cat_L1,IF(O58&gt;=Cat_95,Cat_L2,IF(O58&gt;=Cat_90,Cat_L3,Cat_L4)))))</f>
        <v/>
      </c>
      <c r="AD58" s="146">
        <f>IF('KG1-2'!$L32="","",'KG1-2'!$L32)</f>
        <v/>
      </c>
      <c r="AE58" s="148">
        <f>IF(B58="","",IF(COUNTIF($B$5:$B$214,B58)&gt;1,"مكرر!",""))</f>
        <v/>
      </c>
      <c r="AF58" s="148">
        <f>IF(AND(B58&lt;&gt;"",F58="نشط",OR(Dash_Class="الكل",D58=Dash_Class)),1,0)</f>
        <v/>
      </c>
      <c r="AG58" s="40">
        <f>IF(OR(AF58=0,Dash_DayIdx=0),"",IF(INDEX('KG1-2'!$AD$7:$IM$7,Dash_DayIdx)&lt;&gt;"✓","",IF(INDEX('KG1-2'!$AD32:$IM32,Dash_DayIdx)="","P",IFERROR(INDEX(StatusCodes,MATCH(INDEX('KG1-2'!$AD32:$IM32,Dash_DayIdx),StatusLabels,0)),""))))</f>
        <v/>
      </c>
      <c r="AH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IF(LateAsPresent="نعم",COUNTIFS('KG1-2'!$AD32:$IM32,"متأخر",'KG1-2'!$AD$7:$IM$7,"✓",'KG1-2'!$AD$6:$IM$6,1,'KG1-2'!$AD$5:$IM$5,"&gt;="&amp;MAX('KG1-2'!$U32,Dash_PStart),'KG1-2'!$AD$5:$IM$5,"&lt;="&amp;Dash_PEnd),0))</f>
        <v/>
      </c>
      <c r="AI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COUNTIFS('KG1-2'!$AD32:$IM32,"غياب بدون عذر",'KG1-2'!$AD$7:$IM$7,"✓",'KG1-2'!$AD$6:$IM$6,1,'KG1-2'!$AD$5:$IM$5,"&gt;="&amp;MAX('KG1-2'!$U32,Dash_PStart),'KG1-2'!$AD$5:$IM$5,"&lt;="&amp;Dash_PEnd)+COUNTIFS('KG1-2'!$AD32:$IM32,"غياب بعذر",'KG1-2'!$AD$7:$IM$7,"✓",'KG1-2'!$AD$6:$IM$6,1,'KG1-2'!$AD$5:$IM$5,"&gt;="&amp;MAX('KG1-2'!$U32,Dash_PStart),'KG1-2'!$AD$5:$IM$5,"&lt;="&amp;Dash_PEnd)+COUNTIFS('KG1-2'!$AD32:$IM32,"متأخر",'KG1-2'!$AD$7:$IM$7,"✓",'KG1-2'!$AD$6:$IM$6,1,'KG1-2'!$AD$5:$IM$5,"&gt;="&amp;MAX('KG1-2'!$U32,Dash_PStart),'KG1-2'!$AD$5:$IM$5,"&lt;="&amp;Dash_PEnd))</f>
        <v/>
      </c>
      <c r="AJ58" s="40">
        <f>IF(AF58=0,0,IF(W58=Dash_Date,Thr_Critical,IF(V58=Dash_Date,Thr_High,IF(U58=Dash_Date,Thr_Repeated,IF(T58=Dash_Date,Thr_FollowUp,0)))))</f>
        <v/>
      </c>
      <c r="AK58" s="40">
        <f>IF(AJ58&gt;0,COUNTIF($AJ$5:AJ58,"&gt;0"),"")</f>
        <v/>
      </c>
      <c r="AL58" s="40">
        <f>IF(AND(B58&lt;&gt;"",F58="نشط",Q58&lt;&gt;"",Q58&gt;0),L58*1000+(999-ROW()),"")</f>
        <v/>
      </c>
      <c r="AM58" s="40">
        <f>IF(AND(AF58=1,J58&lt;&gt;"",J58&gt;0),ROUND(O58*10000,0)*1000000+K58*1000+(999-ROW()),"")</f>
        <v/>
      </c>
      <c r="AN58" s="40">
        <f>IF(AND(AF58=1,J58&lt;&gt;"",J58&gt;0),(L58+M58)*10000000+ROUND((1-O58)*10000,0)*1000+(999-ROW()),"")</f>
        <v/>
      </c>
      <c r="AO58" s="40">
        <f>IF(AND(AF58=1,Q58&lt;&gt;"",Q58&gt;=Thr_Critical),L58*1000+(999-ROW()),"")</f>
        <v/>
      </c>
      <c r="AP58" s="40">
        <f>IF(AND(B58&lt;&gt;"",F58="نشط",OR(Rpt_Class="الكل",D58=Rpt_Class)),1,0)</f>
        <v/>
      </c>
      <c r="AQ58" s="40">
        <f>IF(AND(AP58=1,Q58&lt;&gt;"",Q58&gt;0),L58*1000+(999-ROW()),"")</f>
        <v/>
      </c>
      <c r="AR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IF(LateAsPresent="نعم",COUNTIFS('KG1-2'!$AD32:$IM32,"متأخر",'KG1-2'!$AD$7:$IM$7,"✓",'KG1-2'!$AD$6:$IM$6,1,'KG1-2'!$AD$5:$IM$5,"&gt;="&amp;MAX('KG1-2'!$U32,Rpt_PStart),'KG1-2'!$AD$5:$IM$5,"&lt;="&amp;Rpt_PEnd),0))</f>
        <v/>
      </c>
      <c r="AS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COUNTIFS('KG1-2'!$AD32:$IM32,"غياب بدون عذر",'KG1-2'!$AD$7:$IM$7,"✓",'KG1-2'!$AD$6:$IM$6,1,'KG1-2'!$AD$5:$IM$5,"&gt;="&amp;MAX('KG1-2'!$U32,Rpt_PStart),'KG1-2'!$AD$5:$IM$5,"&lt;="&amp;Rpt_PEnd)+COUNTIFS('KG1-2'!$AD32:$IM32,"غياب بعذر",'KG1-2'!$AD$7:$IM$7,"✓",'KG1-2'!$AD$6:$IM$6,1,'KG1-2'!$AD$5:$IM$5,"&gt;="&amp;MAX('KG1-2'!$U32,Rpt_PStart),'KG1-2'!$AD$5:$IM$5,"&lt;="&amp;Rpt_PEnd)+COUNTIFS('KG1-2'!$AD32:$IM32,"متأخر",'KG1-2'!$AD$7:$IM$7,"✓",'KG1-2'!$AD$6:$IM$6,1,'KG1-2'!$AD$5:$IM$5,"&gt;="&amp;MAX('KG1-2'!$U32,Rpt_PStart),'KG1-2'!$AD$5:$IM$5,"&lt;="&amp;Rpt_PEnd))</f>
        <v/>
      </c>
      <c r="AT58" s="40">
        <f>IF(AP58=0,"",COUNTIFS('KG1-2'!$AD32:$IM32,"غياب بدون عذر",'KG1-2'!$AD$7:$IM$7,"✓",'KG1-2'!$AD$6:$IM$6,1,'KG1-2'!$AD$5:$IM$5,"&gt;="&amp;MAX('KG1-2'!$U32,Rpt_PStart),'KG1-2'!$AD$5:$IM$5,"&lt;="&amp;Rpt_PEnd)+COUNTIFS('KG1-2'!$AD32:$IM32,"غياب بعذر",'KG1-2'!$AD$7:$IM$7,"✓",'KG1-2'!$AD$6:$IM$6,1,'KG1-2'!$AD$5:$IM$5,"&gt;="&amp;MAX('KG1-2'!$U32,Rpt_PStart),'KG1-2'!$AD$5:$IM$5,"&lt;="&amp;Rpt_PEnd))</f>
        <v/>
      </c>
      <c r="AU58" s="40" t="n">
        <v>2</v>
      </c>
      <c r="AV58" s="40" t="n">
        <v>24</v>
      </c>
      <c r="AW58" s="40">
        <f>IF(OR(AP58=0,Rpt_DayIdx=0),"",IF(INDEX('KG1-2'!$AD$7:$IM$7,Rpt_DayIdx)&lt;&gt;"✓","",IF(INDEX('KG1-2'!$AD32:$IM32,Rpt_DayIdx)="","P",IFERROR(INDEX(StatusCodes,MATCH(INDEX('KG1-2'!$AD32:$IM32,Rpt_DayIdx),StatusLabels,0)),""))))</f>
        <v/>
      </c>
      <c r="AX58" s="40">
        <f>IF(AND(AP58=1,OR(AW58="A",AW58="E")),COUNTIFS($AP$5:AP58,1,$AW$5:AW58,"A")+COUNTIFS($AP$5:AP58,1,$AW$5:AW58,"E"),"")</f>
        <v/>
      </c>
    </row>
    <row r="59">
      <c r="A59" s="148">
        <f>IF(B59="","",ROW()-4)</f>
        <v/>
      </c>
      <c r="B59" s="148">
        <f>IF('KG1-2'!$B33="","",'KG1-2'!$B33)</f>
        <v/>
      </c>
      <c r="C59" s="146">
        <f>IF('KG1-2'!$C33="","",'KG1-2'!$C33)</f>
        <v/>
      </c>
      <c r="D59" s="148">
        <f>IF(B59="","",'KG1-2'!$B$2)</f>
        <v/>
      </c>
      <c r="E59" s="148">
        <f>IF(B59="","",MID(D59,FIND("-",D59&amp;"-")+1,10))</f>
        <v/>
      </c>
      <c r="F59" s="148">
        <f>IF(B59="","","نشط")</f>
        <v/>
      </c>
      <c r="G59" s="157">
        <f>IF(B59="","","")</f>
        <v/>
      </c>
      <c r="H59" s="146">
        <f>IF('KG1-2'!$K33="","",'KG1-2'!$K33)</f>
        <v/>
      </c>
      <c r="I59" s="148">
        <f>IF('KG1-2'!$J33="","",'KG1-2'!$J33)</f>
        <v/>
      </c>
      <c r="J59" s="148">
        <f>IF('KG1-2'!$M33="","",'KG1-2'!$M33)</f>
        <v/>
      </c>
      <c r="K59" s="148">
        <f>IF('KG1-2'!$N33="","",'KG1-2'!$N33)</f>
        <v/>
      </c>
      <c r="L59" s="148">
        <f>IF('KG1-2'!$D33="","",'KG1-2'!$D33)</f>
        <v/>
      </c>
      <c r="M59" s="148">
        <f>IF('KG1-2'!$E33="","",'KG1-2'!$E33)</f>
        <v/>
      </c>
      <c r="N59" s="148">
        <f>IF('KG1-2'!$F33="","",'KG1-2'!$F33)</f>
        <v/>
      </c>
      <c r="O59" s="158">
        <f>IF('KG1-2'!$G33="","",'KG1-2'!$G33)</f>
        <v/>
      </c>
      <c r="P59" s="158">
        <f>IF('KG1-2'!$O33="","",'KG1-2'!$O33)</f>
        <v/>
      </c>
      <c r="Q59" s="148">
        <f>IF('KG1-2'!$T33="","",'KG1-2'!$T33)</f>
        <v/>
      </c>
      <c r="R59" s="146">
        <f>IF('KG1-2'!$H33="","",'KG1-2'!$H33)</f>
        <v/>
      </c>
      <c r="S59" s="157">
        <f>IF('KG1-2'!$P33="","",'KG1-2'!$P33)</f>
        <v/>
      </c>
      <c r="T59" s="157">
        <f>IF('KG1-2'!$V33="","",'KG1-2'!$V33)</f>
        <v/>
      </c>
      <c r="U59" s="157">
        <f>IF('KG1-2'!$W33="","",'KG1-2'!$W33)</f>
        <v/>
      </c>
      <c r="V59" s="157">
        <f>IF('KG1-2'!$X33="","",'KG1-2'!$X33)</f>
        <v/>
      </c>
      <c r="W59" s="157">
        <f>IF('KG1-2'!$Y33="","",'KG1-2'!$Y33)</f>
        <v/>
      </c>
      <c r="X59" s="157">
        <f>IF('KG1-2'!$R33="","",'KG1-2'!$R33)</f>
        <v/>
      </c>
      <c r="Y59" s="148">
        <f>IF('KG1-2'!$S33="","",'KG1-2'!$S33)</f>
        <v/>
      </c>
      <c r="Z59" s="148">
        <f>IF('KG1-2'!$Q33="","",'KG1-2'!$Q33)</f>
        <v/>
      </c>
      <c r="AA59" s="148">
        <f>IF('KG1-2'!$I33="","",'KG1-2'!$I33)</f>
        <v/>
      </c>
      <c r="AB59" s="146">
        <f>IF(Q59="","",INDEX(LevelActions,MATCH(Q59,LevelValues,0)))</f>
        <v/>
      </c>
      <c r="AC59" s="148">
        <f>IF(J59="","",IF(J59=0,"—",IF(AND(L59=0,M59=0),Cat_L1,IF(O59&gt;=Cat_95,Cat_L2,IF(O59&gt;=Cat_90,Cat_L3,Cat_L4)))))</f>
        <v/>
      </c>
      <c r="AD59" s="146">
        <f>IF('KG1-2'!$L33="","",'KG1-2'!$L33)</f>
        <v/>
      </c>
      <c r="AE59" s="148">
        <f>IF(B59="","",IF(COUNTIF($B$5:$B$214,B59)&gt;1,"مكرر!",""))</f>
        <v/>
      </c>
      <c r="AF59" s="148">
        <f>IF(AND(B59&lt;&gt;"",F59="نشط",OR(Dash_Class="الكل",D59=Dash_Class)),1,0)</f>
        <v/>
      </c>
      <c r="AG59" s="40">
        <f>IF(OR(AF59=0,Dash_DayIdx=0),"",IF(INDEX('KG1-2'!$AD$7:$IM$7,Dash_DayIdx)&lt;&gt;"✓","",IF(INDEX('KG1-2'!$AD33:$IM33,Dash_DayIdx)="","P",IFERROR(INDEX(StatusCodes,MATCH(INDEX('KG1-2'!$AD33:$IM33,Dash_DayIdx),StatusLabels,0)),""))))</f>
        <v/>
      </c>
      <c r="AH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IF(LateAsPresent="نعم",COUNTIFS('KG1-2'!$AD33:$IM33,"متأخر",'KG1-2'!$AD$7:$IM$7,"✓",'KG1-2'!$AD$6:$IM$6,1,'KG1-2'!$AD$5:$IM$5,"&gt;="&amp;MAX('KG1-2'!$U33,Dash_PStart),'KG1-2'!$AD$5:$IM$5,"&lt;="&amp;Dash_PEnd),0))</f>
        <v/>
      </c>
      <c r="AI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COUNTIFS('KG1-2'!$AD33:$IM33,"غياب بدون عذر",'KG1-2'!$AD$7:$IM$7,"✓",'KG1-2'!$AD$6:$IM$6,1,'KG1-2'!$AD$5:$IM$5,"&gt;="&amp;MAX('KG1-2'!$U33,Dash_PStart),'KG1-2'!$AD$5:$IM$5,"&lt;="&amp;Dash_PEnd)+COUNTIFS('KG1-2'!$AD33:$IM33,"غياب بعذر",'KG1-2'!$AD$7:$IM$7,"✓",'KG1-2'!$AD$6:$IM$6,1,'KG1-2'!$AD$5:$IM$5,"&gt;="&amp;MAX('KG1-2'!$U33,Dash_PStart),'KG1-2'!$AD$5:$IM$5,"&lt;="&amp;Dash_PEnd)+COUNTIFS('KG1-2'!$AD33:$IM33,"متأخر",'KG1-2'!$AD$7:$IM$7,"✓",'KG1-2'!$AD$6:$IM$6,1,'KG1-2'!$AD$5:$IM$5,"&gt;="&amp;MAX('KG1-2'!$U33,Dash_PStart),'KG1-2'!$AD$5:$IM$5,"&lt;="&amp;Dash_PEnd))</f>
        <v/>
      </c>
      <c r="AJ59" s="40">
        <f>IF(AF59=0,0,IF(W59=Dash_Date,Thr_Critical,IF(V59=Dash_Date,Thr_High,IF(U59=Dash_Date,Thr_Repeated,IF(T59=Dash_Date,Thr_FollowUp,0)))))</f>
        <v/>
      </c>
      <c r="AK59" s="40">
        <f>IF(AJ59&gt;0,COUNTIF($AJ$5:AJ59,"&gt;0"),"")</f>
        <v/>
      </c>
      <c r="AL59" s="40">
        <f>IF(AND(B59&lt;&gt;"",F59="نشط",Q59&lt;&gt;"",Q59&gt;0),L59*1000+(999-ROW()),"")</f>
        <v/>
      </c>
      <c r="AM59" s="40">
        <f>IF(AND(AF59=1,J59&lt;&gt;"",J59&gt;0),ROUND(O59*10000,0)*1000000+K59*1000+(999-ROW()),"")</f>
        <v/>
      </c>
      <c r="AN59" s="40">
        <f>IF(AND(AF59=1,J59&lt;&gt;"",J59&gt;0),(L59+M59)*10000000+ROUND((1-O59)*10000,0)*1000+(999-ROW()),"")</f>
        <v/>
      </c>
      <c r="AO59" s="40">
        <f>IF(AND(AF59=1,Q59&lt;&gt;"",Q59&gt;=Thr_Critical),L59*1000+(999-ROW()),"")</f>
        <v/>
      </c>
      <c r="AP59" s="40">
        <f>IF(AND(B59&lt;&gt;"",F59="نشط",OR(Rpt_Class="الكل",D59=Rpt_Class)),1,0)</f>
        <v/>
      </c>
      <c r="AQ59" s="40">
        <f>IF(AND(AP59=1,Q59&lt;&gt;"",Q59&gt;0),L59*1000+(999-ROW()),"")</f>
        <v/>
      </c>
      <c r="AR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IF(LateAsPresent="نعم",COUNTIFS('KG1-2'!$AD33:$IM33,"متأخر",'KG1-2'!$AD$7:$IM$7,"✓",'KG1-2'!$AD$6:$IM$6,1,'KG1-2'!$AD$5:$IM$5,"&gt;="&amp;MAX('KG1-2'!$U33,Rpt_PStart),'KG1-2'!$AD$5:$IM$5,"&lt;="&amp;Rpt_PEnd),0))</f>
        <v/>
      </c>
      <c r="AS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COUNTIFS('KG1-2'!$AD33:$IM33,"غياب بدون عذر",'KG1-2'!$AD$7:$IM$7,"✓",'KG1-2'!$AD$6:$IM$6,1,'KG1-2'!$AD$5:$IM$5,"&gt;="&amp;MAX('KG1-2'!$U33,Rpt_PStart),'KG1-2'!$AD$5:$IM$5,"&lt;="&amp;Rpt_PEnd)+COUNTIFS('KG1-2'!$AD33:$IM33,"غياب بعذر",'KG1-2'!$AD$7:$IM$7,"✓",'KG1-2'!$AD$6:$IM$6,1,'KG1-2'!$AD$5:$IM$5,"&gt;="&amp;MAX('KG1-2'!$U33,Rpt_PStart),'KG1-2'!$AD$5:$IM$5,"&lt;="&amp;Rpt_PEnd)+COUNTIFS('KG1-2'!$AD33:$IM33,"متأخر",'KG1-2'!$AD$7:$IM$7,"✓",'KG1-2'!$AD$6:$IM$6,1,'KG1-2'!$AD$5:$IM$5,"&gt;="&amp;MAX('KG1-2'!$U33,Rpt_PStart),'KG1-2'!$AD$5:$IM$5,"&lt;="&amp;Rpt_PEnd))</f>
        <v/>
      </c>
      <c r="AT59" s="40">
        <f>IF(AP59=0,"",COUNTIFS('KG1-2'!$AD33:$IM33,"غياب بدون عذر",'KG1-2'!$AD$7:$IM$7,"✓",'KG1-2'!$AD$6:$IM$6,1,'KG1-2'!$AD$5:$IM$5,"&gt;="&amp;MAX('KG1-2'!$U33,Rpt_PStart),'KG1-2'!$AD$5:$IM$5,"&lt;="&amp;Rpt_PEnd)+COUNTIFS('KG1-2'!$AD33:$IM33,"غياب بعذر",'KG1-2'!$AD$7:$IM$7,"✓",'KG1-2'!$AD$6:$IM$6,1,'KG1-2'!$AD$5:$IM$5,"&gt;="&amp;MAX('KG1-2'!$U33,Rpt_PStart),'KG1-2'!$AD$5:$IM$5,"&lt;="&amp;Rpt_PEnd))</f>
        <v/>
      </c>
      <c r="AU59" s="40" t="n">
        <v>2</v>
      </c>
      <c r="AV59" s="40" t="n">
        <v>25</v>
      </c>
      <c r="AW59" s="40">
        <f>IF(OR(AP59=0,Rpt_DayIdx=0),"",IF(INDEX('KG1-2'!$AD$7:$IM$7,Rpt_DayIdx)&lt;&gt;"✓","",IF(INDEX('KG1-2'!$AD33:$IM33,Rpt_DayIdx)="","P",IFERROR(INDEX(StatusCodes,MATCH(INDEX('KG1-2'!$AD33:$IM33,Rpt_DayIdx),StatusLabels,0)),""))))</f>
        <v/>
      </c>
      <c r="AX59" s="40">
        <f>IF(AND(AP59=1,OR(AW59="A",AW59="E")),COUNTIFS($AP$5:AP59,1,$AW$5:AW59,"A")+COUNTIFS($AP$5:AP59,1,$AW$5:AW59,"E"),"")</f>
        <v/>
      </c>
    </row>
    <row r="60">
      <c r="A60" s="148">
        <f>IF(B60="","",ROW()-4)</f>
        <v/>
      </c>
      <c r="B60" s="148">
        <f>IF('KG1-2'!$B34="","",'KG1-2'!$B34)</f>
        <v/>
      </c>
      <c r="C60" s="146">
        <f>IF('KG1-2'!$C34="","",'KG1-2'!$C34)</f>
        <v/>
      </c>
      <c r="D60" s="148">
        <f>IF(B60="","",'KG1-2'!$B$2)</f>
        <v/>
      </c>
      <c r="E60" s="148">
        <f>IF(B60="","",MID(D60,FIND("-",D60&amp;"-")+1,10))</f>
        <v/>
      </c>
      <c r="F60" s="148">
        <f>IF(B60="","","نشط")</f>
        <v/>
      </c>
      <c r="G60" s="157">
        <f>IF(B60="","","")</f>
        <v/>
      </c>
      <c r="H60" s="146">
        <f>IF('KG1-2'!$K34="","",'KG1-2'!$K34)</f>
        <v/>
      </c>
      <c r="I60" s="148">
        <f>IF('KG1-2'!$J34="","",'KG1-2'!$J34)</f>
        <v/>
      </c>
      <c r="J60" s="148">
        <f>IF('KG1-2'!$M34="","",'KG1-2'!$M34)</f>
        <v/>
      </c>
      <c r="K60" s="148">
        <f>IF('KG1-2'!$N34="","",'KG1-2'!$N34)</f>
        <v/>
      </c>
      <c r="L60" s="148">
        <f>IF('KG1-2'!$D34="","",'KG1-2'!$D34)</f>
        <v/>
      </c>
      <c r="M60" s="148">
        <f>IF('KG1-2'!$E34="","",'KG1-2'!$E34)</f>
        <v/>
      </c>
      <c r="N60" s="148">
        <f>IF('KG1-2'!$F34="","",'KG1-2'!$F34)</f>
        <v/>
      </c>
      <c r="O60" s="158">
        <f>IF('KG1-2'!$G34="","",'KG1-2'!$G34)</f>
        <v/>
      </c>
      <c r="P60" s="158">
        <f>IF('KG1-2'!$O34="","",'KG1-2'!$O34)</f>
        <v/>
      </c>
      <c r="Q60" s="148">
        <f>IF('KG1-2'!$T34="","",'KG1-2'!$T34)</f>
        <v/>
      </c>
      <c r="R60" s="146">
        <f>IF('KG1-2'!$H34="","",'KG1-2'!$H34)</f>
        <v/>
      </c>
      <c r="S60" s="157">
        <f>IF('KG1-2'!$P34="","",'KG1-2'!$P34)</f>
        <v/>
      </c>
      <c r="T60" s="157">
        <f>IF('KG1-2'!$V34="","",'KG1-2'!$V34)</f>
        <v/>
      </c>
      <c r="U60" s="157">
        <f>IF('KG1-2'!$W34="","",'KG1-2'!$W34)</f>
        <v/>
      </c>
      <c r="V60" s="157">
        <f>IF('KG1-2'!$X34="","",'KG1-2'!$X34)</f>
        <v/>
      </c>
      <c r="W60" s="157">
        <f>IF('KG1-2'!$Y34="","",'KG1-2'!$Y34)</f>
        <v/>
      </c>
      <c r="X60" s="157">
        <f>IF('KG1-2'!$R34="","",'KG1-2'!$R34)</f>
        <v/>
      </c>
      <c r="Y60" s="148">
        <f>IF('KG1-2'!$S34="","",'KG1-2'!$S34)</f>
        <v/>
      </c>
      <c r="Z60" s="148">
        <f>IF('KG1-2'!$Q34="","",'KG1-2'!$Q34)</f>
        <v/>
      </c>
      <c r="AA60" s="148">
        <f>IF('KG1-2'!$I34="","",'KG1-2'!$I34)</f>
        <v/>
      </c>
      <c r="AB60" s="146">
        <f>IF(Q60="","",INDEX(LevelActions,MATCH(Q60,LevelValues,0)))</f>
        <v/>
      </c>
      <c r="AC60" s="148">
        <f>IF(J60="","",IF(J60=0,"—",IF(AND(L60=0,M60=0),Cat_L1,IF(O60&gt;=Cat_95,Cat_L2,IF(O60&gt;=Cat_90,Cat_L3,Cat_L4)))))</f>
        <v/>
      </c>
      <c r="AD60" s="146">
        <f>IF('KG1-2'!$L34="","",'KG1-2'!$L34)</f>
        <v/>
      </c>
      <c r="AE60" s="148">
        <f>IF(B60="","",IF(COUNTIF($B$5:$B$214,B60)&gt;1,"مكرر!",""))</f>
        <v/>
      </c>
      <c r="AF60" s="148">
        <f>IF(AND(B60&lt;&gt;"",F60="نشط",OR(Dash_Class="الكل",D60=Dash_Class)),1,0)</f>
        <v/>
      </c>
      <c r="AG60" s="40">
        <f>IF(OR(AF60=0,Dash_DayIdx=0),"",IF(INDEX('KG1-2'!$AD$7:$IM$7,Dash_DayIdx)&lt;&gt;"✓","",IF(INDEX('KG1-2'!$AD34:$IM34,Dash_DayIdx)="","P",IFERROR(INDEX(StatusCodes,MATCH(INDEX('KG1-2'!$AD34:$IM34,Dash_DayIdx),StatusLabels,0)),""))))</f>
        <v/>
      </c>
      <c r="AH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IF(LateAsPresent="نعم",COUNTIFS('KG1-2'!$AD34:$IM34,"متأخر",'KG1-2'!$AD$7:$IM$7,"✓",'KG1-2'!$AD$6:$IM$6,1,'KG1-2'!$AD$5:$IM$5,"&gt;="&amp;MAX('KG1-2'!$U34,Dash_PStart),'KG1-2'!$AD$5:$IM$5,"&lt;="&amp;Dash_PEnd),0))</f>
        <v/>
      </c>
      <c r="AI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COUNTIFS('KG1-2'!$AD34:$IM34,"غياب بدون عذر",'KG1-2'!$AD$7:$IM$7,"✓",'KG1-2'!$AD$6:$IM$6,1,'KG1-2'!$AD$5:$IM$5,"&gt;="&amp;MAX('KG1-2'!$U34,Dash_PStart),'KG1-2'!$AD$5:$IM$5,"&lt;="&amp;Dash_PEnd)+COUNTIFS('KG1-2'!$AD34:$IM34,"غياب بعذر",'KG1-2'!$AD$7:$IM$7,"✓",'KG1-2'!$AD$6:$IM$6,1,'KG1-2'!$AD$5:$IM$5,"&gt;="&amp;MAX('KG1-2'!$U34,Dash_PStart),'KG1-2'!$AD$5:$IM$5,"&lt;="&amp;Dash_PEnd)+COUNTIFS('KG1-2'!$AD34:$IM34,"متأخر",'KG1-2'!$AD$7:$IM$7,"✓",'KG1-2'!$AD$6:$IM$6,1,'KG1-2'!$AD$5:$IM$5,"&gt;="&amp;MAX('KG1-2'!$U34,Dash_PStart),'KG1-2'!$AD$5:$IM$5,"&lt;="&amp;Dash_PEnd))</f>
        <v/>
      </c>
      <c r="AJ60" s="40">
        <f>IF(AF60=0,0,IF(W60=Dash_Date,Thr_Critical,IF(V60=Dash_Date,Thr_High,IF(U60=Dash_Date,Thr_Repeated,IF(T60=Dash_Date,Thr_FollowUp,0)))))</f>
        <v/>
      </c>
      <c r="AK60" s="40">
        <f>IF(AJ60&gt;0,COUNTIF($AJ$5:AJ60,"&gt;0"),"")</f>
        <v/>
      </c>
      <c r="AL60" s="40">
        <f>IF(AND(B60&lt;&gt;"",F60="نشط",Q60&lt;&gt;"",Q60&gt;0),L60*1000+(999-ROW()),"")</f>
        <v/>
      </c>
      <c r="AM60" s="40">
        <f>IF(AND(AF60=1,J60&lt;&gt;"",J60&gt;0),ROUND(O60*10000,0)*1000000+K60*1000+(999-ROW()),"")</f>
        <v/>
      </c>
      <c r="AN60" s="40">
        <f>IF(AND(AF60=1,J60&lt;&gt;"",J60&gt;0),(L60+M60)*10000000+ROUND((1-O60)*10000,0)*1000+(999-ROW()),"")</f>
        <v/>
      </c>
      <c r="AO60" s="40">
        <f>IF(AND(AF60=1,Q60&lt;&gt;"",Q60&gt;=Thr_Critical),L60*1000+(999-ROW()),"")</f>
        <v/>
      </c>
      <c r="AP60" s="40">
        <f>IF(AND(B60&lt;&gt;"",F60="نشط",OR(Rpt_Class="الكل",D60=Rpt_Class)),1,0)</f>
        <v/>
      </c>
      <c r="AQ60" s="40">
        <f>IF(AND(AP60=1,Q60&lt;&gt;"",Q60&gt;0),L60*1000+(999-ROW()),"")</f>
        <v/>
      </c>
      <c r="AR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IF(LateAsPresent="نعم",COUNTIFS('KG1-2'!$AD34:$IM34,"متأخر",'KG1-2'!$AD$7:$IM$7,"✓",'KG1-2'!$AD$6:$IM$6,1,'KG1-2'!$AD$5:$IM$5,"&gt;="&amp;MAX('KG1-2'!$U34,Rpt_PStart),'KG1-2'!$AD$5:$IM$5,"&lt;="&amp;Rpt_PEnd),0))</f>
        <v/>
      </c>
      <c r="AS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COUNTIFS('KG1-2'!$AD34:$IM34,"غياب بدون عذر",'KG1-2'!$AD$7:$IM$7,"✓",'KG1-2'!$AD$6:$IM$6,1,'KG1-2'!$AD$5:$IM$5,"&gt;="&amp;MAX('KG1-2'!$U34,Rpt_PStart),'KG1-2'!$AD$5:$IM$5,"&lt;="&amp;Rpt_PEnd)+COUNTIFS('KG1-2'!$AD34:$IM34,"غياب بعذر",'KG1-2'!$AD$7:$IM$7,"✓",'KG1-2'!$AD$6:$IM$6,1,'KG1-2'!$AD$5:$IM$5,"&gt;="&amp;MAX('KG1-2'!$U34,Rpt_PStart),'KG1-2'!$AD$5:$IM$5,"&lt;="&amp;Rpt_PEnd)+COUNTIFS('KG1-2'!$AD34:$IM34,"متأخر",'KG1-2'!$AD$7:$IM$7,"✓",'KG1-2'!$AD$6:$IM$6,1,'KG1-2'!$AD$5:$IM$5,"&gt;="&amp;MAX('KG1-2'!$U34,Rpt_PStart),'KG1-2'!$AD$5:$IM$5,"&lt;="&amp;Rpt_PEnd))</f>
        <v/>
      </c>
      <c r="AT60" s="40">
        <f>IF(AP60=0,"",COUNTIFS('KG1-2'!$AD34:$IM34,"غياب بدون عذر",'KG1-2'!$AD$7:$IM$7,"✓",'KG1-2'!$AD$6:$IM$6,1,'KG1-2'!$AD$5:$IM$5,"&gt;="&amp;MAX('KG1-2'!$U34,Rpt_PStart),'KG1-2'!$AD$5:$IM$5,"&lt;="&amp;Rpt_PEnd)+COUNTIFS('KG1-2'!$AD34:$IM34,"غياب بعذر",'KG1-2'!$AD$7:$IM$7,"✓",'KG1-2'!$AD$6:$IM$6,1,'KG1-2'!$AD$5:$IM$5,"&gt;="&amp;MAX('KG1-2'!$U34,Rpt_PStart),'KG1-2'!$AD$5:$IM$5,"&lt;="&amp;Rpt_PEnd))</f>
        <v/>
      </c>
      <c r="AU60" s="40" t="n">
        <v>2</v>
      </c>
      <c r="AV60" s="40" t="n">
        <v>26</v>
      </c>
      <c r="AW60" s="40">
        <f>IF(OR(AP60=0,Rpt_DayIdx=0),"",IF(INDEX('KG1-2'!$AD$7:$IM$7,Rpt_DayIdx)&lt;&gt;"✓","",IF(INDEX('KG1-2'!$AD34:$IM34,Rpt_DayIdx)="","P",IFERROR(INDEX(StatusCodes,MATCH(INDEX('KG1-2'!$AD34:$IM34,Rpt_DayIdx),StatusLabels,0)),""))))</f>
        <v/>
      </c>
      <c r="AX60" s="40">
        <f>IF(AND(AP60=1,OR(AW60="A",AW60="E")),COUNTIFS($AP$5:AP60,1,$AW$5:AW60,"A")+COUNTIFS($AP$5:AP60,1,$AW$5:AW60,"E"),"")</f>
        <v/>
      </c>
    </row>
    <row r="61">
      <c r="A61" s="148">
        <f>IF(B61="","",ROW()-4)</f>
        <v/>
      </c>
      <c r="B61" s="148">
        <f>IF('KG1-2'!$B35="","",'KG1-2'!$B35)</f>
        <v/>
      </c>
      <c r="C61" s="146">
        <f>IF('KG1-2'!$C35="","",'KG1-2'!$C35)</f>
        <v/>
      </c>
      <c r="D61" s="148">
        <f>IF(B61="","",'KG1-2'!$B$2)</f>
        <v/>
      </c>
      <c r="E61" s="148">
        <f>IF(B61="","",MID(D61,FIND("-",D61&amp;"-")+1,10))</f>
        <v/>
      </c>
      <c r="F61" s="148">
        <f>IF(B61="","","نشط")</f>
        <v/>
      </c>
      <c r="G61" s="157">
        <f>IF(B61="","","")</f>
        <v/>
      </c>
      <c r="H61" s="146">
        <f>IF('KG1-2'!$K35="","",'KG1-2'!$K35)</f>
        <v/>
      </c>
      <c r="I61" s="148">
        <f>IF('KG1-2'!$J35="","",'KG1-2'!$J35)</f>
        <v/>
      </c>
      <c r="J61" s="148">
        <f>IF('KG1-2'!$M35="","",'KG1-2'!$M35)</f>
        <v/>
      </c>
      <c r="K61" s="148">
        <f>IF('KG1-2'!$N35="","",'KG1-2'!$N35)</f>
        <v/>
      </c>
      <c r="L61" s="148">
        <f>IF('KG1-2'!$D35="","",'KG1-2'!$D35)</f>
        <v/>
      </c>
      <c r="M61" s="148">
        <f>IF('KG1-2'!$E35="","",'KG1-2'!$E35)</f>
        <v/>
      </c>
      <c r="N61" s="148">
        <f>IF('KG1-2'!$F35="","",'KG1-2'!$F35)</f>
        <v/>
      </c>
      <c r="O61" s="158">
        <f>IF('KG1-2'!$G35="","",'KG1-2'!$G35)</f>
        <v/>
      </c>
      <c r="P61" s="158">
        <f>IF('KG1-2'!$O35="","",'KG1-2'!$O35)</f>
        <v/>
      </c>
      <c r="Q61" s="148">
        <f>IF('KG1-2'!$T35="","",'KG1-2'!$T35)</f>
        <v/>
      </c>
      <c r="R61" s="146">
        <f>IF('KG1-2'!$H35="","",'KG1-2'!$H35)</f>
        <v/>
      </c>
      <c r="S61" s="157">
        <f>IF('KG1-2'!$P35="","",'KG1-2'!$P35)</f>
        <v/>
      </c>
      <c r="T61" s="157">
        <f>IF('KG1-2'!$V35="","",'KG1-2'!$V35)</f>
        <v/>
      </c>
      <c r="U61" s="157">
        <f>IF('KG1-2'!$W35="","",'KG1-2'!$W35)</f>
        <v/>
      </c>
      <c r="V61" s="157">
        <f>IF('KG1-2'!$X35="","",'KG1-2'!$X35)</f>
        <v/>
      </c>
      <c r="W61" s="157">
        <f>IF('KG1-2'!$Y35="","",'KG1-2'!$Y35)</f>
        <v/>
      </c>
      <c r="X61" s="157">
        <f>IF('KG1-2'!$R35="","",'KG1-2'!$R35)</f>
        <v/>
      </c>
      <c r="Y61" s="148">
        <f>IF('KG1-2'!$S35="","",'KG1-2'!$S35)</f>
        <v/>
      </c>
      <c r="Z61" s="148">
        <f>IF('KG1-2'!$Q35="","",'KG1-2'!$Q35)</f>
        <v/>
      </c>
      <c r="AA61" s="148">
        <f>IF('KG1-2'!$I35="","",'KG1-2'!$I35)</f>
        <v/>
      </c>
      <c r="AB61" s="146">
        <f>IF(Q61="","",INDEX(LevelActions,MATCH(Q61,LevelValues,0)))</f>
        <v/>
      </c>
      <c r="AC61" s="148">
        <f>IF(J61="","",IF(J61=0,"—",IF(AND(L61=0,M61=0),Cat_L1,IF(O61&gt;=Cat_95,Cat_L2,IF(O61&gt;=Cat_90,Cat_L3,Cat_L4)))))</f>
        <v/>
      </c>
      <c r="AD61" s="146">
        <f>IF('KG1-2'!$L35="","",'KG1-2'!$L35)</f>
        <v/>
      </c>
      <c r="AE61" s="148">
        <f>IF(B61="","",IF(COUNTIF($B$5:$B$214,B61)&gt;1,"مكرر!",""))</f>
        <v/>
      </c>
      <c r="AF61" s="148">
        <f>IF(AND(B61&lt;&gt;"",F61="نشط",OR(Dash_Class="الكل",D61=Dash_Class)),1,0)</f>
        <v/>
      </c>
      <c r="AG61" s="40">
        <f>IF(OR(AF61=0,Dash_DayIdx=0),"",IF(INDEX('KG1-2'!$AD$7:$IM$7,Dash_DayIdx)&lt;&gt;"✓","",IF(INDEX('KG1-2'!$AD35:$IM35,Dash_DayIdx)="","P",IFERROR(INDEX(StatusCodes,MATCH(INDEX('KG1-2'!$AD35:$IM35,Dash_DayIdx),StatusLabels,0)),""))))</f>
        <v/>
      </c>
      <c r="AH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IF(LateAsPresent="نعم",COUNTIFS('KG1-2'!$AD35:$IM35,"متأخر",'KG1-2'!$AD$7:$IM$7,"✓",'KG1-2'!$AD$6:$IM$6,1,'KG1-2'!$AD$5:$IM$5,"&gt;="&amp;MAX('KG1-2'!$U35,Dash_PStart),'KG1-2'!$AD$5:$IM$5,"&lt;="&amp;Dash_PEnd),0))</f>
        <v/>
      </c>
      <c r="AI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COUNTIFS('KG1-2'!$AD35:$IM35,"غياب بدون عذر",'KG1-2'!$AD$7:$IM$7,"✓",'KG1-2'!$AD$6:$IM$6,1,'KG1-2'!$AD$5:$IM$5,"&gt;="&amp;MAX('KG1-2'!$U35,Dash_PStart),'KG1-2'!$AD$5:$IM$5,"&lt;="&amp;Dash_PEnd)+COUNTIFS('KG1-2'!$AD35:$IM35,"غياب بعذر",'KG1-2'!$AD$7:$IM$7,"✓",'KG1-2'!$AD$6:$IM$6,1,'KG1-2'!$AD$5:$IM$5,"&gt;="&amp;MAX('KG1-2'!$U35,Dash_PStart),'KG1-2'!$AD$5:$IM$5,"&lt;="&amp;Dash_PEnd)+COUNTIFS('KG1-2'!$AD35:$IM35,"متأخر",'KG1-2'!$AD$7:$IM$7,"✓",'KG1-2'!$AD$6:$IM$6,1,'KG1-2'!$AD$5:$IM$5,"&gt;="&amp;MAX('KG1-2'!$U35,Dash_PStart),'KG1-2'!$AD$5:$IM$5,"&lt;="&amp;Dash_PEnd))</f>
        <v/>
      </c>
      <c r="AJ61" s="40">
        <f>IF(AF61=0,0,IF(W61=Dash_Date,Thr_Critical,IF(V61=Dash_Date,Thr_High,IF(U61=Dash_Date,Thr_Repeated,IF(T61=Dash_Date,Thr_FollowUp,0)))))</f>
        <v/>
      </c>
      <c r="AK61" s="40">
        <f>IF(AJ61&gt;0,COUNTIF($AJ$5:AJ61,"&gt;0"),"")</f>
        <v/>
      </c>
      <c r="AL61" s="40">
        <f>IF(AND(B61&lt;&gt;"",F61="نشط",Q61&lt;&gt;"",Q61&gt;0),L61*1000+(999-ROW()),"")</f>
        <v/>
      </c>
      <c r="AM61" s="40">
        <f>IF(AND(AF61=1,J61&lt;&gt;"",J61&gt;0),ROUND(O61*10000,0)*1000000+K61*1000+(999-ROW()),"")</f>
        <v/>
      </c>
      <c r="AN61" s="40">
        <f>IF(AND(AF61=1,J61&lt;&gt;"",J61&gt;0),(L61+M61)*10000000+ROUND((1-O61)*10000,0)*1000+(999-ROW()),"")</f>
        <v/>
      </c>
      <c r="AO61" s="40">
        <f>IF(AND(AF61=1,Q61&lt;&gt;"",Q61&gt;=Thr_Critical),L61*1000+(999-ROW()),"")</f>
        <v/>
      </c>
      <c r="AP61" s="40">
        <f>IF(AND(B61&lt;&gt;"",F61="نشط",OR(Rpt_Class="الكل",D61=Rpt_Class)),1,0)</f>
        <v/>
      </c>
      <c r="AQ61" s="40">
        <f>IF(AND(AP61=1,Q61&lt;&gt;"",Q61&gt;0),L61*1000+(999-ROW()),"")</f>
        <v/>
      </c>
      <c r="AR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IF(LateAsPresent="نعم",COUNTIFS('KG1-2'!$AD35:$IM35,"متأخر",'KG1-2'!$AD$7:$IM$7,"✓",'KG1-2'!$AD$6:$IM$6,1,'KG1-2'!$AD$5:$IM$5,"&gt;="&amp;MAX('KG1-2'!$U35,Rpt_PStart),'KG1-2'!$AD$5:$IM$5,"&lt;="&amp;Rpt_PEnd),0))</f>
        <v/>
      </c>
      <c r="AS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COUNTIFS('KG1-2'!$AD35:$IM35,"غياب بدون عذر",'KG1-2'!$AD$7:$IM$7,"✓",'KG1-2'!$AD$6:$IM$6,1,'KG1-2'!$AD$5:$IM$5,"&gt;="&amp;MAX('KG1-2'!$U35,Rpt_PStart),'KG1-2'!$AD$5:$IM$5,"&lt;="&amp;Rpt_PEnd)+COUNTIFS('KG1-2'!$AD35:$IM35,"غياب بعذر",'KG1-2'!$AD$7:$IM$7,"✓",'KG1-2'!$AD$6:$IM$6,1,'KG1-2'!$AD$5:$IM$5,"&gt;="&amp;MAX('KG1-2'!$U35,Rpt_PStart),'KG1-2'!$AD$5:$IM$5,"&lt;="&amp;Rpt_PEnd)+COUNTIFS('KG1-2'!$AD35:$IM35,"متأخر",'KG1-2'!$AD$7:$IM$7,"✓",'KG1-2'!$AD$6:$IM$6,1,'KG1-2'!$AD$5:$IM$5,"&gt;="&amp;MAX('KG1-2'!$U35,Rpt_PStart),'KG1-2'!$AD$5:$IM$5,"&lt;="&amp;Rpt_PEnd))</f>
        <v/>
      </c>
      <c r="AT61" s="40">
        <f>IF(AP61=0,"",COUNTIFS('KG1-2'!$AD35:$IM35,"غياب بدون عذر",'KG1-2'!$AD$7:$IM$7,"✓",'KG1-2'!$AD$6:$IM$6,1,'KG1-2'!$AD$5:$IM$5,"&gt;="&amp;MAX('KG1-2'!$U35,Rpt_PStart),'KG1-2'!$AD$5:$IM$5,"&lt;="&amp;Rpt_PEnd)+COUNTIFS('KG1-2'!$AD35:$IM35,"غياب بعذر",'KG1-2'!$AD$7:$IM$7,"✓",'KG1-2'!$AD$6:$IM$6,1,'KG1-2'!$AD$5:$IM$5,"&gt;="&amp;MAX('KG1-2'!$U35,Rpt_PStart),'KG1-2'!$AD$5:$IM$5,"&lt;="&amp;Rpt_PEnd))</f>
        <v/>
      </c>
      <c r="AU61" s="40" t="n">
        <v>2</v>
      </c>
      <c r="AV61" s="40" t="n">
        <v>27</v>
      </c>
      <c r="AW61" s="40">
        <f>IF(OR(AP61=0,Rpt_DayIdx=0),"",IF(INDEX('KG1-2'!$AD$7:$IM$7,Rpt_DayIdx)&lt;&gt;"✓","",IF(INDEX('KG1-2'!$AD35:$IM35,Rpt_DayIdx)="","P",IFERROR(INDEX(StatusCodes,MATCH(INDEX('KG1-2'!$AD35:$IM35,Rpt_DayIdx),StatusLabels,0)),""))))</f>
        <v/>
      </c>
      <c r="AX61" s="40">
        <f>IF(AND(AP61=1,OR(AW61="A",AW61="E")),COUNTIFS($AP$5:AP61,1,$AW$5:AW61,"A")+COUNTIFS($AP$5:AP61,1,$AW$5:AW61,"E"),"")</f>
        <v/>
      </c>
    </row>
    <row r="62">
      <c r="A62" s="148">
        <f>IF(B62="","",ROW()-4)</f>
        <v/>
      </c>
      <c r="B62" s="148">
        <f>IF('KG1-2'!$B36="","",'KG1-2'!$B36)</f>
        <v/>
      </c>
      <c r="C62" s="146">
        <f>IF('KG1-2'!$C36="","",'KG1-2'!$C36)</f>
        <v/>
      </c>
      <c r="D62" s="148">
        <f>IF(B62="","",'KG1-2'!$B$2)</f>
        <v/>
      </c>
      <c r="E62" s="148">
        <f>IF(B62="","",MID(D62,FIND("-",D62&amp;"-")+1,10))</f>
        <v/>
      </c>
      <c r="F62" s="148">
        <f>IF(B62="","","نشط")</f>
        <v/>
      </c>
      <c r="G62" s="157">
        <f>IF(B62="","","")</f>
        <v/>
      </c>
      <c r="H62" s="146">
        <f>IF('KG1-2'!$K36="","",'KG1-2'!$K36)</f>
        <v/>
      </c>
      <c r="I62" s="148">
        <f>IF('KG1-2'!$J36="","",'KG1-2'!$J36)</f>
        <v/>
      </c>
      <c r="J62" s="148">
        <f>IF('KG1-2'!$M36="","",'KG1-2'!$M36)</f>
        <v/>
      </c>
      <c r="K62" s="148">
        <f>IF('KG1-2'!$N36="","",'KG1-2'!$N36)</f>
        <v/>
      </c>
      <c r="L62" s="148">
        <f>IF('KG1-2'!$D36="","",'KG1-2'!$D36)</f>
        <v/>
      </c>
      <c r="M62" s="148">
        <f>IF('KG1-2'!$E36="","",'KG1-2'!$E36)</f>
        <v/>
      </c>
      <c r="N62" s="148">
        <f>IF('KG1-2'!$F36="","",'KG1-2'!$F36)</f>
        <v/>
      </c>
      <c r="O62" s="158">
        <f>IF('KG1-2'!$G36="","",'KG1-2'!$G36)</f>
        <v/>
      </c>
      <c r="P62" s="158">
        <f>IF('KG1-2'!$O36="","",'KG1-2'!$O36)</f>
        <v/>
      </c>
      <c r="Q62" s="148">
        <f>IF('KG1-2'!$T36="","",'KG1-2'!$T36)</f>
        <v/>
      </c>
      <c r="R62" s="146">
        <f>IF('KG1-2'!$H36="","",'KG1-2'!$H36)</f>
        <v/>
      </c>
      <c r="S62" s="157">
        <f>IF('KG1-2'!$P36="","",'KG1-2'!$P36)</f>
        <v/>
      </c>
      <c r="T62" s="157">
        <f>IF('KG1-2'!$V36="","",'KG1-2'!$V36)</f>
        <v/>
      </c>
      <c r="U62" s="157">
        <f>IF('KG1-2'!$W36="","",'KG1-2'!$W36)</f>
        <v/>
      </c>
      <c r="V62" s="157">
        <f>IF('KG1-2'!$X36="","",'KG1-2'!$X36)</f>
        <v/>
      </c>
      <c r="W62" s="157">
        <f>IF('KG1-2'!$Y36="","",'KG1-2'!$Y36)</f>
        <v/>
      </c>
      <c r="X62" s="157">
        <f>IF('KG1-2'!$R36="","",'KG1-2'!$R36)</f>
        <v/>
      </c>
      <c r="Y62" s="148">
        <f>IF('KG1-2'!$S36="","",'KG1-2'!$S36)</f>
        <v/>
      </c>
      <c r="Z62" s="148">
        <f>IF('KG1-2'!$Q36="","",'KG1-2'!$Q36)</f>
        <v/>
      </c>
      <c r="AA62" s="148">
        <f>IF('KG1-2'!$I36="","",'KG1-2'!$I36)</f>
        <v/>
      </c>
      <c r="AB62" s="146">
        <f>IF(Q62="","",INDEX(LevelActions,MATCH(Q62,LevelValues,0)))</f>
        <v/>
      </c>
      <c r="AC62" s="148">
        <f>IF(J62="","",IF(J62=0,"—",IF(AND(L62=0,M62=0),Cat_L1,IF(O62&gt;=Cat_95,Cat_L2,IF(O62&gt;=Cat_90,Cat_L3,Cat_L4)))))</f>
        <v/>
      </c>
      <c r="AD62" s="146">
        <f>IF('KG1-2'!$L36="","",'KG1-2'!$L36)</f>
        <v/>
      </c>
      <c r="AE62" s="148">
        <f>IF(B62="","",IF(COUNTIF($B$5:$B$214,B62)&gt;1,"مكرر!",""))</f>
        <v/>
      </c>
      <c r="AF62" s="148">
        <f>IF(AND(B62&lt;&gt;"",F62="نشط",OR(Dash_Class="الكل",D62=Dash_Class)),1,0)</f>
        <v/>
      </c>
      <c r="AG62" s="40">
        <f>IF(OR(AF62=0,Dash_DayIdx=0),"",IF(INDEX('KG1-2'!$AD$7:$IM$7,Dash_DayIdx)&lt;&gt;"✓","",IF(INDEX('KG1-2'!$AD36:$IM36,Dash_DayIdx)="","P",IFERROR(INDEX(StatusCodes,MATCH(INDEX('KG1-2'!$AD36:$IM36,Dash_DayIdx),StatusLabels,0)),""))))</f>
        <v/>
      </c>
      <c r="AH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IF(LateAsPresent="نعم",COUNTIFS('KG1-2'!$AD36:$IM36,"متأخر",'KG1-2'!$AD$7:$IM$7,"✓",'KG1-2'!$AD$6:$IM$6,1,'KG1-2'!$AD$5:$IM$5,"&gt;="&amp;MAX('KG1-2'!$U36,Dash_PStart),'KG1-2'!$AD$5:$IM$5,"&lt;="&amp;Dash_PEnd),0))</f>
        <v/>
      </c>
      <c r="AI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COUNTIFS('KG1-2'!$AD36:$IM36,"غياب بدون عذر",'KG1-2'!$AD$7:$IM$7,"✓",'KG1-2'!$AD$6:$IM$6,1,'KG1-2'!$AD$5:$IM$5,"&gt;="&amp;MAX('KG1-2'!$U36,Dash_PStart),'KG1-2'!$AD$5:$IM$5,"&lt;="&amp;Dash_PEnd)+COUNTIFS('KG1-2'!$AD36:$IM36,"غياب بعذر",'KG1-2'!$AD$7:$IM$7,"✓",'KG1-2'!$AD$6:$IM$6,1,'KG1-2'!$AD$5:$IM$5,"&gt;="&amp;MAX('KG1-2'!$U36,Dash_PStart),'KG1-2'!$AD$5:$IM$5,"&lt;="&amp;Dash_PEnd)+COUNTIFS('KG1-2'!$AD36:$IM36,"متأخر",'KG1-2'!$AD$7:$IM$7,"✓",'KG1-2'!$AD$6:$IM$6,1,'KG1-2'!$AD$5:$IM$5,"&gt;="&amp;MAX('KG1-2'!$U36,Dash_PStart),'KG1-2'!$AD$5:$IM$5,"&lt;="&amp;Dash_PEnd))</f>
        <v/>
      </c>
      <c r="AJ62" s="40">
        <f>IF(AF62=0,0,IF(W62=Dash_Date,Thr_Critical,IF(V62=Dash_Date,Thr_High,IF(U62=Dash_Date,Thr_Repeated,IF(T62=Dash_Date,Thr_FollowUp,0)))))</f>
        <v/>
      </c>
      <c r="AK62" s="40">
        <f>IF(AJ62&gt;0,COUNTIF($AJ$5:AJ62,"&gt;0"),"")</f>
        <v/>
      </c>
      <c r="AL62" s="40">
        <f>IF(AND(B62&lt;&gt;"",F62="نشط",Q62&lt;&gt;"",Q62&gt;0),L62*1000+(999-ROW()),"")</f>
        <v/>
      </c>
      <c r="AM62" s="40">
        <f>IF(AND(AF62=1,J62&lt;&gt;"",J62&gt;0),ROUND(O62*10000,0)*1000000+K62*1000+(999-ROW()),"")</f>
        <v/>
      </c>
      <c r="AN62" s="40">
        <f>IF(AND(AF62=1,J62&lt;&gt;"",J62&gt;0),(L62+M62)*10000000+ROUND((1-O62)*10000,0)*1000+(999-ROW()),"")</f>
        <v/>
      </c>
      <c r="AO62" s="40">
        <f>IF(AND(AF62=1,Q62&lt;&gt;"",Q62&gt;=Thr_Critical),L62*1000+(999-ROW()),"")</f>
        <v/>
      </c>
      <c r="AP62" s="40">
        <f>IF(AND(B62&lt;&gt;"",F62="نشط",OR(Rpt_Class="الكل",D62=Rpt_Class)),1,0)</f>
        <v/>
      </c>
      <c r="AQ62" s="40">
        <f>IF(AND(AP62=1,Q62&lt;&gt;"",Q62&gt;0),L62*1000+(999-ROW()),"")</f>
        <v/>
      </c>
      <c r="AR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IF(LateAsPresent="نعم",COUNTIFS('KG1-2'!$AD36:$IM36,"متأخر",'KG1-2'!$AD$7:$IM$7,"✓",'KG1-2'!$AD$6:$IM$6,1,'KG1-2'!$AD$5:$IM$5,"&gt;="&amp;MAX('KG1-2'!$U36,Rpt_PStart),'KG1-2'!$AD$5:$IM$5,"&lt;="&amp;Rpt_PEnd),0))</f>
        <v/>
      </c>
      <c r="AS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COUNTIFS('KG1-2'!$AD36:$IM36,"غياب بدون عذر",'KG1-2'!$AD$7:$IM$7,"✓",'KG1-2'!$AD$6:$IM$6,1,'KG1-2'!$AD$5:$IM$5,"&gt;="&amp;MAX('KG1-2'!$U36,Rpt_PStart),'KG1-2'!$AD$5:$IM$5,"&lt;="&amp;Rpt_PEnd)+COUNTIFS('KG1-2'!$AD36:$IM36,"غياب بعذر",'KG1-2'!$AD$7:$IM$7,"✓",'KG1-2'!$AD$6:$IM$6,1,'KG1-2'!$AD$5:$IM$5,"&gt;="&amp;MAX('KG1-2'!$U36,Rpt_PStart),'KG1-2'!$AD$5:$IM$5,"&lt;="&amp;Rpt_PEnd)+COUNTIFS('KG1-2'!$AD36:$IM36,"متأخر",'KG1-2'!$AD$7:$IM$7,"✓",'KG1-2'!$AD$6:$IM$6,1,'KG1-2'!$AD$5:$IM$5,"&gt;="&amp;MAX('KG1-2'!$U36,Rpt_PStart),'KG1-2'!$AD$5:$IM$5,"&lt;="&amp;Rpt_PEnd))</f>
        <v/>
      </c>
      <c r="AT62" s="40">
        <f>IF(AP62=0,"",COUNTIFS('KG1-2'!$AD36:$IM36,"غياب بدون عذر",'KG1-2'!$AD$7:$IM$7,"✓",'KG1-2'!$AD$6:$IM$6,1,'KG1-2'!$AD$5:$IM$5,"&gt;="&amp;MAX('KG1-2'!$U36,Rpt_PStart),'KG1-2'!$AD$5:$IM$5,"&lt;="&amp;Rpt_PEnd)+COUNTIFS('KG1-2'!$AD36:$IM36,"غياب بعذر",'KG1-2'!$AD$7:$IM$7,"✓",'KG1-2'!$AD$6:$IM$6,1,'KG1-2'!$AD$5:$IM$5,"&gt;="&amp;MAX('KG1-2'!$U36,Rpt_PStart),'KG1-2'!$AD$5:$IM$5,"&lt;="&amp;Rpt_PEnd))</f>
        <v/>
      </c>
      <c r="AU62" s="40" t="n">
        <v>2</v>
      </c>
      <c r="AV62" s="40" t="n">
        <v>28</v>
      </c>
      <c r="AW62" s="40">
        <f>IF(OR(AP62=0,Rpt_DayIdx=0),"",IF(INDEX('KG1-2'!$AD$7:$IM$7,Rpt_DayIdx)&lt;&gt;"✓","",IF(INDEX('KG1-2'!$AD36:$IM36,Rpt_DayIdx)="","P",IFERROR(INDEX(StatusCodes,MATCH(INDEX('KG1-2'!$AD36:$IM36,Rpt_DayIdx),StatusLabels,0)),""))))</f>
        <v/>
      </c>
      <c r="AX62" s="40">
        <f>IF(AND(AP62=1,OR(AW62="A",AW62="E")),COUNTIFS($AP$5:AP62,1,$AW$5:AW62,"A")+COUNTIFS($AP$5:AP62,1,$AW$5:AW62,"E"),"")</f>
        <v/>
      </c>
    </row>
    <row r="63">
      <c r="A63" s="148">
        <f>IF(B63="","",ROW()-4)</f>
        <v/>
      </c>
      <c r="B63" s="148">
        <f>IF('KG1-2'!$B37="","",'KG1-2'!$B37)</f>
        <v/>
      </c>
      <c r="C63" s="146">
        <f>IF('KG1-2'!$C37="","",'KG1-2'!$C37)</f>
        <v/>
      </c>
      <c r="D63" s="148">
        <f>IF(B63="","",'KG1-2'!$B$2)</f>
        <v/>
      </c>
      <c r="E63" s="148">
        <f>IF(B63="","",MID(D63,FIND("-",D63&amp;"-")+1,10))</f>
        <v/>
      </c>
      <c r="F63" s="148">
        <f>IF(B63="","","نشط")</f>
        <v/>
      </c>
      <c r="G63" s="157">
        <f>IF(B63="","","")</f>
        <v/>
      </c>
      <c r="H63" s="146">
        <f>IF('KG1-2'!$K37="","",'KG1-2'!$K37)</f>
        <v/>
      </c>
      <c r="I63" s="148">
        <f>IF('KG1-2'!$J37="","",'KG1-2'!$J37)</f>
        <v/>
      </c>
      <c r="J63" s="148">
        <f>IF('KG1-2'!$M37="","",'KG1-2'!$M37)</f>
        <v/>
      </c>
      <c r="K63" s="148">
        <f>IF('KG1-2'!$N37="","",'KG1-2'!$N37)</f>
        <v/>
      </c>
      <c r="L63" s="148">
        <f>IF('KG1-2'!$D37="","",'KG1-2'!$D37)</f>
        <v/>
      </c>
      <c r="M63" s="148">
        <f>IF('KG1-2'!$E37="","",'KG1-2'!$E37)</f>
        <v/>
      </c>
      <c r="N63" s="148">
        <f>IF('KG1-2'!$F37="","",'KG1-2'!$F37)</f>
        <v/>
      </c>
      <c r="O63" s="158">
        <f>IF('KG1-2'!$G37="","",'KG1-2'!$G37)</f>
        <v/>
      </c>
      <c r="P63" s="158">
        <f>IF('KG1-2'!$O37="","",'KG1-2'!$O37)</f>
        <v/>
      </c>
      <c r="Q63" s="148">
        <f>IF('KG1-2'!$T37="","",'KG1-2'!$T37)</f>
        <v/>
      </c>
      <c r="R63" s="146">
        <f>IF('KG1-2'!$H37="","",'KG1-2'!$H37)</f>
        <v/>
      </c>
      <c r="S63" s="157">
        <f>IF('KG1-2'!$P37="","",'KG1-2'!$P37)</f>
        <v/>
      </c>
      <c r="T63" s="157">
        <f>IF('KG1-2'!$V37="","",'KG1-2'!$V37)</f>
        <v/>
      </c>
      <c r="U63" s="157">
        <f>IF('KG1-2'!$W37="","",'KG1-2'!$W37)</f>
        <v/>
      </c>
      <c r="V63" s="157">
        <f>IF('KG1-2'!$X37="","",'KG1-2'!$X37)</f>
        <v/>
      </c>
      <c r="W63" s="157">
        <f>IF('KG1-2'!$Y37="","",'KG1-2'!$Y37)</f>
        <v/>
      </c>
      <c r="X63" s="157">
        <f>IF('KG1-2'!$R37="","",'KG1-2'!$R37)</f>
        <v/>
      </c>
      <c r="Y63" s="148">
        <f>IF('KG1-2'!$S37="","",'KG1-2'!$S37)</f>
        <v/>
      </c>
      <c r="Z63" s="148">
        <f>IF('KG1-2'!$Q37="","",'KG1-2'!$Q37)</f>
        <v/>
      </c>
      <c r="AA63" s="148">
        <f>IF('KG1-2'!$I37="","",'KG1-2'!$I37)</f>
        <v/>
      </c>
      <c r="AB63" s="146">
        <f>IF(Q63="","",INDEX(LevelActions,MATCH(Q63,LevelValues,0)))</f>
        <v/>
      </c>
      <c r="AC63" s="148">
        <f>IF(J63="","",IF(J63=0,"—",IF(AND(L63=0,M63=0),Cat_L1,IF(O63&gt;=Cat_95,Cat_L2,IF(O63&gt;=Cat_90,Cat_L3,Cat_L4)))))</f>
        <v/>
      </c>
      <c r="AD63" s="146">
        <f>IF('KG1-2'!$L37="","",'KG1-2'!$L37)</f>
        <v/>
      </c>
      <c r="AE63" s="148">
        <f>IF(B63="","",IF(COUNTIF($B$5:$B$214,B63)&gt;1,"مكرر!",""))</f>
        <v/>
      </c>
      <c r="AF63" s="148">
        <f>IF(AND(B63&lt;&gt;"",F63="نشط",OR(Dash_Class="الكل",D63=Dash_Class)),1,0)</f>
        <v/>
      </c>
      <c r="AG63" s="40">
        <f>IF(OR(AF63=0,Dash_DayIdx=0),"",IF(INDEX('KG1-2'!$AD$7:$IM$7,Dash_DayIdx)&lt;&gt;"✓","",IF(INDEX('KG1-2'!$AD37:$IM37,Dash_DayIdx)="","P",IFERROR(INDEX(StatusCodes,MATCH(INDEX('KG1-2'!$AD37:$IM37,Dash_DayIdx),StatusLabels,0)),""))))</f>
        <v/>
      </c>
      <c r="AH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IF(LateAsPresent="نعم",COUNTIFS('KG1-2'!$AD37:$IM37,"متأخر",'KG1-2'!$AD$7:$IM$7,"✓",'KG1-2'!$AD$6:$IM$6,1,'KG1-2'!$AD$5:$IM$5,"&gt;="&amp;MAX('KG1-2'!$U37,Dash_PStart),'KG1-2'!$AD$5:$IM$5,"&lt;="&amp;Dash_PEnd),0))</f>
        <v/>
      </c>
      <c r="AI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COUNTIFS('KG1-2'!$AD37:$IM37,"غياب بدون عذر",'KG1-2'!$AD$7:$IM$7,"✓",'KG1-2'!$AD$6:$IM$6,1,'KG1-2'!$AD$5:$IM$5,"&gt;="&amp;MAX('KG1-2'!$U37,Dash_PStart),'KG1-2'!$AD$5:$IM$5,"&lt;="&amp;Dash_PEnd)+COUNTIFS('KG1-2'!$AD37:$IM37,"غياب بعذر",'KG1-2'!$AD$7:$IM$7,"✓",'KG1-2'!$AD$6:$IM$6,1,'KG1-2'!$AD$5:$IM$5,"&gt;="&amp;MAX('KG1-2'!$U37,Dash_PStart),'KG1-2'!$AD$5:$IM$5,"&lt;="&amp;Dash_PEnd)+COUNTIFS('KG1-2'!$AD37:$IM37,"متأخر",'KG1-2'!$AD$7:$IM$7,"✓",'KG1-2'!$AD$6:$IM$6,1,'KG1-2'!$AD$5:$IM$5,"&gt;="&amp;MAX('KG1-2'!$U37,Dash_PStart),'KG1-2'!$AD$5:$IM$5,"&lt;="&amp;Dash_PEnd))</f>
        <v/>
      </c>
      <c r="AJ63" s="40">
        <f>IF(AF63=0,0,IF(W63=Dash_Date,Thr_Critical,IF(V63=Dash_Date,Thr_High,IF(U63=Dash_Date,Thr_Repeated,IF(T63=Dash_Date,Thr_FollowUp,0)))))</f>
        <v/>
      </c>
      <c r="AK63" s="40">
        <f>IF(AJ63&gt;0,COUNTIF($AJ$5:AJ63,"&gt;0"),"")</f>
        <v/>
      </c>
      <c r="AL63" s="40">
        <f>IF(AND(B63&lt;&gt;"",F63="نشط",Q63&lt;&gt;"",Q63&gt;0),L63*1000+(999-ROW()),"")</f>
        <v/>
      </c>
      <c r="AM63" s="40">
        <f>IF(AND(AF63=1,J63&lt;&gt;"",J63&gt;0),ROUND(O63*10000,0)*1000000+K63*1000+(999-ROW()),"")</f>
        <v/>
      </c>
      <c r="AN63" s="40">
        <f>IF(AND(AF63=1,J63&lt;&gt;"",J63&gt;0),(L63+M63)*10000000+ROUND((1-O63)*10000,0)*1000+(999-ROW()),"")</f>
        <v/>
      </c>
      <c r="AO63" s="40">
        <f>IF(AND(AF63=1,Q63&lt;&gt;"",Q63&gt;=Thr_Critical),L63*1000+(999-ROW()),"")</f>
        <v/>
      </c>
      <c r="AP63" s="40">
        <f>IF(AND(B63&lt;&gt;"",F63="نشط",OR(Rpt_Class="الكل",D63=Rpt_Class)),1,0)</f>
        <v/>
      </c>
      <c r="AQ63" s="40">
        <f>IF(AND(AP63=1,Q63&lt;&gt;"",Q63&gt;0),L63*1000+(999-ROW()),"")</f>
        <v/>
      </c>
      <c r="AR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IF(LateAsPresent="نعم",COUNTIFS('KG1-2'!$AD37:$IM37,"متأخر",'KG1-2'!$AD$7:$IM$7,"✓",'KG1-2'!$AD$6:$IM$6,1,'KG1-2'!$AD$5:$IM$5,"&gt;="&amp;MAX('KG1-2'!$U37,Rpt_PStart),'KG1-2'!$AD$5:$IM$5,"&lt;="&amp;Rpt_PEnd),0))</f>
        <v/>
      </c>
      <c r="AS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COUNTIFS('KG1-2'!$AD37:$IM37,"غياب بدون عذر",'KG1-2'!$AD$7:$IM$7,"✓",'KG1-2'!$AD$6:$IM$6,1,'KG1-2'!$AD$5:$IM$5,"&gt;="&amp;MAX('KG1-2'!$U37,Rpt_PStart),'KG1-2'!$AD$5:$IM$5,"&lt;="&amp;Rpt_PEnd)+COUNTIFS('KG1-2'!$AD37:$IM37,"غياب بعذر",'KG1-2'!$AD$7:$IM$7,"✓",'KG1-2'!$AD$6:$IM$6,1,'KG1-2'!$AD$5:$IM$5,"&gt;="&amp;MAX('KG1-2'!$U37,Rpt_PStart),'KG1-2'!$AD$5:$IM$5,"&lt;="&amp;Rpt_PEnd)+COUNTIFS('KG1-2'!$AD37:$IM37,"متأخر",'KG1-2'!$AD$7:$IM$7,"✓",'KG1-2'!$AD$6:$IM$6,1,'KG1-2'!$AD$5:$IM$5,"&gt;="&amp;MAX('KG1-2'!$U37,Rpt_PStart),'KG1-2'!$AD$5:$IM$5,"&lt;="&amp;Rpt_PEnd))</f>
        <v/>
      </c>
      <c r="AT63" s="40">
        <f>IF(AP63=0,"",COUNTIFS('KG1-2'!$AD37:$IM37,"غياب بدون عذر",'KG1-2'!$AD$7:$IM$7,"✓",'KG1-2'!$AD$6:$IM$6,1,'KG1-2'!$AD$5:$IM$5,"&gt;="&amp;MAX('KG1-2'!$U37,Rpt_PStart),'KG1-2'!$AD$5:$IM$5,"&lt;="&amp;Rpt_PEnd)+COUNTIFS('KG1-2'!$AD37:$IM37,"غياب بعذر",'KG1-2'!$AD$7:$IM$7,"✓",'KG1-2'!$AD$6:$IM$6,1,'KG1-2'!$AD$5:$IM$5,"&gt;="&amp;MAX('KG1-2'!$U37,Rpt_PStart),'KG1-2'!$AD$5:$IM$5,"&lt;="&amp;Rpt_PEnd))</f>
        <v/>
      </c>
      <c r="AU63" s="40" t="n">
        <v>2</v>
      </c>
      <c r="AV63" s="40" t="n">
        <v>29</v>
      </c>
      <c r="AW63" s="40">
        <f>IF(OR(AP63=0,Rpt_DayIdx=0),"",IF(INDEX('KG1-2'!$AD$7:$IM$7,Rpt_DayIdx)&lt;&gt;"✓","",IF(INDEX('KG1-2'!$AD37:$IM37,Rpt_DayIdx)="","P",IFERROR(INDEX(StatusCodes,MATCH(INDEX('KG1-2'!$AD37:$IM37,Rpt_DayIdx),StatusLabels,0)),""))))</f>
        <v/>
      </c>
      <c r="AX63" s="40">
        <f>IF(AND(AP63=1,OR(AW63="A",AW63="E")),COUNTIFS($AP$5:AP63,1,$AW$5:AW63,"A")+COUNTIFS($AP$5:AP63,1,$AW$5:AW63,"E"),"")</f>
        <v/>
      </c>
    </row>
    <row r="64">
      <c r="A64" s="148">
        <f>IF(B64="","",ROW()-4)</f>
        <v/>
      </c>
      <c r="B64" s="148">
        <f>IF('KG1-2'!$B38="","",'KG1-2'!$B38)</f>
        <v/>
      </c>
      <c r="C64" s="146">
        <f>IF('KG1-2'!$C38="","",'KG1-2'!$C38)</f>
        <v/>
      </c>
      <c r="D64" s="148">
        <f>IF(B64="","",'KG1-2'!$B$2)</f>
        <v/>
      </c>
      <c r="E64" s="148">
        <f>IF(B64="","",MID(D64,FIND("-",D64&amp;"-")+1,10))</f>
        <v/>
      </c>
      <c r="F64" s="148">
        <f>IF(B64="","","نشط")</f>
        <v/>
      </c>
      <c r="G64" s="157">
        <f>IF(B64="","","")</f>
        <v/>
      </c>
      <c r="H64" s="146">
        <f>IF('KG1-2'!$K38="","",'KG1-2'!$K38)</f>
        <v/>
      </c>
      <c r="I64" s="148">
        <f>IF('KG1-2'!$J38="","",'KG1-2'!$J38)</f>
        <v/>
      </c>
      <c r="J64" s="148">
        <f>IF('KG1-2'!$M38="","",'KG1-2'!$M38)</f>
        <v/>
      </c>
      <c r="K64" s="148">
        <f>IF('KG1-2'!$N38="","",'KG1-2'!$N38)</f>
        <v/>
      </c>
      <c r="L64" s="148">
        <f>IF('KG1-2'!$D38="","",'KG1-2'!$D38)</f>
        <v/>
      </c>
      <c r="M64" s="148">
        <f>IF('KG1-2'!$E38="","",'KG1-2'!$E38)</f>
        <v/>
      </c>
      <c r="N64" s="148">
        <f>IF('KG1-2'!$F38="","",'KG1-2'!$F38)</f>
        <v/>
      </c>
      <c r="O64" s="158">
        <f>IF('KG1-2'!$G38="","",'KG1-2'!$G38)</f>
        <v/>
      </c>
      <c r="P64" s="158">
        <f>IF('KG1-2'!$O38="","",'KG1-2'!$O38)</f>
        <v/>
      </c>
      <c r="Q64" s="148">
        <f>IF('KG1-2'!$T38="","",'KG1-2'!$T38)</f>
        <v/>
      </c>
      <c r="R64" s="146">
        <f>IF('KG1-2'!$H38="","",'KG1-2'!$H38)</f>
        <v/>
      </c>
      <c r="S64" s="157">
        <f>IF('KG1-2'!$P38="","",'KG1-2'!$P38)</f>
        <v/>
      </c>
      <c r="T64" s="157">
        <f>IF('KG1-2'!$V38="","",'KG1-2'!$V38)</f>
        <v/>
      </c>
      <c r="U64" s="157">
        <f>IF('KG1-2'!$W38="","",'KG1-2'!$W38)</f>
        <v/>
      </c>
      <c r="V64" s="157">
        <f>IF('KG1-2'!$X38="","",'KG1-2'!$X38)</f>
        <v/>
      </c>
      <c r="W64" s="157">
        <f>IF('KG1-2'!$Y38="","",'KG1-2'!$Y38)</f>
        <v/>
      </c>
      <c r="X64" s="157">
        <f>IF('KG1-2'!$R38="","",'KG1-2'!$R38)</f>
        <v/>
      </c>
      <c r="Y64" s="148">
        <f>IF('KG1-2'!$S38="","",'KG1-2'!$S38)</f>
        <v/>
      </c>
      <c r="Z64" s="148">
        <f>IF('KG1-2'!$Q38="","",'KG1-2'!$Q38)</f>
        <v/>
      </c>
      <c r="AA64" s="148">
        <f>IF('KG1-2'!$I38="","",'KG1-2'!$I38)</f>
        <v/>
      </c>
      <c r="AB64" s="146">
        <f>IF(Q64="","",INDEX(LevelActions,MATCH(Q64,LevelValues,0)))</f>
        <v/>
      </c>
      <c r="AC64" s="148">
        <f>IF(J64="","",IF(J64=0,"—",IF(AND(L64=0,M64=0),Cat_L1,IF(O64&gt;=Cat_95,Cat_L2,IF(O64&gt;=Cat_90,Cat_L3,Cat_L4)))))</f>
        <v/>
      </c>
      <c r="AD64" s="146">
        <f>IF('KG1-2'!$L38="","",'KG1-2'!$L38)</f>
        <v/>
      </c>
      <c r="AE64" s="148">
        <f>IF(B64="","",IF(COUNTIF($B$5:$B$214,B64)&gt;1,"مكرر!",""))</f>
        <v/>
      </c>
      <c r="AF64" s="148">
        <f>IF(AND(B64&lt;&gt;"",F64="نشط",OR(Dash_Class="الكل",D64=Dash_Class)),1,0)</f>
        <v/>
      </c>
      <c r="AG64" s="40">
        <f>IF(OR(AF64=0,Dash_DayIdx=0),"",IF(INDEX('KG1-2'!$AD$7:$IM$7,Dash_DayIdx)&lt;&gt;"✓","",IF(INDEX('KG1-2'!$AD38:$IM38,Dash_DayIdx)="","P",IFERROR(INDEX(StatusCodes,MATCH(INDEX('KG1-2'!$AD38:$IM38,Dash_DayIdx),StatusLabels,0)),""))))</f>
        <v/>
      </c>
      <c r="AH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IF(LateAsPresent="نعم",COUNTIFS('KG1-2'!$AD38:$IM38,"متأخر",'KG1-2'!$AD$7:$IM$7,"✓",'KG1-2'!$AD$6:$IM$6,1,'KG1-2'!$AD$5:$IM$5,"&gt;="&amp;MAX('KG1-2'!$U38,Dash_PStart),'KG1-2'!$AD$5:$IM$5,"&lt;="&amp;Dash_PEnd),0))</f>
        <v/>
      </c>
      <c r="AI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COUNTIFS('KG1-2'!$AD38:$IM38,"غياب بدون عذر",'KG1-2'!$AD$7:$IM$7,"✓",'KG1-2'!$AD$6:$IM$6,1,'KG1-2'!$AD$5:$IM$5,"&gt;="&amp;MAX('KG1-2'!$U38,Dash_PStart),'KG1-2'!$AD$5:$IM$5,"&lt;="&amp;Dash_PEnd)+COUNTIFS('KG1-2'!$AD38:$IM38,"غياب بعذر",'KG1-2'!$AD$7:$IM$7,"✓",'KG1-2'!$AD$6:$IM$6,1,'KG1-2'!$AD$5:$IM$5,"&gt;="&amp;MAX('KG1-2'!$U38,Dash_PStart),'KG1-2'!$AD$5:$IM$5,"&lt;="&amp;Dash_PEnd)+COUNTIFS('KG1-2'!$AD38:$IM38,"متأخر",'KG1-2'!$AD$7:$IM$7,"✓",'KG1-2'!$AD$6:$IM$6,1,'KG1-2'!$AD$5:$IM$5,"&gt;="&amp;MAX('KG1-2'!$U38,Dash_PStart),'KG1-2'!$AD$5:$IM$5,"&lt;="&amp;Dash_PEnd))</f>
        <v/>
      </c>
      <c r="AJ64" s="40">
        <f>IF(AF64=0,0,IF(W64=Dash_Date,Thr_Critical,IF(V64=Dash_Date,Thr_High,IF(U64=Dash_Date,Thr_Repeated,IF(T64=Dash_Date,Thr_FollowUp,0)))))</f>
        <v/>
      </c>
      <c r="AK64" s="40">
        <f>IF(AJ64&gt;0,COUNTIF($AJ$5:AJ64,"&gt;0"),"")</f>
        <v/>
      </c>
      <c r="AL64" s="40">
        <f>IF(AND(B64&lt;&gt;"",F64="نشط",Q64&lt;&gt;"",Q64&gt;0),L64*1000+(999-ROW()),"")</f>
        <v/>
      </c>
      <c r="AM64" s="40">
        <f>IF(AND(AF64=1,J64&lt;&gt;"",J64&gt;0),ROUND(O64*10000,0)*1000000+K64*1000+(999-ROW()),"")</f>
        <v/>
      </c>
      <c r="AN64" s="40">
        <f>IF(AND(AF64=1,J64&lt;&gt;"",J64&gt;0),(L64+M64)*10000000+ROUND((1-O64)*10000,0)*1000+(999-ROW()),"")</f>
        <v/>
      </c>
      <c r="AO64" s="40">
        <f>IF(AND(AF64=1,Q64&lt;&gt;"",Q64&gt;=Thr_Critical),L64*1000+(999-ROW()),"")</f>
        <v/>
      </c>
      <c r="AP64" s="40">
        <f>IF(AND(B64&lt;&gt;"",F64="نشط",OR(Rpt_Class="الكل",D64=Rpt_Class)),1,0)</f>
        <v/>
      </c>
      <c r="AQ64" s="40">
        <f>IF(AND(AP64=1,Q64&lt;&gt;"",Q64&gt;0),L64*1000+(999-ROW()),"")</f>
        <v/>
      </c>
      <c r="AR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IF(LateAsPresent="نعم",COUNTIFS('KG1-2'!$AD38:$IM38,"متأخر",'KG1-2'!$AD$7:$IM$7,"✓",'KG1-2'!$AD$6:$IM$6,1,'KG1-2'!$AD$5:$IM$5,"&gt;="&amp;MAX('KG1-2'!$U38,Rpt_PStart),'KG1-2'!$AD$5:$IM$5,"&lt;="&amp;Rpt_PEnd),0))</f>
        <v/>
      </c>
      <c r="AS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COUNTIFS('KG1-2'!$AD38:$IM38,"غياب بدون عذر",'KG1-2'!$AD$7:$IM$7,"✓",'KG1-2'!$AD$6:$IM$6,1,'KG1-2'!$AD$5:$IM$5,"&gt;="&amp;MAX('KG1-2'!$U38,Rpt_PStart),'KG1-2'!$AD$5:$IM$5,"&lt;="&amp;Rpt_PEnd)+COUNTIFS('KG1-2'!$AD38:$IM38,"غياب بعذر",'KG1-2'!$AD$7:$IM$7,"✓",'KG1-2'!$AD$6:$IM$6,1,'KG1-2'!$AD$5:$IM$5,"&gt;="&amp;MAX('KG1-2'!$U38,Rpt_PStart),'KG1-2'!$AD$5:$IM$5,"&lt;="&amp;Rpt_PEnd)+COUNTIFS('KG1-2'!$AD38:$IM38,"متأخر",'KG1-2'!$AD$7:$IM$7,"✓",'KG1-2'!$AD$6:$IM$6,1,'KG1-2'!$AD$5:$IM$5,"&gt;="&amp;MAX('KG1-2'!$U38,Rpt_PStart),'KG1-2'!$AD$5:$IM$5,"&lt;="&amp;Rpt_PEnd))</f>
        <v/>
      </c>
      <c r="AT64" s="40">
        <f>IF(AP64=0,"",COUNTIFS('KG1-2'!$AD38:$IM38,"غياب بدون عذر",'KG1-2'!$AD$7:$IM$7,"✓",'KG1-2'!$AD$6:$IM$6,1,'KG1-2'!$AD$5:$IM$5,"&gt;="&amp;MAX('KG1-2'!$U38,Rpt_PStart),'KG1-2'!$AD$5:$IM$5,"&lt;="&amp;Rpt_PEnd)+COUNTIFS('KG1-2'!$AD38:$IM38,"غياب بعذر",'KG1-2'!$AD$7:$IM$7,"✓",'KG1-2'!$AD$6:$IM$6,1,'KG1-2'!$AD$5:$IM$5,"&gt;="&amp;MAX('KG1-2'!$U38,Rpt_PStart),'KG1-2'!$AD$5:$IM$5,"&lt;="&amp;Rpt_PEnd))</f>
        <v/>
      </c>
      <c r="AU64" s="40" t="n">
        <v>2</v>
      </c>
      <c r="AV64" s="40" t="n">
        <v>30</v>
      </c>
      <c r="AW64" s="40">
        <f>IF(OR(AP64=0,Rpt_DayIdx=0),"",IF(INDEX('KG1-2'!$AD$7:$IM$7,Rpt_DayIdx)&lt;&gt;"✓","",IF(INDEX('KG1-2'!$AD38:$IM38,Rpt_DayIdx)="","P",IFERROR(INDEX(StatusCodes,MATCH(INDEX('KG1-2'!$AD38:$IM38,Rpt_DayIdx),StatusLabels,0)),""))))</f>
        <v/>
      </c>
      <c r="AX64" s="40">
        <f>IF(AND(AP64=1,OR(AW64="A",AW64="E")),COUNTIFS($AP$5:AP64,1,$AW$5:AW64,"A")+COUNTIFS($AP$5:AP64,1,$AW$5:AW64,"E"),"")</f>
        <v/>
      </c>
    </row>
    <row r="65">
      <c r="A65" s="148">
        <f>IF(B65="","",ROW()-4)</f>
        <v/>
      </c>
      <c r="B65" s="148">
        <f>IF('KG1-3'!$B9="","",'KG1-3'!$B9)</f>
        <v/>
      </c>
      <c r="C65" s="146">
        <f>IF('KG1-3'!$C9="","",'KG1-3'!$C9)</f>
        <v/>
      </c>
      <c r="D65" s="148">
        <f>IF(B65="","",'KG1-3'!$B$2)</f>
        <v/>
      </c>
      <c r="E65" s="148">
        <f>IF(B65="","",MID(D65,FIND("-",D65&amp;"-")+1,10))</f>
        <v/>
      </c>
      <c r="F65" s="148">
        <f>IF(B65="","","نشط")</f>
        <v/>
      </c>
      <c r="G65" s="157">
        <f>IF(B65="","","")</f>
        <v/>
      </c>
      <c r="H65" s="146">
        <f>IF('KG1-3'!$K9="","",'KG1-3'!$K9)</f>
        <v/>
      </c>
      <c r="I65" s="148">
        <f>IF('KG1-3'!$J9="","",'KG1-3'!$J9)</f>
        <v/>
      </c>
      <c r="J65" s="148">
        <f>IF('KG1-3'!$M9="","",'KG1-3'!$M9)</f>
        <v/>
      </c>
      <c r="K65" s="148">
        <f>IF('KG1-3'!$N9="","",'KG1-3'!$N9)</f>
        <v/>
      </c>
      <c r="L65" s="148">
        <f>IF('KG1-3'!$D9="","",'KG1-3'!$D9)</f>
        <v/>
      </c>
      <c r="M65" s="148">
        <f>IF('KG1-3'!$E9="","",'KG1-3'!$E9)</f>
        <v/>
      </c>
      <c r="N65" s="148">
        <f>IF('KG1-3'!$F9="","",'KG1-3'!$F9)</f>
        <v/>
      </c>
      <c r="O65" s="158">
        <f>IF('KG1-3'!$G9="","",'KG1-3'!$G9)</f>
        <v/>
      </c>
      <c r="P65" s="158">
        <f>IF('KG1-3'!$O9="","",'KG1-3'!$O9)</f>
        <v/>
      </c>
      <c r="Q65" s="148">
        <f>IF('KG1-3'!$T9="","",'KG1-3'!$T9)</f>
        <v/>
      </c>
      <c r="R65" s="146">
        <f>IF('KG1-3'!$H9="","",'KG1-3'!$H9)</f>
        <v/>
      </c>
      <c r="S65" s="157">
        <f>IF('KG1-3'!$P9="","",'KG1-3'!$P9)</f>
        <v/>
      </c>
      <c r="T65" s="157">
        <f>IF('KG1-3'!$V9="","",'KG1-3'!$V9)</f>
        <v/>
      </c>
      <c r="U65" s="157">
        <f>IF('KG1-3'!$W9="","",'KG1-3'!$W9)</f>
        <v/>
      </c>
      <c r="V65" s="157">
        <f>IF('KG1-3'!$X9="","",'KG1-3'!$X9)</f>
        <v/>
      </c>
      <c r="W65" s="157">
        <f>IF('KG1-3'!$Y9="","",'KG1-3'!$Y9)</f>
        <v/>
      </c>
      <c r="X65" s="157">
        <f>IF('KG1-3'!$R9="","",'KG1-3'!$R9)</f>
        <v/>
      </c>
      <c r="Y65" s="148">
        <f>IF('KG1-3'!$S9="","",'KG1-3'!$S9)</f>
        <v/>
      </c>
      <c r="Z65" s="148">
        <f>IF('KG1-3'!$Q9="","",'KG1-3'!$Q9)</f>
        <v/>
      </c>
      <c r="AA65" s="148">
        <f>IF('KG1-3'!$I9="","",'KG1-3'!$I9)</f>
        <v/>
      </c>
      <c r="AB65" s="146">
        <f>IF(Q65="","",INDEX(LevelActions,MATCH(Q65,LevelValues,0)))</f>
        <v/>
      </c>
      <c r="AC65" s="148">
        <f>IF(J65="","",IF(J65=0,"—",IF(AND(L65=0,M65=0),Cat_L1,IF(O65&gt;=Cat_95,Cat_L2,IF(O65&gt;=Cat_90,Cat_L3,Cat_L4)))))</f>
        <v/>
      </c>
      <c r="AD65" s="146">
        <f>IF('KG1-3'!$L9="","",'KG1-3'!$L9)</f>
        <v/>
      </c>
      <c r="AE65" s="148">
        <f>IF(B65="","",IF(COUNTIF($B$5:$B$214,B65)&gt;1,"مكرر!",""))</f>
        <v/>
      </c>
      <c r="AF65" s="148">
        <f>IF(AND(B65&lt;&gt;"",F65="نشط",OR(Dash_Class="الكل",D65=Dash_Class)),1,0)</f>
        <v/>
      </c>
      <c r="AG65" s="40">
        <f>IF(OR(AF65=0,Dash_DayIdx=0),"",IF(INDEX('KG1-3'!$AD$7:$IM$7,Dash_DayIdx)&lt;&gt;"✓","",IF(INDEX('KG1-3'!$AD9:$IM9,Dash_DayIdx)="","P",IFERROR(INDEX(StatusCodes,MATCH(INDEX('KG1-3'!$AD9:$IM9,Dash_DayIdx),StatusLabels,0)),""))))</f>
        <v/>
      </c>
      <c r="AH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IF(LateAsPresent="نعم",COUNTIFS('KG1-3'!$AD9:$IM9,"متأخر",'KG1-3'!$AD$7:$IM$7,"✓",'KG1-3'!$AD$6:$IM$6,1,'KG1-3'!$AD$5:$IM$5,"&gt;="&amp;MAX('KG1-3'!$U9,Dash_PStart),'KG1-3'!$AD$5:$IM$5,"&lt;="&amp;Dash_PEnd),0))</f>
        <v/>
      </c>
      <c r="AI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COUNTIFS('KG1-3'!$AD9:$IM9,"غياب بدون عذر",'KG1-3'!$AD$7:$IM$7,"✓",'KG1-3'!$AD$6:$IM$6,1,'KG1-3'!$AD$5:$IM$5,"&gt;="&amp;MAX('KG1-3'!$U9,Dash_PStart),'KG1-3'!$AD$5:$IM$5,"&lt;="&amp;Dash_PEnd)+COUNTIFS('KG1-3'!$AD9:$IM9,"غياب بعذر",'KG1-3'!$AD$7:$IM$7,"✓",'KG1-3'!$AD$6:$IM$6,1,'KG1-3'!$AD$5:$IM$5,"&gt;="&amp;MAX('KG1-3'!$U9,Dash_PStart),'KG1-3'!$AD$5:$IM$5,"&lt;="&amp;Dash_PEnd)+COUNTIFS('KG1-3'!$AD9:$IM9,"متأخر",'KG1-3'!$AD$7:$IM$7,"✓",'KG1-3'!$AD$6:$IM$6,1,'KG1-3'!$AD$5:$IM$5,"&gt;="&amp;MAX('KG1-3'!$U9,Dash_PStart),'KG1-3'!$AD$5:$IM$5,"&lt;="&amp;Dash_PEnd))</f>
        <v/>
      </c>
      <c r="AJ65" s="40">
        <f>IF(AF65=0,0,IF(W65=Dash_Date,Thr_Critical,IF(V65=Dash_Date,Thr_High,IF(U65=Dash_Date,Thr_Repeated,IF(T65=Dash_Date,Thr_FollowUp,0)))))</f>
        <v/>
      </c>
      <c r="AK65" s="40">
        <f>IF(AJ65&gt;0,COUNTIF($AJ$5:AJ65,"&gt;0"),"")</f>
        <v/>
      </c>
      <c r="AL65" s="40">
        <f>IF(AND(B65&lt;&gt;"",F65="نشط",Q65&lt;&gt;"",Q65&gt;0),L65*1000+(999-ROW()),"")</f>
        <v/>
      </c>
      <c r="AM65" s="40">
        <f>IF(AND(AF65=1,J65&lt;&gt;"",J65&gt;0),ROUND(O65*10000,0)*1000000+K65*1000+(999-ROW()),"")</f>
        <v/>
      </c>
      <c r="AN65" s="40">
        <f>IF(AND(AF65=1,J65&lt;&gt;"",J65&gt;0),(L65+M65)*10000000+ROUND((1-O65)*10000,0)*1000+(999-ROW()),"")</f>
        <v/>
      </c>
      <c r="AO65" s="40">
        <f>IF(AND(AF65=1,Q65&lt;&gt;"",Q65&gt;=Thr_Critical),L65*1000+(999-ROW()),"")</f>
        <v/>
      </c>
      <c r="AP65" s="40">
        <f>IF(AND(B65&lt;&gt;"",F65="نشط",OR(Rpt_Class="الكل",D65=Rpt_Class)),1,0)</f>
        <v/>
      </c>
      <c r="AQ65" s="40">
        <f>IF(AND(AP65=1,Q65&lt;&gt;"",Q65&gt;0),L65*1000+(999-ROW()),"")</f>
        <v/>
      </c>
      <c r="AR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IF(LateAsPresent="نعم",COUNTIFS('KG1-3'!$AD9:$IM9,"متأخر",'KG1-3'!$AD$7:$IM$7,"✓",'KG1-3'!$AD$6:$IM$6,1,'KG1-3'!$AD$5:$IM$5,"&gt;="&amp;MAX('KG1-3'!$U9,Rpt_PStart),'KG1-3'!$AD$5:$IM$5,"&lt;="&amp;Rpt_PEnd),0))</f>
        <v/>
      </c>
      <c r="AS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COUNTIFS('KG1-3'!$AD9:$IM9,"غياب بدون عذر",'KG1-3'!$AD$7:$IM$7,"✓",'KG1-3'!$AD$6:$IM$6,1,'KG1-3'!$AD$5:$IM$5,"&gt;="&amp;MAX('KG1-3'!$U9,Rpt_PStart),'KG1-3'!$AD$5:$IM$5,"&lt;="&amp;Rpt_PEnd)+COUNTIFS('KG1-3'!$AD9:$IM9,"غياب بعذر",'KG1-3'!$AD$7:$IM$7,"✓",'KG1-3'!$AD$6:$IM$6,1,'KG1-3'!$AD$5:$IM$5,"&gt;="&amp;MAX('KG1-3'!$U9,Rpt_PStart),'KG1-3'!$AD$5:$IM$5,"&lt;="&amp;Rpt_PEnd)+COUNTIFS('KG1-3'!$AD9:$IM9,"متأخر",'KG1-3'!$AD$7:$IM$7,"✓",'KG1-3'!$AD$6:$IM$6,1,'KG1-3'!$AD$5:$IM$5,"&gt;="&amp;MAX('KG1-3'!$U9,Rpt_PStart),'KG1-3'!$AD$5:$IM$5,"&lt;="&amp;Rpt_PEnd))</f>
        <v/>
      </c>
      <c r="AT65" s="40">
        <f>IF(AP65=0,"",COUNTIFS('KG1-3'!$AD9:$IM9,"غياب بدون عذر",'KG1-3'!$AD$7:$IM$7,"✓",'KG1-3'!$AD$6:$IM$6,1,'KG1-3'!$AD$5:$IM$5,"&gt;="&amp;MAX('KG1-3'!$U9,Rpt_PStart),'KG1-3'!$AD$5:$IM$5,"&lt;="&amp;Rpt_PEnd)+COUNTIFS('KG1-3'!$AD9:$IM9,"غياب بعذر",'KG1-3'!$AD$7:$IM$7,"✓",'KG1-3'!$AD$6:$IM$6,1,'KG1-3'!$AD$5:$IM$5,"&gt;="&amp;MAX('KG1-3'!$U9,Rpt_PStart),'KG1-3'!$AD$5:$IM$5,"&lt;="&amp;Rpt_PEnd))</f>
        <v/>
      </c>
      <c r="AU65" s="40" t="n">
        <v>3</v>
      </c>
      <c r="AV65" s="40" t="n">
        <v>1</v>
      </c>
      <c r="AW65" s="40">
        <f>IF(OR(AP65=0,Rpt_DayIdx=0),"",IF(INDEX('KG1-3'!$AD$7:$IM$7,Rpt_DayIdx)&lt;&gt;"✓","",IF(INDEX('KG1-3'!$AD9:$IM9,Rpt_DayIdx)="","P",IFERROR(INDEX(StatusCodes,MATCH(INDEX('KG1-3'!$AD9:$IM9,Rpt_DayIdx),StatusLabels,0)),""))))</f>
        <v/>
      </c>
      <c r="AX65" s="40">
        <f>IF(AND(AP65=1,OR(AW65="A",AW65="E")),COUNTIFS($AP$5:AP65,1,$AW$5:AW65,"A")+COUNTIFS($AP$5:AP65,1,$AW$5:AW65,"E"),"")</f>
        <v/>
      </c>
    </row>
    <row r="66">
      <c r="A66" s="148">
        <f>IF(B66="","",ROW()-4)</f>
        <v/>
      </c>
      <c r="B66" s="148">
        <f>IF('KG1-3'!$B10="","",'KG1-3'!$B10)</f>
        <v/>
      </c>
      <c r="C66" s="146">
        <f>IF('KG1-3'!$C10="","",'KG1-3'!$C10)</f>
        <v/>
      </c>
      <c r="D66" s="148">
        <f>IF(B66="","",'KG1-3'!$B$2)</f>
        <v/>
      </c>
      <c r="E66" s="148">
        <f>IF(B66="","",MID(D66,FIND("-",D66&amp;"-")+1,10))</f>
        <v/>
      </c>
      <c r="F66" s="148">
        <f>IF(B66="","","نشط")</f>
        <v/>
      </c>
      <c r="G66" s="157">
        <f>IF(B66="","","")</f>
        <v/>
      </c>
      <c r="H66" s="146">
        <f>IF('KG1-3'!$K10="","",'KG1-3'!$K10)</f>
        <v/>
      </c>
      <c r="I66" s="148">
        <f>IF('KG1-3'!$J10="","",'KG1-3'!$J10)</f>
        <v/>
      </c>
      <c r="J66" s="148">
        <f>IF('KG1-3'!$M10="","",'KG1-3'!$M10)</f>
        <v/>
      </c>
      <c r="K66" s="148">
        <f>IF('KG1-3'!$N10="","",'KG1-3'!$N10)</f>
        <v/>
      </c>
      <c r="L66" s="148">
        <f>IF('KG1-3'!$D10="","",'KG1-3'!$D10)</f>
        <v/>
      </c>
      <c r="M66" s="148">
        <f>IF('KG1-3'!$E10="","",'KG1-3'!$E10)</f>
        <v/>
      </c>
      <c r="N66" s="148">
        <f>IF('KG1-3'!$F10="","",'KG1-3'!$F10)</f>
        <v/>
      </c>
      <c r="O66" s="158">
        <f>IF('KG1-3'!$G10="","",'KG1-3'!$G10)</f>
        <v/>
      </c>
      <c r="P66" s="158">
        <f>IF('KG1-3'!$O10="","",'KG1-3'!$O10)</f>
        <v/>
      </c>
      <c r="Q66" s="148">
        <f>IF('KG1-3'!$T10="","",'KG1-3'!$T10)</f>
        <v/>
      </c>
      <c r="R66" s="146">
        <f>IF('KG1-3'!$H10="","",'KG1-3'!$H10)</f>
        <v/>
      </c>
      <c r="S66" s="157">
        <f>IF('KG1-3'!$P10="","",'KG1-3'!$P10)</f>
        <v/>
      </c>
      <c r="T66" s="157">
        <f>IF('KG1-3'!$V10="","",'KG1-3'!$V10)</f>
        <v/>
      </c>
      <c r="U66" s="157">
        <f>IF('KG1-3'!$W10="","",'KG1-3'!$W10)</f>
        <v/>
      </c>
      <c r="V66" s="157">
        <f>IF('KG1-3'!$X10="","",'KG1-3'!$X10)</f>
        <v/>
      </c>
      <c r="W66" s="157">
        <f>IF('KG1-3'!$Y10="","",'KG1-3'!$Y10)</f>
        <v/>
      </c>
      <c r="X66" s="157">
        <f>IF('KG1-3'!$R10="","",'KG1-3'!$R10)</f>
        <v/>
      </c>
      <c r="Y66" s="148">
        <f>IF('KG1-3'!$S10="","",'KG1-3'!$S10)</f>
        <v/>
      </c>
      <c r="Z66" s="148">
        <f>IF('KG1-3'!$Q10="","",'KG1-3'!$Q10)</f>
        <v/>
      </c>
      <c r="AA66" s="148">
        <f>IF('KG1-3'!$I10="","",'KG1-3'!$I10)</f>
        <v/>
      </c>
      <c r="AB66" s="146">
        <f>IF(Q66="","",INDEX(LevelActions,MATCH(Q66,LevelValues,0)))</f>
        <v/>
      </c>
      <c r="AC66" s="148">
        <f>IF(J66="","",IF(J66=0,"—",IF(AND(L66=0,M66=0),Cat_L1,IF(O66&gt;=Cat_95,Cat_L2,IF(O66&gt;=Cat_90,Cat_L3,Cat_L4)))))</f>
        <v/>
      </c>
      <c r="AD66" s="146">
        <f>IF('KG1-3'!$L10="","",'KG1-3'!$L10)</f>
        <v/>
      </c>
      <c r="AE66" s="148">
        <f>IF(B66="","",IF(COUNTIF($B$5:$B$214,B66)&gt;1,"مكرر!",""))</f>
        <v/>
      </c>
      <c r="AF66" s="148">
        <f>IF(AND(B66&lt;&gt;"",F66="نشط",OR(Dash_Class="الكل",D66=Dash_Class)),1,0)</f>
        <v/>
      </c>
      <c r="AG66" s="40">
        <f>IF(OR(AF66=0,Dash_DayIdx=0),"",IF(INDEX('KG1-3'!$AD$7:$IM$7,Dash_DayIdx)&lt;&gt;"✓","",IF(INDEX('KG1-3'!$AD10:$IM10,Dash_DayIdx)="","P",IFERROR(INDEX(StatusCodes,MATCH(INDEX('KG1-3'!$AD10:$IM10,Dash_DayIdx),StatusLabels,0)),""))))</f>
        <v/>
      </c>
      <c r="AH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IF(LateAsPresent="نعم",COUNTIFS('KG1-3'!$AD10:$IM10,"متأخر",'KG1-3'!$AD$7:$IM$7,"✓",'KG1-3'!$AD$6:$IM$6,1,'KG1-3'!$AD$5:$IM$5,"&gt;="&amp;MAX('KG1-3'!$U10,Dash_PStart),'KG1-3'!$AD$5:$IM$5,"&lt;="&amp;Dash_PEnd),0))</f>
        <v/>
      </c>
      <c r="AI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COUNTIFS('KG1-3'!$AD10:$IM10,"غياب بدون عذر",'KG1-3'!$AD$7:$IM$7,"✓",'KG1-3'!$AD$6:$IM$6,1,'KG1-3'!$AD$5:$IM$5,"&gt;="&amp;MAX('KG1-3'!$U10,Dash_PStart),'KG1-3'!$AD$5:$IM$5,"&lt;="&amp;Dash_PEnd)+COUNTIFS('KG1-3'!$AD10:$IM10,"غياب بعذر",'KG1-3'!$AD$7:$IM$7,"✓",'KG1-3'!$AD$6:$IM$6,1,'KG1-3'!$AD$5:$IM$5,"&gt;="&amp;MAX('KG1-3'!$U10,Dash_PStart),'KG1-3'!$AD$5:$IM$5,"&lt;="&amp;Dash_PEnd)+COUNTIFS('KG1-3'!$AD10:$IM10,"متأخر",'KG1-3'!$AD$7:$IM$7,"✓",'KG1-3'!$AD$6:$IM$6,1,'KG1-3'!$AD$5:$IM$5,"&gt;="&amp;MAX('KG1-3'!$U10,Dash_PStart),'KG1-3'!$AD$5:$IM$5,"&lt;="&amp;Dash_PEnd))</f>
        <v/>
      </c>
      <c r="AJ66" s="40">
        <f>IF(AF66=0,0,IF(W66=Dash_Date,Thr_Critical,IF(V66=Dash_Date,Thr_High,IF(U66=Dash_Date,Thr_Repeated,IF(T66=Dash_Date,Thr_FollowUp,0)))))</f>
        <v/>
      </c>
      <c r="AK66" s="40">
        <f>IF(AJ66&gt;0,COUNTIF($AJ$5:AJ66,"&gt;0"),"")</f>
        <v/>
      </c>
      <c r="AL66" s="40">
        <f>IF(AND(B66&lt;&gt;"",F66="نشط",Q66&lt;&gt;"",Q66&gt;0),L66*1000+(999-ROW()),"")</f>
        <v/>
      </c>
      <c r="AM66" s="40">
        <f>IF(AND(AF66=1,J66&lt;&gt;"",J66&gt;0),ROUND(O66*10000,0)*1000000+K66*1000+(999-ROW()),"")</f>
        <v/>
      </c>
      <c r="AN66" s="40">
        <f>IF(AND(AF66=1,J66&lt;&gt;"",J66&gt;0),(L66+M66)*10000000+ROUND((1-O66)*10000,0)*1000+(999-ROW()),"")</f>
        <v/>
      </c>
      <c r="AO66" s="40">
        <f>IF(AND(AF66=1,Q66&lt;&gt;"",Q66&gt;=Thr_Critical),L66*1000+(999-ROW()),"")</f>
        <v/>
      </c>
      <c r="AP66" s="40">
        <f>IF(AND(B66&lt;&gt;"",F66="نشط",OR(Rpt_Class="الكل",D66=Rpt_Class)),1,0)</f>
        <v/>
      </c>
      <c r="AQ66" s="40">
        <f>IF(AND(AP66=1,Q66&lt;&gt;"",Q66&gt;0),L66*1000+(999-ROW()),"")</f>
        <v/>
      </c>
      <c r="AR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IF(LateAsPresent="نعم",COUNTIFS('KG1-3'!$AD10:$IM10,"متأخر",'KG1-3'!$AD$7:$IM$7,"✓",'KG1-3'!$AD$6:$IM$6,1,'KG1-3'!$AD$5:$IM$5,"&gt;="&amp;MAX('KG1-3'!$U10,Rpt_PStart),'KG1-3'!$AD$5:$IM$5,"&lt;="&amp;Rpt_PEnd),0))</f>
        <v/>
      </c>
      <c r="AS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COUNTIFS('KG1-3'!$AD10:$IM10,"غياب بدون عذر",'KG1-3'!$AD$7:$IM$7,"✓",'KG1-3'!$AD$6:$IM$6,1,'KG1-3'!$AD$5:$IM$5,"&gt;="&amp;MAX('KG1-3'!$U10,Rpt_PStart),'KG1-3'!$AD$5:$IM$5,"&lt;="&amp;Rpt_PEnd)+COUNTIFS('KG1-3'!$AD10:$IM10,"غياب بعذر",'KG1-3'!$AD$7:$IM$7,"✓",'KG1-3'!$AD$6:$IM$6,1,'KG1-3'!$AD$5:$IM$5,"&gt;="&amp;MAX('KG1-3'!$U10,Rpt_PStart),'KG1-3'!$AD$5:$IM$5,"&lt;="&amp;Rpt_PEnd)+COUNTIFS('KG1-3'!$AD10:$IM10,"متأخر",'KG1-3'!$AD$7:$IM$7,"✓",'KG1-3'!$AD$6:$IM$6,1,'KG1-3'!$AD$5:$IM$5,"&gt;="&amp;MAX('KG1-3'!$U10,Rpt_PStart),'KG1-3'!$AD$5:$IM$5,"&lt;="&amp;Rpt_PEnd))</f>
        <v/>
      </c>
      <c r="AT66" s="40">
        <f>IF(AP66=0,"",COUNTIFS('KG1-3'!$AD10:$IM10,"غياب بدون عذر",'KG1-3'!$AD$7:$IM$7,"✓",'KG1-3'!$AD$6:$IM$6,1,'KG1-3'!$AD$5:$IM$5,"&gt;="&amp;MAX('KG1-3'!$U10,Rpt_PStart),'KG1-3'!$AD$5:$IM$5,"&lt;="&amp;Rpt_PEnd)+COUNTIFS('KG1-3'!$AD10:$IM10,"غياب بعذر",'KG1-3'!$AD$7:$IM$7,"✓",'KG1-3'!$AD$6:$IM$6,1,'KG1-3'!$AD$5:$IM$5,"&gt;="&amp;MAX('KG1-3'!$U10,Rpt_PStart),'KG1-3'!$AD$5:$IM$5,"&lt;="&amp;Rpt_PEnd))</f>
        <v/>
      </c>
      <c r="AU66" s="40" t="n">
        <v>3</v>
      </c>
      <c r="AV66" s="40" t="n">
        <v>2</v>
      </c>
      <c r="AW66" s="40">
        <f>IF(OR(AP66=0,Rpt_DayIdx=0),"",IF(INDEX('KG1-3'!$AD$7:$IM$7,Rpt_DayIdx)&lt;&gt;"✓","",IF(INDEX('KG1-3'!$AD10:$IM10,Rpt_DayIdx)="","P",IFERROR(INDEX(StatusCodes,MATCH(INDEX('KG1-3'!$AD10:$IM10,Rpt_DayIdx),StatusLabels,0)),""))))</f>
        <v/>
      </c>
      <c r="AX66" s="40">
        <f>IF(AND(AP66=1,OR(AW66="A",AW66="E")),COUNTIFS($AP$5:AP66,1,$AW$5:AW66,"A")+COUNTIFS($AP$5:AP66,1,$AW$5:AW66,"E"),"")</f>
        <v/>
      </c>
    </row>
    <row r="67">
      <c r="A67" s="148">
        <f>IF(B67="","",ROW()-4)</f>
        <v/>
      </c>
      <c r="B67" s="148">
        <f>IF('KG1-3'!$B11="","",'KG1-3'!$B11)</f>
        <v/>
      </c>
      <c r="C67" s="146">
        <f>IF('KG1-3'!$C11="","",'KG1-3'!$C11)</f>
        <v/>
      </c>
      <c r="D67" s="148">
        <f>IF(B67="","",'KG1-3'!$B$2)</f>
        <v/>
      </c>
      <c r="E67" s="148">
        <f>IF(B67="","",MID(D67,FIND("-",D67&amp;"-")+1,10))</f>
        <v/>
      </c>
      <c r="F67" s="148">
        <f>IF(B67="","","نشط")</f>
        <v/>
      </c>
      <c r="G67" s="157">
        <f>IF(B67="","","")</f>
        <v/>
      </c>
      <c r="H67" s="146">
        <f>IF('KG1-3'!$K11="","",'KG1-3'!$K11)</f>
        <v/>
      </c>
      <c r="I67" s="148">
        <f>IF('KG1-3'!$J11="","",'KG1-3'!$J11)</f>
        <v/>
      </c>
      <c r="J67" s="148">
        <f>IF('KG1-3'!$M11="","",'KG1-3'!$M11)</f>
        <v/>
      </c>
      <c r="K67" s="148">
        <f>IF('KG1-3'!$N11="","",'KG1-3'!$N11)</f>
        <v/>
      </c>
      <c r="L67" s="148">
        <f>IF('KG1-3'!$D11="","",'KG1-3'!$D11)</f>
        <v/>
      </c>
      <c r="M67" s="148">
        <f>IF('KG1-3'!$E11="","",'KG1-3'!$E11)</f>
        <v/>
      </c>
      <c r="N67" s="148">
        <f>IF('KG1-3'!$F11="","",'KG1-3'!$F11)</f>
        <v/>
      </c>
      <c r="O67" s="158">
        <f>IF('KG1-3'!$G11="","",'KG1-3'!$G11)</f>
        <v/>
      </c>
      <c r="P67" s="158">
        <f>IF('KG1-3'!$O11="","",'KG1-3'!$O11)</f>
        <v/>
      </c>
      <c r="Q67" s="148">
        <f>IF('KG1-3'!$T11="","",'KG1-3'!$T11)</f>
        <v/>
      </c>
      <c r="R67" s="146">
        <f>IF('KG1-3'!$H11="","",'KG1-3'!$H11)</f>
        <v/>
      </c>
      <c r="S67" s="157">
        <f>IF('KG1-3'!$P11="","",'KG1-3'!$P11)</f>
        <v/>
      </c>
      <c r="T67" s="157">
        <f>IF('KG1-3'!$V11="","",'KG1-3'!$V11)</f>
        <v/>
      </c>
      <c r="U67" s="157">
        <f>IF('KG1-3'!$W11="","",'KG1-3'!$W11)</f>
        <v/>
      </c>
      <c r="V67" s="157">
        <f>IF('KG1-3'!$X11="","",'KG1-3'!$X11)</f>
        <v/>
      </c>
      <c r="W67" s="157">
        <f>IF('KG1-3'!$Y11="","",'KG1-3'!$Y11)</f>
        <v/>
      </c>
      <c r="X67" s="157">
        <f>IF('KG1-3'!$R11="","",'KG1-3'!$R11)</f>
        <v/>
      </c>
      <c r="Y67" s="148">
        <f>IF('KG1-3'!$S11="","",'KG1-3'!$S11)</f>
        <v/>
      </c>
      <c r="Z67" s="148">
        <f>IF('KG1-3'!$Q11="","",'KG1-3'!$Q11)</f>
        <v/>
      </c>
      <c r="AA67" s="148">
        <f>IF('KG1-3'!$I11="","",'KG1-3'!$I11)</f>
        <v/>
      </c>
      <c r="AB67" s="146">
        <f>IF(Q67="","",INDEX(LevelActions,MATCH(Q67,LevelValues,0)))</f>
        <v/>
      </c>
      <c r="AC67" s="148">
        <f>IF(J67="","",IF(J67=0,"—",IF(AND(L67=0,M67=0),Cat_L1,IF(O67&gt;=Cat_95,Cat_L2,IF(O67&gt;=Cat_90,Cat_L3,Cat_L4)))))</f>
        <v/>
      </c>
      <c r="AD67" s="146">
        <f>IF('KG1-3'!$L11="","",'KG1-3'!$L11)</f>
        <v/>
      </c>
      <c r="AE67" s="148">
        <f>IF(B67="","",IF(COUNTIF($B$5:$B$214,B67)&gt;1,"مكرر!",""))</f>
        <v/>
      </c>
      <c r="AF67" s="148">
        <f>IF(AND(B67&lt;&gt;"",F67="نشط",OR(Dash_Class="الكل",D67=Dash_Class)),1,0)</f>
        <v/>
      </c>
      <c r="AG67" s="40">
        <f>IF(OR(AF67=0,Dash_DayIdx=0),"",IF(INDEX('KG1-3'!$AD$7:$IM$7,Dash_DayIdx)&lt;&gt;"✓","",IF(INDEX('KG1-3'!$AD11:$IM11,Dash_DayIdx)="","P",IFERROR(INDEX(StatusCodes,MATCH(INDEX('KG1-3'!$AD11:$IM11,Dash_DayIdx),StatusLabels,0)),""))))</f>
        <v/>
      </c>
      <c r="AH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IF(LateAsPresent="نعم",COUNTIFS('KG1-3'!$AD11:$IM11,"متأخر",'KG1-3'!$AD$7:$IM$7,"✓",'KG1-3'!$AD$6:$IM$6,1,'KG1-3'!$AD$5:$IM$5,"&gt;="&amp;MAX('KG1-3'!$U11,Dash_PStart),'KG1-3'!$AD$5:$IM$5,"&lt;="&amp;Dash_PEnd),0))</f>
        <v/>
      </c>
      <c r="AI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COUNTIFS('KG1-3'!$AD11:$IM11,"غياب بدون عذر",'KG1-3'!$AD$7:$IM$7,"✓",'KG1-3'!$AD$6:$IM$6,1,'KG1-3'!$AD$5:$IM$5,"&gt;="&amp;MAX('KG1-3'!$U11,Dash_PStart),'KG1-3'!$AD$5:$IM$5,"&lt;="&amp;Dash_PEnd)+COUNTIFS('KG1-3'!$AD11:$IM11,"غياب بعذر",'KG1-3'!$AD$7:$IM$7,"✓",'KG1-3'!$AD$6:$IM$6,1,'KG1-3'!$AD$5:$IM$5,"&gt;="&amp;MAX('KG1-3'!$U11,Dash_PStart),'KG1-3'!$AD$5:$IM$5,"&lt;="&amp;Dash_PEnd)+COUNTIFS('KG1-3'!$AD11:$IM11,"متأخر",'KG1-3'!$AD$7:$IM$7,"✓",'KG1-3'!$AD$6:$IM$6,1,'KG1-3'!$AD$5:$IM$5,"&gt;="&amp;MAX('KG1-3'!$U11,Dash_PStart),'KG1-3'!$AD$5:$IM$5,"&lt;="&amp;Dash_PEnd))</f>
        <v/>
      </c>
      <c r="AJ67" s="40">
        <f>IF(AF67=0,0,IF(W67=Dash_Date,Thr_Critical,IF(V67=Dash_Date,Thr_High,IF(U67=Dash_Date,Thr_Repeated,IF(T67=Dash_Date,Thr_FollowUp,0)))))</f>
        <v/>
      </c>
      <c r="AK67" s="40">
        <f>IF(AJ67&gt;0,COUNTIF($AJ$5:AJ67,"&gt;0"),"")</f>
        <v/>
      </c>
      <c r="AL67" s="40">
        <f>IF(AND(B67&lt;&gt;"",F67="نشط",Q67&lt;&gt;"",Q67&gt;0),L67*1000+(999-ROW()),"")</f>
        <v/>
      </c>
      <c r="AM67" s="40">
        <f>IF(AND(AF67=1,J67&lt;&gt;"",J67&gt;0),ROUND(O67*10000,0)*1000000+K67*1000+(999-ROW()),"")</f>
        <v/>
      </c>
      <c r="AN67" s="40">
        <f>IF(AND(AF67=1,J67&lt;&gt;"",J67&gt;0),(L67+M67)*10000000+ROUND((1-O67)*10000,0)*1000+(999-ROW()),"")</f>
        <v/>
      </c>
      <c r="AO67" s="40">
        <f>IF(AND(AF67=1,Q67&lt;&gt;"",Q67&gt;=Thr_Critical),L67*1000+(999-ROW()),"")</f>
        <v/>
      </c>
      <c r="AP67" s="40">
        <f>IF(AND(B67&lt;&gt;"",F67="نشط",OR(Rpt_Class="الكل",D67=Rpt_Class)),1,0)</f>
        <v/>
      </c>
      <c r="AQ67" s="40">
        <f>IF(AND(AP67=1,Q67&lt;&gt;"",Q67&gt;0),L67*1000+(999-ROW()),"")</f>
        <v/>
      </c>
      <c r="AR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IF(LateAsPresent="نعم",COUNTIFS('KG1-3'!$AD11:$IM11,"متأخر",'KG1-3'!$AD$7:$IM$7,"✓",'KG1-3'!$AD$6:$IM$6,1,'KG1-3'!$AD$5:$IM$5,"&gt;="&amp;MAX('KG1-3'!$U11,Rpt_PStart),'KG1-3'!$AD$5:$IM$5,"&lt;="&amp;Rpt_PEnd),0))</f>
        <v/>
      </c>
      <c r="AS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COUNTIFS('KG1-3'!$AD11:$IM11,"غياب بدون عذر",'KG1-3'!$AD$7:$IM$7,"✓",'KG1-3'!$AD$6:$IM$6,1,'KG1-3'!$AD$5:$IM$5,"&gt;="&amp;MAX('KG1-3'!$U11,Rpt_PStart),'KG1-3'!$AD$5:$IM$5,"&lt;="&amp;Rpt_PEnd)+COUNTIFS('KG1-3'!$AD11:$IM11,"غياب بعذر",'KG1-3'!$AD$7:$IM$7,"✓",'KG1-3'!$AD$6:$IM$6,1,'KG1-3'!$AD$5:$IM$5,"&gt;="&amp;MAX('KG1-3'!$U11,Rpt_PStart),'KG1-3'!$AD$5:$IM$5,"&lt;="&amp;Rpt_PEnd)+COUNTIFS('KG1-3'!$AD11:$IM11,"متأخر",'KG1-3'!$AD$7:$IM$7,"✓",'KG1-3'!$AD$6:$IM$6,1,'KG1-3'!$AD$5:$IM$5,"&gt;="&amp;MAX('KG1-3'!$U11,Rpt_PStart),'KG1-3'!$AD$5:$IM$5,"&lt;="&amp;Rpt_PEnd))</f>
        <v/>
      </c>
      <c r="AT67" s="40">
        <f>IF(AP67=0,"",COUNTIFS('KG1-3'!$AD11:$IM11,"غياب بدون عذر",'KG1-3'!$AD$7:$IM$7,"✓",'KG1-3'!$AD$6:$IM$6,1,'KG1-3'!$AD$5:$IM$5,"&gt;="&amp;MAX('KG1-3'!$U11,Rpt_PStart),'KG1-3'!$AD$5:$IM$5,"&lt;="&amp;Rpt_PEnd)+COUNTIFS('KG1-3'!$AD11:$IM11,"غياب بعذر",'KG1-3'!$AD$7:$IM$7,"✓",'KG1-3'!$AD$6:$IM$6,1,'KG1-3'!$AD$5:$IM$5,"&gt;="&amp;MAX('KG1-3'!$U11,Rpt_PStart),'KG1-3'!$AD$5:$IM$5,"&lt;="&amp;Rpt_PEnd))</f>
        <v/>
      </c>
      <c r="AU67" s="40" t="n">
        <v>3</v>
      </c>
      <c r="AV67" s="40" t="n">
        <v>3</v>
      </c>
      <c r="AW67" s="40">
        <f>IF(OR(AP67=0,Rpt_DayIdx=0),"",IF(INDEX('KG1-3'!$AD$7:$IM$7,Rpt_DayIdx)&lt;&gt;"✓","",IF(INDEX('KG1-3'!$AD11:$IM11,Rpt_DayIdx)="","P",IFERROR(INDEX(StatusCodes,MATCH(INDEX('KG1-3'!$AD11:$IM11,Rpt_DayIdx),StatusLabels,0)),""))))</f>
        <v/>
      </c>
      <c r="AX67" s="40">
        <f>IF(AND(AP67=1,OR(AW67="A",AW67="E")),COUNTIFS($AP$5:AP67,1,$AW$5:AW67,"A")+COUNTIFS($AP$5:AP67,1,$AW$5:AW67,"E"),"")</f>
        <v/>
      </c>
    </row>
    <row r="68">
      <c r="A68" s="148">
        <f>IF(B68="","",ROW()-4)</f>
        <v/>
      </c>
      <c r="B68" s="148">
        <f>IF('KG1-3'!$B12="","",'KG1-3'!$B12)</f>
        <v/>
      </c>
      <c r="C68" s="146">
        <f>IF('KG1-3'!$C12="","",'KG1-3'!$C12)</f>
        <v/>
      </c>
      <c r="D68" s="148">
        <f>IF(B68="","",'KG1-3'!$B$2)</f>
        <v/>
      </c>
      <c r="E68" s="148">
        <f>IF(B68="","",MID(D68,FIND("-",D68&amp;"-")+1,10))</f>
        <v/>
      </c>
      <c r="F68" s="148">
        <f>IF(B68="","","نشط")</f>
        <v/>
      </c>
      <c r="G68" s="157">
        <f>IF(B68="","","")</f>
        <v/>
      </c>
      <c r="H68" s="146">
        <f>IF('KG1-3'!$K12="","",'KG1-3'!$K12)</f>
        <v/>
      </c>
      <c r="I68" s="148">
        <f>IF('KG1-3'!$J12="","",'KG1-3'!$J12)</f>
        <v/>
      </c>
      <c r="J68" s="148">
        <f>IF('KG1-3'!$M12="","",'KG1-3'!$M12)</f>
        <v/>
      </c>
      <c r="K68" s="148">
        <f>IF('KG1-3'!$N12="","",'KG1-3'!$N12)</f>
        <v/>
      </c>
      <c r="L68" s="148">
        <f>IF('KG1-3'!$D12="","",'KG1-3'!$D12)</f>
        <v/>
      </c>
      <c r="M68" s="148">
        <f>IF('KG1-3'!$E12="","",'KG1-3'!$E12)</f>
        <v/>
      </c>
      <c r="N68" s="148">
        <f>IF('KG1-3'!$F12="","",'KG1-3'!$F12)</f>
        <v/>
      </c>
      <c r="O68" s="158">
        <f>IF('KG1-3'!$G12="","",'KG1-3'!$G12)</f>
        <v/>
      </c>
      <c r="P68" s="158">
        <f>IF('KG1-3'!$O12="","",'KG1-3'!$O12)</f>
        <v/>
      </c>
      <c r="Q68" s="148">
        <f>IF('KG1-3'!$T12="","",'KG1-3'!$T12)</f>
        <v/>
      </c>
      <c r="R68" s="146">
        <f>IF('KG1-3'!$H12="","",'KG1-3'!$H12)</f>
        <v/>
      </c>
      <c r="S68" s="157">
        <f>IF('KG1-3'!$P12="","",'KG1-3'!$P12)</f>
        <v/>
      </c>
      <c r="T68" s="157">
        <f>IF('KG1-3'!$V12="","",'KG1-3'!$V12)</f>
        <v/>
      </c>
      <c r="U68" s="157">
        <f>IF('KG1-3'!$W12="","",'KG1-3'!$W12)</f>
        <v/>
      </c>
      <c r="V68" s="157">
        <f>IF('KG1-3'!$X12="","",'KG1-3'!$X12)</f>
        <v/>
      </c>
      <c r="W68" s="157">
        <f>IF('KG1-3'!$Y12="","",'KG1-3'!$Y12)</f>
        <v/>
      </c>
      <c r="X68" s="157">
        <f>IF('KG1-3'!$R12="","",'KG1-3'!$R12)</f>
        <v/>
      </c>
      <c r="Y68" s="148">
        <f>IF('KG1-3'!$S12="","",'KG1-3'!$S12)</f>
        <v/>
      </c>
      <c r="Z68" s="148">
        <f>IF('KG1-3'!$Q12="","",'KG1-3'!$Q12)</f>
        <v/>
      </c>
      <c r="AA68" s="148">
        <f>IF('KG1-3'!$I12="","",'KG1-3'!$I12)</f>
        <v/>
      </c>
      <c r="AB68" s="146">
        <f>IF(Q68="","",INDEX(LevelActions,MATCH(Q68,LevelValues,0)))</f>
        <v/>
      </c>
      <c r="AC68" s="148">
        <f>IF(J68="","",IF(J68=0,"—",IF(AND(L68=0,M68=0),Cat_L1,IF(O68&gt;=Cat_95,Cat_L2,IF(O68&gt;=Cat_90,Cat_L3,Cat_L4)))))</f>
        <v/>
      </c>
      <c r="AD68" s="146">
        <f>IF('KG1-3'!$L12="","",'KG1-3'!$L12)</f>
        <v/>
      </c>
      <c r="AE68" s="148">
        <f>IF(B68="","",IF(COUNTIF($B$5:$B$214,B68)&gt;1,"مكرر!",""))</f>
        <v/>
      </c>
      <c r="AF68" s="148">
        <f>IF(AND(B68&lt;&gt;"",F68="نشط",OR(Dash_Class="الكل",D68=Dash_Class)),1,0)</f>
        <v/>
      </c>
      <c r="AG68" s="40">
        <f>IF(OR(AF68=0,Dash_DayIdx=0),"",IF(INDEX('KG1-3'!$AD$7:$IM$7,Dash_DayIdx)&lt;&gt;"✓","",IF(INDEX('KG1-3'!$AD12:$IM12,Dash_DayIdx)="","P",IFERROR(INDEX(StatusCodes,MATCH(INDEX('KG1-3'!$AD12:$IM12,Dash_DayIdx),StatusLabels,0)),""))))</f>
        <v/>
      </c>
      <c r="AH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IF(LateAsPresent="نعم",COUNTIFS('KG1-3'!$AD12:$IM12,"متأخر",'KG1-3'!$AD$7:$IM$7,"✓",'KG1-3'!$AD$6:$IM$6,1,'KG1-3'!$AD$5:$IM$5,"&gt;="&amp;MAX('KG1-3'!$U12,Dash_PStart),'KG1-3'!$AD$5:$IM$5,"&lt;="&amp;Dash_PEnd),0))</f>
        <v/>
      </c>
      <c r="AI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COUNTIFS('KG1-3'!$AD12:$IM12,"غياب بدون عذر",'KG1-3'!$AD$7:$IM$7,"✓",'KG1-3'!$AD$6:$IM$6,1,'KG1-3'!$AD$5:$IM$5,"&gt;="&amp;MAX('KG1-3'!$U12,Dash_PStart),'KG1-3'!$AD$5:$IM$5,"&lt;="&amp;Dash_PEnd)+COUNTIFS('KG1-3'!$AD12:$IM12,"غياب بعذر",'KG1-3'!$AD$7:$IM$7,"✓",'KG1-3'!$AD$6:$IM$6,1,'KG1-3'!$AD$5:$IM$5,"&gt;="&amp;MAX('KG1-3'!$U12,Dash_PStart),'KG1-3'!$AD$5:$IM$5,"&lt;="&amp;Dash_PEnd)+COUNTIFS('KG1-3'!$AD12:$IM12,"متأخر",'KG1-3'!$AD$7:$IM$7,"✓",'KG1-3'!$AD$6:$IM$6,1,'KG1-3'!$AD$5:$IM$5,"&gt;="&amp;MAX('KG1-3'!$U12,Dash_PStart),'KG1-3'!$AD$5:$IM$5,"&lt;="&amp;Dash_PEnd))</f>
        <v/>
      </c>
      <c r="AJ68" s="40">
        <f>IF(AF68=0,0,IF(W68=Dash_Date,Thr_Critical,IF(V68=Dash_Date,Thr_High,IF(U68=Dash_Date,Thr_Repeated,IF(T68=Dash_Date,Thr_FollowUp,0)))))</f>
        <v/>
      </c>
      <c r="AK68" s="40">
        <f>IF(AJ68&gt;0,COUNTIF($AJ$5:AJ68,"&gt;0"),"")</f>
        <v/>
      </c>
      <c r="AL68" s="40">
        <f>IF(AND(B68&lt;&gt;"",F68="نشط",Q68&lt;&gt;"",Q68&gt;0),L68*1000+(999-ROW()),"")</f>
        <v/>
      </c>
      <c r="AM68" s="40">
        <f>IF(AND(AF68=1,J68&lt;&gt;"",J68&gt;0),ROUND(O68*10000,0)*1000000+K68*1000+(999-ROW()),"")</f>
        <v/>
      </c>
      <c r="AN68" s="40">
        <f>IF(AND(AF68=1,J68&lt;&gt;"",J68&gt;0),(L68+M68)*10000000+ROUND((1-O68)*10000,0)*1000+(999-ROW()),"")</f>
        <v/>
      </c>
      <c r="AO68" s="40">
        <f>IF(AND(AF68=1,Q68&lt;&gt;"",Q68&gt;=Thr_Critical),L68*1000+(999-ROW()),"")</f>
        <v/>
      </c>
      <c r="AP68" s="40">
        <f>IF(AND(B68&lt;&gt;"",F68="نشط",OR(Rpt_Class="الكل",D68=Rpt_Class)),1,0)</f>
        <v/>
      </c>
      <c r="AQ68" s="40">
        <f>IF(AND(AP68=1,Q68&lt;&gt;"",Q68&gt;0),L68*1000+(999-ROW()),"")</f>
        <v/>
      </c>
      <c r="AR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IF(LateAsPresent="نعم",COUNTIFS('KG1-3'!$AD12:$IM12,"متأخر",'KG1-3'!$AD$7:$IM$7,"✓",'KG1-3'!$AD$6:$IM$6,1,'KG1-3'!$AD$5:$IM$5,"&gt;="&amp;MAX('KG1-3'!$U12,Rpt_PStart),'KG1-3'!$AD$5:$IM$5,"&lt;="&amp;Rpt_PEnd),0))</f>
        <v/>
      </c>
      <c r="AS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COUNTIFS('KG1-3'!$AD12:$IM12,"غياب بدون عذر",'KG1-3'!$AD$7:$IM$7,"✓",'KG1-3'!$AD$6:$IM$6,1,'KG1-3'!$AD$5:$IM$5,"&gt;="&amp;MAX('KG1-3'!$U12,Rpt_PStart),'KG1-3'!$AD$5:$IM$5,"&lt;="&amp;Rpt_PEnd)+COUNTIFS('KG1-3'!$AD12:$IM12,"غياب بعذر",'KG1-3'!$AD$7:$IM$7,"✓",'KG1-3'!$AD$6:$IM$6,1,'KG1-3'!$AD$5:$IM$5,"&gt;="&amp;MAX('KG1-3'!$U12,Rpt_PStart),'KG1-3'!$AD$5:$IM$5,"&lt;="&amp;Rpt_PEnd)+COUNTIFS('KG1-3'!$AD12:$IM12,"متأخر",'KG1-3'!$AD$7:$IM$7,"✓",'KG1-3'!$AD$6:$IM$6,1,'KG1-3'!$AD$5:$IM$5,"&gt;="&amp;MAX('KG1-3'!$U12,Rpt_PStart),'KG1-3'!$AD$5:$IM$5,"&lt;="&amp;Rpt_PEnd))</f>
        <v/>
      </c>
      <c r="AT68" s="40">
        <f>IF(AP68=0,"",COUNTIFS('KG1-3'!$AD12:$IM12,"غياب بدون عذر",'KG1-3'!$AD$7:$IM$7,"✓",'KG1-3'!$AD$6:$IM$6,1,'KG1-3'!$AD$5:$IM$5,"&gt;="&amp;MAX('KG1-3'!$U12,Rpt_PStart),'KG1-3'!$AD$5:$IM$5,"&lt;="&amp;Rpt_PEnd)+COUNTIFS('KG1-3'!$AD12:$IM12,"غياب بعذر",'KG1-3'!$AD$7:$IM$7,"✓",'KG1-3'!$AD$6:$IM$6,1,'KG1-3'!$AD$5:$IM$5,"&gt;="&amp;MAX('KG1-3'!$U12,Rpt_PStart),'KG1-3'!$AD$5:$IM$5,"&lt;="&amp;Rpt_PEnd))</f>
        <v/>
      </c>
      <c r="AU68" s="40" t="n">
        <v>3</v>
      </c>
      <c r="AV68" s="40" t="n">
        <v>4</v>
      </c>
      <c r="AW68" s="40">
        <f>IF(OR(AP68=0,Rpt_DayIdx=0),"",IF(INDEX('KG1-3'!$AD$7:$IM$7,Rpt_DayIdx)&lt;&gt;"✓","",IF(INDEX('KG1-3'!$AD12:$IM12,Rpt_DayIdx)="","P",IFERROR(INDEX(StatusCodes,MATCH(INDEX('KG1-3'!$AD12:$IM12,Rpt_DayIdx),StatusLabels,0)),""))))</f>
        <v/>
      </c>
      <c r="AX68" s="40">
        <f>IF(AND(AP68=1,OR(AW68="A",AW68="E")),COUNTIFS($AP$5:AP68,1,$AW$5:AW68,"A")+COUNTIFS($AP$5:AP68,1,$AW$5:AW68,"E"),"")</f>
        <v/>
      </c>
    </row>
    <row r="69">
      <c r="A69" s="148">
        <f>IF(B69="","",ROW()-4)</f>
        <v/>
      </c>
      <c r="B69" s="148">
        <f>IF('KG1-3'!$B13="","",'KG1-3'!$B13)</f>
        <v/>
      </c>
      <c r="C69" s="146">
        <f>IF('KG1-3'!$C13="","",'KG1-3'!$C13)</f>
        <v/>
      </c>
      <c r="D69" s="148">
        <f>IF(B69="","",'KG1-3'!$B$2)</f>
        <v/>
      </c>
      <c r="E69" s="148">
        <f>IF(B69="","",MID(D69,FIND("-",D69&amp;"-")+1,10))</f>
        <v/>
      </c>
      <c r="F69" s="148">
        <f>IF(B69="","","نشط")</f>
        <v/>
      </c>
      <c r="G69" s="157">
        <f>IF(B69="","","")</f>
        <v/>
      </c>
      <c r="H69" s="146">
        <f>IF('KG1-3'!$K13="","",'KG1-3'!$K13)</f>
        <v/>
      </c>
      <c r="I69" s="148">
        <f>IF('KG1-3'!$J13="","",'KG1-3'!$J13)</f>
        <v/>
      </c>
      <c r="J69" s="148">
        <f>IF('KG1-3'!$M13="","",'KG1-3'!$M13)</f>
        <v/>
      </c>
      <c r="K69" s="148">
        <f>IF('KG1-3'!$N13="","",'KG1-3'!$N13)</f>
        <v/>
      </c>
      <c r="L69" s="148">
        <f>IF('KG1-3'!$D13="","",'KG1-3'!$D13)</f>
        <v/>
      </c>
      <c r="M69" s="148">
        <f>IF('KG1-3'!$E13="","",'KG1-3'!$E13)</f>
        <v/>
      </c>
      <c r="N69" s="148">
        <f>IF('KG1-3'!$F13="","",'KG1-3'!$F13)</f>
        <v/>
      </c>
      <c r="O69" s="158">
        <f>IF('KG1-3'!$G13="","",'KG1-3'!$G13)</f>
        <v/>
      </c>
      <c r="P69" s="158">
        <f>IF('KG1-3'!$O13="","",'KG1-3'!$O13)</f>
        <v/>
      </c>
      <c r="Q69" s="148">
        <f>IF('KG1-3'!$T13="","",'KG1-3'!$T13)</f>
        <v/>
      </c>
      <c r="R69" s="146">
        <f>IF('KG1-3'!$H13="","",'KG1-3'!$H13)</f>
        <v/>
      </c>
      <c r="S69" s="157">
        <f>IF('KG1-3'!$P13="","",'KG1-3'!$P13)</f>
        <v/>
      </c>
      <c r="T69" s="157">
        <f>IF('KG1-3'!$V13="","",'KG1-3'!$V13)</f>
        <v/>
      </c>
      <c r="U69" s="157">
        <f>IF('KG1-3'!$W13="","",'KG1-3'!$W13)</f>
        <v/>
      </c>
      <c r="V69" s="157">
        <f>IF('KG1-3'!$X13="","",'KG1-3'!$X13)</f>
        <v/>
      </c>
      <c r="W69" s="157">
        <f>IF('KG1-3'!$Y13="","",'KG1-3'!$Y13)</f>
        <v/>
      </c>
      <c r="X69" s="157">
        <f>IF('KG1-3'!$R13="","",'KG1-3'!$R13)</f>
        <v/>
      </c>
      <c r="Y69" s="148">
        <f>IF('KG1-3'!$S13="","",'KG1-3'!$S13)</f>
        <v/>
      </c>
      <c r="Z69" s="148">
        <f>IF('KG1-3'!$Q13="","",'KG1-3'!$Q13)</f>
        <v/>
      </c>
      <c r="AA69" s="148">
        <f>IF('KG1-3'!$I13="","",'KG1-3'!$I13)</f>
        <v/>
      </c>
      <c r="AB69" s="146">
        <f>IF(Q69="","",INDEX(LevelActions,MATCH(Q69,LevelValues,0)))</f>
        <v/>
      </c>
      <c r="AC69" s="148">
        <f>IF(J69="","",IF(J69=0,"—",IF(AND(L69=0,M69=0),Cat_L1,IF(O69&gt;=Cat_95,Cat_L2,IF(O69&gt;=Cat_90,Cat_L3,Cat_L4)))))</f>
        <v/>
      </c>
      <c r="AD69" s="146">
        <f>IF('KG1-3'!$L13="","",'KG1-3'!$L13)</f>
        <v/>
      </c>
      <c r="AE69" s="148">
        <f>IF(B69="","",IF(COUNTIF($B$5:$B$214,B69)&gt;1,"مكرر!",""))</f>
        <v/>
      </c>
      <c r="AF69" s="148">
        <f>IF(AND(B69&lt;&gt;"",F69="نشط",OR(Dash_Class="الكل",D69=Dash_Class)),1,0)</f>
        <v/>
      </c>
      <c r="AG69" s="40">
        <f>IF(OR(AF69=0,Dash_DayIdx=0),"",IF(INDEX('KG1-3'!$AD$7:$IM$7,Dash_DayIdx)&lt;&gt;"✓","",IF(INDEX('KG1-3'!$AD13:$IM13,Dash_DayIdx)="","P",IFERROR(INDEX(StatusCodes,MATCH(INDEX('KG1-3'!$AD13:$IM13,Dash_DayIdx),StatusLabels,0)),""))))</f>
        <v/>
      </c>
      <c r="AH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IF(LateAsPresent="نعم",COUNTIFS('KG1-3'!$AD13:$IM13,"متأخر",'KG1-3'!$AD$7:$IM$7,"✓",'KG1-3'!$AD$6:$IM$6,1,'KG1-3'!$AD$5:$IM$5,"&gt;="&amp;MAX('KG1-3'!$U13,Dash_PStart),'KG1-3'!$AD$5:$IM$5,"&lt;="&amp;Dash_PEnd),0))</f>
        <v/>
      </c>
      <c r="AI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COUNTIFS('KG1-3'!$AD13:$IM13,"غياب بدون عذر",'KG1-3'!$AD$7:$IM$7,"✓",'KG1-3'!$AD$6:$IM$6,1,'KG1-3'!$AD$5:$IM$5,"&gt;="&amp;MAX('KG1-3'!$U13,Dash_PStart),'KG1-3'!$AD$5:$IM$5,"&lt;="&amp;Dash_PEnd)+COUNTIFS('KG1-3'!$AD13:$IM13,"غياب بعذر",'KG1-3'!$AD$7:$IM$7,"✓",'KG1-3'!$AD$6:$IM$6,1,'KG1-3'!$AD$5:$IM$5,"&gt;="&amp;MAX('KG1-3'!$U13,Dash_PStart),'KG1-3'!$AD$5:$IM$5,"&lt;="&amp;Dash_PEnd)+COUNTIFS('KG1-3'!$AD13:$IM13,"متأخر",'KG1-3'!$AD$7:$IM$7,"✓",'KG1-3'!$AD$6:$IM$6,1,'KG1-3'!$AD$5:$IM$5,"&gt;="&amp;MAX('KG1-3'!$U13,Dash_PStart),'KG1-3'!$AD$5:$IM$5,"&lt;="&amp;Dash_PEnd))</f>
        <v/>
      </c>
      <c r="AJ69" s="40">
        <f>IF(AF69=0,0,IF(W69=Dash_Date,Thr_Critical,IF(V69=Dash_Date,Thr_High,IF(U69=Dash_Date,Thr_Repeated,IF(T69=Dash_Date,Thr_FollowUp,0)))))</f>
        <v/>
      </c>
      <c r="AK69" s="40">
        <f>IF(AJ69&gt;0,COUNTIF($AJ$5:AJ69,"&gt;0"),"")</f>
        <v/>
      </c>
      <c r="AL69" s="40">
        <f>IF(AND(B69&lt;&gt;"",F69="نشط",Q69&lt;&gt;"",Q69&gt;0),L69*1000+(999-ROW()),"")</f>
        <v/>
      </c>
      <c r="AM69" s="40">
        <f>IF(AND(AF69=1,J69&lt;&gt;"",J69&gt;0),ROUND(O69*10000,0)*1000000+K69*1000+(999-ROW()),"")</f>
        <v/>
      </c>
      <c r="AN69" s="40">
        <f>IF(AND(AF69=1,J69&lt;&gt;"",J69&gt;0),(L69+M69)*10000000+ROUND((1-O69)*10000,0)*1000+(999-ROW()),"")</f>
        <v/>
      </c>
      <c r="AO69" s="40">
        <f>IF(AND(AF69=1,Q69&lt;&gt;"",Q69&gt;=Thr_Critical),L69*1000+(999-ROW()),"")</f>
        <v/>
      </c>
      <c r="AP69" s="40">
        <f>IF(AND(B69&lt;&gt;"",F69="نشط",OR(Rpt_Class="الكل",D69=Rpt_Class)),1,0)</f>
        <v/>
      </c>
      <c r="AQ69" s="40">
        <f>IF(AND(AP69=1,Q69&lt;&gt;"",Q69&gt;0),L69*1000+(999-ROW()),"")</f>
        <v/>
      </c>
      <c r="AR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IF(LateAsPresent="نعم",COUNTIFS('KG1-3'!$AD13:$IM13,"متأخر",'KG1-3'!$AD$7:$IM$7,"✓",'KG1-3'!$AD$6:$IM$6,1,'KG1-3'!$AD$5:$IM$5,"&gt;="&amp;MAX('KG1-3'!$U13,Rpt_PStart),'KG1-3'!$AD$5:$IM$5,"&lt;="&amp;Rpt_PEnd),0))</f>
        <v/>
      </c>
      <c r="AS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COUNTIFS('KG1-3'!$AD13:$IM13,"غياب بدون عذر",'KG1-3'!$AD$7:$IM$7,"✓",'KG1-3'!$AD$6:$IM$6,1,'KG1-3'!$AD$5:$IM$5,"&gt;="&amp;MAX('KG1-3'!$U13,Rpt_PStart),'KG1-3'!$AD$5:$IM$5,"&lt;="&amp;Rpt_PEnd)+COUNTIFS('KG1-3'!$AD13:$IM13,"غياب بعذر",'KG1-3'!$AD$7:$IM$7,"✓",'KG1-3'!$AD$6:$IM$6,1,'KG1-3'!$AD$5:$IM$5,"&gt;="&amp;MAX('KG1-3'!$U13,Rpt_PStart),'KG1-3'!$AD$5:$IM$5,"&lt;="&amp;Rpt_PEnd)+COUNTIFS('KG1-3'!$AD13:$IM13,"متأخر",'KG1-3'!$AD$7:$IM$7,"✓",'KG1-3'!$AD$6:$IM$6,1,'KG1-3'!$AD$5:$IM$5,"&gt;="&amp;MAX('KG1-3'!$U13,Rpt_PStart),'KG1-3'!$AD$5:$IM$5,"&lt;="&amp;Rpt_PEnd))</f>
        <v/>
      </c>
      <c r="AT69" s="40">
        <f>IF(AP69=0,"",COUNTIFS('KG1-3'!$AD13:$IM13,"غياب بدون عذر",'KG1-3'!$AD$7:$IM$7,"✓",'KG1-3'!$AD$6:$IM$6,1,'KG1-3'!$AD$5:$IM$5,"&gt;="&amp;MAX('KG1-3'!$U13,Rpt_PStart),'KG1-3'!$AD$5:$IM$5,"&lt;="&amp;Rpt_PEnd)+COUNTIFS('KG1-3'!$AD13:$IM13,"غياب بعذر",'KG1-3'!$AD$7:$IM$7,"✓",'KG1-3'!$AD$6:$IM$6,1,'KG1-3'!$AD$5:$IM$5,"&gt;="&amp;MAX('KG1-3'!$U13,Rpt_PStart),'KG1-3'!$AD$5:$IM$5,"&lt;="&amp;Rpt_PEnd))</f>
        <v/>
      </c>
      <c r="AU69" s="40" t="n">
        <v>3</v>
      </c>
      <c r="AV69" s="40" t="n">
        <v>5</v>
      </c>
      <c r="AW69" s="40">
        <f>IF(OR(AP69=0,Rpt_DayIdx=0),"",IF(INDEX('KG1-3'!$AD$7:$IM$7,Rpt_DayIdx)&lt;&gt;"✓","",IF(INDEX('KG1-3'!$AD13:$IM13,Rpt_DayIdx)="","P",IFERROR(INDEX(StatusCodes,MATCH(INDEX('KG1-3'!$AD13:$IM13,Rpt_DayIdx),StatusLabels,0)),""))))</f>
        <v/>
      </c>
      <c r="AX69" s="40">
        <f>IF(AND(AP69=1,OR(AW69="A",AW69="E")),COUNTIFS($AP$5:AP69,1,$AW$5:AW69,"A")+COUNTIFS($AP$5:AP69,1,$AW$5:AW69,"E"),"")</f>
        <v/>
      </c>
    </row>
    <row r="70">
      <c r="A70" s="148">
        <f>IF(B70="","",ROW()-4)</f>
        <v/>
      </c>
      <c r="B70" s="148">
        <f>IF('KG1-3'!$B14="","",'KG1-3'!$B14)</f>
        <v/>
      </c>
      <c r="C70" s="146">
        <f>IF('KG1-3'!$C14="","",'KG1-3'!$C14)</f>
        <v/>
      </c>
      <c r="D70" s="148">
        <f>IF(B70="","",'KG1-3'!$B$2)</f>
        <v/>
      </c>
      <c r="E70" s="148">
        <f>IF(B70="","",MID(D70,FIND("-",D70&amp;"-")+1,10))</f>
        <v/>
      </c>
      <c r="F70" s="148">
        <f>IF(B70="","","نشط")</f>
        <v/>
      </c>
      <c r="G70" s="157">
        <f>IF(B70="","","")</f>
        <v/>
      </c>
      <c r="H70" s="146">
        <f>IF('KG1-3'!$K14="","",'KG1-3'!$K14)</f>
        <v/>
      </c>
      <c r="I70" s="148">
        <f>IF('KG1-3'!$J14="","",'KG1-3'!$J14)</f>
        <v/>
      </c>
      <c r="J70" s="148">
        <f>IF('KG1-3'!$M14="","",'KG1-3'!$M14)</f>
        <v/>
      </c>
      <c r="K70" s="148">
        <f>IF('KG1-3'!$N14="","",'KG1-3'!$N14)</f>
        <v/>
      </c>
      <c r="L70" s="148">
        <f>IF('KG1-3'!$D14="","",'KG1-3'!$D14)</f>
        <v/>
      </c>
      <c r="M70" s="148">
        <f>IF('KG1-3'!$E14="","",'KG1-3'!$E14)</f>
        <v/>
      </c>
      <c r="N70" s="148">
        <f>IF('KG1-3'!$F14="","",'KG1-3'!$F14)</f>
        <v/>
      </c>
      <c r="O70" s="158">
        <f>IF('KG1-3'!$G14="","",'KG1-3'!$G14)</f>
        <v/>
      </c>
      <c r="P70" s="158">
        <f>IF('KG1-3'!$O14="","",'KG1-3'!$O14)</f>
        <v/>
      </c>
      <c r="Q70" s="148">
        <f>IF('KG1-3'!$T14="","",'KG1-3'!$T14)</f>
        <v/>
      </c>
      <c r="R70" s="146">
        <f>IF('KG1-3'!$H14="","",'KG1-3'!$H14)</f>
        <v/>
      </c>
      <c r="S70" s="157">
        <f>IF('KG1-3'!$P14="","",'KG1-3'!$P14)</f>
        <v/>
      </c>
      <c r="T70" s="157">
        <f>IF('KG1-3'!$V14="","",'KG1-3'!$V14)</f>
        <v/>
      </c>
      <c r="U70" s="157">
        <f>IF('KG1-3'!$W14="","",'KG1-3'!$W14)</f>
        <v/>
      </c>
      <c r="V70" s="157">
        <f>IF('KG1-3'!$X14="","",'KG1-3'!$X14)</f>
        <v/>
      </c>
      <c r="W70" s="157">
        <f>IF('KG1-3'!$Y14="","",'KG1-3'!$Y14)</f>
        <v/>
      </c>
      <c r="X70" s="157">
        <f>IF('KG1-3'!$R14="","",'KG1-3'!$R14)</f>
        <v/>
      </c>
      <c r="Y70" s="148">
        <f>IF('KG1-3'!$S14="","",'KG1-3'!$S14)</f>
        <v/>
      </c>
      <c r="Z70" s="148">
        <f>IF('KG1-3'!$Q14="","",'KG1-3'!$Q14)</f>
        <v/>
      </c>
      <c r="AA70" s="148">
        <f>IF('KG1-3'!$I14="","",'KG1-3'!$I14)</f>
        <v/>
      </c>
      <c r="AB70" s="146">
        <f>IF(Q70="","",INDEX(LevelActions,MATCH(Q70,LevelValues,0)))</f>
        <v/>
      </c>
      <c r="AC70" s="148">
        <f>IF(J70="","",IF(J70=0,"—",IF(AND(L70=0,M70=0),Cat_L1,IF(O70&gt;=Cat_95,Cat_L2,IF(O70&gt;=Cat_90,Cat_L3,Cat_L4)))))</f>
        <v/>
      </c>
      <c r="AD70" s="146">
        <f>IF('KG1-3'!$L14="","",'KG1-3'!$L14)</f>
        <v/>
      </c>
      <c r="AE70" s="148">
        <f>IF(B70="","",IF(COUNTIF($B$5:$B$214,B70)&gt;1,"مكرر!",""))</f>
        <v/>
      </c>
      <c r="AF70" s="148">
        <f>IF(AND(B70&lt;&gt;"",F70="نشط",OR(Dash_Class="الكل",D70=Dash_Class)),1,0)</f>
        <v/>
      </c>
      <c r="AG70" s="40">
        <f>IF(OR(AF70=0,Dash_DayIdx=0),"",IF(INDEX('KG1-3'!$AD$7:$IM$7,Dash_DayIdx)&lt;&gt;"✓","",IF(INDEX('KG1-3'!$AD14:$IM14,Dash_DayIdx)="","P",IFERROR(INDEX(StatusCodes,MATCH(INDEX('KG1-3'!$AD14:$IM14,Dash_DayIdx),StatusLabels,0)),""))))</f>
        <v/>
      </c>
      <c r="AH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IF(LateAsPresent="نعم",COUNTIFS('KG1-3'!$AD14:$IM14,"متأخر",'KG1-3'!$AD$7:$IM$7,"✓",'KG1-3'!$AD$6:$IM$6,1,'KG1-3'!$AD$5:$IM$5,"&gt;="&amp;MAX('KG1-3'!$U14,Dash_PStart),'KG1-3'!$AD$5:$IM$5,"&lt;="&amp;Dash_PEnd),0))</f>
        <v/>
      </c>
      <c r="AI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COUNTIFS('KG1-3'!$AD14:$IM14,"غياب بدون عذر",'KG1-3'!$AD$7:$IM$7,"✓",'KG1-3'!$AD$6:$IM$6,1,'KG1-3'!$AD$5:$IM$5,"&gt;="&amp;MAX('KG1-3'!$U14,Dash_PStart),'KG1-3'!$AD$5:$IM$5,"&lt;="&amp;Dash_PEnd)+COUNTIFS('KG1-3'!$AD14:$IM14,"غياب بعذر",'KG1-3'!$AD$7:$IM$7,"✓",'KG1-3'!$AD$6:$IM$6,1,'KG1-3'!$AD$5:$IM$5,"&gt;="&amp;MAX('KG1-3'!$U14,Dash_PStart),'KG1-3'!$AD$5:$IM$5,"&lt;="&amp;Dash_PEnd)+COUNTIFS('KG1-3'!$AD14:$IM14,"متأخر",'KG1-3'!$AD$7:$IM$7,"✓",'KG1-3'!$AD$6:$IM$6,1,'KG1-3'!$AD$5:$IM$5,"&gt;="&amp;MAX('KG1-3'!$U14,Dash_PStart),'KG1-3'!$AD$5:$IM$5,"&lt;="&amp;Dash_PEnd))</f>
        <v/>
      </c>
      <c r="AJ70" s="40">
        <f>IF(AF70=0,0,IF(W70=Dash_Date,Thr_Critical,IF(V70=Dash_Date,Thr_High,IF(U70=Dash_Date,Thr_Repeated,IF(T70=Dash_Date,Thr_FollowUp,0)))))</f>
        <v/>
      </c>
      <c r="AK70" s="40">
        <f>IF(AJ70&gt;0,COUNTIF($AJ$5:AJ70,"&gt;0"),"")</f>
        <v/>
      </c>
      <c r="AL70" s="40">
        <f>IF(AND(B70&lt;&gt;"",F70="نشط",Q70&lt;&gt;"",Q70&gt;0),L70*1000+(999-ROW()),"")</f>
        <v/>
      </c>
      <c r="AM70" s="40">
        <f>IF(AND(AF70=1,J70&lt;&gt;"",J70&gt;0),ROUND(O70*10000,0)*1000000+K70*1000+(999-ROW()),"")</f>
        <v/>
      </c>
      <c r="AN70" s="40">
        <f>IF(AND(AF70=1,J70&lt;&gt;"",J70&gt;0),(L70+M70)*10000000+ROUND((1-O70)*10000,0)*1000+(999-ROW()),"")</f>
        <v/>
      </c>
      <c r="AO70" s="40">
        <f>IF(AND(AF70=1,Q70&lt;&gt;"",Q70&gt;=Thr_Critical),L70*1000+(999-ROW()),"")</f>
        <v/>
      </c>
      <c r="AP70" s="40">
        <f>IF(AND(B70&lt;&gt;"",F70="نشط",OR(Rpt_Class="الكل",D70=Rpt_Class)),1,0)</f>
        <v/>
      </c>
      <c r="AQ70" s="40">
        <f>IF(AND(AP70=1,Q70&lt;&gt;"",Q70&gt;0),L70*1000+(999-ROW()),"")</f>
        <v/>
      </c>
      <c r="AR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IF(LateAsPresent="نعم",COUNTIFS('KG1-3'!$AD14:$IM14,"متأخر",'KG1-3'!$AD$7:$IM$7,"✓",'KG1-3'!$AD$6:$IM$6,1,'KG1-3'!$AD$5:$IM$5,"&gt;="&amp;MAX('KG1-3'!$U14,Rpt_PStart),'KG1-3'!$AD$5:$IM$5,"&lt;="&amp;Rpt_PEnd),0))</f>
        <v/>
      </c>
      <c r="AS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COUNTIFS('KG1-3'!$AD14:$IM14,"غياب بدون عذر",'KG1-3'!$AD$7:$IM$7,"✓",'KG1-3'!$AD$6:$IM$6,1,'KG1-3'!$AD$5:$IM$5,"&gt;="&amp;MAX('KG1-3'!$U14,Rpt_PStart),'KG1-3'!$AD$5:$IM$5,"&lt;="&amp;Rpt_PEnd)+COUNTIFS('KG1-3'!$AD14:$IM14,"غياب بعذر",'KG1-3'!$AD$7:$IM$7,"✓",'KG1-3'!$AD$6:$IM$6,1,'KG1-3'!$AD$5:$IM$5,"&gt;="&amp;MAX('KG1-3'!$U14,Rpt_PStart),'KG1-3'!$AD$5:$IM$5,"&lt;="&amp;Rpt_PEnd)+COUNTIFS('KG1-3'!$AD14:$IM14,"متأخر",'KG1-3'!$AD$7:$IM$7,"✓",'KG1-3'!$AD$6:$IM$6,1,'KG1-3'!$AD$5:$IM$5,"&gt;="&amp;MAX('KG1-3'!$U14,Rpt_PStart),'KG1-3'!$AD$5:$IM$5,"&lt;="&amp;Rpt_PEnd))</f>
        <v/>
      </c>
      <c r="AT70" s="40">
        <f>IF(AP70=0,"",COUNTIFS('KG1-3'!$AD14:$IM14,"غياب بدون عذر",'KG1-3'!$AD$7:$IM$7,"✓",'KG1-3'!$AD$6:$IM$6,1,'KG1-3'!$AD$5:$IM$5,"&gt;="&amp;MAX('KG1-3'!$U14,Rpt_PStart),'KG1-3'!$AD$5:$IM$5,"&lt;="&amp;Rpt_PEnd)+COUNTIFS('KG1-3'!$AD14:$IM14,"غياب بعذر",'KG1-3'!$AD$7:$IM$7,"✓",'KG1-3'!$AD$6:$IM$6,1,'KG1-3'!$AD$5:$IM$5,"&gt;="&amp;MAX('KG1-3'!$U14,Rpt_PStart),'KG1-3'!$AD$5:$IM$5,"&lt;="&amp;Rpt_PEnd))</f>
        <v/>
      </c>
      <c r="AU70" s="40" t="n">
        <v>3</v>
      </c>
      <c r="AV70" s="40" t="n">
        <v>6</v>
      </c>
      <c r="AW70" s="40">
        <f>IF(OR(AP70=0,Rpt_DayIdx=0),"",IF(INDEX('KG1-3'!$AD$7:$IM$7,Rpt_DayIdx)&lt;&gt;"✓","",IF(INDEX('KG1-3'!$AD14:$IM14,Rpt_DayIdx)="","P",IFERROR(INDEX(StatusCodes,MATCH(INDEX('KG1-3'!$AD14:$IM14,Rpt_DayIdx),StatusLabels,0)),""))))</f>
        <v/>
      </c>
      <c r="AX70" s="40">
        <f>IF(AND(AP70=1,OR(AW70="A",AW70="E")),COUNTIFS($AP$5:AP70,1,$AW$5:AW70,"A")+COUNTIFS($AP$5:AP70,1,$AW$5:AW70,"E"),"")</f>
        <v/>
      </c>
    </row>
    <row r="71">
      <c r="A71" s="148">
        <f>IF(B71="","",ROW()-4)</f>
        <v/>
      </c>
      <c r="B71" s="148">
        <f>IF('KG1-3'!$B15="","",'KG1-3'!$B15)</f>
        <v/>
      </c>
      <c r="C71" s="146">
        <f>IF('KG1-3'!$C15="","",'KG1-3'!$C15)</f>
        <v/>
      </c>
      <c r="D71" s="148">
        <f>IF(B71="","",'KG1-3'!$B$2)</f>
        <v/>
      </c>
      <c r="E71" s="148">
        <f>IF(B71="","",MID(D71,FIND("-",D71&amp;"-")+1,10))</f>
        <v/>
      </c>
      <c r="F71" s="148">
        <f>IF(B71="","","نشط")</f>
        <v/>
      </c>
      <c r="G71" s="157">
        <f>IF(B71="","","")</f>
        <v/>
      </c>
      <c r="H71" s="146">
        <f>IF('KG1-3'!$K15="","",'KG1-3'!$K15)</f>
        <v/>
      </c>
      <c r="I71" s="148">
        <f>IF('KG1-3'!$J15="","",'KG1-3'!$J15)</f>
        <v/>
      </c>
      <c r="J71" s="148">
        <f>IF('KG1-3'!$M15="","",'KG1-3'!$M15)</f>
        <v/>
      </c>
      <c r="K71" s="148">
        <f>IF('KG1-3'!$N15="","",'KG1-3'!$N15)</f>
        <v/>
      </c>
      <c r="L71" s="148">
        <f>IF('KG1-3'!$D15="","",'KG1-3'!$D15)</f>
        <v/>
      </c>
      <c r="M71" s="148">
        <f>IF('KG1-3'!$E15="","",'KG1-3'!$E15)</f>
        <v/>
      </c>
      <c r="N71" s="148">
        <f>IF('KG1-3'!$F15="","",'KG1-3'!$F15)</f>
        <v/>
      </c>
      <c r="O71" s="158">
        <f>IF('KG1-3'!$G15="","",'KG1-3'!$G15)</f>
        <v/>
      </c>
      <c r="P71" s="158">
        <f>IF('KG1-3'!$O15="","",'KG1-3'!$O15)</f>
        <v/>
      </c>
      <c r="Q71" s="148">
        <f>IF('KG1-3'!$T15="","",'KG1-3'!$T15)</f>
        <v/>
      </c>
      <c r="R71" s="146">
        <f>IF('KG1-3'!$H15="","",'KG1-3'!$H15)</f>
        <v/>
      </c>
      <c r="S71" s="157">
        <f>IF('KG1-3'!$P15="","",'KG1-3'!$P15)</f>
        <v/>
      </c>
      <c r="T71" s="157">
        <f>IF('KG1-3'!$V15="","",'KG1-3'!$V15)</f>
        <v/>
      </c>
      <c r="U71" s="157">
        <f>IF('KG1-3'!$W15="","",'KG1-3'!$W15)</f>
        <v/>
      </c>
      <c r="V71" s="157">
        <f>IF('KG1-3'!$X15="","",'KG1-3'!$X15)</f>
        <v/>
      </c>
      <c r="W71" s="157">
        <f>IF('KG1-3'!$Y15="","",'KG1-3'!$Y15)</f>
        <v/>
      </c>
      <c r="X71" s="157">
        <f>IF('KG1-3'!$R15="","",'KG1-3'!$R15)</f>
        <v/>
      </c>
      <c r="Y71" s="148">
        <f>IF('KG1-3'!$S15="","",'KG1-3'!$S15)</f>
        <v/>
      </c>
      <c r="Z71" s="148">
        <f>IF('KG1-3'!$Q15="","",'KG1-3'!$Q15)</f>
        <v/>
      </c>
      <c r="AA71" s="148">
        <f>IF('KG1-3'!$I15="","",'KG1-3'!$I15)</f>
        <v/>
      </c>
      <c r="AB71" s="146">
        <f>IF(Q71="","",INDEX(LevelActions,MATCH(Q71,LevelValues,0)))</f>
        <v/>
      </c>
      <c r="AC71" s="148">
        <f>IF(J71="","",IF(J71=0,"—",IF(AND(L71=0,M71=0),Cat_L1,IF(O71&gt;=Cat_95,Cat_L2,IF(O71&gt;=Cat_90,Cat_L3,Cat_L4)))))</f>
        <v/>
      </c>
      <c r="AD71" s="146">
        <f>IF('KG1-3'!$L15="","",'KG1-3'!$L15)</f>
        <v/>
      </c>
      <c r="AE71" s="148">
        <f>IF(B71="","",IF(COUNTIF($B$5:$B$214,B71)&gt;1,"مكرر!",""))</f>
        <v/>
      </c>
      <c r="AF71" s="148">
        <f>IF(AND(B71&lt;&gt;"",F71="نشط",OR(Dash_Class="الكل",D71=Dash_Class)),1,0)</f>
        <v/>
      </c>
      <c r="AG71" s="40">
        <f>IF(OR(AF71=0,Dash_DayIdx=0),"",IF(INDEX('KG1-3'!$AD$7:$IM$7,Dash_DayIdx)&lt;&gt;"✓","",IF(INDEX('KG1-3'!$AD15:$IM15,Dash_DayIdx)="","P",IFERROR(INDEX(StatusCodes,MATCH(INDEX('KG1-3'!$AD15:$IM15,Dash_DayIdx),StatusLabels,0)),""))))</f>
        <v/>
      </c>
      <c r="AH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IF(LateAsPresent="نعم",COUNTIFS('KG1-3'!$AD15:$IM15,"متأخر",'KG1-3'!$AD$7:$IM$7,"✓",'KG1-3'!$AD$6:$IM$6,1,'KG1-3'!$AD$5:$IM$5,"&gt;="&amp;MAX('KG1-3'!$U15,Dash_PStart),'KG1-3'!$AD$5:$IM$5,"&lt;="&amp;Dash_PEnd),0))</f>
        <v/>
      </c>
      <c r="AI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COUNTIFS('KG1-3'!$AD15:$IM15,"غياب بدون عذر",'KG1-3'!$AD$7:$IM$7,"✓",'KG1-3'!$AD$6:$IM$6,1,'KG1-3'!$AD$5:$IM$5,"&gt;="&amp;MAX('KG1-3'!$U15,Dash_PStart),'KG1-3'!$AD$5:$IM$5,"&lt;="&amp;Dash_PEnd)+COUNTIFS('KG1-3'!$AD15:$IM15,"غياب بعذر",'KG1-3'!$AD$7:$IM$7,"✓",'KG1-3'!$AD$6:$IM$6,1,'KG1-3'!$AD$5:$IM$5,"&gt;="&amp;MAX('KG1-3'!$U15,Dash_PStart),'KG1-3'!$AD$5:$IM$5,"&lt;="&amp;Dash_PEnd)+COUNTIFS('KG1-3'!$AD15:$IM15,"متأخر",'KG1-3'!$AD$7:$IM$7,"✓",'KG1-3'!$AD$6:$IM$6,1,'KG1-3'!$AD$5:$IM$5,"&gt;="&amp;MAX('KG1-3'!$U15,Dash_PStart),'KG1-3'!$AD$5:$IM$5,"&lt;="&amp;Dash_PEnd))</f>
        <v/>
      </c>
      <c r="AJ71" s="40">
        <f>IF(AF71=0,0,IF(W71=Dash_Date,Thr_Critical,IF(V71=Dash_Date,Thr_High,IF(U71=Dash_Date,Thr_Repeated,IF(T71=Dash_Date,Thr_FollowUp,0)))))</f>
        <v/>
      </c>
      <c r="AK71" s="40">
        <f>IF(AJ71&gt;0,COUNTIF($AJ$5:AJ71,"&gt;0"),"")</f>
        <v/>
      </c>
      <c r="AL71" s="40">
        <f>IF(AND(B71&lt;&gt;"",F71="نشط",Q71&lt;&gt;"",Q71&gt;0),L71*1000+(999-ROW()),"")</f>
        <v/>
      </c>
      <c r="AM71" s="40">
        <f>IF(AND(AF71=1,J71&lt;&gt;"",J71&gt;0),ROUND(O71*10000,0)*1000000+K71*1000+(999-ROW()),"")</f>
        <v/>
      </c>
      <c r="AN71" s="40">
        <f>IF(AND(AF71=1,J71&lt;&gt;"",J71&gt;0),(L71+M71)*10000000+ROUND((1-O71)*10000,0)*1000+(999-ROW()),"")</f>
        <v/>
      </c>
      <c r="AO71" s="40">
        <f>IF(AND(AF71=1,Q71&lt;&gt;"",Q71&gt;=Thr_Critical),L71*1000+(999-ROW()),"")</f>
        <v/>
      </c>
      <c r="AP71" s="40">
        <f>IF(AND(B71&lt;&gt;"",F71="نشط",OR(Rpt_Class="الكل",D71=Rpt_Class)),1,0)</f>
        <v/>
      </c>
      <c r="AQ71" s="40">
        <f>IF(AND(AP71=1,Q71&lt;&gt;"",Q71&gt;0),L71*1000+(999-ROW()),"")</f>
        <v/>
      </c>
      <c r="AR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IF(LateAsPresent="نعم",COUNTIFS('KG1-3'!$AD15:$IM15,"متأخر",'KG1-3'!$AD$7:$IM$7,"✓",'KG1-3'!$AD$6:$IM$6,1,'KG1-3'!$AD$5:$IM$5,"&gt;="&amp;MAX('KG1-3'!$U15,Rpt_PStart),'KG1-3'!$AD$5:$IM$5,"&lt;="&amp;Rpt_PEnd),0))</f>
        <v/>
      </c>
      <c r="AS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COUNTIFS('KG1-3'!$AD15:$IM15,"غياب بدون عذر",'KG1-3'!$AD$7:$IM$7,"✓",'KG1-3'!$AD$6:$IM$6,1,'KG1-3'!$AD$5:$IM$5,"&gt;="&amp;MAX('KG1-3'!$U15,Rpt_PStart),'KG1-3'!$AD$5:$IM$5,"&lt;="&amp;Rpt_PEnd)+COUNTIFS('KG1-3'!$AD15:$IM15,"غياب بعذر",'KG1-3'!$AD$7:$IM$7,"✓",'KG1-3'!$AD$6:$IM$6,1,'KG1-3'!$AD$5:$IM$5,"&gt;="&amp;MAX('KG1-3'!$U15,Rpt_PStart),'KG1-3'!$AD$5:$IM$5,"&lt;="&amp;Rpt_PEnd)+COUNTIFS('KG1-3'!$AD15:$IM15,"متأخر",'KG1-3'!$AD$7:$IM$7,"✓",'KG1-3'!$AD$6:$IM$6,1,'KG1-3'!$AD$5:$IM$5,"&gt;="&amp;MAX('KG1-3'!$U15,Rpt_PStart),'KG1-3'!$AD$5:$IM$5,"&lt;="&amp;Rpt_PEnd))</f>
        <v/>
      </c>
      <c r="AT71" s="40">
        <f>IF(AP71=0,"",COUNTIFS('KG1-3'!$AD15:$IM15,"غياب بدون عذر",'KG1-3'!$AD$7:$IM$7,"✓",'KG1-3'!$AD$6:$IM$6,1,'KG1-3'!$AD$5:$IM$5,"&gt;="&amp;MAX('KG1-3'!$U15,Rpt_PStart),'KG1-3'!$AD$5:$IM$5,"&lt;="&amp;Rpt_PEnd)+COUNTIFS('KG1-3'!$AD15:$IM15,"غياب بعذر",'KG1-3'!$AD$7:$IM$7,"✓",'KG1-3'!$AD$6:$IM$6,1,'KG1-3'!$AD$5:$IM$5,"&gt;="&amp;MAX('KG1-3'!$U15,Rpt_PStart),'KG1-3'!$AD$5:$IM$5,"&lt;="&amp;Rpt_PEnd))</f>
        <v/>
      </c>
      <c r="AU71" s="40" t="n">
        <v>3</v>
      </c>
      <c r="AV71" s="40" t="n">
        <v>7</v>
      </c>
      <c r="AW71" s="40">
        <f>IF(OR(AP71=0,Rpt_DayIdx=0),"",IF(INDEX('KG1-3'!$AD$7:$IM$7,Rpt_DayIdx)&lt;&gt;"✓","",IF(INDEX('KG1-3'!$AD15:$IM15,Rpt_DayIdx)="","P",IFERROR(INDEX(StatusCodes,MATCH(INDEX('KG1-3'!$AD15:$IM15,Rpt_DayIdx),StatusLabels,0)),""))))</f>
        <v/>
      </c>
      <c r="AX71" s="40">
        <f>IF(AND(AP71=1,OR(AW71="A",AW71="E")),COUNTIFS($AP$5:AP71,1,$AW$5:AW71,"A")+COUNTIFS($AP$5:AP71,1,$AW$5:AW71,"E"),"")</f>
        <v/>
      </c>
    </row>
    <row r="72">
      <c r="A72" s="148">
        <f>IF(B72="","",ROW()-4)</f>
        <v/>
      </c>
      <c r="B72" s="148">
        <f>IF('KG1-3'!$B16="","",'KG1-3'!$B16)</f>
        <v/>
      </c>
      <c r="C72" s="146">
        <f>IF('KG1-3'!$C16="","",'KG1-3'!$C16)</f>
        <v/>
      </c>
      <c r="D72" s="148">
        <f>IF(B72="","",'KG1-3'!$B$2)</f>
        <v/>
      </c>
      <c r="E72" s="148">
        <f>IF(B72="","",MID(D72,FIND("-",D72&amp;"-")+1,10))</f>
        <v/>
      </c>
      <c r="F72" s="148">
        <f>IF(B72="","","نشط")</f>
        <v/>
      </c>
      <c r="G72" s="157">
        <f>IF(B72="","","")</f>
        <v/>
      </c>
      <c r="H72" s="146">
        <f>IF('KG1-3'!$K16="","",'KG1-3'!$K16)</f>
        <v/>
      </c>
      <c r="I72" s="148">
        <f>IF('KG1-3'!$J16="","",'KG1-3'!$J16)</f>
        <v/>
      </c>
      <c r="J72" s="148">
        <f>IF('KG1-3'!$M16="","",'KG1-3'!$M16)</f>
        <v/>
      </c>
      <c r="K72" s="148">
        <f>IF('KG1-3'!$N16="","",'KG1-3'!$N16)</f>
        <v/>
      </c>
      <c r="L72" s="148">
        <f>IF('KG1-3'!$D16="","",'KG1-3'!$D16)</f>
        <v/>
      </c>
      <c r="M72" s="148">
        <f>IF('KG1-3'!$E16="","",'KG1-3'!$E16)</f>
        <v/>
      </c>
      <c r="N72" s="148">
        <f>IF('KG1-3'!$F16="","",'KG1-3'!$F16)</f>
        <v/>
      </c>
      <c r="O72" s="158">
        <f>IF('KG1-3'!$G16="","",'KG1-3'!$G16)</f>
        <v/>
      </c>
      <c r="P72" s="158">
        <f>IF('KG1-3'!$O16="","",'KG1-3'!$O16)</f>
        <v/>
      </c>
      <c r="Q72" s="148">
        <f>IF('KG1-3'!$T16="","",'KG1-3'!$T16)</f>
        <v/>
      </c>
      <c r="R72" s="146">
        <f>IF('KG1-3'!$H16="","",'KG1-3'!$H16)</f>
        <v/>
      </c>
      <c r="S72" s="157">
        <f>IF('KG1-3'!$P16="","",'KG1-3'!$P16)</f>
        <v/>
      </c>
      <c r="T72" s="157">
        <f>IF('KG1-3'!$V16="","",'KG1-3'!$V16)</f>
        <v/>
      </c>
      <c r="U72" s="157">
        <f>IF('KG1-3'!$W16="","",'KG1-3'!$W16)</f>
        <v/>
      </c>
      <c r="V72" s="157">
        <f>IF('KG1-3'!$X16="","",'KG1-3'!$X16)</f>
        <v/>
      </c>
      <c r="W72" s="157">
        <f>IF('KG1-3'!$Y16="","",'KG1-3'!$Y16)</f>
        <v/>
      </c>
      <c r="X72" s="157">
        <f>IF('KG1-3'!$R16="","",'KG1-3'!$R16)</f>
        <v/>
      </c>
      <c r="Y72" s="148">
        <f>IF('KG1-3'!$S16="","",'KG1-3'!$S16)</f>
        <v/>
      </c>
      <c r="Z72" s="148">
        <f>IF('KG1-3'!$Q16="","",'KG1-3'!$Q16)</f>
        <v/>
      </c>
      <c r="AA72" s="148">
        <f>IF('KG1-3'!$I16="","",'KG1-3'!$I16)</f>
        <v/>
      </c>
      <c r="AB72" s="146">
        <f>IF(Q72="","",INDEX(LevelActions,MATCH(Q72,LevelValues,0)))</f>
        <v/>
      </c>
      <c r="AC72" s="148">
        <f>IF(J72="","",IF(J72=0,"—",IF(AND(L72=0,M72=0),Cat_L1,IF(O72&gt;=Cat_95,Cat_L2,IF(O72&gt;=Cat_90,Cat_L3,Cat_L4)))))</f>
        <v/>
      </c>
      <c r="AD72" s="146">
        <f>IF('KG1-3'!$L16="","",'KG1-3'!$L16)</f>
        <v/>
      </c>
      <c r="AE72" s="148">
        <f>IF(B72="","",IF(COUNTIF($B$5:$B$214,B72)&gt;1,"مكرر!",""))</f>
        <v/>
      </c>
      <c r="AF72" s="148">
        <f>IF(AND(B72&lt;&gt;"",F72="نشط",OR(Dash_Class="الكل",D72=Dash_Class)),1,0)</f>
        <v/>
      </c>
      <c r="AG72" s="40">
        <f>IF(OR(AF72=0,Dash_DayIdx=0),"",IF(INDEX('KG1-3'!$AD$7:$IM$7,Dash_DayIdx)&lt;&gt;"✓","",IF(INDEX('KG1-3'!$AD16:$IM16,Dash_DayIdx)="","P",IFERROR(INDEX(StatusCodes,MATCH(INDEX('KG1-3'!$AD16:$IM16,Dash_DayIdx),StatusLabels,0)),""))))</f>
        <v/>
      </c>
      <c r="AH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IF(LateAsPresent="نعم",COUNTIFS('KG1-3'!$AD16:$IM16,"متأخر",'KG1-3'!$AD$7:$IM$7,"✓",'KG1-3'!$AD$6:$IM$6,1,'KG1-3'!$AD$5:$IM$5,"&gt;="&amp;MAX('KG1-3'!$U16,Dash_PStart),'KG1-3'!$AD$5:$IM$5,"&lt;="&amp;Dash_PEnd),0))</f>
        <v/>
      </c>
      <c r="AI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COUNTIFS('KG1-3'!$AD16:$IM16,"غياب بدون عذر",'KG1-3'!$AD$7:$IM$7,"✓",'KG1-3'!$AD$6:$IM$6,1,'KG1-3'!$AD$5:$IM$5,"&gt;="&amp;MAX('KG1-3'!$U16,Dash_PStart),'KG1-3'!$AD$5:$IM$5,"&lt;="&amp;Dash_PEnd)+COUNTIFS('KG1-3'!$AD16:$IM16,"غياب بعذر",'KG1-3'!$AD$7:$IM$7,"✓",'KG1-3'!$AD$6:$IM$6,1,'KG1-3'!$AD$5:$IM$5,"&gt;="&amp;MAX('KG1-3'!$U16,Dash_PStart),'KG1-3'!$AD$5:$IM$5,"&lt;="&amp;Dash_PEnd)+COUNTIFS('KG1-3'!$AD16:$IM16,"متأخر",'KG1-3'!$AD$7:$IM$7,"✓",'KG1-3'!$AD$6:$IM$6,1,'KG1-3'!$AD$5:$IM$5,"&gt;="&amp;MAX('KG1-3'!$U16,Dash_PStart),'KG1-3'!$AD$5:$IM$5,"&lt;="&amp;Dash_PEnd))</f>
        <v/>
      </c>
      <c r="AJ72" s="40">
        <f>IF(AF72=0,0,IF(W72=Dash_Date,Thr_Critical,IF(V72=Dash_Date,Thr_High,IF(U72=Dash_Date,Thr_Repeated,IF(T72=Dash_Date,Thr_FollowUp,0)))))</f>
        <v/>
      </c>
      <c r="AK72" s="40">
        <f>IF(AJ72&gt;0,COUNTIF($AJ$5:AJ72,"&gt;0"),"")</f>
        <v/>
      </c>
      <c r="AL72" s="40">
        <f>IF(AND(B72&lt;&gt;"",F72="نشط",Q72&lt;&gt;"",Q72&gt;0),L72*1000+(999-ROW()),"")</f>
        <v/>
      </c>
      <c r="AM72" s="40">
        <f>IF(AND(AF72=1,J72&lt;&gt;"",J72&gt;0),ROUND(O72*10000,0)*1000000+K72*1000+(999-ROW()),"")</f>
        <v/>
      </c>
      <c r="AN72" s="40">
        <f>IF(AND(AF72=1,J72&lt;&gt;"",J72&gt;0),(L72+M72)*10000000+ROUND((1-O72)*10000,0)*1000+(999-ROW()),"")</f>
        <v/>
      </c>
      <c r="AO72" s="40">
        <f>IF(AND(AF72=1,Q72&lt;&gt;"",Q72&gt;=Thr_Critical),L72*1000+(999-ROW()),"")</f>
        <v/>
      </c>
      <c r="AP72" s="40">
        <f>IF(AND(B72&lt;&gt;"",F72="نشط",OR(Rpt_Class="الكل",D72=Rpt_Class)),1,0)</f>
        <v/>
      </c>
      <c r="AQ72" s="40">
        <f>IF(AND(AP72=1,Q72&lt;&gt;"",Q72&gt;0),L72*1000+(999-ROW()),"")</f>
        <v/>
      </c>
      <c r="AR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IF(LateAsPresent="نعم",COUNTIFS('KG1-3'!$AD16:$IM16,"متأخر",'KG1-3'!$AD$7:$IM$7,"✓",'KG1-3'!$AD$6:$IM$6,1,'KG1-3'!$AD$5:$IM$5,"&gt;="&amp;MAX('KG1-3'!$U16,Rpt_PStart),'KG1-3'!$AD$5:$IM$5,"&lt;="&amp;Rpt_PEnd),0))</f>
        <v/>
      </c>
      <c r="AS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COUNTIFS('KG1-3'!$AD16:$IM16,"غياب بدون عذر",'KG1-3'!$AD$7:$IM$7,"✓",'KG1-3'!$AD$6:$IM$6,1,'KG1-3'!$AD$5:$IM$5,"&gt;="&amp;MAX('KG1-3'!$U16,Rpt_PStart),'KG1-3'!$AD$5:$IM$5,"&lt;="&amp;Rpt_PEnd)+COUNTIFS('KG1-3'!$AD16:$IM16,"غياب بعذر",'KG1-3'!$AD$7:$IM$7,"✓",'KG1-3'!$AD$6:$IM$6,1,'KG1-3'!$AD$5:$IM$5,"&gt;="&amp;MAX('KG1-3'!$U16,Rpt_PStart),'KG1-3'!$AD$5:$IM$5,"&lt;="&amp;Rpt_PEnd)+COUNTIFS('KG1-3'!$AD16:$IM16,"متأخر",'KG1-3'!$AD$7:$IM$7,"✓",'KG1-3'!$AD$6:$IM$6,1,'KG1-3'!$AD$5:$IM$5,"&gt;="&amp;MAX('KG1-3'!$U16,Rpt_PStart),'KG1-3'!$AD$5:$IM$5,"&lt;="&amp;Rpt_PEnd))</f>
        <v/>
      </c>
      <c r="AT72" s="40">
        <f>IF(AP72=0,"",COUNTIFS('KG1-3'!$AD16:$IM16,"غياب بدون عذر",'KG1-3'!$AD$7:$IM$7,"✓",'KG1-3'!$AD$6:$IM$6,1,'KG1-3'!$AD$5:$IM$5,"&gt;="&amp;MAX('KG1-3'!$U16,Rpt_PStart),'KG1-3'!$AD$5:$IM$5,"&lt;="&amp;Rpt_PEnd)+COUNTIFS('KG1-3'!$AD16:$IM16,"غياب بعذر",'KG1-3'!$AD$7:$IM$7,"✓",'KG1-3'!$AD$6:$IM$6,1,'KG1-3'!$AD$5:$IM$5,"&gt;="&amp;MAX('KG1-3'!$U16,Rpt_PStart),'KG1-3'!$AD$5:$IM$5,"&lt;="&amp;Rpt_PEnd))</f>
        <v/>
      </c>
      <c r="AU72" s="40" t="n">
        <v>3</v>
      </c>
      <c r="AV72" s="40" t="n">
        <v>8</v>
      </c>
      <c r="AW72" s="40">
        <f>IF(OR(AP72=0,Rpt_DayIdx=0),"",IF(INDEX('KG1-3'!$AD$7:$IM$7,Rpt_DayIdx)&lt;&gt;"✓","",IF(INDEX('KG1-3'!$AD16:$IM16,Rpt_DayIdx)="","P",IFERROR(INDEX(StatusCodes,MATCH(INDEX('KG1-3'!$AD16:$IM16,Rpt_DayIdx),StatusLabels,0)),""))))</f>
        <v/>
      </c>
      <c r="AX72" s="40">
        <f>IF(AND(AP72=1,OR(AW72="A",AW72="E")),COUNTIFS($AP$5:AP72,1,$AW$5:AW72,"A")+COUNTIFS($AP$5:AP72,1,$AW$5:AW72,"E"),"")</f>
        <v/>
      </c>
    </row>
    <row r="73">
      <c r="A73" s="148">
        <f>IF(B73="","",ROW()-4)</f>
        <v/>
      </c>
      <c r="B73" s="148">
        <f>IF('KG1-3'!$B17="","",'KG1-3'!$B17)</f>
        <v/>
      </c>
      <c r="C73" s="146">
        <f>IF('KG1-3'!$C17="","",'KG1-3'!$C17)</f>
        <v/>
      </c>
      <c r="D73" s="148">
        <f>IF(B73="","",'KG1-3'!$B$2)</f>
        <v/>
      </c>
      <c r="E73" s="148">
        <f>IF(B73="","",MID(D73,FIND("-",D73&amp;"-")+1,10))</f>
        <v/>
      </c>
      <c r="F73" s="148">
        <f>IF(B73="","","نشط")</f>
        <v/>
      </c>
      <c r="G73" s="157">
        <f>IF(B73="","","")</f>
        <v/>
      </c>
      <c r="H73" s="146">
        <f>IF('KG1-3'!$K17="","",'KG1-3'!$K17)</f>
        <v/>
      </c>
      <c r="I73" s="148">
        <f>IF('KG1-3'!$J17="","",'KG1-3'!$J17)</f>
        <v/>
      </c>
      <c r="J73" s="148">
        <f>IF('KG1-3'!$M17="","",'KG1-3'!$M17)</f>
        <v/>
      </c>
      <c r="K73" s="148">
        <f>IF('KG1-3'!$N17="","",'KG1-3'!$N17)</f>
        <v/>
      </c>
      <c r="L73" s="148">
        <f>IF('KG1-3'!$D17="","",'KG1-3'!$D17)</f>
        <v/>
      </c>
      <c r="M73" s="148">
        <f>IF('KG1-3'!$E17="","",'KG1-3'!$E17)</f>
        <v/>
      </c>
      <c r="N73" s="148">
        <f>IF('KG1-3'!$F17="","",'KG1-3'!$F17)</f>
        <v/>
      </c>
      <c r="O73" s="158">
        <f>IF('KG1-3'!$G17="","",'KG1-3'!$G17)</f>
        <v/>
      </c>
      <c r="P73" s="158">
        <f>IF('KG1-3'!$O17="","",'KG1-3'!$O17)</f>
        <v/>
      </c>
      <c r="Q73" s="148">
        <f>IF('KG1-3'!$T17="","",'KG1-3'!$T17)</f>
        <v/>
      </c>
      <c r="R73" s="146">
        <f>IF('KG1-3'!$H17="","",'KG1-3'!$H17)</f>
        <v/>
      </c>
      <c r="S73" s="157">
        <f>IF('KG1-3'!$P17="","",'KG1-3'!$P17)</f>
        <v/>
      </c>
      <c r="T73" s="157">
        <f>IF('KG1-3'!$V17="","",'KG1-3'!$V17)</f>
        <v/>
      </c>
      <c r="U73" s="157">
        <f>IF('KG1-3'!$W17="","",'KG1-3'!$W17)</f>
        <v/>
      </c>
      <c r="V73" s="157">
        <f>IF('KG1-3'!$X17="","",'KG1-3'!$X17)</f>
        <v/>
      </c>
      <c r="W73" s="157">
        <f>IF('KG1-3'!$Y17="","",'KG1-3'!$Y17)</f>
        <v/>
      </c>
      <c r="X73" s="157">
        <f>IF('KG1-3'!$R17="","",'KG1-3'!$R17)</f>
        <v/>
      </c>
      <c r="Y73" s="148">
        <f>IF('KG1-3'!$S17="","",'KG1-3'!$S17)</f>
        <v/>
      </c>
      <c r="Z73" s="148">
        <f>IF('KG1-3'!$Q17="","",'KG1-3'!$Q17)</f>
        <v/>
      </c>
      <c r="AA73" s="148">
        <f>IF('KG1-3'!$I17="","",'KG1-3'!$I17)</f>
        <v/>
      </c>
      <c r="AB73" s="146">
        <f>IF(Q73="","",INDEX(LevelActions,MATCH(Q73,LevelValues,0)))</f>
        <v/>
      </c>
      <c r="AC73" s="148">
        <f>IF(J73="","",IF(J73=0,"—",IF(AND(L73=0,M73=0),Cat_L1,IF(O73&gt;=Cat_95,Cat_L2,IF(O73&gt;=Cat_90,Cat_L3,Cat_L4)))))</f>
        <v/>
      </c>
      <c r="AD73" s="146">
        <f>IF('KG1-3'!$L17="","",'KG1-3'!$L17)</f>
        <v/>
      </c>
      <c r="AE73" s="148">
        <f>IF(B73="","",IF(COUNTIF($B$5:$B$214,B73)&gt;1,"مكرر!",""))</f>
        <v/>
      </c>
      <c r="AF73" s="148">
        <f>IF(AND(B73&lt;&gt;"",F73="نشط",OR(Dash_Class="الكل",D73=Dash_Class)),1,0)</f>
        <v/>
      </c>
      <c r="AG73" s="40">
        <f>IF(OR(AF73=0,Dash_DayIdx=0),"",IF(INDEX('KG1-3'!$AD$7:$IM$7,Dash_DayIdx)&lt;&gt;"✓","",IF(INDEX('KG1-3'!$AD17:$IM17,Dash_DayIdx)="","P",IFERROR(INDEX(StatusCodes,MATCH(INDEX('KG1-3'!$AD17:$IM17,Dash_DayIdx),StatusLabels,0)),""))))</f>
        <v/>
      </c>
      <c r="AH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IF(LateAsPresent="نعم",COUNTIFS('KG1-3'!$AD17:$IM17,"متأخر",'KG1-3'!$AD$7:$IM$7,"✓",'KG1-3'!$AD$6:$IM$6,1,'KG1-3'!$AD$5:$IM$5,"&gt;="&amp;MAX('KG1-3'!$U17,Dash_PStart),'KG1-3'!$AD$5:$IM$5,"&lt;="&amp;Dash_PEnd),0))</f>
        <v/>
      </c>
      <c r="AI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COUNTIFS('KG1-3'!$AD17:$IM17,"غياب بدون عذر",'KG1-3'!$AD$7:$IM$7,"✓",'KG1-3'!$AD$6:$IM$6,1,'KG1-3'!$AD$5:$IM$5,"&gt;="&amp;MAX('KG1-3'!$U17,Dash_PStart),'KG1-3'!$AD$5:$IM$5,"&lt;="&amp;Dash_PEnd)+COUNTIFS('KG1-3'!$AD17:$IM17,"غياب بعذر",'KG1-3'!$AD$7:$IM$7,"✓",'KG1-3'!$AD$6:$IM$6,1,'KG1-3'!$AD$5:$IM$5,"&gt;="&amp;MAX('KG1-3'!$U17,Dash_PStart),'KG1-3'!$AD$5:$IM$5,"&lt;="&amp;Dash_PEnd)+COUNTIFS('KG1-3'!$AD17:$IM17,"متأخر",'KG1-3'!$AD$7:$IM$7,"✓",'KG1-3'!$AD$6:$IM$6,1,'KG1-3'!$AD$5:$IM$5,"&gt;="&amp;MAX('KG1-3'!$U17,Dash_PStart),'KG1-3'!$AD$5:$IM$5,"&lt;="&amp;Dash_PEnd))</f>
        <v/>
      </c>
      <c r="AJ73" s="40">
        <f>IF(AF73=0,0,IF(W73=Dash_Date,Thr_Critical,IF(V73=Dash_Date,Thr_High,IF(U73=Dash_Date,Thr_Repeated,IF(T73=Dash_Date,Thr_FollowUp,0)))))</f>
        <v/>
      </c>
      <c r="AK73" s="40">
        <f>IF(AJ73&gt;0,COUNTIF($AJ$5:AJ73,"&gt;0"),"")</f>
        <v/>
      </c>
      <c r="AL73" s="40">
        <f>IF(AND(B73&lt;&gt;"",F73="نشط",Q73&lt;&gt;"",Q73&gt;0),L73*1000+(999-ROW()),"")</f>
        <v/>
      </c>
      <c r="AM73" s="40">
        <f>IF(AND(AF73=1,J73&lt;&gt;"",J73&gt;0),ROUND(O73*10000,0)*1000000+K73*1000+(999-ROW()),"")</f>
        <v/>
      </c>
      <c r="AN73" s="40">
        <f>IF(AND(AF73=1,J73&lt;&gt;"",J73&gt;0),(L73+M73)*10000000+ROUND((1-O73)*10000,0)*1000+(999-ROW()),"")</f>
        <v/>
      </c>
      <c r="AO73" s="40">
        <f>IF(AND(AF73=1,Q73&lt;&gt;"",Q73&gt;=Thr_Critical),L73*1000+(999-ROW()),"")</f>
        <v/>
      </c>
      <c r="AP73" s="40">
        <f>IF(AND(B73&lt;&gt;"",F73="نشط",OR(Rpt_Class="الكل",D73=Rpt_Class)),1,0)</f>
        <v/>
      </c>
      <c r="AQ73" s="40">
        <f>IF(AND(AP73=1,Q73&lt;&gt;"",Q73&gt;0),L73*1000+(999-ROW()),"")</f>
        <v/>
      </c>
      <c r="AR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IF(LateAsPresent="نعم",COUNTIFS('KG1-3'!$AD17:$IM17,"متأخر",'KG1-3'!$AD$7:$IM$7,"✓",'KG1-3'!$AD$6:$IM$6,1,'KG1-3'!$AD$5:$IM$5,"&gt;="&amp;MAX('KG1-3'!$U17,Rpt_PStart),'KG1-3'!$AD$5:$IM$5,"&lt;="&amp;Rpt_PEnd),0))</f>
        <v/>
      </c>
      <c r="AS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COUNTIFS('KG1-3'!$AD17:$IM17,"غياب بدون عذر",'KG1-3'!$AD$7:$IM$7,"✓",'KG1-3'!$AD$6:$IM$6,1,'KG1-3'!$AD$5:$IM$5,"&gt;="&amp;MAX('KG1-3'!$U17,Rpt_PStart),'KG1-3'!$AD$5:$IM$5,"&lt;="&amp;Rpt_PEnd)+COUNTIFS('KG1-3'!$AD17:$IM17,"غياب بعذر",'KG1-3'!$AD$7:$IM$7,"✓",'KG1-3'!$AD$6:$IM$6,1,'KG1-3'!$AD$5:$IM$5,"&gt;="&amp;MAX('KG1-3'!$U17,Rpt_PStart),'KG1-3'!$AD$5:$IM$5,"&lt;="&amp;Rpt_PEnd)+COUNTIFS('KG1-3'!$AD17:$IM17,"متأخر",'KG1-3'!$AD$7:$IM$7,"✓",'KG1-3'!$AD$6:$IM$6,1,'KG1-3'!$AD$5:$IM$5,"&gt;="&amp;MAX('KG1-3'!$U17,Rpt_PStart),'KG1-3'!$AD$5:$IM$5,"&lt;="&amp;Rpt_PEnd))</f>
        <v/>
      </c>
      <c r="AT73" s="40">
        <f>IF(AP73=0,"",COUNTIFS('KG1-3'!$AD17:$IM17,"غياب بدون عذر",'KG1-3'!$AD$7:$IM$7,"✓",'KG1-3'!$AD$6:$IM$6,1,'KG1-3'!$AD$5:$IM$5,"&gt;="&amp;MAX('KG1-3'!$U17,Rpt_PStart),'KG1-3'!$AD$5:$IM$5,"&lt;="&amp;Rpt_PEnd)+COUNTIFS('KG1-3'!$AD17:$IM17,"غياب بعذر",'KG1-3'!$AD$7:$IM$7,"✓",'KG1-3'!$AD$6:$IM$6,1,'KG1-3'!$AD$5:$IM$5,"&gt;="&amp;MAX('KG1-3'!$U17,Rpt_PStart),'KG1-3'!$AD$5:$IM$5,"&lt;="&amp;Rpt_PEnd))</f>
        <v/>
      </c>
      <c r="AU73" s="40" t="n">
        <v>3</v>
      </c>
      <c r="AV73" s="40" t="n">
        <v>9</v>
      </c>
      <c r="AW73" s="40">
        <f>IF(OR(AP73=0,Rpt_DayIdx=0),"",IF(INDEX('KG1-3'!$AD$7:$IM$7,Rpt_DayIdx)&lt;&gt;"✓","",IF(INDEX('KG1-3'!$AD17:$IM17,Rpt_DayIdx)="","P",IFERROR(INDEX(StatusCodes,MATCH(INDEX('KG1-3'!$AD17:$IM17,Rpt_DayIdx),StatusLabels,0)),""))))</f>
        <v/>
      </c>
      <c r="AX73" s="40">
        <f>IF(AND(AP73=1,OR(AW73="A",AW73="E")),COUNTIFS($AP$5:AP73,1,$AW$5:AW73,"A")+COUNTIFS($AP$5:AP73,1,$AW$5:AW73,"E"),"")</f>
        <v/>
      </c>
    </row>
    <row r="74">
      <c r="A74" s="148">
        <f>IF(B74="","",ROW()-4)</f>
        <v/>
      </c>
      <c r="B74" s="148">
        <f>IF('KG1-3'!$B18="","",'KG1-3'!$B18)</f>
        <v/>
      </c>
      <c r="C74" s="146">
        <f>IF('KG1-3'!$C18="","",'KG1-3'!$C18)</f>
        <v/>
      </c>
      <c r="D74" s="148">
        <f>IF(B74="","",'KG1-3'!$B$2)</f>
        <v/>
      </c>
      <c r="E74" s="148">
        <f>IF(B74="","",MID(D74,FIND("-",D74&amp;"-")+1,10))</f>
        <v/>
      </c>
      <c r="F74" s="148">
        <f>IF(B74="","","نشط")</f>
        <v/>
      </c>
      <c r="G74" s="157">
        <f>IF(B74="","","")</f>
        <v/>
      </c>
      <c r="H74" s="146">
        <f>IF('KG1-3'!$K18="","",'KG1-3'!$K18)</f>
        <v/>
      </c>
      <c r="I74" s="148">
        <f>IF('KG1-3'!$J18="","",'KG1-3'!$J18)</f>
        <v/>
      </c>
      <c r="J74" s="148">
        <f>IF('KG1-3'!$M18="","",'KG1-3'!$M18)</f>
        <v/>
      </c>
      <c r="K74" s="148">
        <f>IF('KG1-3'!$N18="","",'KG1-3'!$N18)</f>
        <v/>
      </c>
      <c r="L74" s="148">
        <f>IF('KG1-3'!$D18="","",'KG1-3'!$D18)</f>
        <v/>
      </c>
      <c r="M74" s="148">
        <f>IF('KG1-3'!$E18="","",'KG1-3'!$E18)</f>
        <v/>
      </c>
      <c r="N74" s="148">
        <f>IF('KG1-3'!$F18="","",'KG1-3'!$F18)</f>
        <v/>
      </c>
      <c r="O74" s="158">
        <f>IF('KG1-3'!$G18="","",'KG1-3'!$G18)</f>
        <v/>
      </c>
      <c r="P74" s="158">
        <f>IF('KG1-3'!$O18="","",'KG1-3'!$O18)</f>
        <v/>
      </c>
      <c r="Q74" s="148">
        <f>IF('KG1-3'!$T18="","",'KG1-3'!$T18)</f>
        <v/>
      </c>
      <c r="R74" s="146">
        <f>IF('KG1-3'!$H18="","",'KG1-3'!$H18)</f>
        <v/>
      </c>
      <c r="S74" s="157">
        <f>IF('KG1-3'!$P18="","",'KG1-3'!$P18)</f>
        <v/>
      </c>
      <c r="T74" s="157">
        <f>IF('KG1-3'!$V18="","",'KG1-3'!$V18)</f>
        <v/>
      </c>
      <c r="U74" s="157">
        <f>IF('KG1-3'!$W18="","",'KG1-3'!$W18)</f>
        <v/>
      </c>
      <c r="V74" s="157">
        <f>IF('KG1-3'!$X18="","",'KG1-3'!$X18)</f>
        <v/>
      </c>
      <c r="W74" s="157">
        <f>IF('KG1-3'!$Y18="","",'KG1-3'!$Y18)</f>
        <v/>
      </c>
      <c r="X74" s="157">
        <f>IF('KG1-3'!$R18="","",'KG1-3'!$R18)</f>
        <v/>
      </c>
      <c r="Y74" s="148">
        <f>IF('KG1-3'!$S18="","",'KG1-3'!$S18)</f>
        <v/>
      </c>
      <c r="Z74" s="148">
        <f>IF('KG1-3'!$Q18="","",'KG1-3'!$Q18)</f>
        <v/>
      </c>
      <c r="AA74" s="148">
        <f>IF('KG1-3'!$I18="","",'KG1-3'!$I18)</f>
        <v/>
      </c>
      <c r="AB74" s="146">
        <f>IF(Q74="","",INDEX(LevelActions,MATCH(Q74,LevelValues,0)))</f>
        <v/>
      </c>
      <c r="AC74" s="148">
        <f>IF(J74="","",IF(J74=0,"—",IF(AND(L74=0,M74=0),Cat_L1,IF(O74&gt;=Cat_95,Cat_L2,IF(O74&gt;=Cat_90,Cat_L3,Cat_L4)))))</f>
        <v/>
      </c>
      <c r="AD74" s="146">
        <f>IF('KG1-3'!$L18="","",'KG1-3'!$L18)</f>
        <v/>
      </c>
      <c r="AE74" s="148">
        <f>IF(B74="","",IF(COUNTIF($B$5:$B$214,B74)&gt;1,"مكرر!",""))</f>
        <v/>
      </c>
      <c r="AF74" s="148">
        <f>IF(AND(B74&lt;&gt;"",F74="نشط",OR(Dash_Class="الكل",D74=Dash_Class)),1,0)</f>
        <v/>
      </c>
      <c r="AG74" s="40">
        <f>IF(OR(AF74=0,Dash_DayIdx=0),"",IF(INDEX('KG1-3'!$AD$7:$IM$7,Dash_DayIdx)&lt;&gt;"✓","",IF(INDEX('KG1-3'!$AD18:$IM18,Dash_DayIdx)="","P",IFERROR(INDEX(StatusCodes,MATCH(INDEX('KG1-3'!$AD18:$IM18,Dash_DayIdx),StatusLabels,0)),""))))</f>
        <v/>
      </c>
      <c r="AH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IF(LateAsPresent="نعم",COUNTIFS('KG1-3'!$AD18:$IM18,"متأخر",'KG1-3'!$AD$7:$IM$7,"✓",'KG1-3'!$AD$6:$IM$6,1,'KG1-3'!$AD$5:$IM$5,"&gt;="&amp;MAX('KG1-3'!$U18,Dash_PStart),'KG1-3'!$AD$5:$IM$5,"&lt;="&amp;Dash_PEnd),0))</f>
        <v/>
      </c>
      <c r="AI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COUNTIFS('KG1-3'!$AD18:$IM18,"غياب بدون عذر",'KG1-3'!$AD$7:$IM$7,"✓",'KG1-3'!$AD$6:$IM$6,1,'KG1-3'!$AD$5:$IM$5,"&gt;="&amp;MAX('KG1-3'!$U18,Dash_PStart),'KG1-3'!$AD$5:$IM$5,"&lt;="&amp;Dash_PEnd)+COUNTIFS('KG1-3'!$AD18:$IM18,"غياب بعذر",'KG1-3'!$AD$7:$IM$7,"✓",'KG1-3'!$AD$6:$IM$6,1,'KG1-3'!$AD$5:$IM$5,"&gt;="&amp;MAX('KG1-3'!$U18,Dash_PStart),'KG1-3'!$AD$5:$IM$5,"&lt;="&amp;Dash_PEnd)+COUNTIFS('KG1-3'!$AD18:$IM18,"متأخر",'KG1-3'!$AD$7:$IM$7,"✓",'KG1-3'!$AD$6:$IM$6,1,'KG1-3'!$AD$5:$IM$5,"&gt;="&amp;MAX('KG1-3'!$U18,Dash_PStart),'KG1-3'!$AD$5:$IM$5,"&lt;="&amp;Dash_PEnd))</f>
        <v/>
      </c>
      <c r="AJ74" s="40">
        <f>IF(AF74=0,0,IF(W74=Dash_Date,Thr_Critical,IF(V74=Dash_Date,Thr_High,IF(U74=Dash_Date,Thr_Repeated,IF(T74=Dash_Date,Thr_FollowUp,0)))))</f>
        <v/>
      </c>
      <c r="AK74" s="40">
        <f>IF(AJ74&gt;0,COUNTIF($AJ$5:AJ74,"&gt;0"),"")</f>
        <v/>
      </c>
      <c r="AL74" s="40">
        <f>IF(AND(B74&lt;&gt;"",F74="نشط",Q74&lt;&gt;"",Q74&gt;0),L74*1000+(999-ROW()),"")</f>
        <v/>
      </c>
      <c r="AM74" s="40">
        <f>IF(AND(AF74=1,J74&lt;&gt;"",J74&gt;0),ROUND(O74*10000,0)*1000000+K74*1000+(999-ROW()),"")</f>
        <v/>
      </c>
      <c r="AN74" s="40">
        <f>IF(AND(AF74=1,J74&lt;&gt;"",J74&gt;0),(L74+M74)*10000000+ROUND((1-O74)*10000,0)*1000+(999-ROW()),"")</f>
        <v/>
      </c>
      <c r="AO74" s="40">
        <f>IF(AND(AF74=1,Q74&lt;&gt;"",Q74&gt;=Thr_Critical),L74*1000+(999-ROW()),"")</f>
        <v/>
      </c>
      <c r="AP74" s="40">
        <f>IF(AND(B74&lt;&gt;"",F74="نشط",OR(Rpt_Class="الكل",D74=Rpt_Class)),1,0)</f>
        <v/>
      </c>
      <c r="AQ74" s="40">
        <f>IF(AND(AP74=1,Q74&lt;&gt;"",Q74&gt;0),L74*1000+(999-ROW()),"")</f>
        <v/>
      </c>
      <c r="AR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IF(LateAsPresent="نعم",COUNTIFS('KG1-3'!$AD18:$IM18,"متأخر",'KG1-3'!$AD$7:$IM$7,"✓",'KG1-3'!$AD$6:$IM$6,1,'KG1-3'!$AD$5:$IM$5,"&gt;="&amp;MAX('KG1-3'!$U18,Rpt_PStart),'KG1-3'!$AD$5:$IM$5,"&lt;="&amp;Rpt_PEnd),0))</f>
        <v/>
      </c>
      <c r="AS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COUNTIFS('KG1-3'!$AD18:$IM18,"غياب بدون عذر",'KG1-3'!$AD$7:$IM$7,"✓",'KG1-3'!$AD$6:$IM$6,1,'KG1-3'!$AD$5:$IM$5,"&gt;="&amp;MAX('KG1-3'!$U18,Rpt_PStart),'KG1-3'!$AD$5:$IM$5,"&lt;="&amp;Rpt_PEnd)+COUNTIFS('KG1-3'!$AD18:$IM18,"غياب بعذر",'KG1-3'!$AD$7:$IM$7,"✓",'KG1-3'!$AD$6:$IM$6,1,'KG1-3'!$AD$5:$IM$5,"&gt;="&amp;MAX('KG1-3'!$U18,Rpt_PStart),'KG1-3'!$AD$5:$IM$5,"&lt;="&amp;Rpt_PEnd)+COUNTIFS('KG1-3'!$AD18:$IM18,"متأخر",'KG1-3'!$AD$7:$IM$7,"✓",'KG1-3'!$AD$6:$IM$6,1,'KG1-3'!$AD$5:$IM$5,"&gt;="&amp;MAX('KG1-3'!$U18,Rpt_PStart),'KG1-3'!$AD$5:$IM$5,"&lt;="&amp;Rpt_PEnd))</f>
        <v/>
      </c>
      <c r="AT74" s="40">
        <f>IF(AP74=0,"",COUNTIFS('KG1-3'!$AD18:$IM18,"غياب بدون عذر",'KG1-3'!$AD$7:$IM$7,"✓",'KG1-3'!$AD$6:$IM$6,1,'KG1-3'!$AD$5:$IM$5,"&gt;="&amp;MAX('KG1-3'!$U18,Rpt_PStart),'KG1-3'!$AD$5:$IM$5,"&lt;="&amp;Rpt_PEnd)+COUNTIFS('KG1-3'!$AD18:$IM18,"غياب بعذر",'KG1-3'!$AD$7:$IM$7,"✓",'KG1-3'!$AD$6:$IM$6,1,'KG1-3'!$AD$5:$IM$5,"&gt;="&amp;MAX('KG1-3'!$U18,Rpt_PStart),'KG1-3'!$AD$5:$IM$5,"&lt;="&amp;Rpt_PEnd))</f>
        <v/>
      </c>
      <c r="AU74" s="40" t="n">
        <v>3</v>
      </c>
      <c r="AV74" s="40" t="n">
        <v>10</v>
      </c>
      <c r="AW74" s="40">
        <f>IF(OR(AP74=0,Rpt_DayIdx=0),"",IF(INDEX('KG1-3'!$AD$7:$IM$7,Rpt_DayIdx)&lt;&gt;"✓","",IF(INDEX('KG1-3'!$AD18:$IM18,Rpt_DayIdx)="","P",IFERROR(INDEX(StatusCodes,MATCH(INDEX('KG1-3'!$AD18:$IM18,Rpt_DayIdx),StatusLabels,0)),""))))</f>
        <v/>
      </c>
      <c r="AX74" s="40">
        <f>IF(AND(AP74=1,OR(AW74="A",AW74="E")),COUNTIFS($AP$5:AP74,1,$AW$5:AW74,"A")+COUNTIFS($AP$5:AP74,1,$AW$5:AW74,"E"),"")</f>
        <v/>
      </c>
    </row>
    <row r="75">
      <c r="A75" s="148">
        <f>IF(B75="","",ROW()-4)</f>
        <v/>
      </c>
      <c r="B75" s="148">
        <f>IF('KG1-3'!$B19="","",'KG1-3'!$B19)</f>
        <v/>
      </c>
      <c r="C75" s="146">
        <f>IF('KG1-3'!$C19="","",'KG1-3'!$C19)</f>
        <v/>
      </c>
      <c r="D75" s="148">
        <f>IF(B75="","",'KG1-3'!$B$2)</f>
        <v/>
      </c>
      <c r="E75" s="148">
        <f>IF(B75="","",MID(D75,FIND("-",D75&amp;"-")+1,10))</f>
        <v/>
      </c>
      <c r="F75" s="148">
        <f>IF(B75="","","نشط")</f>
        <v/>
      </c>
      <c r="G75" s="157">
        <f>IF(B75="","","")</f>
        <v/>
      </c>
      <c r="H75" s="146">
        <f>IF('KG1-3'!$K19="","",'KG1-3'!$K19)</f>
        <v/>
      </c>
      <c r="I75" s="148">
        <f>IF('KG1-3'!$J19="","",'KG1-3'!$J19)</f>
        <v/>
      </c>
      <c r="J75" s="148">
        <f>IF('KG1-3'!$M19="","",'KG1-3'!$M19)</f>
        <v/>
      </c>
      <c r="K75" s="148">
        <f>IF('KG1-3'!$N19="","",'KG1-3'!$N19)</f>
        <v/>
      </c>
      <c r="L75" s="148">
        <f>IF('KG1-3'!$D19="","",'KG1-3'!$D19)</f>
        <v/>
      </c>
      <c r="M75" s="148">
        <f>IF('KG1-3'!$E19="","",'KG1-3'!$E19)</f>
        <v/>
      </c>
      <c r="N75" s="148">
        <f>IF('KG1-3'!$F19="","",'KG1-3'!$F19)</f>
        <v/>
      </c>
      <c r="O75" s="158">
        <f>IF('KG1-3'!$G19="","",'KG1-3'!$G19)</f>
        <v/>
      </c>
      <c r="P75" s="158">
        <f>IF('KG1-3'!$O19="","",'KG1-3'!$O19)</f>
        <v/>
      </c>
      <c r="Q75" s="148">
        <f>IF('KG1-3'!$T19="","",'KG1-3'!$T19)</f>
        <v/>
      </c>
      <c r="R75" s="146">
        <f>IF('KG1-3'!$H19="","",'KG1-3'!$H19)</f>
        <v/>
      </c>
      <c r="S75" s="157">
        <f>IF('KG1-3'!$P19="","",'KG1-3'!$P19)</f>
        <v/>
      </c>
      <c r="T75" s="157">
        <f>IF('KG1-3'!$V19="","",'KG1-3'!$V19)</f>
        <v/>
      </c>
      <c r="U75" s="157">
        <f>IF('KG1-3'!$W19="","",'KG1-3'!$W19)</f>
        <v/>
      </c>
      <c r="V75" s="157">
        <f>IF('KG1-3'!$X19="","",'KG1-3'!$X19)</f>
        <v/>
      </c>
      <c r="W75" s="157">
        <f>IF('KG1-3'!$Y19="","",'KG1-3'!$Y19)</f>
        <v/>
      </c>
      <c r="X75" s="157">
        <f>IF('KG1-3'!$R19="","",'KG1-3'!$R19)</f>
        <v/>
      </c>
      <c r="Y75" s="148">
        <f>IF('KG1-3'!$S19="","",'KG1-3'!$S19)</f>
        <v/>
      </c>
      <c r="Z75" s="148">
        <f>IF('KG1-3'!$Q19="","",'KG1-3'!$Q19)</f>
        <v/>
      </c>
      <c r="AA75" s="148">
        <f>IF('KG1-3'!$I19="","",'KG1-3'!$I19)</f>
        <v/>
      </c>
      <c r="AB75" s="146">
        <f>IF(Q75="","",INDEX(LevelActions,MATCH(Q75,LevelValues,0)))</f>
        <v/>
      </c>
      <c r="AC75" s="148">
        <f>IF(J75="","",IF(J75=0,"—",IF(AND(L75=0,M75=0),Cat_L1,IF(O75&gt;=Cat_95,Cat_L2,IF(O75&gt;=Cat_90,Cat_L3,Cat_L4)))))</f>
        <v/>
      </c>
      <c r="AD75" s="146">
        <f>IF('KG1-3'!$L19="","",'KG1-3'!$L19)</f>
        <v/>
      </c>
      <c r="AE75" s="148">
        <f>IF(B75="","",IF(COUNTIF($B$5:$B$214,B75)&gt;1,"مكرر!",""))</f>
        <v/>
      </c>
      <c r="AF75" s="148">
        <f>IF(AND(B75&lt;&gt;"",F75="نشط",OR(Dash_Class="الكل",D75=Dash_Class)),1,0)</f>
        <v/>
      </c>
      <c r="AG75" s="40">
        <f>IF(OR(AF75=0,Dash_DayIdx=0),"",IF(INDEX('KG1-3'!$AD$7:$IM$7,Dash_DayIdx)&lt;&gt;"✓","",IF(INDEX('KG1-3'!$AD19:$IM19,Dash_DayIdx)="","P",IFERROR(INDEX(StatusCodes,MATCH(INDEX('KG1-3'!$AD19:$IM19,Dash_DayIdx),StatusLabels,0)),""))))</f>
        <v/>
      </c>
      <c r="AH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IF(LateAsPresent="نعم",COUNTIFS('KG1-3'!$AD19:$IM19,"متأخر",'KG1-3'!$AD$7:$IM$7,"✓",'KG1-3'!$AD$6:$IM$6,1,'KG1-3'!$AD$5:$IM$5,"&gt;="&amp;MAX('KG1-3'!$U19,Dash_PStart),'KG1-3'!$AD$5:$IM$5,"&lt;="&amp;Dash_PEnd),0))</f>
        <v/>
      </c>
      <c r="AI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COUNTIFS('KG1-3'!$AD19:$IM19,"غياب بدون عذر",'KG1-3'!$AD$7:$IM$7,"✓",'KG1-3'!$AD$6:$IM$6,1,'KG1-3'!$AD$5:$IM$5,"&gt;="&amp;MAX('KG1-3'!$U19,Dash_PStart),'KG1-3'!$AD$5:$IM$5,"&lt;="&amp;Dash_PEnd)+COUNTIFS('KG1-3'!$AD19:$IM19,"غياب بعذر",'KG1-3'!$AD$7:$IM$7,"✓",'KG1-3'!$AD$6:$IM$6,1,'KG1-3'!$AD$5:$IM$5,"&gt;="&amp;MAX('KG1-3'!$U19,Dash_PStart),'KG1-3'!$AD$5:$IM$5,"&lt;="&amp;Dash_PEnd)+COUNTIFS('KG1-3'!$AD19:$IM19,"متأخر",'KG1-3'!$AD$7:$IM$7,"✓",'KG1-3'!$AD$6:$IM$6,1,'KG1-3'!$AD$5:$IM$5,"&gt;="&amp;MAX('KG1-3'!$U19,Dash_PStart),'KG1-3'!$AD$5:$IM$5,"&lt;="&amp;Dash_PEnd))</f>
        <v/>
      </c>
      <c r="AJ75" s="40">
        <f>IF(AF75=0,0,IF(W75=Dash_Date,Thr_Critical,IF(V75=Dash_Date,Thr_High,IF(U75=Dash_Date,Thr_Repeated,IF(T75=Dash_Date,Thr_FollowUp,0)))))</f>
        <v/>
      </c>
      <c r="AK75" s="40">
        <f>IF(AJ75&gt;0,COUNTIF($AJ$5:AJ75,"&gt;0"),"")</f>
        <v/>
      </c>
      <c r="AL75" s="40">
        <f>IF(AND(B75&lt;&gt;"",F75="نشط",Q75&lt;&gt;"",Q75&gt;0),L75*1000+(999-ROW()),"")</f>
        <v/>
      </c>
      <c r="AM75" s="40">
        <f>IF(AND(AF75=1,J75&lt;&gt;"",J75&gt;0),ROUND(O75*10000,0)*1000000+K75*1000+(999-ROW()),"")</f>
        <v/>
      </c>
      <c r="AN75" s="40">
        <f>IF(AND(AF75=1,J75&lt;&gt;"",J75&gt;0),(L75+M75)*10000000+ROUND((1-O75)*10000,0)*1000+(999-ROW()),"")</f>
        <v/>
      </c>
      <c r="AO75" s="40">
        <f>IF(AND(AF75=1,Q75&lt;&gt;"",Q75&gt;=Thr_Critical),L75*1000+(999-ROW()),"")</f>
        <v/>
      </c>
      <c r="AP75" s="40">
        <f>IF(AND(B75&lt;&gt;"",F75="نشط",OR(Rpt_Class="الكل",D75=Rpt_Class)),1,0)</f>
        <v/>
      </c>
      <c r="AQ75" s="40">
        <f>IF(AND(AP75=1,Q75&lt;&gt;"",Q75&gt;0),L75*1000+(999-ROW()),"")</f>
        <v/>
      </c>
      <c r="AR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IF(LateAsPresent="نعم",COUNTIFS('KG1-3'!$AD19:$IM19,"متأخر",'KG1-3'!$AD$7:$IM$7,"✓",'KG1-3'!$AD$6:$IM$6,1,'KG1-3'!$AD$5:$IM$5,"&gt;="&amp;MAX('KG1-3'!$U19,Rpt_PStart),'KG1-3'!$AD$5:$IM$5,"&lt;="&amp;Rpt_PEnd),0))</f>
        <v/>
      </c>
      <c r="AS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COUNTIFS('KG1-3'!$AD19:$IM19,"غياب بدون عذر",'KG1-3'!$AD$7:$IM$7,"✓",'KG1-3'!$AD$6:$IM$6,1,'KG1-3'!$AD$5:$IM$5,"&gt;="&amp;MAX('KG1-3'!$U19,Rpt_PStart),'KG1-3'!$AD$5:$IM$5,"&lt;="&amp;Rpt_PEnd)+COUNTIFS('KG1-3'!$AD19:$IM19,"غياب بعذر",'KG1-3'!$AD$7:$IM$7,"✓",'KG1-3'!$AD$6:$IM$6,1,'KG1-3'!$AD$5:$IM$5,"&gt;="&amp;MAX('KG1-3'!$U19,Rpt_PStart),'KG1-3'!$AD$5:$IM$5,"&lt;="&amp;Rpt_PEnd)+COUNTIFS('KG1-3'!$AD19:$IM19,"متأخر",'KG1-3'!$AD$7:$IM$7,"✓",'KG1-3'!$AD$6:$IM$6,1,'KG1-3'!$AD$5:$IM$5,"&gt;="&amp;MAX('KG1-3'!$U19,Rpt_PStart),'KG1-3'!$AD$5:$IM$5,"&lt;="&amp;Rpt_PEnd))</f>
        <v/>
      </c>
      <c r="AT75" s="40">
        <f>IF(AP75=0,"",COUNTIFS('KG1-3'!$AD19:$IM19,"غياب بدون عذر",'KG1-3'!$AD$7:$IM$7,"✓",'KG1-3'!$AD$6:$IM$6,1,'KG1-3'!$AD$5:$IM$5,"&gt;="&amp;MAX('KG1-3'!$U19,Rpt_PStart),'KG1-3'!$AD$5:$IM$5,"&lt;="&amp;Rpt_PEnd)+COUNTIFS('KG1-3'!$AD19:$IM19,"غياب بعذر",'KG1-3'!$AD$7:$IM$7,"✓",'KG1-3'!$AD$6:$IM$6,1,'KG1-3'!$AD$5:$IM$5,"&gt;="&amp;MAX('KG1-3'!$U19,Rpt_PStart),'KG1-3'!$AD$5:$IM$5,"&lt;="&amp;Rpt_PEnd))</f>
        <v/>
      </c>
      <c r="AU75" s="40" t="n">
        <v>3</v>
      </c>
      <c r="AV75" s="40" t="n">
        <v>11</v>
      </c>
      <c r="AW75" s="40">
        <f>IF(OR(AP75=0,Rpt_DayIdx=0),"",IF(INDEX('KG1-3'!$AD$7:$IM$7,Rpt_DayIdx)&lt;&gt;"✓","",IF(INDEX('KG1-3'!$AD19:$IM19,Rpt_DayIdx)="","P",IFERROR(INDEX(StatusCodes,MATCH(INDEX('KG1-3'!$AD19:$IM19,Rpt_DayIdx),StatusLabels,0)),""))))</f>
        <v/>
      </c>
      <c r="AX75" s="40">
        <f>IF(AND(AP75=1,OR(AW75="A",AW75="E")),COUNTIFS($AP$5:AP75,1,$AW$5:AW75,"A")+COUNTIFS($AP$5:AP75,1,$AW$5:AW75,"E"),"")</f>
        <v/>
      </c>
    </row>
    <row r="76">
      <c r="A76" s="148">
        <f>IF(B76="","",ROW()-4)</f>
        <v/>
      </c>
      <c r="B76" s="148">
        <f>IF('KG1-3'!$B20="","",'KG1-3'!$B20)</f>
        <v/>
      </c>
      <c r="C76" s="146">
        <f>IF('KG1-3'!$C20="","",'KG1-3'!$C20)</f>
        <v/>
      </c>
      <c r="D76" s="148">
        <f>IF(B76="","",'KG1-3'!$B$2)</f>
        <v/>
      </c>
      <c r="E76" s="148">
        <f>IF(B76="","",MID(D76,FIND("-",D76&amp;"-")+1,10))</f>
        <v/>
      </c>
      <c r="F76" s="148">
        <f>IF(B76="","","نشط")</f>
        <v/>
      </c>
      <c r="G76" s="157">
        <f>IF(B76="","","")</f>
        <v/>
      </c>
      <c r="H76" s="146">
        <f>IF('KG1-3'!$K20="","",'KG1-3'!$K20)</f>
        <v/>
      </c>
      <c r="I76" s="148">
        <f>IF('KG1-3'!$J20="","",'KG1-3'!$J20)</f>
        <v/>
      </c>
      <c r="J76" s="148">
        <f>IF('KG1-3'!$M20="","",'KG1-3'!$M20)</f>
        <v/>
      </c>
      <c r="K76" s="148">
        <f>IF('KG1-3'!$N20="","",'KG1-3'!$N20)</f>
        <v/>
      </c>
      <c r="L76" s="148">
        <f>IF('KG1-3'!$D20="","",'KG1-3'!$D20)</f>
        <v/>
      </c>
      <c r="M76" s="148">
        <f>IF('KG1-3'!$E20="","",'KG1-3'!$E20)</f>
        <v/>
      </c>
      <c r="N76" s="148">
        <f>IF('KG1-3'!$F20="","",'KG1-3'!$F20)</f>
        <v/>
      </c>
      <c r="O76" s="158">
        <f>IF('KG1-3'!$G20="","",'KG1-3'!$G20)</f>
        <v/>
      </c>
      <c r="P76" s="158">
        <f>IF('KG1-3'!$O20="","",'KG1-3'!$O20)</f>
        <v/>
      </c>
      <c r="Q76" s="148">
        <f>IF('KG1-3'!$T20="","",'KG1-3'!$T20)</f>
        <v/>
      </c>
      <c r="R76" s="146">
        <f>IF('KG1-3'!$H20="","",'KG1-3'!$H20)</f>
        <v/>
      </c>
      <c r="S76" s="157">
        <f>IF('KG1-3'!$P20="","",'KG1-3'!$P20)</f>
        <v/>
      </c>
      <c r="T76" s="157">
        <f>IF('KG1-3'!$V20="","",'KG1-3'!$V20)</f>
        <v/>
      </c>
      <c r="U76" s="157">
        <f>IF('KG1-3'!$W20="","",'KG1-3'!$W20)</f>
        <v/>
      </c>
      <c r="V76" s="157">
        <f>IF('KG1-3'!$X20="","",'KG1-3'!$X20)</f>
        <v/>
      </c>
      <c r="W76" s="157">
        <f>IF('KG1-3'!$Y20="","",'KG1-3'!$Y20)</f>
        <v/>
      </c>
      <c r="X76" s="157">
        <f>IF('KG1-3'!$R20="","",'KG1-3'!$R20)</f>
        <v/>
      </c>
      <c r="Y76" s="148">
        <f>IF('KG1-3'!$S20="","",'KG1-3'!$S20)</f>
        <v/>
      </c>
      <c r="Z76" s="148">
        <f>IF('KG1-3'!$Q20="","",'KG1-3'!$Q20)</f>
        <v/>
      </c>
      <c r="AA76" s="148">
        <f>IF('KG1-3'!$I20="","",'KG1-3'!$I20)</f>
        <v/>
      </c>
      <c r="AB76" s="146">
        <f>IF(Q76="","",INDEX(LevelActions,MATCH(Q76,LevelValues,0)))</f>
        <v/>
      </c>
      <c r="AC76" s="148">
        <f>IF(J76="","",IF(J76=0,"—",IF(AND(L76=0,M76=0),Cat_L1,IF(O76&gt;=Cat_95,Cat_L2,IF(O76&gt;=Cat_90,Cat_L3,Cat_L4)))))</f>
        <v/>
      </c>
      <c r="AD76" s="146">
        <f>IF('KG1-3'!$L20="","",'KG1-3'!$L20)</f>
        <v/>
      </c>
      <c r="AE76" s="148">
        <f>IF(B76="","",IF(COUNTIF($B$5:$B$214,B76)&gt;1,"مكرر!",""))</f>
        <v/>
      </c>
      <c r="AF76" s="148">
        <f>IF(AND(B76&lt;&gt;"",F76="نشط",OR(Dash_Class="الكل",D76=Dash_Class)),1,0)</f>
        <v/>
      </c>
      <c r="AG76" s="40">
        <f>IF(OR(AF76=0,Dash_DayIdx=0),"",IF(INDEX('KG1-3'!$AD$7:$IM$7,Dash_DayIdx)&lt;&gt;"✓","",IF(INDEX('KG1-3'!$AD20:$IM20,Dash_DayIdx)="","P",IFERROR(INDEX(StatusCodes,MATCH(INDEX('KG1-3'!$AD20:$IM20,Dash_DayIdx),StatusLabels,0)),""))))</f>
        <v/>
      </c>
      <c r="AH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IF(LateAsPresent="نعم",COUNTIFS('KG1-3'!$AD20:$IM20,"متأخر",'KG1-3'!$AD$7:$IM$7,"✓",'KG1-3'!$AD$6:$IM$6,1,'KG1-3'!$AD$5:$IM$5,"&gt;="&amp;MAX('KG1-3'!$U20,Dash_PStart),'KG1-3'!$AD$5:$IM$5,"&lt;="&amp;Dash_PEnd),0))</f>
        <v/>
      </c>
      <c r="AI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COUNTIFS('KG1-3'!$AD20:$IM20,"غياب بدون عذر",'KG1-3'!$AD$7:$IM$7,"✓",'KG1-3'!$AD$6:$IM$6,1,'KG1-3'!$AD$5:$IM$5,"&gt;="&amp;MAX('KG1-3'!$U20,Dash_PStart),'KG1-3'!$AD$5:$IM$5,"&lt;="&amp;Dash_PEnd)+COUNTIFS('KG1-3'!$AD20:$IM20,"غياب بعذر",'KG1-3'!$AD$7:$IM$7,"✓",'KG1-3'!$AD$6:$IM$6,1,'KG1-3'!$AD$5:$IM$5,"&gt;="&amp;MAX('KG1-3'!$U20,Dash_PStart),'KG1-3'!$AD$5:$IM$5,"&lt;="&amp;Dash_PEnd)+COUNTIFS('KG1-3'!$AD20:$IM20,"متأخر",'KG1-3'!$AD$7:$IM$7,"✓",'KG1-3'!$AD$6:$IM$6,1,'KG1-3'!$AD$5:$IM$5,"&gt;="&amp;MAX('KG1-3'!$U20,Dash_PStart),'KG1-3'!$AD$5:$IM$5,"&lt;="&amp;Dash_PEnd))</f>
        <v/>
      </c>
      <c r="AJ76" s="40">
        <f>IF(AF76=0,0,IF(W76=Dash_Date,Thr_Critical,IF(V76=Dash_Date,Thr_High,IF(U76=Dash_Date,Thr_Repeated,IF(T76=Dash_Date,Thr_FollowUp,0)))))</f>
        <v/>
      </c>
      <c r="AK76" s="40">
        <f>IF(AJ76&gt;0,COUNTIF($AJ$5:AJ76,"&gt;0"),"")</f>
        <v/>
      </c>
      <c r="AL76" s="40">
        <f>IF(AND(B76&lt;&gt;"",F76="نشط",Q76&lt;&gt;"",Q76&gt;0),L76*1000+(999-ROW()),"")</f>
        <v/>
      </c>
      <c r="AM76" s="40">
        <f>IF(AND(AF76=1,J76&lt;&gt;"",J76&gt;0),ROUND(O76*10000,0)*1000000+K76*1000+(999-ROW()),"")</f>
        <v/>
      </c>
      <c r="AN76" s="40">
        <f>IF(AND(AF76=1,J76&lt;&gt;"",J76&gt;0),(L76+M76)*10000000+ROUND((1-O76)*10000,0)*1000+(999-ROW()),"")</f>
        <v/>
      </c>
      <c r="AO76" s="40">
        <f>IF(AND(AF76=1,Q76&lt;&gt;"",Q76&gt;=Thr_Critical),L76*1000+(999-ROW()),"")</f>
        <v/>
      </c>
      <c r="AP76" s="40">
        <f>IF(AND(B76&lt;&gt;"",F76="نشط",OR(Rpt_Class="الكل",D76=Rpt_Class)),1,0)</f>
        <v/>
      </c>
      <c r="AQ76" s="40">
        <f>IF(AND(AP76=1,Q76&lt;&gt;"",Q76&gt;0),L76*1000+(999-ROW()),"")</f>
        <v/>
      </c>
      <c r="AR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IF(LateAsPresent="نعم",COUNTIFS('KG1-3'!$AD20:$IM20,"متأخر",'KG1-3'!$AD$7:$IM$7,"✓",'KG1-3'!$AD$6:$IM$6,1,'KG1-3'!$AD$5:$IM$5,"&gt;="&amp;MAX('KG1-3'!$U20,Rpt_PStart),'KG1-3'!$AD$5:$IM$5,"&lt;="&amp;Rpt_PEnd),0))</f>
        <v/>
      </c>
      <c r="AS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COUNTIFS('KG1-3'!$AD20:$IM20,"غياب بدون عذر",'KG1-3'!$AD$7:$IM$7,"✓",'KG1-3'!$AD$6:$IM$6,1,'KG1-3'!$AD$5:$IM$5,"&gt;="&amp;MAX('KG1-3'!$U20,Rpt_PStart),'KG1-3'!$AD$5:$IM$5,"&lt;="&amp;Rpt_PEnd)+COUNTIFS('KG1-3'!$AD20:$IM20,"غياب بعذر",'KG1-3'!$AD$7:$IM$7,"✓",'KG1-3'!$AD$6:$IM$6,1,'KG1-3'!$AD$5:$IM$5,"&gt;="&amp;MAX('KG1-3'!$U20,Rpt_PStart),'KG1-3'!$AD$5:$IM$5,"&lt;="&amp;Rpt_PEnd)+COUNTIFS('KG1-3'!$AD20:$IM20,"متأخر",'KG1-3'!$AD$7:$IM$7,"✓",'KG1-3'!$AD$6:$IM$6,1,'KG1-3'!$AD$5:$IM$5,"&gt;="&amp;MAX('KG1-3'!$U20,Rpt_PStart),'KG1-3'!$AD$5:$IM$5,"&lt;="&amp;Rpt_PEnd))</f>
        <v/>
      </c>
      <c r="AT76" s="40">
        <f>IF(AP76=0,"",COUNTIFS('KG1-3'!$AD20:$IM20,"غياب بدون عذر",'KG1-3'!$AD$7:$IM$7,"✓",'KG1-3'!$AD$6:$IM$6,1,'KG1-3'!$AD$5:$IM$5,"&gt;="&amp;MAX('KG1-3'!$U20,Rpt_PStart),'KG1-3'!$AD$5:$IM$5,"&lt;="&amp;Rpt_PEnd)+COUNTIFS('KG1-3'!$AD20:$IM20,"غياب بعذر",'KG1-3'!$AD$7:$IM$7,"✓",'KG1-3'!$AD$6:$IM$6,1,'KG1-3'!$AD$5:$IM$5,"&gt;="&amp;MAX('KG1-3'!$U20,Rpt_PStart),'KG1-3'!$AD$5:$IM$5,"&lt;="&amp;Rpt_PEnd))</f>
        <v/>
      </c>
      <c r="AU76" s="40" t="n">
        <v>3</v>
      </c>
      <c r="AV76" s="40" t="n">
        <v>12</v>
      </c>
      <c r="AW76" s="40">
        <f>IF(OR(AP76=0,Rpt_DayIdx=0),"",IF(INDEX('KG1-3'!$AD$7:$IM$7,Rpt_DayIdx)&lt;&gt;"✓","",IF(INDEX('KG1-3'!$AD20:$IM20,Rpt_DayIdx)="","P",IFERROR(INDEX(StatusCodes,MATCH(INDEX('KG1-3'!$AD20:$IM20,Rpt_DayIdx),StatusLabels,0)),""))))</f>
        <v/>
      </c>
      <c r="AX76" s="40">
        <f>IF(AND(AP76=1,OR(AW76="A",AW76="E")),COUNTIFS($AP$5:AP76,1,$AW$5:AW76,"A")+COUNTIFS($AP$5:AP76,1,$AW$5:AW76,"E"),"")</f>
        <v/>
      </c>
    </row>
    <row r="77">
      <c r="A77" s="148">
        <f>IF(B77="","",ROW()-4)</f>
        <v/>
      </c>
      <c r="B77" s="148">
        <f>IF('KG1-3'!$B21="","",'KG1-3'!$B21)</f>
        <v/>
      </c>
      <c r="C77" s="146">
        <f>IF('KG1-3'!$C21="","",'KG1-3'!$C21)</f>
        <v/>
      </c>
      <c r="D77" s="148">
        <f>IF(B77="","",'KG1-3'!$B$2)</f>
        <v/>
      </c>
      <c r="E77" s="148">
        <f>IF(B77="","",MID(D77,FIND("-",D77&amp;"-")+1,10))</f>
        <v/>
      </c>
      <c r="F77" s="148">
        <f>IF(B77="","","نشط")</f>
        <v/>
      </c>
      <c r="G77" s="157">
        <f>IF(B77="","","")</f>
        <v/>
      </c>
      <c r="H77" s="146">
        <f>IF('KG1-3'!$K21="","",'KG1-3'!$K21)</f>
        <v/>
      </c>
      <c r="I77" s="148">
        <f>IF('KG1-3'!$J21="","",'KG1-3'!$J21)</f>
        <v/>
      </c>
      <c r="J77" s="148">
        <f>IF('KG1-3'!$M21="","",'KG1-3'!$M21)</f>
        <v/>
      </c>
      <c r="K77" s="148">
        <f>IF('KG1-3'!$N21="","",'KG1-3'!$N21)</f>
        <v/>
      </c>
      <c r="L77" s="148">
        <f>IF('KG1-3'!$D21="","",'KG1-3'!$D21)</f>
        <v/>
      </c>
      <c r="M77" s="148">
        <f>IF('KG1-3'!$E21="","",'KG1-3'!$E21)</f>
        <v/>
      </c>
      <c r="N77" s="148">
        <f>IF('KG1-3'!$F21="","",'KG1-3'!$F21)</f>
        <v/>
      </c>
      <c r="O77" s="158">
        <f>IF('KG1-3'!$G21="","",'KG1-3'!$G21)</f>
        <v/>
      </c>
      <c r="P77" s="158">
        <f>IF('KG1-3'!$O21="","",'KG1-3'!$O21)</f>
        <v/>
      </c>
      <c r="Q77" s="148">
        <f>IF('KG1-3'!$T21="","",'KG1-3'!$T21)</f>
        <v/>
      </c>
      <c r="R77" s="146">
        <f>IF('KG1-3'!$H21="","",'KG1-3'!$H21)</f>
        <v/>
      </c>
      <c r="S77" s="157">
        <f>IF('KG1-3'!$P21="","",'KG1-3'!$P21)</f>
        <v/>
      </c>
      <c r="T77" s="157">
        <f>IF('KG1-3'!$V21="","",'KG1-3'!$V21)</f>
        <v/>
      </c>
      <c r="U77" s="157">
        <f>IF('KG1-3'!$W21="","",'KG1-3'!$W21)</f>
        <v/>
      </c>
      <c r="V77" s="157">
        <f>IF('KG1-3'!$X21="","",'KG1-3'!$X21)</f>
        <v/>
      </c>
      <c r="W77" s="157">
        <f>IF('KG1-3'!$Y21="","",'KG1-3'!$Y21)</f>
        <v/>
      </c>
      <c r="X77" s="157">
        <f>IF('KG1-3'!$R21="","",'KG1-3'!$R21)</f>
        <v/>
      </c>
      <c r="Y77" s="148">
        <f>IF('KG1-3'!$S21="","",'KG1-3'!$S21)</f>
        <v/>
      </c>
      <c r="Z77" s="148">
        <f>IF('KG1-3'!$Q21="","",'KG1-3'!$Q21)</f>
        <v/>
      </c>
      <c r="AA77" s="148">
        <f>IF('KG1-3'!$I21="","",'KG1-3'!$I21)</f>
        <v/>
      </c>
      <c r="AB77" s="146">
        <f>IF(Q77="","",INDEX(LevelActions,MATCH(Q77,LevelValues,0)))</f>
        <v/>
      </c>
      <c r="AC77" s="148">
        <f>IF(J77="","",IF(J77=0,"—",IF(AND(L77=0,M77=0),Cat_L1,IF(O77&gt;=Cat_95,Cat_L2,IF(O77&gt;=Cat_90,Cat_L3,Cat_L4)))))</f>
        <v/>
      </c>
      <c r="AD77" s="146">
        <f>IF('KG1-3'!$L21="","",'KG1-3'!$L21)</f>
        <v/>
      </c>
      <c r="AE77" s="148">
        <f>IF(B77="","",IF(COUNTIF($B$5:$B$214,B77)&gt;1,"مكرر!",""))</f>
        <v/>
      </c>
      <c r="AF77" s="148">
        <f>IF(AND(B77&lt;&gt;"",F77="نشط",OR(Dash_Class="الكل",D77=Dash_Class)),1,0)</f>
        <v/>
      </c>
      <c r="AG77" s="40">
        <f>IF(OR(AF77=0,Dash_DayIdx=0),"",IF(INDEX('KG1-3'!$AD$7:$IM$7,Dash_DayIdx)&lt;&gt;"✓","",IF(INDEX('KG1-3'!$AD21:$IM21,Dash_DayIdx)="","P",IFERROR(INDEX(StatusCodes,MATCH(INDEX('KG1-3'!$AD21:$IM21,Dash_DayIdx),StatusLabels,0)),""))))</f>
        <v/>
      </c>
      <c r="AH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IF(LateAsPresent="نعم",COUNTIFS('KG1-3'!$AD21:$IM21,"متأخر",'KG1-3'!$AD$7:$IM$7,"✓",'KG1-3'!$AD$6:$IM$6,1,'KG1-3'!$AD$5:$IM$5,"&gt;="&amp;MAX('KG1-3'!$U21,Dash_PStart),'KG1-3'!$AD$5:$IM$5,"&lt;="&amp;Dash_PEnd),0))</f>
        <v/>
      </c>
      <c r="AI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COUNTIFS('KG1-3'!$AD21:$IM21,"غياب بدون عذر",'KG1-3'!$AD$7:$IM$7,"✓",'KG1-3'!$AD$6:$IM$6,1,'KG1-3'!$AD$5:$IM$5,"&gt;="&amp;MAX('KG1-3'!$U21,Dash_PStart),'KG1-3'!$AD$5:$IM$5,"&lt;="&amp;Dash_PEnd)+COUNTIFS('KG1-3'!$AD21:$IM21,"غياب بعذر",'KG1-3'!$AD$7:$IM$7,"✓",'KG1-3'!$AD$6:$IM$6,1,'KG1-3'!$AD$5:$IM$5,"&gt;="&amp;MAX('KG1-3'!$U21,Dash_PStart),'KG1-3'!$AD$5:$IM$5,"&lt;="&amp;Dash_PEnd)+COUNTIFS('KG1-3'!$AD21:$IM21,"متأخر",'KG1-3'!$AD$7:$IM$7,"✓",'KG1-3'!$AD$6:$IM$6,1,'KG1-3'!$AD$5:$IM$5,"&gt;="&amp;MAX('KG1-3'!$U21,Dash_PStart),'KG1-3'!$AD$5:$IM$5,"&lt;="&amp;Dash_PEnd))</f>
        <v/>
      </c>
      <c r="AJ77" s="40">
        <f>IF(AF77=0,0,IF(W77=Dash_Date,Thr_Critical,IF(V77=Dash_Date,Thr_High,IF(U77=Dash_Date,Thr_Repeated,IF(T77=Dash_Date,Thr_FollowUp,0)))))</f>
        <v/>
      </c>
      <c r="AK77" s="40">
        <f>IF(AJ77&gt;0,COUNTIF($AJ$5:AJ77,"&gt;0"),"")</f>
        <v/>
      </c>
      <c r="AL77" s="40">
        <f>IF(AND(B77&lt;&gt;"",F77="نشط",Q77&lt;&gt;"",Q77&gt;0),L77*1000+(999-ROW()),"")</f>
        <v/>
      </c>
      <c r="AM77" s="40">
        <f>IF(AND(AF77=1,J77&lt;&gt;"",J77&gt;0),ROUND(O77*10000,0)*1000000+K77*1000+(999-ROW()),"")</f>
        <v/>
      </c>
      <c r="AN77" s="40">
        <f>IF(AND(AF77=1,J77&lt;&gt;"",J77&gt;0),(L77+M77)*10000000+ROUND((1-O77)*10000,0)*1000+(999-ROW()),"")</f>
        <v/>
      </c>
      <c r="AO77" s="40">
        <f>IF(AND(AF77=1,Q77&lt;&gt;"",Q77&gt;=Thr_Critical),L77*1000+(999-ROW()),"")</f>
        <v/>
      </c>
      <c r="AP77" s="40">
        <f>IF(AND(B77&lt;&gt;"",F77="نشط",OR(Rpt_Class="الكل",D77=Rpt_Class)),1,0)</f>
        <v/>
      </c>
      <c r="AQ77" s="40">
        <f>IF(AND(AP77=1,Q77&lt;&gt;"",Q77&gt;0),L77*1000+(999-ROW()),"")</f>
        <v/>
      </c>
      <c r="AR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IF(LateAsPresent="نعم",COUNTIFS('KG1-3'!$AD21:$IM21,"متأخر",'KG1-3'!$AD$7:$IM$7,"✓",'KG1-3'!$AD$6:$IM$6,1,'KG1-3'!$AD$5:$IM$5,"&gt;="&amp;MAX('KG1-3'!$U21,Rpt_PStart),'KG1-3'!$AD$5:$IM$5,"&lt;="&amp;Rpt_PEnd),0))</f>
        <v/>
      </c>
      <c r="AS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COUNTIFS('KG1-3'!$AD21:$IM21,"غياب بدون عذر",'KG1-3'!$AD$7:$IM$7,"✓",'KG1-3'!$AD$6:$IM$6,1,'KG1-3'!$AD$5:$IM$5,"&gt;="&amp;MAX('KG1-3'!$U21,Rpt_PStart),'KG1-3'!$AD$5:$IM$5,"&lt;="&amp;Rpt_PEnd)+COUNTIFS('KG1-3'!$AD21:$IM21,"غياب بعذر",'KG1-3'!$AD$7:$IM$7,"✓",'KG1-3'!$AD$6:$IM$6,1,'KG1-3'!$AD$5:$IM$5,"&gt;="&amp;MAX('KG1-3'!$U21,Rpt_PStart),'KG1-3'!$AD$5:$IM$5,"&lt;="&amp;Rpt_PEnd)+COUNTIFS('KG1-3'!$AD21:$IM21,"متأخر",'KG1-3'!$AD$7:$IM$7,"✓",'KG1-3'!$AD$6:$IM$6,1,'KG1-3'!$AD$5:$IM$5,"&gt;="&amp;MAX('KG1-3'!$U21,Rpt_PStart),'KG1-3'!$AD$5:$IM$5,"&lt;="&amp;Rpt_PEnd))</f>
        <v/>
      </c>
      <c r="AT77" s="40">
        <f>IF(AP77=0,"",COUNTIFS('KG1-3'!$AD21:$IM21,"غياب بدون عذر",'KG1-3'!$AD$7:$IM$7,"✓",'KG1-3'!$AD$6:$IM$6,1,'KG1-3'!$AD$5:$IM$5,"&gt;="&amp;MAX('KG1-3'!$U21,Rpt_PStart),'KG1-3'!$AD$5:$IM$5,"&lt;="&amp;Rpt_PEnd)+COUNTIFS('KG1-3'!$AD21:$IM21,"غياب بعذر",'KG1-3'!$AD$7:$IM$7,"✓",'KG1-3'!$AD$6:$IM$6,1,'KG1-3'!$AD$5:$IM$5,"&gt;="&amp;MAX('KG1-3'!$U21,Rpt_PStart),'KG1-3'!$AD$5:$IM$5,"&lt;="&amp;Rpt_PEnd))</f>
        <v/>
      </c>
      <c r="AU77" s="40" t="n">
        <v>3</v>
      </c>
      <c r="AV77" s="40" t="n">
        <v>13</v>
      </c>
      <c r="AW77" s="40">
        <f>IF(OR(AP77=0,Rpt_DayIdx=0),"",IF(INDEX('KG1-3'!$AD$7:$IM$7,Rpt_DayIdx)&lt;&gt;"✓","",IF(INDEX('KG1-3'!$AD21:$IM21,Rpt_DayIdx)="","P",IFERROR(INDEX(StatusCodes,MATCH(INDEX('KG1-3'!$AD21:$IM21,Rpt_DayIdx),StatusLabels,0)),""))))</f>
        <v/>
      </c>
      <c r="AX77" s="40">
        <f>IF(AND(AP77=1,OR(AW77="A",AW77="E")),COUNTIFS($AP$5:AP77,1,$AW$5:AW77,"A")+COUNTIFS($AP$5:AP77,1,$AW$5:AW77,"E"),"")</f>
        <v/>
      </c>
    </row>
    <row r="78">
      <c r="A78" s="148">
        <f>IF(B78="","",ROW()-4)</f>
        <v/>
      </c>
      <c r="B78" s="148">
        <f>IF('KG1-3'!$B22="","",'KG1-3'!$B22)</f>
        <v/>
      </c>
      <c r="C78" s="146">
        <f>IF('KG1-3'!$C22="","",'KG1-3'!$C22)</f>
        <v/>
      </c>
      <c r="D78" s="148">
        <f>IF(B78="","",'KG1-3'!$B$2)</f>
        <v/>
      </c>
      <c r="E78" s="148">
        <f>IF(B78="","",MID(D78,FIND("-",D78&amp;"-")+1,10))</f>
        <v/>
      </c>
      <c r="F78" s="148">
        <f>IF(B78="","","نشط")</f>
        <v/>
      </c>
      <c r="G78" s="157">
        <f>IF(B78="","","")</f>
        <v/>
      </c>
      <c r="H78" s="146">
        <f>IF('KG1-3'!$K22="","",'KG1-3'!$K22)</f>
        <v/>
      </c>
      <c r="I78" s="148">
        <f>IF('KG1-3'!$J22="","",'KG1-3'!$J22)</f>
        <v/>
      </c>
      <c r="J78" s="148">
        <f>IF('KG1-3'!$M22="","",'KG1-3'!$M22)</f>
        <v/>
      </c>
      <c r="K78" s="148">
        <f>IF('KG1-3'!$N22="","",'KG1-3'!$N22)</f>
        <v/>
      </c>
      <c r="L78" s="148">
        <f>IF('KG1-3'!$D22="","",'KG1-3'!$D22)</f>
        <v/>
      </c>
      <c r="M78" s="148">
        <f>IF('KG1-3'!$E22="","",'KG1-3'!$E22)</f>
        <v/>
      </c>
      <c r="N78" s="148">
        <f>IF('KG1-3'!$F22="","",'KG1-3'!$F22)</f>
        <v/>
      </c>
      <c r="O78" s="158">
        <f>IF('KG1-3'!$G22="","",'KG1-3'!$G22)</f>
        <v/>
      </c>
      <c r="P78" s="158">
        <f>IF('KG1-3'!$O22="","",'KG1-3'!$O22)</f>
        <v/>
      </c>
      <c r="Q78" s="148">
        <f>IF('KG1-3'!$T22="","",'KG1-3'!$T22)</f>
        <v/>
      </c>
      <c r="R78" s="146">
        <f>IF('KG1-3'!$H22="","",'KG1-3'!$H22)</f>
        <v/>
      </c>
      <c r="S78" s="157">
        <f>IF('KG1-3'!$P22="","",'KG1-3'!$P22)</f>
        <v/>
      </c>
      <c r="T78" s="157">
        <f>IF('KG1-3'!$V22="","",'KG1-3'!$V22)</f>
        <v/>
      </c>
      <c r="U78" s="157">
        <f>IF('KG1-3'!$W22="","",'KG1-3'!$W22)</f>
        <v/>
      </c>
      <c r="V78" s="157">
        <f>IF('KG1-3'!$X22="","",'KG1-3'!$X22)</f>
        <v/>
      </c>
      <c r="W78" s="157">
        <f>IF('KG1-3'!$Y22="","",'KG1-3'!$Y22)</f>
        <v/>
      </c>
      <c r="X78" s="157">
        <f>IF('KG1-3'!$R22="","",'KG1-3'!$R22)</f>
        <v/>
      </c>
      <c r="Y78" s="148">
        <f>IF('KG1-3'!$S22="","",'KG1-3'!$S22)</f>
        <v/>
      </c>
      <c r="Z78" s="148">
        <f>IF('KG1-3'!$Q22="","",'KG1-3'!$Q22)</f>
        <v/>
      </c>
      <c r="AA78" s="148">
        <f>IF('KG1-3'!$I22="","",'KG1-3'!$I22)</f>
        <v/>
      </c>
      <c r="AB78" s="146">
        <f>IF(Q78="","",INDEX(LevelActions,MATCH(Q78,LevelValues,0)))</f>
        <v/>
      </c>
      <c r="AC78" s="148">
        <f>IF(J78="","",IF(J78=0,"—",IF(AND(L78=0,M78=0),Cat_L1,IF(O78&gt;=Cat_95,Cat_L2,IF(O78&gt;=Cat_90,Cat_L3,Cat_L4)))))</f>
        <v/>
      </c>
      <c r="AD78" s="146">
        <f>IF('KG1-3'!$L22="","",'KG1-3'!$L22)</f>
        <v/>
      </c>
      <c r="AE78" s="148">
        <f>IF(B78="","",IF(COUNTIF($B$5:$B$214,B78)&gt;1,"مكرر!",""))</f>
        <v/>
      </c>
      <c r="AF78" s="148">
        <f>IF(AND(B78&lt;&gt;"",F78="نشط",OR(Dash_Class="الكل",D78=Dash_Class)),1,0)</f>
        <v/>
      </c>
      <c r="AG78" s="40">
        <f>IF(OR(AF78=0,Dash_DayIdx=0),"",IF(INDEX('KG1-3'!$AD$7:$IM$7,Dash_DayIdx)&lt;&gt;"✓","",IF(INDEX('KG1-3'!$AD22:$IM22,Dash_DayIdx)="","P",IFERROR(INDEX(StatusCodes,MATCH(INDEX('KG1-3'!$AD22:$IM22,Dash_DayIdx),StatusLabels,0)),""))))</f>
        <v/>
      </c>
      <c r="AH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IF(LateAsPresent="نعم",COUNTIFS('KG1-3'!$AD22:$IM22,"متأخر",'KG1-3'!$AD$7:$IM$7,"✓",'KG1-3'!$AD$6:$IM$6,1,'KG1-3'!$AD$5:$IM$5,"&gt;="&amp;MAX('KG1-3'!$U22,Dash_PStart),'KG1-3'!$AD$5:$IM$5,"&lt;="&amp;Dash_PEnd),0))</f>
        <v/>
      </c>
      <c r="AI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COUNTIFS('KG1-3'!$AD22:$IM22,"غياب بدون عذر",'KG1-3'!$AD$7:$IM$7,"✓",'KG1-3'!$AD$6:$IM$6,1,'KG1-3'!$AD$5:$IM$5,"&gt;="&amp;MAX('KG1-3'!$U22,Dash_PStart),'KG1-3'!$AD$5:$IM$5,"&lt;="&amp;Dash_PEnd)+COUNTIFS('KG1-3'!$AD22:$IM22,"غياب بعذر",'KG1-3'!$AD$7:$IM$7,"✓",'KG1-3'!$AD$6:$IM$6,1,'KG1-3'!$AD$5:$IM$5,"&gt;="&amp;MAX('KG1-3'!$U22,Dash_PStart),'KG1-3'!$AD$5:$IM$5,"&lt;="&amp;Dash_PEnd)+COUNTIFS('KG1-3'!$AD22:$IM22,"متأخر",'KG1-3'!$AD$7:$IM$7,"✓",'KG1-3'!$AD$6:$IM$6,1,'KG1-3'!$AD$5:$IM$5,"&gt;="&amp;MAX('KG1-3'!$U22,Dash_PStart),'KG1-3'!$AD$5:$IM$5,"&lt;="&amp;Dash_PEnd))</f>
        <v/>
      </c>
      <c r="AJ78" s="40">
        <f>IF(AF78=0,0,IF(W78=Dash_Date,Thr_Critical,IF(V78=Dash_Date,Thr_High,IF(U78=Dash_Date,Thr_Repeated,IF(T78=Dash_Date,Thr_FollowUp,0)))))</f>
        <v/>
      </c>
      <c r="AK78" s="40">
        <f>IF(AJ78&gt;0,COUNTIF($AJ$5:AJ78,"&gt;0"),"")</f>
        <v/>
      </c>
      <c r="AL78" s="40">
        <f>IF(AND(B78&lt;&gt;"",F78="نشط",Q78&lt;&gt;"",Q78&gt;0),L78*1000+(999-ROW()),"")</f>
        <v/>
      </c>
      <c r="AM78" s="40">
        <f>IF(AND(AF78=1,J78&lt;&gt;"",J78&gt;0),ROUND(O78*10000,0)*1000000+K78*1000+(999-ROW()),"")</f>
        <v/>
      </c>
      <c r="AN78" s="40">
        <f>IF(AND(AF78=1,J78&lt;&gt;"",J78&gt;0),(L78+M78)*10000000+ROUND((1-O78)*10000,0)*1000+(999-ROW()),"")</f>
        <v/>
      </c>
      <c r="AO78" s="40">
        <f>IF(AND(AF78=1,Q78&lt;&gt;"",Q78&gt;=Thr_Critical),L78*1000+(999-ROW()),"")</f>
        <v/>
      </c>
      <c r="AP78" s="40">
        <f>IF(AND(B78&lt;&gt;"",F78="نشط",OR(Rpt_Class="الكل",D78=Rpt_Class)),1,0)</f>
        <v/>
      </c>
      <c r="AQ78" s="40">
        <f>IF(AND(AP78=1,Q78&lt;&gt;"",Q78&gt;0),L78*1000+(999-ROW()),"")</f>
        <v/>
      </c>
      <c r="AR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IF(LateAsPresent="نعم",COUNTIFS('KG1-3'!$AD22:$IM22,"متأخر",'KG1-3'!$AD$7:$IM$7,"✓",'KG1-3'!$AD$6:$IM$6,1,'KG1-3'!$AD$5:$IM$5,"&gt;="&amp;MAX('KG1-3'!$U22,Rpt_PStart),'KG1-3'!$AD$5:$IM$5,"&lt;="&amp;Rpt_PEnd),0))</f>
        <v/>
      </c>
      <c r="AS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COUNTIFS('KG1-3'!$AD22:$IM22,"غياب بدون عذر",'KG1-3'!$AD$7:$IM$7,"✓",'KG1-3'!$AD$6:$IM$6,1,'KG1-3'!$AD$5:$IM$5,"&gt;="&amp;MAX('KG1-3'!$U22,Rpt_PStart),'KG1-3'!$AD$5:$IM$5,"&lt;="&amp;Rpt_PEnd)+COUNTIFS('KG1-3'!$AD22:$IM22,"غياب بعذر",'KG1-3'!$AD$7:$IM$7,"✓",'KG1-3'!$AD$6:$IM$6,1,'KG1-3'!$AD$5:$IM$5,"&gt;="&amp;MAX('KG1-3'!$U22,Rpt_PStart),'KG1-3'!$AD$5:$IM$5,"&lt;="&amp;Rpt_PEnd)+COUNTIFS('KG1-3'!$AD22:$IM22,"متأخر",'KG1-3'!$AD$7:$IM$7,"✓",'KG1-3'!$AD$6:$IM$6,1,'KG1-3'!$AD$5:$IM$5,"&gt;="&amp;MAX('KG1-3'!$U22,Rpt_PStart),'KG1-3'!$AD$5:$IM$5,"&lt;="&amp;Rpt_PEnd))</f>
        <v/>
      </c>
      <c r="AT78" s="40">
        <f>IF(AP78=0,"",COUNTIFS('KG1-3'!$AD22:$IM22,"غياب بدون عذر",'KG1-3'!$AD$7:$IM$7,"✓",'KG1-3'!$AD$6:$IM$6,1,'KG1-3'!$AD$5:$IM$5,"&gt;="&amp;MAX('KG1-3'!$U22,Rpt_PStart),'KG1-3'!$AD$5:$IM$5,"&lt;="&amp;Rpt_PEnd)+COUNTIFS('KG1-3'!$AD22:$IM22,"غياب بعذر",'KG1-3'!$AD$7:$IM$7,"✓",'KG1-3'!$AD$6:$IM$6,1,'KG1-3'!$AD$5:$IM$5,"&gt;="&amp;MAX('KG1-3'!$U22,Rpt_PStart),'KG1-3'!$AD$5:$IM$5,"&lt;="&amp;Rpt_PEnd))</f>
        <v/>
      </c>
      <c r="AU78" s="40" t="n">
        <v>3</v>
      </c>
      <c r="AV78" s="40" t="n">
        <v>14</v>
      </c>
      <c r="AW78" s="40">
        <f>IF(OR(AP78=0,Rpt_DayIdx=0),"",IF(INDEX('KG1-3'!$AD$7:$IM$7,Rpt_DayIdx)&lt;&gt;"✓","",IF(INDEX('KG1-3'!$AD22:$IM22,Rpt_DayIdx)="","P",IFERROR(INDEX(StatusCodes,MATCH(INDEX('KG1-3'!$AD22:$IM22,Rpt_DayIdx),StatusLabels,0)),""))))</f>
        <v/>
      </c>
      <c r="AX78" s="40">
        <f>IF(AND(AP78=1,OR(AW78="A",AW78="E")),COUNTIFS($AP$5:AP78,1,$AW$5:AW78,"A")+COUNTIFS($AP$5:AP78,1,$AW$5:AW78,"E"),"")</f>
        <v/>
      </c>
    </row>
    <row r="79">
      <c r="A79" s="148">
        <f>IF(B79="","",ROW()-4)</f>
        <v/>
      </c>
      <c r="B79" s="148">
        <f>IF('KG1-3'!$B23="","",'KG1-3'!$B23)</f>
        <v/>
      </c>
      <c r="C79" s="146">
        <f>IF('KG1-3'!$C23="","",'KG1-3'!$C23)</f>
        <v/>
      </c>
      <c r="D79" s="148">
        <f>IF(B79="","",'KG1-3'!$B$2)</f>
        <v/>
      </c>
      <c r="E79" s="148">
        <f>IF(B79="","",MID(D79,FIND("-",D79&amp;"-")+1,10))</f>
        <v/>
      </c>
      <c r="F79" s="148">
        <f>IF(B79="","","نشط")</f>
        <v/>
      </c>
      <c r="G79" s="157">
        <f>IF(B79="","","")</f>
        <v/>
      </c>
      <c r="H79" s="146">
        <f>IF('KG1-3'!$K23="","",'KG1-3'!$K23)</f>
        <v/>
      </c>
      <c r="I79" s="148">
        <f>IF('KG1-3'!$J23="","",'KG1-3'!$J23)</f>
        <v/>
      </c>
      <c r="J79" s="148">
        <f>IF('KG1-3'!$M23="","",'KG1-3'!$M23)</f>
        <v/>
      </c>
      <c r="K79" s="148">
        <f>IF('KG1-3'!$N23="","",'KG1-3'!$N23)</f>
        <v/>
      </c>
      <c r="L79" s="148">
        <f>IF('KG1-3'!$D23="","",'KG1-3'!$D23)</f>
        <v/>
      </c>
      <c r="M79" s="148">
        <f>IF('KG1-3'!$E23="","",'KG1-3'!$E23)</f>
        <v/>
      </c>
      <c r="N79" s="148">
        <f>IF('KG1-3'!$F23="","",'KG1-3'!$F23)</f>
        <v/>
      </c>
      <c r="O79" s="158">
        <f>IF('KG1-3'!$G23="","",'KG1-3'!$G23)</f>
        <v/>
      </c>
      <c r="P79" s="158">
        <f>IF('KG1-3'!$O23="","",'KG1-3'!$O23)</f>
        <v/>
      </c>
      <c r="Q79" s="148">
        <f>IF('KG1-3'!$T23="","",'KG1-3'!$T23)</f>
        <v/>
      </c>
      <c r="R79" s="146">
        <f>IF('KG1-3'!$H23="","",'KG1-3'!$H23)</f>
        <v/>
      </c>
      <c r="S79" s="157">
        <f>IF('KG1-3'!$P23="","",'KG1-3'!$P23)</f>
        <v/>
      </c>
      <c r="T79" s="157">
        <f>IF('KG1-3'!$V23="","",'KG1-3'!$V23)</f>
        <v/>
      </c>
      <c r="U79" s="157">
        <f>IF('KG1-3'!$W23="","",'KG1-3'!$W23)</f>
        <v/>
      </c>
      <c r="V79" s="157">
        <f>IF('KG1-3'!$X23="","",'KG1-3'!$X23)</f>
        <v/>
      </c>
      <c r="W79" s="157">
        <f>IF('KG1-3'!$Y23="","",'KG1-3'!$Y23)</f>
        <v/>
      </c>
      <c r="X79" s="157">
        <f>IF('KG1-3'!$R23="","",'KG1-3'!$R23)</f>
        <v/>
      </c>
      <c r="Y79" s="148">
        <f>IF('KG1-3'!$S23="","",'KG1-3'!$S23)</f>
        <v/>
      </c>
      <c r="Z79" s="148">
        <f>IF('KG1-3'!$Q23="","",'KG1-3'!$Q23)</f>
        <v/>
      </c>
      <c r="AA79" s="148">
        <f>IF('KG1-3'!$I23="","",'KG1-3'!$I23)</f>
        <v/>
      </c>
      <c r="AB79" s="146">
        <f>IF(Q79="","",INDEX(LevelActions,MATCH(Q79,LevelValues,0)))</f>
        <v/>
      </c>
      <c r="AC79" s="148">
        <f>IF(J79="","",IF(J79=0,"—",IF(AND(L79=0,M79=0),Cat_L1,IF(O79&gt;=Cat_95,Cat_L2,IF(O79&gt;=Cat_90,Cat_L3,Cat_L4)))))</f>
        <v/>
      </c>
      <c r="AD79" s="146">
        <f>IF('KG1-3'!$L23="","",'KG1-3'!$L23)</f>
        <v/>
      </c>
      <c r="AE79" s="148">
        <f>IF(B79="","",IF(COUNTIF($B$5:$B$214,B79)&gt;1,"مكرر!",""))</f>
        <v/>
      </c>
      <c r="AF79" s="148">
        <f>IF(AND(B79&lt;&gt;"",F79="نشط",OR(Dash_Class="الكل",D79=Dash_Class)),1,0)</f>
        <v/>
      </c>
      <c r="AG79" s="40">
        <f>IF(OR(AF79=0,Dash_DayIdx=0),"",IF(INDEX('KG1-3'!$AD$7:$IM$7,Dash_DayIdx)&lt;&gt;"✓","",IF(INDEX('KG1-3'!$AD23:$IM23,Dash_DayIdx)="","P",IFERROR(INDEX(StatusCodes,MATCH(INDEX('KG1-3'!$AD23:$IM23,Dash_DayIdx),StatusLabels,0)),""))))</f>
        <v/>
      </c>
      <c r="AH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IF(LateAsPresent="نعم",COUNTIFS('KG1-3'!$AD23:$IM23,"متأخر",'KG1-3'!$AD$7:$IM$7,"✓",'KG1-3'!$AD$6:$IM$6,1,'KG1-3'!$AD$5:$IM$5,"&gt;="&amp;MAX('KG1-3'!$U23,Dash_PStart),'KG1-3'!$AD$5:$IM$5,"&lt;="&amp;Dash_PEnd),0))</f>
        <v/>
      </c>
      <c r="AI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COUNTIFS('KG1-3'!$AD23:$IM23,"غياب بدون عذر",'KG1-3'!$AD$7:$IM$7,"✓",'KG1-3'!$AD$6:$IM$6,1,'KG1-3'!$AD$5:$IM$5,"&gt;="&amp;MAX('KG1-3'!$U23,Dash_PStart),'KG1-3'!$AD$5:$IM$5,"&lt;="&amp;Dash_PEnd)+COUNTIFS('KG1-3'!$AD23:$IM23,"غياب بعذر",'KG1-3'!$AD$7:$IM$7,"✓",'KG1-3'!$AD$6:$IM$6,1,'KG1-3'!$AD$5:$IM$5,"&gt;="&amp;MAX('KG1-3'!$U23,Dash_PStart),'KG1-3'!$AD$5:$IM$5,"&lt;="&amp;Dash_PEnd)+COUNTIFS('KG1-3'!$AD23:$IM23,"متأخر",'KG1-3'!$AD$7:$IM$7,"✓",'KG1-3'!$AD$6:$IM$6,1,'KG1-3'!$AD$5:$IM$5,"&gt;="&amp;MAX('KG1-3'!$U23,Dash_PStart),'KG1-3'!$AD$5:$IM$5,"&lt;="&amp;Dash_PEnd))</f>
        <v/>
      </c>
      <c r="AJ79" s="40">
        <f>IF(AF79=0,0,IF(W79=Dash_Date,Thr_Critical,IF(V79=Dash_Date,Thr_High,IF(U79=Dash_Date,Thr_Repeated,IF(T79=Dash_Date,Thr_FollowUp,0)))))</f>
        <v/>
      </c>
      <c r="AK79" s="40">
        <f>IF(AJ79&gt;0,COUNTIF($AJ$5:AJ79,"&gt;0"),"")</f>
        <v/>
      </c>
      <c r="AL79" s="40">
        <f>IF(AND(B79&lt;&gt;"",F79="نشط",Q79&lt;&gt;"",Q79&gt;0),L79*1000+(999-ROW()),"")</f>
        <v/>
      </c>
      <c r="AM79" s="40">
        <f>IF(AND(AF79=1,J79&lt;&gt;"",J79&gt;0),ROUND(O79*10000,0)*1000000+K79*1000+(999-ROW()),"")</f>
        <v/>
      </c>
      <c r="AN79" s="40">
        <f>IF(AND(AF79=1,J79&lt;&gt;"",J79&gt;0),(L79+M79)*10000000+ROUND((1-O79)*10000,0)*1000+(999-ROW()),"")</f>
        <v/>
      </c>
      <c r="AO79" s="40">
        <f>IF(AND(AF79=1,Q79&lt;&gt;"",Q79&gt;=Thr_Critical),L79*1000+(999-ROW()),"")</f>
        <v/>
      </c>
      <c r="AP79" s="40">
        <f>IF(AND(B79&lt;&gt;"",F79="نشط",OR(Rpt_Class="الكل",D79=Rpt_Class)),1,0)</f>
        <v/>
      </c>
      <c r="AQ79" s="40">
        <f>IF(AND(AP79=1,Q79&lt;&gt;"",Q79&gt;0),L79*1000+(999-ROW()),"")</f>
        <v/>
      </c>
      <c r="AR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IF(LateAsPresent="نعم",COUNTIFS('KG1-3'!$AD23:$IM23,"متأخر",'KG1-3'!$AD$7:$IM$7,"✓",'KG1-3'!$AD$6:$IM$6,1,'KG1-3'!$AD$5:$IM$5,"&gt;="&amp;MAX('KG1-3'!$U23,Rpt_PStart),'KG1-3'!$AD$5:$IM$5,"&lt;="&amp;Rpt_PEnd),0))</f>
        <v/>
      </c>
      <c r="AS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COUNTIFS('KG1-3'!$AD23:$IM23,"غياب بدون عذر",'KG1-3'!$AD$7:$IM$7,"✓",'KG1-3'!$AD$6:$IM$6,1,'KG1-3'!$AD$5:$IM$5,"&gt;="&amp;MAX('KG1-3'!$U23,Rpt_PStart),'KG1-3'!$AD$5:$IM$5,"&lt;="&amp;Rpt_PEnd)+COUNTIFS('KG1-3'!$AD23:$IM23,"غياب بعذر",'KG1-3'!$AD$7:$IM$7,"✓",'KG1-3'!$AD$6:$IM$6,1,'KG1-3'!$AD$5:$IM$5,"&gt;="&amp;MAX('KG1-3'!$U23,Rpt_PStart),'KG1-3'!$AD$5:$IM$5,"&lt;="&amp;Rpt_PEnd)+COUNTIFS('KG1-3'!$AD23:$IM23,"متأخر",'KG1-3'!$AD$7:$IM$7,"✓",'KG1-3'!$AD$6:$IM$6,1,'KG1-3'!$AD$5:$IM$5,"&gt;="&amp;MAX('KG1-3'!$U23,Rpt_PStart),'KG1-3'!$AD$5:$IM$5,"&lt;="&amp;Rpt_PEnd))</f>
        <v/>
      </c>
      <c r="AT79" s="40">
        <f>IF(AP79=0,"",COUNTIFS('KG1-3'!$AD23:$IM23,"غياب بدون عذر",'KG1-3'!$AD$7:$IM$7,"✓",'KG1-3'!$AD$6:$IM$6,1,'KG1-3'!$AD$5:$IM$5,"&gt;="&amp;MAX('KG1-3'!$U23,Rpt_PStart),'KG1-3'!$AD$5:$IM$5,"&lt;="&amp;Rpt_PEnd)+COUNTIFS('KG1-3'!$AD23:$IM23,"غياب بعذر",'KG1-3'!$AD$7:$IM$7,"✓",'KG1-3'!$AD$6:$IM$6,1,'KG1-3'!$AD$5:$IM$5,"&gt;="&amp;MAX('KG1-3'!$U23,Rpt_PStart),'KG1-3'!$AD$5:$IM$5,"&lt;="&amp;Rpt_PEnd))</f>
        <v/>
      </c>
      <c r="AU79" s="40" t="n">
        <v>3</v>
      </c>
      <c r="AV79" s="40" t="n">
        <v>15</v>
      </c>
      <c r="AW79" s="40">
        <f>IF(OR(AP79=0,Rpt_DayIdx=0),"",IF(INDEX('KG1-3'!$AD$7:$IM$7,Rpt_DayIdx)&lt;&gt;"✓","",IF(INDEX('KG1-3'!$AD23:$IM23,Rpt_DayIdx)="","P",IFERROR(INDEX(StatusCodes,MATCH(INDEX('KG1-3'!$AD23:$IM23,Rpt_DayIdx),StatusLabels,0)),""))))</f>
        <v/>
      </c>
      <c r="AX79" s="40">
        <f>IF(AND(AP79=1,OR(AW79="A",AW79="E")),COUNTIFS($AP$5:AP79,1,$AW$5:AW79,"A")+COUNTIFS($AP$5:AP79,1,$AW$5:AW79,"E"),"")</f>
        <v/>
      </c>
    </row>
    <row r="80">
      <c r="A80" s="148">
        <f>IF(B80="","",ROW()-4)</f>
        <v/>
      </c>
      <c r="B80" s="148">
        <f>IF('KG1-3'!$B24="","",'KG1-3'!$B24)</f>
        <v/>
      </c>
      <c r="C80" s="146">
        <f>IF('KG1-3'!$C24="","",'KG1-3'!$C24)</f>
        <v/>
      </c>
      <c r="D80" s="148">
        <f>IF(B80="","",'KG1-3'!$B$2)</f>
        <v/>
      </c>
      <c r="E80" s="148">
        <f>IF(B80="","",MID(D80,FIND("-",D80&amp;"-")+1,10))</f>
        <v/>
      </c>
      <c r="F80" s="148">
        <f>IF(B80="","","نشط")</f>
        <v/>
      </c>
      <c r="G80" s="157">
        <f>IF(B80="","","")</f>
        <v/>
      </c>
      <c r="H80" s="146">
        <f>IF('KG1-3'!$K24="","",'KG1-3'!$K24)</f>
        <v/>
      </c>
      <c r="I80" s="148">
        <f>IF('KG1-3'!$J24="","",'KG1-3'!$J24)</f>
        <v/>
      </c>
      <c r="J80" s="148">
        <f>IF('KG1-3'!$M24="","",'KG1-3'!$M24)</f>
        <v/>
      </c>
      <c r="K80" s="148">
        <f>IF('KG1-3'!$N24="","",'KG1-3'!$N24)</f>
        <v/>
      </c>
      <c r="L80" s="148">
        <f>IF('KG1-3'!$D24="","",'KG1-3'!$D24)</f>
        <v/>
      </c>
      <c r="M80" s="148">
        <f>IF('KG1-3'!$E24="","",'KG1-3'!$E24)</f>
        <v/>
      </c>
      <c r="N80" s="148">
        <f>IF('KG1-3'!$F24="","",'KG1-3'!$F24)</f>
        <v/>
      </c>
      <c r="O80" s="158">
        <f>IF('KG1-3'!$G24="","",'KG1-3'!$G24)</f>
        <v/>
      </c>
      <c r="P80" s="158">
        <f>IF('KG1-3'!$O24="","",'KG1-3'!$O24)</f>
        <v/>
      </c>
      <c r="Q80" s="148">
        <f>IF('KG1-3'!$T24="","",'KG1-3'!$T24)</f>
        <v/>
      </c>
      <c r="R80" s="146">
        <f>IF('KG1-3'!$H24="","",'KG1-3'!$H24)</f>
        <v/>
      </c>
      <c r="S80" s="157">
        <f>IF('KG1-3'!$P24="","",'KG1-3'!$P24)</f>
        <v/>
      </c>
      <c r="T80" s="157">
        <f>IF('KG1-3'!$V24="","",'KG1-3'!$V24)</f>
        <v/>
      </c>
      <c r="U80" s="157">
        <f>IF('KG1-3'!$W24="","",'KG1-3'!$W24)</f>
        <v/>
      </c>
      <c r="V80" s="157">
        <f>IF('KG1-3'!$X24="","",'KG1-3'!$X24)</f>
        <v/>
      </c>
      <c r="W80" s="157">
        <f>IF('KG1-3'!$Y24="","",'KG1-3'!$Y24)</f>
        <v/>
      </c>
      <c r="X80" s="157">
        <f>IF('KG1-3'!$R24="","",'KG1-3'!$R24)</f>
        <v/>
      </c>
      <c r="Y80" s="148">
        <f>IF('KG1-3'!$S24="","",'KG1-3'!$S24)</f>
        <v/>
      </c>
      <c r="Z80" s="148">
        <f>IF('KG1-3'!$Q24="","",'KG1-3'!$Q24)</f>
        <v/>
      </c>
      <c r="AA80" s="148">
        <f>IF('KG1-3'!$I24="","",'KG1-3'!$I24)</f>
        <v/>
      </c>
      <c r="AB80" s="146">
        <f>IF(Q80="","",INDEX(LevelActions,MATCH(Q80,LevelValues,0)))</f>
        <v/>
      </c>
      <c r="AC80" s="148">
        <f>IF(J80="","",IF(J80=0,"—",IF(AND(L80=0,M80=0),Cat_L1,IF(O80&gt;=Cat_95,Cat_L2,IF(O80&gt;=Cat_90,Cat_L3,Cat_L4)))))</f>
        <v/>
      </c>
      <c r="AD80" s="146">
        <f>IF('KG1-3'!$L24="","",'KG1-3'!$L24)</f>
        <v/>
      </c>
      <c r="AE80" s="148">
        <f>IF(B80="","",IF(COUNTIF($B$5:$B$214,B80)&gt;1,"مكرر!",""))</f>
        <v/>
      </c>
      <c r="AF80" s="148">
        <f>IF(AND(B80&lt;&gt;"",F80="نشط",OR(Dash_Class="الكل",D80=Dash_Class)),1,0)</f>
        <v/>
      </c>
      <c r="AG80" s="40">
        <f>IF(OR(AF80=0,Dash_DayIdx=0),"",IF(INDEX('KG1-3'!$AD$7:$IM$7,Dash_DayIdx)&lt;&gt;"✓","",IF(INDEX('KG1-3'!$AD24:$IM24,Dash_DayIdx)="","P",IFERROR(INDEX(StatusCodes,MATCH(INDEX('KG1-3'!$AD24:$IM24,Dash_DayIdx),StatusLabels,0)),""))))</f>
        <v/>
      </c>
      <c r="AH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IF(LateAsPresent="نعم",COUNTIFS('KG1-3'!$AD24:$IM24,"متأخر",'KG1-3'!$AD$7:$IM$7,"✓",'KG1-3'!$AD$6:$IM$6,1,'KG1-3'!$AD$5:$IM$5,"&gt;="&amp;MAX('KG1-3'!$U24,Dash_PStart),'KG1-3'!$AD$5:$IM$5,"&lt;="&amp;Dash_PEnd),0))</f>
        <v/>
      </c>
      <c r="AI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COUNTIFS('KG1-3'!$AD24:$IM24,"غياب بدون عذر",'KG1-3'!$AD$7:$IM$7,"✓",'KG1-3'!$AD$6:$IM$6,1,'KG1-3'!$AD$5:$IM$5,"&gt;="&amp;MAX('KG1-3'!$U24,Dash_PStart),'KG1-3'!$AD$5:$IM$5,"&lt;="&amp;Dash_PEnd)+COUNTIFS('KG1-3'!$AD24:$IM24,"غياب بعذر",'KG1-3'!$AD$7:$IM$7,"✓",'KG1-3'!$AD$6:$IM$6,1,'KG1-3'!$AD$5:$IM$5,"&gt;="&amp;MAX('KG1-3'!$U24,Dash_PStart),'KG1-3'!$AD$5:$IM$5,"&lt;="&amp;Dash_PEnd)+COUNTIFS('KG1-3'!$AD24:$IM24,"متأخر",'KG1-3'!$AD$7:$IM$7,"✓",'KG1-3'!$AD$6:$IM$6,1,'KG1-3'!$AD$5:$IM$5,"&gt;="&amp;MAX('KG1-3'!$U24,Dash_PStart),'KG1-3'!$AD$5:$IM$5,"&lt;="&amp;Dash_PEnd))</f>
        <v/>
      </c>
      <c r="AJ80" s="40">
        <f>IF(AF80=0,0,IF(W80=Dash_Date,Thr_Critical,IF(V80=Dash_Date,Thr_High,IF(U80=Dash_Date,Thr_Repeated,IF(T80=Dash_Date,Thr_FollowUp,0)))))</f>
        <v/>
      </c>
      <c r="AK80" s="40">
        <f>IF(AJ80&gt;0,COUNTIF($AJ$5:AJ80,"&gt;0"),"")</f>
        <v/>
      </c>
      <c r="AL80" s="40">
        <f>IF(AND(B80&lt;&gt;"",F80="نشط",Q80&lt;&gt;"",Q80&gt;0),L80*1000+(999-ROW()),"")</f>
        <v/>
      </c>
      <c r="AM80" s="40">
        <f>IF(AND(AF80=1,J80&lt;&gt;"",J80&gt;0),ROUND(O80*10000,0)*1000000+K80*1000+(999-ROW()),"")</f>
        <v/>
      </c>
      <c r="AN80" s="40">
        <f>IF(AND(AF80=1,J80&lt;&gt;"",J80&gt;0),(L80+M80)*10000000+ROUND((1-O80)*10000,0)*1000+(999-ROW()),"")</f>
        <v/>
      </c>
      <c r="AO80" s="40">
        <f>IF(AND(AF80=1,Q80&lt;&gt;"",Q80&gt;=Thr_Critical),L80*1000+(999-ROW()),"")</f>
        <v/>
      </c>
      <c r="AP80" s="40">
        <f>IF(AND(B80&lt;&gt;"",F80="نشط",OR(Rpt_Class="الكل",D80=Rpt_Class)),1,0)</f>
        <v/>
      </c>
      <c r="AQ80" s="40">
        <f>IF(AND(AP80=1,Q80&lt;&gt;"",Q80&gt;0),L80*1000+(999-ROW()),"")</f>
        <v/>
      </c>
      <c r="AR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IF(LateAsPresent="نعم",COUNTIFS('KG1-3'!$AD24:$IM24,"متأخر",'KG1-3'!$AD$7:$IM$7,"✓",'KG1-3'!$AD$6:$IM$6,1,'KG1-3'!$AD$5:$IM$5,"&gt;="&amp;MAX('KG1-3'!$U24,Rpt_PStart),'KG1-3'!$AD$5:$IM$5,"&lt;="&amp;Rpt_PEnd),0))</f>
        <v/>
      </c>
      <c r="AS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COUNTIFS('KG1-3'!$AD24:$IM24,"غياب بدون عذر",'KG1-3'!$AD$7:$IM$7,"✓",'KG1-3'!$AD$6:$IM$6,1,'KG1-3'!$AD$5:$IM$5,"&gt;="&amp;MAX('KG1-3'!$U24,Rpt_PStart),'KG1-3'!$AD$5:$IM$5,"&lt;="&amp;Rpt_PEnd)+COUNTIFS('KG1-3'!$AD24:$IM24,"غياب بعذر",'KG1-3'!$AD$7:$IM$7,"✓",'KG1-3'!$AD$6:$IM$6,1,'KG1-3'!$AD$5:$IM$5,"&gt;="&amp;MAX('KG1-3'!$U24,Rpt_PStart),'KG1-3'!$AD$5:$IM$5,"&lt;="&amp;Rpt_PEnd)+COUNTIFS('KG1-3'!$AD24:$IM24,"متأخر",'KG1-3'!$AD$7:$IM$7,"✓",'KG1-3'!$AD$6:$IM$6,1,'KG1-3'!$AD$5:$IM$5,"&gt;="&amp;MAX('KG1-3'!$U24,Rpt_PStart),'KG1-3'!$AD$5:$IM$5,"&lt;="&amp;Rpt_PEnd))</f>
        <v/>
      </c>
      <c r="AT80" s="40">
        <f>IF(AP80=0,"",COUNTIFS('KG1-3'!$AD24:$IM24,"غياب بدون عذر",'KG1-3'!$AD$7:$IM$7,"✓",'KG1-3'!$AD$6:$IM$6,1,'KG1-3'!$AD$5:$IM$5,"&gt;="&amp;MAX('KG1-3'!$U24,Rpt_PStart),'KG1-3'!$AD$5:$IM$5,"&lt;="&amp;Rpt_PEnd)+COUNTIFS('KG1-3'!$AD24:$IM24,"غياب بعذر",'KG1-3'!$AD$7:$IM$7,"✓",'KG1-3'!$AD$6:$IM$6,1,'KG1-3'!$AD$5:$IM$5,"&gt;="&amp;MAX('KG1-3'!$U24,Rpt_PStart),'KG1-3'!$AD$5:$IM$5,"&lt;="&amp;Rpt_PEnd))</f>
        <v/>
      </c>
      <c r="AU80" s="40" t="n">
        <v>3</v>
      </c>
      <c r="AV80" s="40" t="n">
        <v>16</v>
      </c>
      <c r="AW80" s="40">
        <f>IF(OR(AP80=0,Rpt_DayIdx=0),"",IF(INDEX('KG1-3'!$AD$7:$IM$7,Rpt_DayIdx)&lt;&gt;"✓","",IF(INDEX('KG1-3'!$AD24:$IM24,Rpt_DayIdx)="","P",IFERROR(INDEX(StatusCodes,MATCH(INDEX('KG1-3'!$AD24:$IM24,Rpt_DayIdx),StatusLabels,0)),""))))</f>
        <v/>
      </c>
      <c r="AX80" s="40">
        <f>IF(AND(AP80=1,OR(AW80="A",AW80="E")),COUNTIFS($AP$5:AP80,1,$AW$5:AW80,"A")+COUNTIFS($AP$5:AP80,1,$AW$5:AW80,"E"),"")</f>
        <v/>
      </c>
    </row>
    <row r="81">
      <c r="A81" s="148">
        <f>IF(B81="","",ROW()-4)</f>
        <v/>
      </c>
      <c r="B81" s="148">
        <f>IF('KG1-3'!$B25="","",'KG1-3'!$B25)</f>
        <v/>
      </c>
      <c r="C81" s="146">
        <f>IF('KG1-3'!$C25="","",'KG1-3'!$C25)</f>
        <v/>
      </c>
      <c r="D81" s="148">
        <f>IF(B81="","",'KG1-3'!$B$2)</f>
        <v/>
      </c>
      <c r="E81" s="148">
        <f>IF(B81="","",MID(D81,FIND("-",D81&amp;"-")+1,10))</f>
        <v/>
      </c>
      <c r="F81" s="148">
        <f>IF(B81="","","نشط")</f>
        <v/>
      </c>
      <c r="G81" s="157">
        <f>IF(B81="","","")</f>
        <v/>
      </c>
      <c r="H81" s="146">
        <f>IF('KG1-3'!$K25="","",'KG1-3'!$K25)</f>
        <v/>
      </c>
      <c r="I81" s="148">
        <f>IF('KG1-3'!$J25="","",'KG1-3'!$J25)</f>
        <v/>
      </c>
      <c r="J81" s="148">
        <f>IF('KG1-3'!$M25="","",'KG1-3'!$M25)</f>
        <v/>
      </c>
      <c r="K81" s="148">
        <f>IF('KG1-3'!$N25="","",'KG1-3'!$N25)</f>
        <v/>
      </c>
      <c r="L81" s="148">
        <f>IF('KG1-3'!$D25="","",'KG1-3'!$D25)</f>
        <v/>
      </c>
      <c r="M81" s="148">
        <f>IF('KG1-3'!$E25="","",'KG1-3'!$E25)</f>
        <v/>
      </c>
      <c r="N81" s="148">
        <f>IF('KG1-3'!$F25="","",'KG1-3'!$F25)</f>
        <v/>
      </c>
      <c r="O81" s="158">
        <f>IF('KG1-3'!$G25="","",'KG1-3'!$G25)</f>
        <v/>
      </c>
      <c r="P81" s="158">
        <f>IF('KG1-3'!$O25="","",'KG1-3'!$O25)</f>
        <v/>
      </c>
      <c r="Q81" s="148">
        <f>IF('KG1-3'!$T25="","",'KG1-3'!$T25)</f>
        <v/>
      </c>
      <c r="R81" s="146">
        <f>IF('KG1-3'!$H25="","",'KG1-3'!$H25)</f>
        <v/>
      </c>
      <c r="S81" s="157">
        <f>IF('KG1-3'!$P25="","",'KG1-3'!$P25)</f>
        <v/>
      </c>
      <c r="T81" s="157">
        <f>IF('KG1-3'!$V25="","",'KG1-3'!$V25)</f>
        <v/>
      </c>
      <c r="U81" s="157">
        <f>IF('KG1-3'!$W25="","",'KG1-3'!$W25)</f>
        <v/>
      </c>
      <c r="V81" s="157">
        <f>IF('KG1-3'!$X25="","",'KG1-3'!$X25)</f>
        <v/>
      </c>
      <c r="W81" s="157">
        <f>IF('KG1-3'!$Y25="","",'KG1-3'!$Y25)</f>
        <v/>
      </c>
      <c r="X81" s="157">
        <f>IF('KG1-3'!$R25="","",'KG1-3'!$R25)</f>
        <v/>
      </c>
      <c r="Y81" s="148">
        <f>IF('KG1-3'!$S25="","",'KG1-3'!$S25)</f>
        <v/>
      </c>
      <c r="Z81" s="148">
        <f>IF('KG1-3'!$Q25="","",'KG1-3'!$Q25)</f>
        <v/>
      </c>
      <c r="AA81" s="148">
        <f>IF('KG1-3'!$I25="","",'KG1-3'!$I25)</f>
        <v/>
      </c>
      <c r="AB81" s="146">
        <f>IF(Q81="","",INDEX(LevelActions,MATCH(Q81,LevelValues,0)))</f>
        <v/>
      </c>
      <c r="AC81" s="148">
        <f>IF(J81="","",IF(J81=0,"—",IF(AND(L81=0,M81=0),Cat_L1,IF(O81&gt;=Cat_95,Cat_L2,IF(O81&gt;=Cat_90,Cat_L3,Cat_L4)))))</f>
        <v/>
      </c>
      <c r="AD81" s="146">
        <f>IF('KG1-3'!$L25="","",'KG1-3'!$L25)</f>
        <v/>
      </c>
      <c r="AE81" s="148">
        <f>IF(B81="","",IF(COUNTIF($B$5:$B$214,B81)&gt;1,"مكرر!",""))</f>
        <v/>
      </c>
      <c r="AF81" s="148">
        <f>IF(AND(B81&lt;&gt;"",F81="نشط",OR(Dash_Class="الكل",D81=Dash_Class)),1,0)</f>
        <v/>
      </c>
      <c r="AG81" s="40">
        <f>IF(OR(AF81=0,Dash_DayIdx=0),"",IF(INDEX('KG1-3'!$AD$7:$IM$7,Dash_DayIdx)&lt;&gt;"✓","",IF(INDEX('KG1-3'!$AD25:$IM25,Dash_DayIdx)="","P",IFERROR(INDEX(StatusCodes,MATCH(INDEX('KG1-3'!$AD25:$IM25,Dash_DayIdx),StatusLabels,0)),""))))</f>
        <v/>
      </c>
      <c r="AH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IF(LateAsPresent="نعم",COUNTIFS('KG1-3'!$AD25:$IM25,"متأخر",'KG1-3'!$AD$7:$IM$7,"✓",'KG1-3'!$AD$6:$IM$6,1,'KG1-3'!$AD$5:$IM$5,"&gt;="&amp;MAX('KG1-3'!$U25,Dash_PStart),'KG1-3'!$AD$5:$IM$5,"&lt;="&amp;Dash_PEnd),0))</f>
        <v/>
      </c>
      <c r="AI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COUNTIFS('KG1-3'!$AD25:$IM25,"غياب بدون عذر",'KG1-3'!$AD$7:$IM$7,"✓",'KG1-3'!$AD$6:$IM$6,1,'KG1-3'!$AD$5:$IM$5,"&gt;="&amp;MAX('KG1-3'!$U25,Dash_PStart),'KG1-3'!$AD$5:$IM$5,"&lt;="&amp;Dash_PEnd)+COUNTIFS('KG1-3'!$AD25:$IM25,"غياب بعذر",'KG1-3'!$AD$7:$IM$7,"✓",'KG1-3'!$AD$6:$IM$6,1,'KG1-3'!$AD$5:$IM$5,"&gt;="&amp;MAX('KG1-3'!$U25,Dash_PStart),'KG1-3'!$AD$5:$IM$5,"&lt;="&amp;Dash_PEnd)+COUNTIFS('KG1-3'!$AD25:$IM25,"متأخر",'KG1-3'!$AD$7:$IM$7,"✓",'KG1-3'!$AD$6:$IM$6,1,'KG1-3'!$AD$5:$IM$5,"&gt;="&amp;MAX('KG1-3'!$U25,Dash_PStart),'KG1-3'!$AD$5:$IM$5,"&lt;="&amp;Dash_PEnd))</f>
        <v/>
      </c>
      <c r="AJ81" s="40">
        <f>IF(AF81=0,0,IF(W81=Dash_Date,Thr_Critical,IF(V81=Dash_Date,Thr_High,IF(U81=Dash_Date,Thr_Repeated,IF(T81=Dash_Date,Thr_FollowUp,0)))))</f>
        <v/>
      </c>
      <c r="AK81" s="40">
        <f>IF(AJ81&gt;0,COUNTIF($AJ$5:AJ81,"&gt;0"),"")</f>
        <v/>
      </c>
      <c r="AL81" s="40">
        <f>IF(AND(B81&lt;&gt;"",F81="نشط",Q81&lt;&gt;"",Q81&gt;0),L81*1000+(999-ROW()),"")</f>
        <v/>
      </c>
      <c r="AM81" s="40">
        <f>IF(AND(AF81=1,J81&lt;&gt;"",J81&gt;0),ROUND(O81*10000,0)*1000000+K81*1000+(999-ROW()),"")</f>
        <v/>
      </c>
      <c r="AN81" s="40">
        <f>IF(AND(AF81=1,J81&lt;&gt;"",J81&gt;0),(L81+M81)*10000000+ROUND((1-O81)*10000,0)*1000+(999-ROW()),"")</f>
        <v/>
      </c>
      <c r="AO81" s="40">
        <f>IF(AND(AF81=1,Q81&lt;&gt;"",Q81&gt;=Thr_Critical),L81*1000+(999-ROW()),"")</f>
        <v/>
      </c>
      <c r="AP81" s="40">
        <f>IF(AND(B81&lt;&gt;"",F81="نشط",OR(Rpt_Class="الكل",D81=Rpt_Class)),1,0)</f>
        <v/>
      </c>
      <c r="AQ81" s="40">
        <f>IF(AND(AP81=1,Q81&lt;&gt;"",Q81&gt;0),L81*1000+(999-ROW()),"")</f>
        <v/>
      </c>
      <c r="AR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IF(LateAsPresent="نعم",COUNTIFS('KG1-3'!$AD25:$IM25,"متأخر",'KG1-3'!$AD$7:$IM$7,"✓",'KG1-3'!$AD$6:$IM$6,1,'KG1-3'!$AD$5:$IM$5,"&gt;="&amp;MAX('KG1-3'!$U25,Rpt_PStart),'KG1-3'!$AD$5:$IM$5,"&lt;="&amp;Rpt_PEnd),0))</f>
        <v/>
      </c>
      <c r="AS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COUNTIFS('KG1-3'!$AD25:$IM25,"غياب بدون عذر",'KG1-3'!$AD$7:$IM$7,"✓",'KG1-3'!$AD$6:$IM$6,1,'KG1-3'!$AD$5:$IM$5,"&gt;="&amp;MAX('KG1-3'!$U25,Rpt_PStart),'KG1-3'!$AD$5:$IM$5,"&lt;="&amp;Rpt_PEnd)+COUNTIFS('KG1-3'!$AD25:$IM25,"غياب بعذر",'KG1-3'!$AD$7:$IM$7,"✓",'KG1-3'!$AD$6:$IM$6,1,'KG1-3'!$AD$5:$IM$5,"&gt;="&amp;MAX('KG1-3'!$U25,Rpt_PStart),'KG1-3'!$AD$5:$IM$5,"&lt;="&amp;Rpt_PEnd)+COUNTIFS('KG1-3'!$AD25:$IM25,"متأخر",'KG1-3'!$AD$7:$IM$7,"✓",'KG1-3'!$AD$6:$IM$6,1,'KG1-3'!$AD$5:$IM$5,"&gt;="&amp;MAX('KG1-3'!$U25,Rpt_PStart),'KG1-3'!$AD$5:$IM$5,"&lt;="&amp;Rpt_PEnd))</f>
        <v/>
      </c>
      <c r="AT81" s="40">
        <f>IF(AP81=0,"",COUNTIFS('KG1-3'!$AD25:$IM25,"غياب بدون عذر",'KG1-3'!$AD$7:$IM$7,"✓",'KG1-3'!$AD$6:$IM$6,1,'KG1-3'!$AD$5:$IM$5,"&gt;="&amp;MAX('KG1-3'!$U25,Rpt_PStart),'KG1-3'!$AD$5:$IM$5,"&lt;="&amp;Rpt_PEnd)+COUNTIFS('KG1-3'!$AD25:$IM25,"غياب بعذر",'KG1-3'!$AD$7:$IM$7,"✓",'KG1-3'!$AD$6:$IM$6,1,'KG1-3'!$AD$5:$IM$5,"&gt;="&amp;MAX('KG1-3'!$U25,Rpt_PStart),'KG1-3'!$AD$5:$IM$5,"&lt;="&amp;Rpt_PEnd))</f>
        <v/>
      </c>
      <c r="AU81" s="40" t="n">
        <v>3</v>
      </c>
      <c r="AV81" s="40" t="n">
        <v>17</v>
      </c>
      <c r="AW81" s="40">
        <f>IF(OR(AP81=0,Rpt_DayIdx=0),"",IF(INDEX('KG1-3'!$AD$7:$IM$7,Rpt_DayIdx)&lt;&gt;"✓","",IF(INDEX('KG1-3'!$AD25:$IM25,Rpt_DayIdx)="","P",IFERROR(INDEX(StatusCodes,MATCH(INDEX('KG1-3'!$AD25:$IM25,Rpt_DayIdx),StatusLabels,0)),""))))</f>
        <v/>
      </c>
      <c r="AX81" s="40">
        <f>IF(AND(AP81=1,OR(AW81="A",AW81="E")),COUNTIFS($AP$5:AP81,1,$AW$5:AW81,"A")+COUNTIFS($AP$5:AP81,1,$AW$5:AW81,"E"),"")</f>
        <v/>
      </c>
    </row>
    <row r="82">
      <c r="A82" s="148">
        <f>IF(B82="","",ROW()-4)</f>
        <v/>
      </c>
      <c r="B82" s="148">
        <f>IF('KG1-3'!$B26="","",'KG1-3'!$B26)</f>
        <v/>
      </c>
      <c r="C82" s="146">
        <f>IF('KG1-3'!$C26="","",'KG1-3'!$C26)</f>
        <v/>
      </c>
      <c r="D82" s="148">
        <f>IF(B82="","",'KG1-3'!$B$2)</f>
        <v/>
      </c>
      <c r="E82" s="148">
        <f>IF(B82="","",MID(D82,FIND("-",D82&amp;"-")+1,10))</f>
        <v/>
      </c>
      <c r="F82" s="148">
        <f>IF(B82="","","نشط")</f>
        <v/>
      </c>
      <c r="G82" s="157">
        <f>IF(B82="","","")</f>
        <v/>
      </c>
      <c r="H82" s="146">
        <f>IF('KG1-3'!$K26="","",'KG1-3'!$K26)</f>
        <v/>
      </c>
      <c r="I82" s="148">
        <f>IF('KG1-3'!$J26="","",'KG1-3'!$J26)</f>
        <v/>
      </c>
      <c r="J82" s="148">
        <f>IF('KG1-3'!$M26="","",'KG1-3'!$M26)</f>
        <v/>
      </c>
      <c r="K82" s="148">
        <f>IF('KG1-3'!$N26="","",'KG1-3'!$N26)</f>
        <v/>
      </c>
      <c r="L82" s="148">
        <f>IF('KG1-3'!$D26="","",'KG1-3'!$D26)</f>
        <v/>
      </c>
      <c r="M82" s="148">
        <f>IF('KG1-3'!$E26="","",'KG1-3'!$E26)</f>
        <v/>
      </c>
      <c r="N82" s="148">
        <f>IF('KG1-3'!$F26="","",'KG1-3'!$F26)</f>
        <v/>
      </c>
      <c r="O82" s="158">
        <f>IF('KG1-3'!$G26="","",'KG1-3'!$G26)</f>
        <v/>
      </c>
      <c r="P82" s="158">
        <f>IF('KG1-3'!$O26="","",'KG1-3'!$O26)</f>
        <v/>
      </c>
      <c r="Q82" s="148">
        <f>IF('KG1-3'!$T26="","",'KG1-3'!$T26)</f>
        <v/>
      </c>
      <c r="R82" s="146">
        <f>IF('KG1-3'!$H26="","",'KG1-3'!$H26)</f>
        <v/>
      </c>
      <c r="S82" s="157">
        <f>IF('KG1-3'!$P26="","",'KG1-3'!$P26)</f>
        <v/>
      </c>
      <c r="T82" s="157">
        <f>IF('KG1-3'!$V26="","",'KG1-3'!$V26)</f>
        <v/>
      </c>
      <c r="U82" s="157">
        <f>IF('KG1-3'!$W26="","",'KG1-3'!$W26)</f>
        <v/>
      </c>
      <c r="V82" s="157">
        <f>IF('KG1-3'!$X26="","",'KG1-3'!$X26)</f>
        <v/>
      </c>
      <c r="W82" s="157">
        <f>IF('KG1-3'!$Y26="","",'KG1-3'!$Y26)</f>
        <v/>
      </c>
      <c r="X82" s="157">
        <f>IF('KG1-3'!$R26="","",'KG1-3'!$R26)</f>
        <v/>
      </c>
      <c r="Y82" s="148">
        <f>IF('KG1-3'!$S26="","",'KG1-3'!$S26)</f>
        <v/>
      </c>
      <c r="Z82" s="148">
        <f>IF('KG1-3'!$Q26="","",'KG1-3'!$Q26)</f>
        <v/>
      </c>
      <c r="AA82" s="148">
        <f>IF('KG1-3'!$I26="","",'KG1-3'!$I26)</f>
        <v/>
      </c>
      <c r="AB82" s="146">
        <f>IF(Q82="","",INDEX(LevelActions,MATCH(Q82,LevelValues,0)))</f>
        <v/>
      </c>
      <c r="AC82" s="148">
        <f>IF(J82="","",IF(J82=0,"—",IF(AND(L82=0,M82=0),Cat_L1,IF(O82&gt;=Cat_95,Cat_L2,IF(O82&gt;=Cat_90,Cat_L3,Cat_L4)))))</f>
        <v/>
      </c>
      <c r="AD82" s="146">
        <f>IF('KG1-3'!$L26="","",'KG1-3'!$L26)</f>
        <v/>
      </c>
      <c r="AE82" s="148">
        <f>IF(B82="","",IF(COUNTIF($B$5:$B$214,B82)&gt;1,"مكرر!",""))</f>
        <v/>
      </c>
      <c r="AF82" s="148">
        <f>IF(AND(B82&lt;&gt;"",F82="نشط",OR(Dash_Class="الكل",D82=Dash_Class)),1,0)</f>
        <v/>
      </c>
      <c r="AG82" s="40">
        <f>IF(OR(AF82=0,Dash_DayIdx=0),"",IF(INDEX('KG1-3'!$AD$7:$IM$7,Dash_DayIdx)&lt;&gt;"✓","",IF(INDEX('KG1-3'!$AD26:$IM26,Dash_DayIdx)="","P",IFERROR(INDEX(StatusCodes,MATCH(INDEX('KG1-3'!$AD26:$IM26,Dash_DayIdx),StatusLabels,0)),""))))</f>
        <v/>
      </c>
      <c r="AH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IF(LateAsPresent="نعم",COUNTIFS('KG1-3'!$AD26:$IM26,"متأخر",'KG1-3'!$AD$7:$IM$7,"✓",'KG1-3'!$AD$6:$IM$6,1,'KG1-3'!$AD$5:$IM$5,"&gt;="&amp;MAX('KG1-3'!$U26,Dash_PStart),'KG1-3'!$AD$5:$IM$5,"&lt;="&amp;Dash_PEnd),0))</f>
        <v/>
      </c>
      <c r="AI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COUNTIFS('KG1-3'!$AD26:$IM26,"غياب بدون عذر",'KG1-3'!$AD$7:$IM$7,"✓",'KG1-3'!$AD$6:$IM$6,1,'KG1-3'!$AD$5:$IM$5,"&gt;="&amp;MAX('KG1-3'!$U26,Dash_PStart),'KG1-3'!$AD$5:$IM$5,"&lt;="&amp;Dash_PEnd)+COUNTIFS('KG1-3'!$AD26:$IM26,"غياب بعذر",'KG1-3'!$AD$7:$IM$7,"✓",'KG1-3'!$AD$6:$IM$6,1,'KG1-3'!$AD$5:$IM$5,"&gt;="&amp;MAX('KG1-3'!$U26,Dash_PStart),'KG1-3'!$AD$5:$IM$5,"&lt;="&amp;Dash_PEnd)+COUNTIFS('KG1-3'!$AD26:$IM26,"متأخر",'KG1-3'!$AD$7:$IM$7,"✓",'KG1-3'!$AD$6:$IM$6,1,'KG1-3'!$AD$5:$IM$5,"&gt;="&amp;MAX('KG1-3'!$U26,Dash_PStart),'KG1-3'!$AD$5:$IM$5,"&lt;="&amp;Dash_PEnd))</f>
        <v/>
      </c>
      <c r="AJ82" s="40">
        <f>IF(AF82=0,0,IF(W82=Dash_Date,Thr_Critical,IF(V82=Dash_Date,Thr_High,IF(U82=Dash_Date,Thr_Repeated,IF(T82=Dash_Date,Thr_FollowUp,0)))))</f>
        <v/>
      </c>
      <c r="AK82" s="40">
        <f>IF(AJ82&gt;0,COUNTIF($AJ$5:AJ82,"&gt;0"),"")</f>
        <v/>
      </c>
      <c r="AL82" s="40">
        <f>IF(AND(B82&lt;&gt;"",F82="نشط",Q82&lt;&gt;"",Q82&gt;0),L82*1000+(999-ROW()),"")</f>
        <v/>
      </c>
      <c r="AM82" s="40">
        <f>IF(AND(AF82=1,J82&lt;&gt;"",J82&gt;0),ROUND(O82*10000,0)*1000000+K82*1000+(999-ROW()),"")</f>
        <v/>
      </c>
      <c r="AN82" s="40">
        <f>IF(AND(AF82=1,J82&lt;&gt;"",J82&gt;0),(L82+M82)*10000000+ROUND((1-O82)*10000,0)*1000+(999-ROW()),"")</f>
        <v/>
      </c>
      <c r="AO82" s="40">
        <f>IF(AND(AF82=1,Q82&lt;&gt;"",Q82&gt;=Thr_Critical),L82*1000+(999-ROW()),"")</f>
        <v/>
      </c>
      <c r="AP82" s="40">
        <f>IF(AND(B82&lt;&gt;"",F82="نشط",OR(Rpt_Class="الكل",D82=Rpt_Class)),1,0)</f>
        <v/>
      </c>
      <c r="AQ82" s="40">
        <f>IF(AND(AP82=1,Q82&lt;&gt;"",Q82&gt;0),L82*1000+(999-ROW()),"")</f>
        <v/>
      </c>
      <c r="AR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IF(LateAsPresent="نعم",COUNTIFS('KG1-3'!$AD26:$IM26,"متأخر",'KG1-3'!$AD$7:$IM$7,"✓",'KG1-3'!$AD$6:$IM$6,1,'KG1-3'!$AD$5:$IM$5,"&gt;="&amp;MAX('KG1-3'!$U26,Rpt_PStart),'KG1-3'!$AD$5:$IM$5,"&lt;="&amp;Rpt_PEnd),0))</f>
        <v/>
      </c>
      <c r="AS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COUNTIFS('KG1-3'!$AD26:$IM26,"غياب بدون عذر",'KG1-3'!$AD$7:$IM$7,"✓",'KG1-3'!$AD$6:$IM$6,1,'KG1-3'!$AD$5:$IM$5,"&gt;="&amp;MAX('KG1-3'!$U26,Rpt_PStart),'KG1-3'!$AD$5:$IM$5,"&lt;="&amp;Rpt_PEnd)+COUNTIFS('KG1-3'!$AD26:$IM26,"غياب بعذر",'KG1-3'!$AD$7:$IM$7,"✓",'KG1-3'!$AD$6:$IM$6,1,'KG1-3'!$AD$5:$IM$5,"&gt;="&amp;MAX('KG1-3'!$U26,Rpt_PStart),'KG1-3'!$AD$5:$IM$5,"&lt;="&amp;Rpt_PEnd)+COUNTIFS('KG1-3'!$AD26:$IM26,"متأخر",'KG1-3'!$AD$7:$IM$7,"✓",'KG1-3'!$AD$6:$IM$6,1,'KG1-3'!$AD$5:$IM$5,"&gt;="&amp;MAX('KG1-3'!$U26,Rpt_PStart),'KG1-3'!$AD$5:$IM$5,"&lt;="&amp;Rpt_PEnd))</f>
        <v/>
      </c>
      <c r="AT82" s="40">
        <f>IF(AP82=0,"",COUNTIFS('KG1-3'!$AD26:$IM26,"غياب بدون عذر",'KG1-3'!$AD$7:$IM$7,"✓",'KG1-3'!$AD$6:$IM$6,1,'KG1-3'!$AD$5:$IM$5,"&gt;="&amp;MAX('KG1-3'!$U26,Rpt_PStart),'KG1-3'!$AD$5:$IM$5,"&lt;="&amp;Rpt_PEnd)+COUNTIFS('KG1-3'!$AD26:$IM26,"غياب بعذر",'KG1-3'!$AD$7:$IM$7,"✓",'KG1-3'!$AD$6:$IM$6,1,'KG1-3'!$AD$5:$IM$5,"&gt;="&amp;MAX('KG1-3'!$U26,Rpt_PStart),'KG1-3'!$AD$5:$IM$5,"&lt;="&amp;Rpt_PEnd))</f>
        <v/>
      </c>
      <c r="AU82" s="40" t="n">
        <v>3</v>
      </c>
      <c r="AV82" s="40" t="n">
        <v>18</v>
      </c>
      <c r="AW82" s="40">
        <f>IF(OR(AP82=0,Rpt_DayIdx=0),"",IF(INDEX('KG1-3'!$AD$7:$IM$7,Rpt_DayIdx)&lt;&gt;"✓","",IF(INDEX('KG1-3'!$AD26:$IM26,Rpt_DayIdx)="","P",IFERROR(INDEX(StatusCodes,MATCH(INDEX('KG1-3'!$AD26:$IM26,Rpt_DayIdx),StatusLabels,0)),""))))</f>
        <v/>
      </c>
      <c r="AX82" s="40">
        <f>IF(AND(AP82=1,OR(AW82="A",AW82="E")),COUNTIFS($AP$5:AP82,1,$AW$5:AW82,"A")+COUNTIFS($AP$5:AP82,1,$AW$5:AW82,"E"),"")</f>
        <v/>
      </c>
    </row>
    <row r="83">
      <c r="A83" s="148">
        <f>IF(B83="","",ROW()-4)</f>
        <v/>
      </c>
      <c r="B83" s="148">
        <f>IF('KG1-3'!$B27="","",'KG1-3'!$B27)</f>
        <v/>
      </c>
      <c r="C83" s="146">
        <f>IF('KG1-3'!$C27="","",'KG1-3'!$C27)</f>
        <v/>
      </c>
      <c r="D83" s="148">
        <f>IF(B83="","",'KG1-3'!$B$2)</f>
        <v/>
      </c>
      <c r="E83" s="148">
        <f>IF(B83="","",MID(D83,FIND("-",D83&amp;"-")+1,10))</f>
        <v/>
      </c>
      <c r="F83" s="148">
        <f>IF(B83="","","نشط")</f>
        <v/>
      </c>
      <c r="G83" s="157">
        <f>IF(B83="","","")</f>
        <v/>
      </c>
      <c r="H83" s="146">
        <f>IF('KG1-3'!$K27="","",'KG1-3'!$K27)</f>
        <v/>
      </c>
      <c r="I83" s="148">
        <f>IF('KG1-3'!$J27="","",'KG1-3'!$J27)</f>
        <v/>
      </c>
      <c r="J83" s="148">
        <f>IF('KG1-3'!$M27="","",'KG1-3'!$M27)</f>
        <v/>
      </c>
      <c r="K83" s="148">
        <f>IF('KG1-3'!$N27="","",'KG1-3'!$N27)</f>
        <v/>
      </c>
      <c r="L83" s="148">
        <f>IF('KG1-3'!$D27="","",'KG1-3'!$D27)</f>
        <v/>
      </c>
      <c r="M83" s="148">
        <f>IF('KG1-3'!$E27="","",'KG1-3'!$E27)</f>
        <v/>
      </c>
      <c r="N83" s="148">
        <f>IF('KG1-3'!$F27="","",'KG1-3'!$F27)</f>
        <v/>
      </c>
      <c r="O83" s="158">
        <f>IF('KG1-3'!$G27="","",'KG1-3'!$G27)</f>
        <v/>
      </c>
      <c r="P83" s="158">
        <f>IF('KG1-3'!$O27="","",'KG1-3'!$O27)</f>
        <v/>
      </c>
      <c r="Q83" s="148">
        <f>IF('KG1-3'!$T27="","",'KG1-3'!$T27)</f>
        <v/>
      </c>
      <c r="R83" s="146">
        <f>IF('KG1-3'!$H27="","",'KG1-3'!$H27)</f>
        <v/>
      </c>
      <c r="S83" s="157">
        <f>IF('KG1-3'!$P27="","",'KG1-3'!$P27)</f>
        <v/>
      </c>
      <c r="T83" s="157">
        <f>IF('KG1-3'!$V27="","",'KG1-3'!$V27)</f>
        <v/>
      </c>
      <c r="U83" s="157">
        <f>IF('KG1-3'!$W27="","",'KG1-3'!$W27)</f>
        <v/>
      </c>
      <c r="V83" s="157">
        <f>IF('KG1-3'!$X27="","",'KG1-3'!$X27)</f>
        <v/>
      </c>
      <c r="W83" s="157">
        <f>IF('KG1-3'!$Y27="","",'KG1-3'!$Y27)</f>
        <v/>
      </c>
      <c r="X83" s="157">
        <f>IF('KG1-3'!$R27="","",'KG1-3'!$R27)</f>
        <v/>
      </c>
      <c r="Y83" s="148">
        <f>IF('KG1-3'!$S27="","",'KG1-3'!$S27)</f>
        <v/>
      </c>
      <c r="Z83" s="148">
        <f>IF('KG1-3'!$Q27="","",'KG1-3'!$Q27)</f>
        <v/>
      </c>
      <c r="AA83" s="148">
        <f>IF('KG1-3'!$I27="","",'KG1-3'!$I27)</f>
        <v/>
      </c>
      <c r="AB83" s="146">
        <f>IF(Q83="","",INDEX(LevelActions,MATCH(Q83,LevelValues,0)))</f>
        <v/>
      </c>
      <c r="AC83" s="148">
        <f>IF(J83="","",IF(J83=0,"—",IF(AND(L83=0,M83=0),Cat_L1,IF(O83&gt;=Cat_95,Cat_L2,IF(O83&gt;=Cat_90,Cat_L3,Cat_L4)))))</f>
        <v/>
      </c>
      <c r="AD83" s="146">
        <f>IF('KG1-3'!$L27="","",'KG1-3'!$L27)</f>
        <v/>
      </c>
      <c r="AE83" s="148">
        <f>IF(B83="","",IF(COUNTIF($B$5:$B$214,B83)&gt;1,"مكرر!",""))</f>
        <v/>
      </c>
      <c r="AF83" s="148">
        <f>IF(AND(B83&lt;&gt;"",F83="نشط",OR(Dash_Class="الكل",D83=Dash_Class)),1,0)</f>
        <v/>
      </c>
      <c r="AG83" s="40">
        <f>IF(OR(AF83=0,Dash_DayIdx=0),"",IF(INDEX('KG1-3'!$AD$7:$IM$7,Dash_DayIdx)&lt;&gt;"✓","",IF(INDEX('KG1-3'!$AD27:$IM27,Dash_DayIdx)="","P",IFERROR(INDEX(StatusCodes,MATCH(INDEX('KG1-3'!$AD27:$IM27,Dash_DayIdx),StatusLabels,0)),""))))</f>
        <v/>
      </c>
      <c r="AH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IF(LateAsPresent="نعم",COUNTIFS('KG1-3'!$AD27:$IM27,"متأخر",'KG1-3'!$AD$7:$IM$7,"✓",'KG1-3'!$AD$6:$IM$6,1,'KG1-3'!$AD$5:$IM$5,"&gt;="&amp;MAX('KG1-3'!$U27,Dash_PStart),'KG1-3'!$AD$5:$IM$5,"&lt;="&amp;Dash_PEnd),0))</f>
        <v/>
      </c>
      <c r="AI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COUNTIFS('KG1-3'!$AD27:$IM27,"غياب بدون عذر",'KG1-3'!$AD$7:$IM$7,"✓",'KG1-3'!$AD$6:$IM$6,1,'KG1-3'!$AD$5:$IM$5,"&gt;="&amp;MAX('KG1-3'!$U27,Dash_PStart),'KG1-3'!$AD$5:$IM$5,"&lt;="&amp;Dash_PEnd)+COUNTIFS('KG1-3'!$AD27:$IM27,"غياب بعذر",'KG1-3'!$AD$7:$IM$7,"✓",'KG1-3'!$AD$6:$IM$6,1,'KG1-3'!$AD$5:$IM$5,"&gt;="&amp;MAX('KG1-3'!$U27,Dash_PStart),'KG1-3'!$AD$5:$IM$5,"&lt;="&amp;Dash_PEnd)+COUNTIFS('KG1-3'!$AD27:$IM27,"متأخر",'KG1-3'!$AD$7:$IM$7,"✓",'KG1-3'!$AD$6:$IM$6,1,'KG1-3'!$AD$5:$IM$5,"&gt;="&amp;MAX('KG1-3'!$U27,Dash_PStart),'KG1-3'!$AD$5:$IM$5,"&lt;="&amp;Dash_PEnd))</f>
        <v/>
      </c>
      <c r="AJ83" s="40">
        <f>IF(AF83=0,0,IF(W83=Dash_Date,Thr_Critical,IF(V83=Dash_Date,Thr_High,IF(U83=Dash_Date,Thr_Repeated,IF(T83=Dash_Date,Thr_FollowUp,0)))))</f>
        <v/>
      </c>
      <c r="AK83" s="40">
        <f>IF(AJ83&gt;0,COUNTIF($AJ$5:AJ83,"&gt;0"),"")</f>
        <v/>
      </c>
      <c r="AL83" s="40">
        <f>IF(AND(B83&lt;&gt;"",F83="نشط",Q83&lt;&gt;"",Q83&gt;0),L83*1000+(999-ROW()),"")</f>
        <v/>
      </c>
      <c r="AM83" s="40">
        <f>IF(AND(AF83=1,J83&lt;&gt;"",J83&gt;0),ROUND(O83*10000,0)*1000000+K83*1000+(999-ROW()),"")</f>
        <v/>
      </c>
      <c r="AN83" s="40">
        <f>IF(AND(AF83=1,J83&lt;&gt;"",J83&gt;0),(L83+M83)*10000000+ROUND((1-O83)*10000,0)*1000+(999-ROW()),"")</f>
        <v/>
      </c>
      <c r="AO83" s="40">
        <f>IF(AND(AF83=1,Q83&lt;&gt;"",Q83&gt;=Thr_Critical),L83*1000+(999-ROW()),"")</f>
        <v/>
      </c>
      <c r="AP83" s="40">
        <f>IF(AND(B83&lt;&gt;"",F83="نشط",OR(Rpt_Class="الكل",D83=Rpt_Class)),1,0)</f>
        <v/>
      </c>
      <c r="AQ83" s="40">
        <f>IF(AND(AP83=1,Q83&lt;&gt;"",Q83&gt;0),L83*1000+(999-ROW()),"")</f>
        <v/>
      </c>
      <c r="AR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IF(LateAsPresent="نعم",COUNTIFS('KG1-3'!$AD27:$IM27,"متأخر",'KG1-3'!$AD$7:$IM$7,"✓",'KG1-3'!$AD$6:$IM$6,1,'KG1-3'!$AD$5:$IM$5,"&gt;="&amp;MAX('KG1-3'!$U27,Rpt_PStart),'KG1-3'!$AD$5:$IM$5,"&lt;="&amp;Rpt_PEnd),0))</f>
        <v/>
      </c>
      <c r="AS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COUNTIFS('KG1-3'!$AD27:$IM27,"غياب بدون عذر",'KG1-3'!$AD$7:$IM$7,"✓",'KG1-3'!$AD$6:$IM$6,1,'KG1-3'!$AD$5:$IM$5,"&gt;="&amp;MAX('KG1-3'!$U27,Rpt_PStart),'KG1-3'!$AD$5:$IM$5,"&lt;="&amp;Rpt_PEnd)+COUNTIFS('KG1-3'!$AD27:$IM27,"غياب بعذر",'KG1-3'!$AD$7:$IM$7,"✓",'KG1-3'!$AD$6:$IM$6,1,'KG1-3'!$AD$5:$IM$5,"&gt;="&amp;MAX('KG1-3'!$U27,Rpt_PStart),'KG1-3'!$AD$5:$IM$5,"&lt;="&amp;Rpt_PEnd)+COUNTIFS('KG1-3'!$AD27:$IM27,"متأخر",'KG1-3'!$AD$7:$IM$7,"✓",'KG1-3'!$AD$6:$IM$6,1,'KG1-3'!$AD$5:$IM$5,"&gt;="&amp;MAX('KG1-3'!$U27,Rpt_PStart),'KG1-3'!$AD$5:$IM$5,"&lt;="&amp;Rpt_PEnd))</f>
        <v/>
      </c>
      <c r="AT83" s="40">
        <f>IF(AP83=0,"",COUNTIFS('KG1-3'!$AD27:$IM27,"غياب بدون عذر",'KG1-3'!$AD$7:$IM$7,"✓",'KG1-3'!$AD$6:$IM$6,1,'KG1-3'!$AD$5:$IM$5,"&gt;="&amp;MAX('KG1-3'!$U27,Rpt_PStart),'KG1-3'!$AD$5:$IM$5,"&lt;="&amp;Rpt_PEnd)+COUNTIFS('KG1-3'!$AD27:$IM27,"غياب بعذر",'KG1-3'!$AD$7:$IM$7,"✓",'KG1-3'!$AD$6:$IM$6,1,'KG1-3'!$AD$5:$IM$5,"&gt;="&amp;MAX('KG1-3'!$U27,Rpt_PStart),'KG1-3'!$AD$5:$IM$5,"&lt;="&amp;Rpt_PEnd))</f>
        <v/>
      </c>
      <c r="AU83" s="40" t="n">
        <v>3</v>
      </c>
      <c r="AV83" s="40" t="n">
        <v>19</v>
      </c>
      <c r="AW83" s="40">
        <f>IF(OR(AP83=0,Rpt_DayIdx=0),"",IF(INDEX('KG1-3'!$AD$7:$IM$7,Rpt_DayIdx)&lt;&gt;"✓","",IF(INDEX('KG1-3'!$AD27:$IM27,Rpt_DayIdx)="","P",IFERROR(INDEX(StatusCodes,MATCH(INDEX('KG1-3'!$AD27:$IM27,Rpt_DayIdx),StatusLabels,0)),""))))</f>
        <v/>
      </c>
      <c r="AX83" s="40">
        <f>IF(AND(AP83=1,OR(AW83="A",AW83="E")),COUNTIFS($AP$5:AP83,1,$AW$5:AW83,"A")+COUNTIFS($AP$5:AP83,1,$AW$5:AW83,"E"),"")</f>
        <v/>
      </c>
    </row>
    <row r="84">
      <c r="A84" s="148">
        <f>IF(B84="","",ROW()-4)</f>
        <v/>
      </c>
      <c r="B84" s="148">
        <f>IF('KG1-3'!$B28="","",'KG1-3'!$B28)</f>
        <v/>
      </c>
      <c r="C84" s="146">
        <f>IF('KG1-3'!$C28="","",'KG1-3'!$C28)</f>
        <v/>
      </c>
      <c r="D84" s="148">
        <f>IF(B84="","",'KG1-3'!$B$2)</f>
        <v/>
      </c>
      <c r="E84" s="148">
        <f>IF(B84="","",MID(D84,FIND("-",D84&amp;"-")+1,10))</f>
        <v/>
      </c>
      <c r="F84" s="148">
        <f>IF(B84="","","نشط")</f>
        <v/>
      </c>
      <c r="G84" s="157">
        <f>IF(B84="","","")</f>
        <v/>
      </c>
      <c r="H84" s="146">
        <f>IF('KG1-3'!$K28="","",'KG1-3'!$K28)</f>
        <v/>
      </c>
      <c r="I84" s="148">
        <f>IF('KG1-3'!$J28="","",'KG1-3'!$J28)</f>
        <v/>
      </c>
      <c r="J84" s="148">
        <f>IF('KG1-3'!$M28="","",'KG1-3'!$M28)</f>
        <v/>
      </c>
      <c r="K84" s="148">
        <f>IF('KG1-3'!$N28="","",'KG1-3'!$N28)</f>
        <v/>
      </c>
      <c r="L84" s="148">
        <f>IF('KG1-3'!$D28="","",'KG1-3'!$D28)</f>
        <v/>
      </c>
      <c r="M84" s="148">
        <f>IF('KG1-3'!$E28="","",'KG1-3'!$E28)</f>
        <v/>
      </c>
      <c r="N84" s="148">
        <f>IF('KG1-3'!$F28="","",'KG1-3'!$F28)</f>
        <v/>
      </c>
      <c r="O84" s="158">
        <f>IF('KG1-3'!$G28="","",'KG1-3'!$G28)</f>
        <v/>
      </c>
      <c r="P84" s="158">
        <f>IF('KG1-3'!$O28="","",'KG1-3'!$O28)</f>
        <v/>
      </c>
      <c r="Q84" s="148">
        <f>IF('KG1-3'!$T28="","",'KG1-3'!$T28)</f>
        <v/>
      </c>
      <c r="R84" s="146">
        <f>IF('KG1-3'!$H28="","",'KG1-3'!$H28)</f>
        <v/>
      </c>
      <c r="S84" s="157">
        <f>IF('KG1-3'!$P28="","",'KG1-3'!$P28)</f>
        <v/>
      </c>
      <c r="T84" s="157">
        <f>IF('KG1-3'!$V28="","",'KG1-3'!$V28)</f>
        <v/>
      </c>
      <c r="U84" s="157">
        <f>IF('KG1-3'!$W28="","",'KG1-3'!$W28)</f>
        <v/>
      </c>
      <c r="V84" s="157">
        <f>IF('KG1-3'!$X28="","",'KG1-3'!$X28)</f>
        <v/>
      </c>
      <c r="W84" s="157">
        <f>IF('KG1-3'!$Y28="","",'KG1-3'!$Y28)</f>
        <v/>
      </c>
      <c r="X84" s="157">
        <f>IF('KG1-3'!$R28="","",'KG1-3'!$R28)</f>
        <v/>
      </c>
      <c r="Y84" s="148">
        <f>IF('KG1-3'!$S28="","",'KG1-3'!$S28)</f>
        <v/>
      </c>
      <c r="Z84" s="148">
        <f>IF('KG1-3'!$Q28="","",'KG1-3'!$Q28)</f>
        <v/>
      </c>
      <c r="AA84" s="148">
        <f>IF('KG1-3'!$I28="","",'KG1-3'!$I28)</f>
        <v/>
      </c>
      <c r="AB84" s="146">
        <f>IF(Q84="","",INDEX(LevelActions,MATCH(Q84,LevelValues,0)))</f>
        <v/>
      </c>
      <c r="AC84" s="148">
        <f>IF(J84="","",IF(J84=0,"—",IF(AND(L84=0,M84=0),Cat_L1,IF(O84&gt;=Cat_95,Cat_L2,IF(O84&gt;=Cat_90,Cat_L3,Cat_L4)))))</f>
        <v/>
      </c>
      <c r="AD84" s="146">
        <f>IF('KG1-3'!$L28="","",'KG1-3'!$L28)</f>
        <v/>
      </c>
      <c r="AE84" s="148">
        <f>IF(B84="","",IF(COUNTIF($B$5:$B$214,B84)&gt;1,"مكرر!",""))</f>
        <v/>
      </c>
      <c r="AF84" s="148">
        <f>IF(AND(B84&lt;&gt;"",F84="نشط",OR(Dash_Class="الكل",D84=Dash_Class)),1,0)</f>
        <v/>
      </c>
      <c r="AG84" s="40">
        <f>IF(OR(AF84=0,Dash_DayIdx=0),"",IF(INDEX('KG1-3'!$AD$7:$IM$7,Dash_DayIdx)&lt;&gt;"✓","",IF(INDEX('KG1-3'!$AD28:$IM28,Dash_DayIdx)="","P",IFERROR(INDEX(StatusCodes,MATCH(INDEX('KG1-3'!$AD28:$IM28,Dash_DayIdx),StatusLabels,0)),""))))</f>
        <v/>
      </c>
      <c r="AH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IF(LateAsPresent="نعم",COUNTIFS('KG1-3'!$AD28:$IM28,"متأخر",'KG1-3'!$AD$7:$IM$7,"✓",'KG1-3'!$AD$6:$IM$6,1,'KG1-3'!$AD$5:$IM$5,"&gt;="&amp;MAX('KG1-3'!$U28,Dash_PStart),'KG1-3'!$AD$5:$IM$5,"&lt;="&amp;Dash_PEnd),0))</f>
        <v/>
      </c>
      <c r="AI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COUNTIFS('KG1-3'!$AD28:$IM28,"غياب بدون عذر",'KG1-3'!$AD$7:$IM$7,"✓",'KG1-3'!$AD$6:$IM$6,1,'KG1-3'!$AD$5:$IM$5,"&gt;="&amp;MAX('KG1-3'!$U28,Dash_PStart),'KG1-3'!$AD$5:$IM$5,"&lt;="&amp;Dash_PEnd)+COUNTIFS('KG1-3'!$AD28:$IM28,"غياب بعذر",'KG1-3'!$AD$7:$IM$7,"✓",'KG1-3'!$AD$6:$IM$6,1,'KG1-3'!$AD$5:$IM$5,"&gt;="&amp;MAX('KG1-3'!$U28,Dash_PStart),'KG1-3'!$AD$5:$IM$5,"&lt;="&amp;Dash_PEnd)+COUNTIFS('KG1-3'!$AD28:$IM28,"متأخر",'KG1-3'!$AD$7:$IM$7,"✓",'KG1-3'!$AD$6:$IM$6,1,'KG1-3'!$AD$5:$IM$5,"&gt;="&amp;MAX('KG1-3'!$U28,Dash_PStart),'KG1-3'!$AD$5:$IM$5,"&lt;="&amp;Dash_PEnd))</f>
        <v/>
      </c>
      <c r="AJ84" s="40">
        <f>IF(AF84=0,0,IF(W84=Dash_Date,Thr_Critical,IF(V84=Dash_Date,Thr_High,IF(U84=Dash_Date,Thr_Repeated,IF(T84=Dash_Date,Thr_FollowUp,0)))))</f>
        <v/>
      </c>
      <c r="AK84" s="40">
        <f>IF(AJ84&gt;0,COUNTIF($AJ$5:AJ84,"&gt;0"),"")</f>
        <v/>
      </c>
      <c r="AL84" s="40">
        <f>IF(AND(B84&lt;&gt;"",F84="نشط",Q84&lt;&gt;"",Q84&gt;0),L84*1000+(999-ROW()),"")</f>
        <v/>
      </c>
      <c r="AM84" s="40">
        <f>IF(AND(AF84=1,J84&lt;&gt;"",J84&gt;0),ROUND(O84*10000,0)*1000000+K84*1000+(999-ROW()),"")</f>
        <v/>
      </c>
      <c r="AN84" s="40">
        <f>IF(AND(AF84=1,J84&lt;&gt;"",J84&gt;0),(L84+M84)*10000000+ROUND((1-O84)*10000,0)*1000+(999-ROW()),"")</f>
        <v/>
      </c>
      <c r="AO84" s="40">
        <f>IF(AND(AF84=1,Q84&lt;&gt;"",Q84&gt;=Thr_Critical),L84*1000+(999-ROW()),"")</f>
        <v/>
      </c>
      <c r="AP84" s="40">
        <f>IF(AND(B84&lt;&gt;"",F84="نشط",OR(Rpt_Class="الكل",D84=Rpt_Class)),1,0)</f>
        <v/>
      </c>
      <c r="AQ84" s="40">
        <f>IF(AND(AP84=1,Q84&lt;&gt;"",Q84&gt;0),L84*1000+(999-ROW()),"")</f>
        <v/>
      </c>
      <c r="AR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IF(LateAsPresent="نعم",COUNTIFS('KG1-3'!$AD28:$IM28,"متأخر",'KG1-3'!$AD$7:$IM$7,"✓",'KG1-3'!$AD$6:$IM$6,1,'KG1-3'!$AD$5:$IM$5,"&gt;="&amp;MAX('KG1-3'!$U28,Rpt_PStart),'KG1-3'!$AD$5:$IM$5,"&lt;="&amp;Rpt_PEnd),0))</f>
        <v/>
      </c>
      <c r="AS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COUNTIFS('KG1-3'!$AD28:$IM28,"غياب بدون عذر",'KG1-3'!$AD$7:$IM$7,"✓",'KG1-3'!$AD$6:$IM$6,1,'KG1-3'!$AD$5:$IM$5,"&gt;="&amp;MAX('KG1-3'!$U28,Rpt_PStart),'KG1-3'!$AD$5:$IM$5,"&lt;="&amp;Rpt_PEnd)+COUNTIFS('KG1-3'!$AD28:$IM28,"غياب بعذر",'KG1-3'!$AD$7:$IM$7,"✓",'KG1-3'!$AD$6:$IM$6,1,'KG1-3'!$AD$5:$IM$5,"&gt;="&amp;MAX('KG1-3'!$U28,Rpt_PStart),'KG1-3'!$AD$5:$IM$5,"&lt;="&amp;Rpt_PEnd)+COUNTIFS('KG1-3'!$AD28:$IM28,"متأخر",'KG1-3'!$AD$7:$IM$7,"✓",'KG1-3'!$AD$6:$IM$6,1,'KG1-3'!$AD$5:$IM$5,"&gt;="&amp;MAX('KG1-3'!$U28,Rpt_PStart),'KG1-3'!$AD$5:$IM$5,"&lt;="&amp;Rpt_PEnd))</f>
        <v/>
      </c>
      <c r="AT84" s="40">
        <f>IF(AP84=0,"",COUNTIFS('KG1-3'!$AD28:$IM28,"غياب بدون عذر",'KG1-3'!$AD$7:$IM$7,"✓",'KG1-3'!$AD$6:$IM$6,1,'KG1-3'!$AD$5:$IM$5,"&gt;="&amp;MAX('KG1-3'!$U28,Rpt_PStart),'KG1-3'!$AD$5:$IM$5,"&lt;="&amp;Rpt_PEnd)+COUNTIFS('KG1-3'!$AD28:$IM28,"غياب بعذر",'KG1-3'!$AD$7:$IM$7,"✓",'KG1-3'!$AD$6:$IM$6,1,'KG1-3'!$AD$5:$IM$5,"&gt;="&amp;MAX('KG1-3'!$U28,Rpt_PStart),'KG1-3'!$AD$5:$IM$5,"&lt;="&amp;Rpt_PEnd))</f>
        <v/>
      </c>
      <c r="AU84" s="40" t="n">
        <v>3</v>
      </c>
      <c r="AV84" s="40" t="n">
        <v>20</v>
      </c>
      <c r="AW84" s="40">
        <f>IF(OR(AP84=0,Rpt_DayIdx=0),"",IF(INDEX('KG1-3'!$AD$7:$IM$7,Rpt_DayIdx)&lt;&gt;"✓","",IF(INDEX('KG1-3'!$AD28:$IM28,Rpt_DayIdx)="","P",IFERROR(INDEX(StatusCodes,MATCH(INDEX('KG1-3'!$AD28:$IM28,Rpt_DayIdx),StatusLabels,0)),""))))</f>
        <v/>
      </c>
      <c r="AX84" s="40">
        <f>IF(AND(AP84=1,OR(AW84="A",AW84="E")),COUNTIFS($AP$5:AP84,1,$AW$5:AW84,"A")+COUNTIFS($AP$5:AP84,1,$AW$5:AW84,"E"),"")</f>
        <v/>
      </c>
    </row>
    <row r="85">
      <c r="A85" s="148">
        <f>IF(B85="","",ROW()-4)</f>
        <v/>
      </c>
      <c r="B85" s="148">
        <f>IF('KG1-3'!$B29="","",'KG1-3'!$B29)</f>
        <v/>
      </c>
      <c r="C85" s="146">
        <f>IF('KG1-3'!$C29="","",'KG1-3'!$C29)</f>
        <v/>
      </c>
      <c r="D85" s="148">
        <f>IF(B85="","",'KG1-3'!$B$2)</f>
        <v/>
      </c>
      <c r="E85" s="148">
        <f>IF(B85="","",MID(D85,FIND("-",D85&amp;"-")+1,10))</f>
        <v/>
      </c>
      <c r="F85" s="148">
        <f>IF(B85="","","نشط")</f>
        <v/>
      </c>
      <c r="G85" s="157">
        <f>IF(B85="","","")</f>
        <v/>
      </c>
      <c r="H85" s="146">
        <f>IF('KG1-3'!$K29="","",'KG1-3'!$K29)</f>
        <v/>
      </c>
      <c r="I85" s="148">
        <f>IF('KG1-3'!$J29="","",'KG1-3'!$J29)</f>
        <v/>
      </c>
      <c r="J85" s="148">
        <f>IF('KG1-3'!$M29="","",'KG1-3'!$M29)</f>
        <v/>
      </c>
      <c r="K85" s="148">
        <f>IF('KG1-3'!$N29="","",'KG1-3'!$N29)</f>
        <v/>
      </c>
      <c r="L85" s="148">
        <f>IF('KG1-3'!$D29="","",'KG1-3'!$D29)</f>
        <v/>
      </c>
      <c r="M85" s="148">
        <f>IF('KG1-3'!$E29="","",'KG1-3'!$E29)</f>
        <v/>
      </c>
      <c r="N85" s="148">
        <f>IF('KG1-3'!$F29="","",'KG1-3'!$F29)</f>
        <v/>
      </c>
      <c r="O85" s="158">
        <f>IF('KG1-3'!$G29="","",'KG1-3'!$G29)</f>
        <v/>
      </c>
      <c r="P85" s="158">
        <f>IF('KG1-3'!$O29="","",'KG1-3'!$O29)</f>
        <v/>
      </c>
      <c r="Q85" s="148">
        <f>IF('KG1-3'!$T29="","",'KG1-3'!$T29)</f>
        <v/>
      </c>
      <c r="R85" s="146">
        <f>IF('KG1-3'!$H29="","",'KG1-3'!$H29)</f>
        <v/>
      </c>
      <c r="S85" s="157">
        <f>IF('KG1-3'!$P29="","",'KG1-3'!$P29)</f>
        <v/>
      </c>
      <c r="T85" s="157">
        <f>IF('KG1-3'!$V29="","",'KG1-3'!$V29)</f>
        <v/>
      </c>
      <c r="U85" s="157">
        <f>IF('KG1-3'!$W29="","",'KG1-3'!$W29)</f>
        <v/>
      </c>
      <c r="V85" s="157">
        <f>IF('KG1-3'!$X29="","",'KG1-3'!$X29)</f>
        <v/>
      </c>
      <c r="W85" s="157">
        <f>IF('KG1-3'!$Y29="","",'KG1-3'!$Y29)</f>
        <v/>
      </c>
      <c r="X85" s="157">
        <f>IF('KG1-3'!$R29="","",'KG1-3'!$R29)</f>
        <v/>
      </c>
      <c r="Y85" s="148">
        <f>IF('KG1-3'!$S29="","",'KG1-3'!$S29)</f>
        <v/>
      </c>
      <c r="Z85" s="148">
        <f>IF('KG1-3'!$Q29="","",'KG1-3'!$Q29)</f>
        <v/>
      </c>
      <c r="AA85" s="148">
        <f>IF('KG1-3'!$I29="","",'KG1-3'!$I29)</f>
        <v/>
      </c>
      <c r="AB85" s="146">
        <f>IF(Q85="","",INDEX(LevelActions,MATCH(Q85,LevelValues,0)))</f>
        <v/>
      </c>
      <c r="AC85" s="148">
        <f>IF(J85="","",IF(J85=0,"—",IF(AND(L85=0,M85=0),Cat_L1,IF(O85&gt;=Cat_95,Cat_L2,IF(O85&gt;=Cat_90,Cat_L3,Cat_L4)))))</f>
        <v/>
      </c>
      <c r="AD85" s="146">
        <f>IF('KG1-3'!$L29="","",'KG1-3'!$L29)</f>
        <v/>
      </c>
      <c r="AE85" s="148">
        <f>IF(B85="","",IF(COUNTIF($B$5:$B$214,B85)&gt;1,"مكرر!",""))</f>
        <v/>
      </c>
      <c r="AF85" s="148">
        <f>IF(AND(B85&lt;&gt;"",F85="نشط",OR(Dash_Class="الكل",D85=Dash_Class)),1,0)</f>
        <v/>
      </c>
      <c r="AG85" s="40">
        <f>IF(OR(AF85=0,Dash_DayIdx=0),"",IF(INDEX('KG1-3'!$AD$7:$IM$7,Dash_DayIdx)&lt;&gt;"✓","",IF(INDEX('KG1-3'!$AD29:$IM29,Dash_DayIdx)="","P",IFERROR(INDEX(StatusCodes,MATCH(INDEX('KG1-3'!$AD29:$IM29,Dash_DayIdx),StatusLabels,0)),""))))</f>
        <v/>
      </c>
      <c r="AH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IF(LateAsPresent="نعم",COUNTIFS('KG1-3'!$AD29:$IM29,"متأخر",'KG1-3'!$AD$7:$IM$7,"✓",'KG1-3'!$AD$6:$IM$6,1,'KG1-3'!$AD$5:$IM$5,"&gt;="&amp;MAX('KG1-3'!$U29,Dash_PStart),'KG1-3'!$AD$5:$IM$5,"&lt;="&amp;Dash_PEnd),0))</f>
        <v/>
      </c>
      <c r="AI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COUNTIFS('KG1-3'!$AD29:$IM29,"غياب بدون عذر",'KG1-3'!$AD$7:$IM$7,"✓",'KG1-3'!$AD$6:$IM$6,1,'KG1-3'!$AD$5:$IM$5,"&gt;="&amp;MAX('KG1-3'!$U29,Dash_PStart),'KG1-3'!$AD$5:$IM$5,"&lt;="&amp;Dash_PEnd)+COUNTIFS('KG1-3'!$AD29:$IM29,"غياب بعذر",'KG1-3'!$AD$7:$IM$7,"✓",'KG1-3'!$AD$6:$IM$6,1,'KG1-3'!$AD$5:$IM$5,"&gt;="&amp;MAX('KG1-3'!$U29,Dash_PStart),'KG1-3'!$AD$5:$IM$5,"&lt;="&amp;Dash_PEnd)+COUNTIFS('KG1-3'!$AD29:$IM29,"متأخر",'KG1-3'!$AD$7:$IM$7,"✓",'KG1-3'!$AD$6:$IM$6,1,'KG1-3'!$AD$5:$IM$5,"&gt;="&amp;MAX('KG1-3'!$U29,Dash_PStart),'KG1-3'!$AD$5:$IM$5,"&lt;="&amp;Dash_PEnd))</f>
        <v/>
      </c>
      <c r="AJ85" s="40">
        <f>IF(AF85=0,0,IF(W85=Dash_Date,Thr_Critical,IF(V85=Dash_Date,Thr_High,IF(U85=Dash_Date,Thr_Repeated,IF(T85=Dash_Date,Thr_FollowUp,0)))))</f>
        <v/>
      </c>
      <c r="AK85" s="40">
        <f>IF(AJ85&gt;0,COUNTIF($AJ$5:AJ85,"&gt;0"),"")</f>
        <v/>
      </c>
      <c r="AL85" s="40">
        <f>IF(AND(B85&lt;&gt;"",F85="نشط",Q85&lt;&gt;"",Q85&gt;0),L85*1000+(999-ROW()),"")</f>
        <v/>
      </c>
      <c r="AM85" s="40">
        <f>IF(AND(AF85=1,J85&lt;&gt;"",J85&gt;0),ROUND(O85*10000,0)*1000000+K85*1000+(999-ROW()),"")</f>
        <v/>
      </c>
      <c r="AN85" s="40">
        <f>IF(AND(AF85=1,J85&lt;&gt;"",J85&gt;0),(L85+M85)*10000000+ROUND((1-O85)*10000,0)*1000+(999-ROW()),"")</f>
        <v/>
      </c>
      <c r="AO85" s="40">
        <f>IF(AND(AF85=1,Q85&lt;&gt;"",Q85&gt;=Thr_Critical),L85*1000+(999-ROW()),"")</f>
        <v/>
      </c>
      <c r="AP85" s="40">
        <f>IF(AND(B85&lt;&gt;"",F85="نشط",OR(Rpt_Class="الكل",D85=Rpt_Class)),1,0)</f>
        <v/>
      </c>
      <c r="AQ85" s="40">
        <f>IF(AND(AP85=1,Q85&lt;&gt;"",Q85&gt;0),L85*1000+(999-ROW()),"")</f>
        <v/>
      </c>
      <c r="AR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IF(LateAsPresent="نعم",COUNTIFS('KG1-3'!$AD29:$IM29,"متأخر",'KG1-3'!$AD$7:$IM$7,"✓",'KG1-3'!$AD$6:$IM$6,1,'KG1-3'!$AD$5:$IM$5,"&gt;="&amp;MAX('KG1-3'!$U29,Rpt_PStart),'KG1-3'!$AD$5:$IM$5,"&lt;="&amp;Rpt_PEnd),0))</f>
        <v/>
      </c>
      <c r="AS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COUNTIFS('KG1-3'!$AD29:$IM29,"غياب بدون عذر",'KG1-3'!$AD$7:$IM$7,"✓",'KG1-3'!$AD$6:$IM$6,1,'KG1-3'!$AD$5:$IM$5,"&gt;="&amp;MAX('KG1-3'!$U29,Rpt_PStart),'KG1-3'!$AD$5:$IM$5,"&lt;="&amp;Rpt_PEnd)+COUNTIFS('KG1-3'!$AD29:$IM29,"غياب بعذر",'KG1-3'!$AD$7:$IM$7,"✓",'KG1-3'!$AD$6:$IM$6,1,'KG1-3'!$AD$5:$IM$5,"&gt;="&amp;MAX('KG1-3'!$U29,Rpt_PStart),'KG1-3'!$AD$5:$IM$5,"&lt;="&amp;Rpt_PEnd)+COUNTIFS('KG1-3'!$AD29:$IM29,"متأخر",'KG1-3'!$AD$7:$IM$7,"✓",'KG1-3'!$AD$6:$IM$6,1,'KG1-3'!$AD$5:$IM$5,"&gt;="&amp;MAX('KG1-3'!$U29,Rpt_PStart),'KG1-3'!$AD$5:$IM$5,"&lt;="&amp;Rpt_PEnd))</f>
        <v/>
      </c>
      <c r="AT85" s="40">
        <f>IF(AP85=0,"",COUNTIFS('KG1-3'!$AD29:$IM29,"غياب بدون عذر",'KG1-3'!$AD$7:$IM$7,"✓",'KG1-3'!$AD$6:$IM$6,1,'KG1-3'!$AD$5:$IM$5,"&gt;="&amp;MAX('KG1-3'!$U29,Rpt_PStart),'KG1-3'!$AD$5:$IM$5,"&lt;="&amp;Rpt_PEnd)+COUNTIFS('KG1-3'!$AD29:$IM29,"غياب بعذر",'KG1-3'!$AD$7:$IM$7,"✓",'KG1-3'!$AD$6:$IM$6,1,'KG1-3'!$AD$5:$IM$5,"&gt;="&amp;MAX('KG1-3'!$U29,Rpt_PStart),'KG1-3'!$AD$5:$IM$5,"&lt;="&amp;Rpt_PEnd))</f>
        <v/>
      </c>
      <c r="AU85" s="40" t="n">
        <v>3</v>
      </c>
      <c r="AV85" s="40" t="n">
        <v>21</v>
      </c>
      <c r="AW85" s="40">
        <f>IF(OR(AP85=0,Rpt_DayIdx=0),"",IF(INDEX('KG1-3'!$AD$7:$IM$7,Rpt_DayIdx)&lt;&gt;"✓","",IF(INDEX('KG1-3'!$AD29:$IM29,Rpt_DayIdx)="","P",IFERROR(INDEX(StatusCodes,MATCH(INDEX('KG1-3'!$AD29:$IM29,Rpt_DayIdx),StatusLabels,0)),""))))</f>
        <v/>
      </c>
      <c r="AX85" s="40">
        <f>IF(AND(AP85=1,OR(AW85="A",AW85="E")),COUNTIFS($AP$5:AP85,1,$AW$5:AW85,"A")+COUNTIFS($AP$5:AP85,1,$AW$5:AW85,"E"),"")</f>
        <v/>
      </c>
    </row>
    <row r="86">
      <c r="A86" s="148">
        <f>IF(B86="","",ROW()-4)</f>
        <v/>
      </c>
      <c r="B86" s="148">
        <f>IF('KG1-3'!$B30="","",'KG1-3'!$B30)</f>
        <v/>
      </c>
      <c r="C86" s="146">
        <f>IF('KG1-3'!$C30="","",'KG1-3'!$C30)</f>
        <v/>
      </c>
      <c r="D86" s="148">
        <f>IF(B86="","",'KG1-3'!$B$2)</f>
        <v/>
      </c>
      <c r="E86" s="148">
        <f>IF(B86="","",MID(D86,FIND("-",D86&amp;"-")+1,10))</f>
        <v/>
      </c>
      <c r="F86" s="148">
        <f>IF(B86="","","نشط")</f>
        <v/>
      </c>
      <c r="G86" s="157">
        <f>IF(B86="","","")</f>
        <v/>
      </c>
      <c r="H86" s="146">
        <f>IF('KG1-3'!$K30="","",'KG1-3'!$K30)</f>
        <v/>
      </c>
      <c r="I86" s="148">
        <f>IF('KG1-3'!$J30="","",'KG1-3'!$J30)</f>
        <v/>
      </c>
      <c r="J86" s="148">
        <f>IF('KG1-3'!$M30="","",'KG1-3'!$M30)</f>
        <v/>
      </c>
      <c r="K86" s="148">
        <f>IF('KG1-3'!$N30="","",'KG1-3'!$N30)</f>
        <v/>
      </c>
      <c r="L86" s="148">
        <f>IF('KG1-3'!$D30="","",'KG1-3'!$D30)</f>
        <v/>
      </c>
      <c r="M86" s="148">
        <f>IF('KG1-3'!$E30="","",'KG1-3'!$E30)</f>
        <v/>
      </c>
      <c r="N86" s="148">
        <f>IF('KG1-3'!$F30="","",'KG1-3'!$F30)</f>
        <v/>
      </c>
      <c r="O86" s="158">
        <f>IF('KG1-3'!$G30="","",'KG1-3'!$G30)</f>
        <v/>
      </c>
      <c r="P86" s="158">
        <f>IF('KG1-3'!$O30="","",'KG1-3'!$O30)</f>
        <v/>
      </c>
      <c r="Q86" s="148">
        <f>IF('KG1-3'!$T30="","",'KG1-3'!$T30)</f>
        <v/>
      </c>
      <c r="R86" s="146">
        <f>IF('KG1-3'!$H30="","",'KG1-3'!$H30)</f>
        <v/>
      </c>
      <c r="S86" s="157">
        <f>IF('KG1-3'!$P30="","",'KG1-3'!$P30)</f>
        <v/>
      </c>
      <c r="T86" s="157">
        <f>IF('KG1-3'!$V30="","",'KG1-3'!$V30)</f>
        <v/>
      </c>
      <c r="U86" s="157">
        <f>IF('KG1-3'!$W30="","",'KG1-3'!$W30)</f>
        <v/>
      </c>
      <c r="V86" s="157">
        <f>IF('KG1-3'!$X30="","",'KG1-3'!$X30)</f>
        <v/>
      </c>
      <c r="W86" s="157">
        <f>IF('KG1-3'!$Y30="","",'KG1-3'!$Y30)</f>
        <v/>
      </c>
      <c r="X86" s="157">
        <f>IF('KG1-3'!$R30="","",'KG1-3'!$R30)</f>
        <v/>
      </c>
      <c r="Y86" s="148">
        <f>IF('KG1-3'!$S30="","",'KG1-3'!$S30)</f>
        <v/>
      </c>
      <c r="Z86" s="148">
        <f>IF('KG1-3'!$Q30="","",'KG1-3'!$Q30)</f>
        <v/>
      </c>
      <c r="AA86" s="148">
        <f>IF('KG1-3'!$I30="","",'KG1-3'!$I30)</f>
        <v/>
      </c>
      <c r="AB86" s="146">
        <f>IF(Q86="","",INDEX(LevelActions,MATCH(Q86,LevelValues,0)))</f>
        <v/>
      </c>
      <c r="AC86" s="148">
        <f>IF(J86="","",IF(J86=0,"—",IF(AND(L86=0,M86=0),Cat_L1,IF(O86&gt;=Cat_95,Cat_L2,IF(O86&gt;=Cat_90,Cat_L3,Cat_L4)))))</f>
        <v/>
      </c>
      <c r="AD86" s="146">
        <f>IF('KG1-3'!$L30="","",'KG1-3'!$L30)</f>
        <v/>
      </c>
      <c r="AE86" s="148">
        <f>IF(B86="","",IF(COUNTIF($B$5:$B$214,B86)&gt;1,"مكرر!",""))</f>
        <v/>
      </c>
      <c r="AF86" s="148">
        <f>IF(AND(B86&lt;&gt;"",F86="نشط",OR(Dash_Class="الكل",D86=Dash_Class)),1,0)</f>
        <v/>
      </c>
      <c r="AG86" s="40">
        <f>IF(OR(AF86=0,Dash_DayIdx=0),"",IF(INDEX('KG1-3'!$AD$7:$IM$7,Dash_DayIdx)&lt;&gt;"✓","",IF(INDEX('KG1-3'!$AD30:$IM30,Dash_DayIdx)="","P",IFERROR(INDEX(StatusCodes,MATCH(INDEX('KG1-3'!$AD30:$IM30,Dash_DayIdx),StatusLabels,0)),""))))</f>
        <v/>
      </c>
      <c r="AH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IF(LateAsPresent="نعم",COUNTIFS('KG1-3'!$AD30:$IM30,"متأخر",'KG1-3'!$AD$7:$IM$7,"✓",'KG1-3'!$AD$6:$IM$6,1,'KG1-3'!$AD$5:$IM$5,"&gt;="&amp;MAX('KG1-3'!$U30,Dash_PStart),'KG1-3'!$AD$5:$IM$5,"&lt;="&amp;Dash_PEnd),0))</f>
        <v/>
      </c>
      <c r="AI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COUNTIFS('KG1-3'!$AD30:$IM30,"غياب بدون عذر",'KG1-3'!$AD$7:$IM$7,"✓",'KG1-3'!$AD$6:$IM$6,1,'KG1-3'!$AD$5:$IM$5,"&gt;="&amp;MAX('KG1-3'!$U30,Dash_PStart),'KG1-3'!$AD$5:$IM$5,"&lt;="&amp;Dash_PEnd)+COUNTIFS('KG1-3'!$AD30:$IM30,"غياب بعذر",'KG1-3'!$AD$7:$IM$7,"✓",'KG1-3'!$AD$6:$IM$6,1,'KG1-3'!$AD$5:$IM$5,"&gt;="&amp;MAX('KG1-3'!$U30,Dash_PStart),'KG1-3'!$AD$5:$IM$5,"&lt;="&amp;Dash_PEnd)+COUNTIFS('KG1-3'!$AD30:$IM30,"متأخر",'KG1-3'!$AD$7:$IM$7,"✓",'KG1-3'!$AD$6:$IM$6,1,'KG1-3'!$AD$5:$IM$5,"&gt;="&amp;MAX('KG1-3'!$U30,Dash_PStart),'KG1-3'!$AD$5:$IM$5,"&lt;="&amp;Dash_PEnd))</f>
        <v/>
      </c>
      <c r="AJ86" s="40">
        <f>IF(AF86=0,0,IF(W86=Dash_Date,Thr_Critical,IF(V86=Dash_Date,Thr_High,IF(U86=Dash_Date,Thr_Repeated,IF(T86=Dash_Date,Thr_FollowUp,0)))))</f>
        <v/>
      </c>
      <c r="AK86" s="40">
        <f>IF(AJ86&gt;0,COUNTIF($AJ$5:AJ86,"&gt;0"),"")</f>
        <v/>
      </c>
      <c r="AL86" s="40">
        <f>IF(AND(B86&lt;&gt;"",F86="نشط",Q86&lt;&gt;"",Q86&gt;0),L86*1000+(999-ROW()),"")</f>
        <v/>
      </c>
      <c r="AM86" s="40">
        <f>IF(AND(AF86=1,J86&lt;&gt;"",J86&gt;0),ROUND(O86*10000,0)*1000000+K86*1000+(999-ROW()),"")</f>
        <v/>
      </c>
      <c r="AN86" s="40">
        <f>IF(AND(AF86=1,J86&lt;&gt;"",J86&gt;0),(L86+M86)*10000000+ROUND((1-O86)*10000,0)*1000+(999-ROW()),"")</f>
        <v/>
      </c>
      <c r="AO86" s="40">
        <f>IF(AND(AF86=1,Q86&lt;&gt;"",Q86&gt;=Thr_Critical),L86*1000+(999-ROW()),"")</f>
        <v/>
      </c>
      <c r="AP86" s="40">
        <f>IF(AND(B86&lt;&gt;"",F86="نشط",OR(Rpt_Class="الكل",D86=Rpt_Class)),1,0)</f>
        <v/>
      </c>
      <c r="AQ86" s="40">
        <f>IF(AND(AP86=1,Q86&lt;&gt;"",Q86&gt;0),L86*1000+(999-ROW()),"")</f>
        <v/>
      </c>
      <c r="AR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IF(LateAsPresent="نعم",COUNTIFS('KG1-3'!$AD30:$IM30,"متأخر",'KG1-3'!$AD$7:$IM$7,"✓",'KG1-3'!$AD$6:$IM$6,1,'KG1-3'!$AD$5:$IM$5,"&gt;="&amp;MAX('KG1-3'!$U30,Rpt_PStart),'KG1-3'!$AD$5:$IM$5,"&lt;="&amp;Rpt_PEnd),0))</f>
        <v/>
      </c>
      <c r="AS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COUNTIFS('KG1-3'!$AD30:$IM30,"غياب بدون عذر",'KG1-3'!$AD$7:$IM$7,"✓",'KG1-3'!$AD$6:$IM$6,1,'KG1-3'!$AD$5:$IM$5,"&gt;="&amp;MAX('KG1-3'!$U30,Rpt_PStart),'KG1-3'!$AD$5:$IM$5,"&lt;="&amp;Rpt_PEnd)+COUNTIFS('KG1-3'!$AD30:$IM30,"غياب بعذر",'KG1-3'!$AD$7:$IM$7,"✓",'KG1-3'!$AD$6:$IM$6,1,'KG1-3'!$AD$5:$IM$5,"&gt;="&amp;MAX('KG1-3'!$U30,Rpt_PStart),'KG1-3'!$AD$5:$IM$5,"&lt;="&amp;Rpt_PEnd)+COUNTIFS('KG1-3'!$AD30:$IM30,"متأخر",'KG1-3'!$AD$7:$IM$7,"✓",'KG1-3'!$AD$6:$IM$6,1,'KG1-3'!$AD$5:$IM$5,"&gt;="&amp;MAX('KG1-3'!$U30,Rpt_PStart),'KG1-3'!$AD$5:$IM$5,"&lt;="&amp;Rpt_PEnd))</f>
        <v/>
      </c>
      <c r="AT86" s="40">
        <f>IF(AP86=0,"",COUNTIFS('KG1-3'!$AD30:$IM30,"غياب بدون عذر",'KG1-3'!$AD$7:$IM$7,"✓",'KG1-3'!$AD$6:$IM$6,1,'KG1-3'!$AD$5:$IM$5,"&gt;="&amp;MAX('KG1-3'!$U30,Rpt_PStart),'KG1-3'!$AD$5:$IM$5,"&lt;="&amp;Rpt_PEnd)+COUNTIFS('KG1-3'!$AD30:$IM30,"غياب بعذر",'KG1-3'!$AD$7:$IM$7,"✓",'KG1-3'!$AD$6:$IM$6,1,'KG1-3'!$AD$5:$IM$5,"&gt;="&amp;MAX('KG1-3'!$U30,Rpt_PStart),'KG1-3'!$AD$5:$IM$5,"&lt;="&amp;Rpt_PEnd))</f>
        <v/>
      </c>
      <c r="AU86" s="40" t="n">
        <v>3</v>
      </c>
      <c r="AV86" s="40" t="n">
        <v>22</v>
      </c>
      <c r="AW86" s="40">
        <f>IF(OR(AP86=0,Rpt_DayIdx=0),"",IF(INDEX('KG1-3'!$AD$7:$IM$7,Rpt_DayIdx)&lt;&gt;"✓","",IF(INDEX('KG1-3'!$AD30:$IM30,Rpt_DayIdx)="","P",IFERROR(INDEX(StatusCodes,MATCH(INDEX('KG1-3'!$AD30:$IM30,Rpt_DayIdx),StatusLabels,0)),""))))</f>
        <v/>
      </c>
      <c r="AX86" s="40">
        <f>IF(AND(AP86=1,OR(AW86="A",AW86="E")),COUNTIFS($AP$5:AP86,1,$AW$5:AW86,"A")+COUNTIFS($AP$5:AP86,1,$AW$5:AW86,"E"),"")</f>
        <v/>
      </c>
    </row>
    <row r="87">
      <c r="A87" s="148">
        <f>IF(B87="","",ROW()-4)</f>
        <v/>
      </c>
      <c r="B87" s="148">
        <f>IF('KG1-3'!$B31="","",'KG1-3'!$B31)</f>
        <v/>
      </c>
      <c r="C87" s="146">
        <f>IF('KG1-3'!$C31="","",'KG1-3'!$C31)</f>
        <v/>
      </c>
      <c r="D87" s="148">
        <f>IF(B87="","",'KG1-3'!$B$2)</f>
        <v/>
      </c>
      <c r="E87" s="148">
        <f>IF(B87="","",MID(D87,FIND("-",D87&amp;"-")+1,10))</f>
        <v/>
      </c>
      <c r="F87" s="148">
        <f>IF(B87="","","نشط")</f>
        <v/>
      </c>
      <c r="G87" s="157">
        <f>IF(B87="","","")</f>
        <v/>
      </c>
      <c r="H87" s="146">
        <f>IF('KG1-3'!$K31="","",'KG1-3'!$K31)</f>
        <v/>
      </c>
      <c r="I87" s="148">
        <f>IF('KG1-3'!$J31="","",'KG1-3'!$J31)</f>
        <v/>
      </c>
      <c r="J87" s="148">
        <f>IF('KG1-3'!$M31="","",'KG1-3'!$M31)</f>
        <v/>
      </c>
      <c r="K87" s="148">
        <f>IF('KG1-3'!$N31="","",'KG1-3'!$N31)</f>
        <v/>
      </c>
      <c r="L87" s="148">
        <f>IF('KG1-3'!$D31="","",'KG1-3'!$D31)</f>
        <v/>
      </c>
      <c r="M87" s="148">
        <f>IF('KG1-3'!$E31="","",'KG1-3'!$E31)</f>
        <v/>
      </c>
      <c r="N87" s="148">
        <f>IF('KG1-3'!$F31="","",'KG1-3'!$F31)</f>
        <v/>
      </c>
      <c r="O87" s="158">
        <f>IF('KG1-3'!$G31="","",'KG1-3'!$G31)</f>
        <v/>
      </c>
      <c r="P87" s="158">
        <f>IF('KG1-3'!$O31="","",'KG1-3'!$O31)</f>
        <v/>
      </c>
      <c r="Q87" s="148">
        <f>IF('KG1-3'!$T31="","",'KG1-3'!$T31)</f>
        <v/>
      </c>
      <c r="R87" s="146">
        <f>IF('KG1-3'!$H31="","",'KG1-3'!$H31)</f>
        <v/>
      </c>
      <c r="S87" s="157">
        <f>IF('KG1-3'!$P31="","",'KG1-3'!$P31)</f>
        <v/>
      </c>
      <c r="T87" s="157">
        <f>IF('KG1-3'!$V31="","",'KG1-3'!$V31)</f>
        <v/>
      </c>
      <c r="U87" s="157">
        <f>IF('KG1-3'!$W31="","",'KG1-3'!$W31)</f>
        <v/>
      </c>
      <c r="V87" s="157">
        <f>IF('KG1-3'!$X31="","",'KG1-3'!$X31)</f>
        <v/>
      </c>
      <c r="W87" s="157">
        <f>IF('KG1-3'!$Y31="","",'KG1-3'!$Y31)</f>
        <v/>
      </c>
      <c r="X87" s="157">
        <f>IF('KG1-3'!$R31="","",'KG1-3'!$R31)</f>
        <v/>
      </c>
      <c r="Y87" s="148">
        <f>IF('KG1-3'!$S31="","",'KG1-3'!$S31)</f>
        <v/>
      </c>
      <c r="Z87" s="148">
        <f>IF('KG1-3'!$Q31="","",'KG1-3'!$Q31)</f>
        <v/>
      </c>
      <c r="AA87" s="148">
        <f>IF('KG1-3'!$I31="","",'KG1-3'!$I31)</f>
        <v/>
      </c>
      <c r="AB87" s="146">
        <f>IF(Q87="","",INDEX(LevelActions,MATCH(Q87,LevelValues,0)))</f>
        <v/>
      </c>
      <c r="AC87" s="148">
        <f>IF(J87="","",IF(J87=0,"—",IF(AND(L87=0,M87=0),Cat_L1,IF(O87&gt;=Cat_95,Cat_L2,IF(O87&gt;=Cat_90,Cat_L3,Cat_L4)))))</f>
        <v/>
      </c>
      <c r="AD87" s="146">
        <f>IF('KG1-3'!$L31="","",'KG1-3'!$L31)</f>
        <v/>
      </c>
      <c r="AE87" s="148">
        <f>IF(B87="","",IF(COUNTIF($B$5:$B$214,B87)&gt;1,"مكرر!",""))</f>
        <v/>
      </c>
      <c r="AF87" s="148">
        <f>IF(AND(B87&lt;&gt;"",F87="نشط",OR(Dash_Class="الكل",D87=Dash_Class)),1,0)</f>
        <v/>
      </c>
      <c r="AG87" s="40">
        <f>IF(OR(AF87=0,Dash_DayIdx=0),"",IF(INDEX('KG1-3'!$AD$7:$IM$7,Dash_DayIdx)&lt;&gt;"✓","",IF(INDEX('KG1-3'!$AD31:$IM31,Dash_DayIdx)="","P",IFERROR(INDEX(StatusCodes,MATCH(INDEX('KG1-3'!$AD31:$IM31,Dash_DayIdx),StatusLabels,0)),""))))</f>
        <v/>
      </c>
      <c r="AH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IF(LateAsPresent="نعم",COUNTIFS('KG1-3'!$AD31:$IM31,"متأخر",'KG1-3'!$AD$7:$IM$7,"✓",'KG1-3'!$AD$6:$IM$6,1,'KG1-3'!$AD$5:$IM$5,"&gt;="&amp;MAX('KG1-3'!$U31,Dash_PStart),'KG1-3'!$AD$5:$IM$5,"&lt;="&amp;Dash_PEnd),0))</f>
        <v/>
      </c>
      <c r="AI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COUNTIFS('KG1-3'!$AD31:$IM31,"غياب بدون عذر",'KG1-3'!$AD$7:$IM$7,"✓",'KG1-3'!$AD$6:$IM$6,1,'KG1-3'!$AD$5:$IM$5,"&gt;="&amp;MAX('KG1-3'!$U31,Dash_PStart),'KG1-3'!$AD$5:$IM$5,"&lt;="&amp;Dash_PEnd)+COUNTIFS('KG1-3'!$AD31:$IM31,"غياب بعذر",'KG1-3'!$AD$7:$IM$7,"✓",'KG1-3'!$AD$6:$IM$6,1,'KG1-3'!$AD$5:$IM$5,"&gt;="&amp;MAX('KG1-3'!$U31,Dash_PStart),'KG1-3'!$AD$5:$IM$5,"&lt;="&amp;Dash_PEnd)+COUNTIFS('KG1-3'!$AD31:$IM31,"متأخر",'KG1-3'!$AD$7:$IM$7,"✓",'KG1-3'!$AD$6:$IM$6,1,'KG1-3'!$AD$5:$IM$5,"&gt;="&amp;MAX('KG1-3'!$U31,Dash_PStart),'KG1-3'!$AD$5:$IM$5,"&lt;="&amp;Dash_PEnd))</f>
        <v/>
      </c>
      <c r="AJ87" s="40">
        <f>IF(AF87=0,0,IF(W87=Dash_Date,Thr_Critical,IF(V87=Dash_Date,Thr_High,IF(U87=Dash_Date,Thr_Repeated,IF(T87=Dash_Date,Thr_FollowUp,0)))))</f>
        <v/>
      </c>
      <c r="AK87" s="40">
        <f>IF(AJ87&gt;0,COUNTIF($AJ$5:AJ87,"&gt;0"),"")</f>
        <v/>
      </c>
      <c r="AL87" s="40">
        <f>IF(AND(B87&lt;&gt;"",F87="نشط",Q87&lt;&gt;"",Q87&gt;0),L87*1000+(999-ROW()),"")</f>
        <v/>
      </c>
      <c r="AM87" s="40">
        <f>IF(AND(AF87=1,J87&lt;&gt;"",J87&gt;0),ROUND(O87*10000,0)*1000000+K87*1000+(999-ROW()),"")</f>
        <v/>
      </c>
      <c r="AN87" s="40">
        <f>IF(AND(AF87=1,J87&lt;&gt;"",J87&gt;0),(L87+M87)*10000000+ROUND((1-O87)*10000,0)*1000+(999-ROW()),"")</f>
        <v/>
      </c>
      <c r="AO87" s="40">
        <f>IF(AND(AF87=1,Q87&lt;&gt;"",Q87&gt;=Thr_Critical),L87*1000+(999-ROW()),"")</f>
        <v/>
      </c>
      <c r="AP87" s="40">
        <f>IF(AND(B87&lt;&gt;"",F87="نشط",OR(Rpt_Class="الكل",D87=Rpt_Class)),1,0)</f>
        <v/>
      </c>
      <c r="AQ87" s="40">
        <f>IF(AND(AP87=1,Q87&lt;&gt;"",Q87&gt;0),L87*1000+(999-ROW()),"")</f>
        <v/>
      </c>
      <c r="AR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IF(LateAsPresent="نعم",COUNTIFS('KG1-3'!$AD31:$IM31,"متأخر",'KG1-3'!$AD$7:$IM$7,"✓",'KG1-3'!$AD$6:$IM$6,1,'KG1-3'!$AD$5:$IM$5,"&gt;="&amp;MAX('KG1-3'!$U31,Rpt_PStart),'KG1-3'!$AD$5:$IM$5,"&lt;="&amp;Rpt_PEnd),0))</f>
        <v/>
      </c>
      <c r="AS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COUNTIFS('KG1-3'!$AD31:$IM31,"غياب بدون عذر",'KG1-3'!$AD$7:$IM$7,"✓",'KG1-3'!$AD$6:$IM$6,1,'KG1-3'!$AD$5:$IM$5,"&gt;="&amp;MAX('KG1-3'!$U31,Rpt_PStart),'KG1-3'!$AD$5:$IM$5,"&lt;="&amp;Rpt_PEnd)+COUNTIFS('KG1-3'!$AD31:$IM31,"غياب بعذر",'KG1-3'!$AD$7:$IM$7,"✓",'KG1-3'!$AD$6:$IM$6,1,'KG1-3'!$AD$5:$IM$5,"&gt;="&amp;MAX('KG1-3'!$U31,Rpt_PStart),'KG1-3'!$AD$5:$IM$5,"&lt;="&amp;Rpt_PEnd)+COUNTIFS('KG1-3'!$AD31:$IM31,"متأخر",'KG1-3'!$AD$7:$IM$7,"✓",'KG1-3'!$AD$6:$IM$6,1,'KG1-3'!$AD$5:$IM$5,"&gt;="&amp;MAX('KG1-3'!$U31,Rpt_PStart),'KG1-3'!$AD$5:$IM$5,"&lt;="&amp;Rpt_PEnd))</f>
        <v/>
      </c>
      <c r="AT87" s="40">
        <f>IF(AP87=0,"",COUNTIFS('KG1-3'!$AD31:$IM31,"غياب بدون عذر",'KG1-3'!$AD$7:$IM$7,"✓",'KG1-3'!$AD$6:$IM$6,1,'KG1-3'!$AD$5:$IM$5,"&gt;="&amp;MAX('KG1-3'!$U31,Rpt_PStart),'KG1-3'!$AD$5:$IM$5,"&lt;="&amp;Rpt_PEnd)+COUNTIFS('KG1-3'!$AD31:$IM31,"غياب بعذر",'KG1-3'!$AD$7:$IM$7,"✓",'KG1-3'!$AD$6:$IM$6,1,'KG1-3'!$AD$5:$IM$5,"&gt;="&amp;MAX('KG1-3'!$U31,Rpt_PStart),'KG1-3'!$AD$5:$IM$5,"&lt;="&amp;Rpt_PEnd))</f>
        <v/>
      </c>
      <c r="AU87" s="40" t="n">
        <v>3</v>
      </c>
      <c r="AV87" s="40" t="n">
        <v>23</v>
      </c>
      <c r="AW87" s="40">
        <f>IF(OR(AP87=0,Rpt_DayIdx=0),"",IF(INDEX('KG1-3'!$AD$7:$IM$7,Rpt_DayIdx)&lt;&gt;"✓","",IF(INDEX('KG1-3'!$AD31:$IM31,Rpt_DayIdx)="","P",IFERROR(INDEX(StatusCodes,MATCH(INDEX('KG1-3'!$AD31:$IM31,Rpt_DayIdx),StatusLabels,0)),""))))</f>
        <v/>
      </c>
      <c r="AX87" s="40">
        <f>IF(AND(AP87=1,OR(AW87="A",AW87="E")),COUNTIFS($AP$5:AP87,1,$AW$5:AW87,"A")+COUNTIFS($AP$5:AP87,1,$AW$5:AW87,"E"),"")</f>
        <v/>
      </c>
    </row>
    <row r="88">
      <c r="A88" s="148">
        <f>IF(B88="","",ROW()-4)</f>
        <v/>
      </c>
      <c r="B88" s="148">
        <f>IF('KG1-3'!$B32="","",'KG1-3'!$B32)</f>
        <v/>
      </c>
      <c r="C88" s="146">
        <f>IF('KG1-3'!$C32="","",'KG1-3'!$C32)</f>
        <v/>
      </c>
      <c r="D88" s="148">
        <f>IF(B88="","",'KG1-3'!$B$2)</f>
        <v/>
      </c>
      <c r="E88" s="148">
        <f>IF(B88="","",MID(D88,FIND("-",D88&amp;"-")+1,10))</f>
        <v/>
      </c>
      <c r="F88" s="148">
        <f>IF(B88="","","نشط")</f>
        <v/>
      </c>
      <c r="G88" s="157">
        <f>IF(B88="","","")</f>
        <v/>
      </c>
      <c r="H88" s="146">
        <f>IF('KG1-3'!$K32="","",'KG1-3'!$K32)</f>
        <v/>
      </c>
      <c r="I88" s="148">
        <f>IF('KG1-3'!$J32="","",'KG1-3'!$J32)</f>
        <v/>
      </c>
      <c r="J88" s="148">
        <f>IF('KG1-3'!$M32="","",'KG1-3'!$M32)</f>
        <v/>
      </c>
      <c r="K88" s="148">
        <f>IF('KG1-3'!$N32="","",'KG1-3'!$N32)</f>
        <v/>
      </c>
      <c r="L88" s="148">
        <f>IF('KG1-3'!$D32="","",'KG1-3'!$D32)</f>
        <v/>
      </c>
      <c r="M88" s="148">
        <f>IF('KG1-3'!$E32="","",'KG1-3'!$E32)</f>
        <v/>
      </c>
      <c r="N88" s="148">
        <f>IF('KG1-3'!$F32="","",'KG1-3'!$F32)</f>
        <v/>
      </c>
      <c r="O88" s="158">
        <f>IF('KG1-3'!$G32="","",'KG1-3'!$G32)</f>
        <v/>
      </c>
      <c r="P88" s="158">
        <f>IF('KG1-3'!$O32="","",'KG1-3'!$O32)</f>
        <v/>
      </c>
      <c r="Q88" s="148">
        <f>IF('KG1-3'!$T32="","",'KG1-3'!$T32)</f>
        <v/>
      </c>
      <c r="R88" s="146">
        <f>IF('KG1-3'!$H32="","",'KG1-3'!$H32)</f>
        <v/>
      </c>
      <c r="S88" s="157">
        <f>IF('KG1-3'!$P32="","",'KG1-3'!$P32)</f>
        <v/>
      </c>
      <c r="T88" s="157">
        <f>IF('KG1-3'!$V32="","",'KG1-3'!$V32)</f>
        <v/>
      </c>
      <c r="U88" s="157">
        <f>IF('KG1-3'!$W32="","",'KG1-3'!$W32)</f>
        <v/>
      </c>
      <c r="V88" s="157">
        <f>IF('KG1-3'!$X32="","",'KG1-3'!$X32)</f>
        <v/>
      </c>
      <c r="W88" s="157">
        <f>IF('KG1-3'!$Y32="","",'KG1-3'!$Y32)</f>
        <v/>
      </c>
      <c r="X88" s="157">
        <f>IF('KG1-3'!$R32="","",'KG1-3'!$R32)</f>
        <v/>
      </c>
      <c r="Y88" s="148">
        <f>IF('KG1-3'!$S32="","",'KG1-3'!$S32)</f>
        <v/>
      </c>
      <c r="Z88" s="148">
        <f>IF('KG1-3'!$Q32="","",'KG1-3'!$Q32)</f>
        <v/>
      </c>
      <c r="AA88" s="148">
        <f>IF('KG1-3'!$I32="","",'KG1-3'!$I32)</f>
        <v/>
      </c>
      <c r="AB88" s="146">
        <f>IF(Q88="","",INDEX(LevelActions,MATCH(Q88,LevelValues,0)))</f>
        <v/>
      </c>
      <c r="AC88" s="148">
        <f>IF(J88="","",IF(J88=0,"—",IF(AND(L88=0,M88=0),Cat_L1,IF(O88&gt;=Cat_95,Cat_L2,IF(O88&gt;=Cat_90,Cat_L3,Cat_L4)))))</f>
        <v/>
      </c>
      <c r="AD88" s="146">
        <f>IF('KG1-3'!$L32="","",'KG1-3'!$L32)</f>
        <v/>
      </c>
      <c r="AE88" s="148">
        <f>IF(B88="","",IF(COUNTIF($B$5:$B$214,B88)&gt;1,"مكرر!",""))</f>
        <v/>
      </c>
      <c r="AF88" s="148">
        <f>IF(AND(B88&lt;&gt;"",F88="نشط",OR(Dash_Class="الكل",D88=Dash_Class)),1,0)</f>
        <v/>
      </c>
      <c r="AG88" s="40">
        <f>IF(OR(AF88=0,Dash_DayIdx=0),"",IF(INDEX('KG1-3'!$AD$7:$IM$7,Dash_DayIdx)&lt;&gt;"✓","",IF(INDEX('KG1-3'!$AD32:$IM32,Dash_DayIdx)="","P",IFERROR(INDEX(StatusCodes,MATCH(INDEX('KG1-3'!$AD32:$IM32,Dash_DayIdx),StatusLabels,0)),""))))</f>
        <v/>
      </c>
      <c r="AH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IF(LateAsPresent="نعم",COUNTIFS('KG1-3'!$AD32:$IM32,"متأخر",'KG1-3'!$AD$7:$IM$7,"✓",'KG1-3'!$AD$6:$IM$6,1,'KG1-3'!$AD$5:$IM$5,"&gt;="&amp;MAX('KG1-3'!$U32,Dash_PStart),'KG1-3'!$AD$5:$IM$5,"&lt;="&amp;Dash_PEnd),0))</f>
        <v/>
      </c>
      <c r="AI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COUNTIFS('KG1-3'!$AD32:$IM32,"غياب بدون عذر",'KG1-3'!$AD$7:$IM$7,"✓",'KG1-3'!$AD$6:$IM$6,1,'KG1-3'!$AD$5:$IM$5,"&gt;="&amp;MAX('KG1-3'!$U32,Dash_PStart),'KG1-3'!$AD$5:$IM$5,"&lt;="&amp;Dash_PEnd)+COUNTIFS('KG1-3'!$AD32:$IM32,"غياب بعذر",'KG1-3'!$AD$7:$IM$7,"✓",'KG1-3'!$AD$6:$IM$6,1,'KG1-3'!$AD$5:$IM$5,"&gt;="&amp;MAX('KG1-3'!$U32,Dash_PStart),'KG1-3'!$AD$5:$IM$5,"&lt;="&amp;Dash_PEnd)+COUNTIFS('KG1-3'!$AD32:$IM32,"متأخر",'KG1-3'!$AD$7:$IM$7,"✓",'KG1-3'!$AD$6:$IM$6,1,'KG1-3'!$AD$5:$IM$5,"&gt;="&amp;MAX('KG1-3'!$U32,Dash_PStart),'KG1-3'!$AD$5:$IM$5,"&lt;="&amp;Dash_PEnd))</f>
        <v/>
      </c>
      <c r="AJ88" s="40">
        <f>IF(AF88=0,0,IF(W88=Dash_Date,Thr_Critical,IF(V88=Dash_Date,Thr_High,IF(U88=Dash_Date,Thr_Repeated,IF(T88=Dash_Date,Thr_FollowUp,0)))))</f>
        <v/>
      </c>
      <c r="AK88" s="40">
        <f>IF(AJ88&gt;0,COUNTIF($AJ$5:AJ88,"&gt;0"),"")</f>
        <v/>
      </c>
      <c r="AL88" s="40">
        <f>IF(AND(B88&lt;&gt;"",F88="نشط",Q88&lt;&gt;"",Q88&gt;0),L88*1000+(999-ROW()),"")</f>
        <v/>
      </c>
      <c r="AM88" s="40">
        <f>IF(AND(AF88=1,J88&lt;&gt;"",J88&gt;0),ROUND(O88*10000,0)*1000000+K88*1000+(999-ROW()),"")</f>
        <v/>
      </c>
      <c r="AN88" s="40">
        <f>IF(AND(AF88=1,J88&lt;&gt;"",J88&gt;0),(L88+M88)*10000000+ROUND((1-O88)*10000,0)*1000+(999-ROW()),"")</f>
        <v/>
      </c>
      <c r="AO88" s="40">
        <f>IF(AND(AF88=1,Q88&lt;&gt;"",Q88&gt;=Thr_Critical),L88*1000+(999-ROW()),"")</f>
        <v/>
      </c>
      <c r="AP88" s="40">
        <f>IF(AND(B88&lt;&gt;"",F88="نشط",OR(Rpt_Class="الكل",D88=Rpt_Class)),1,0)</f>
        <v/>
      </c>
      <c r="AQ88" s="40">
        <f>IF(AND(AP88=1,Q88&lt;&gt;"",Q88&gt;0),L88*1000+(999-ROW()),"")</f>
        <v/>
      </c>
      <c r="AR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IF(LateAsPresent="نعم",COUNTIFS('KG1-3'!$AD32:$IM32,"متأخر",'KG1-3'!$AD$7:$IM$7,"✓",'KG1-3'!$AD$6:$IM$6,1,'KG1-3'!$AD$5:$IM$5,"&gt;="&amp;MAX('KG1-3'!$U32,Rpt_PStart),'KG1-3'!$AD$5:$IM$5,"&lt;="&amp;Rpt_PEnd),0))</f>
        <v/>
      </c>
      <c r="AS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COUNTIFS('KG1-3'!$AD32:$IM32,"غياب بدون عذر",'KG1-3'!$AD$7:$IM$7,"✓",'KG1-3'!$AD$6:$IM$6,1,'KG1-3'!$AD$5:$IM$5,"&gt;="&amp;MAX('KG1-3'!$U32,Rpt_PStart),'KG1-3'!$AD$5:$IM$5,"&lt;="&amp;Rpt_PEnd)+COUNTIFS('KG1-3'!$AD32:$IM32,"غياب بعذر",'KG1-3'!$AD$7:$IM$7,"✓",'KG1-3'!$AD$6:$IM$6,1,'KG1-3'!$AD$5:$IM$5,"&gt;="&amp;MAX('KG1-3'!$U32,Rpt_PStart),'KG1-3'!$AD$5:$IM$5,"&lt;="&amp;Rpt_PEnd)+COUNTIFS('KG1-3'!$AD32:$IM32,"متأخر",'KG1-3'!$AD$7:$IM$7,"✓",'KG1-3'!$AD$6:$IM$6,1,'KG1-3'!$AD$5:$IM$5,"&gt;="&amp;MAX('KG1-3'!$U32,Rpt_PStart),'KG1-3'!$AD$5:$IM$5,"&lt;="&amp;Rpt_PEnd))</f>
        <v/>
      </c>
      <c r="AT88" s="40">
        <f>IF(AP88=0,"",COUNTIFS('KG1-3'!$AD32:$IM32,"غياب بدون عذر",'KG1-3'!$AD$7:$IM$7,"✓",'KG1-3'!$AD$6:$IM$6,1,'KG1-3'!$AD$5:$IM$5,"&gt;="&amp;MAX('KG1-3'!$U32,Rpt_PStart),'KG1-3'!$AD$5:$IM$5,"&lt;="&amp;Rpt_PEnd)+COUNTIFS('KG1-3'!$AD32:$IM32,"غياب بعذر",'KG1-3'!$AD$7:$IM$7,"✓",'KG1-3'!$AD$6:$IM$6,1,'KG1-3'!$AD$5:$IM$5,"&gt;="&amp;MAX('KG1-3'!$U32,Rpt_PStart),'KG1-3'!$AD$5:$IM$5,"&lt;="&amp;Rpt_PEnd))</f>
        <v/>
      </c>
      <c r="AU88" s="40" t="n">
        <v>3</v>
      </c>
      <c r="AV88" s="40" t="n">
        <v>24</v>
      </c>
      <c r="AW88" s="40">
        <f>IF(OR(AP88=0,Rpt_DayIdx=0),"",IF(INDEX('KG1-3'!$AD$7:$IM$7,Rpt_DayIdx)&lt;&gt;"✓","",IF(INDEX('KG1-3'!$AD32:$IM32,Rpt_DayIdx)="","P",IFERROR(INDEX(StatusCodes,MATCH(INDEX('KG1-3'!$AD32:$IM32,Rpt_DayIdx),StatusLabels,0)),""))))</f>
        <v/>
      </c>
      <c r="AX88" s="40">
        <f>IF(AND(AP88=1,OR(AW88="A",AW88="E")),COUNTIFS($AP$5:AP88,1,$AW$5:AW88,"A")+COUNTIFS($AP$5:AP88,1,$AW$5:AW88,"E"),"")</f>
        <v/>
      </c>
    </row>
    <row r="89">
      <c r="A89" s="148">
        <f>IF(B89="","",ROW()-4)</f>
        <v/>
      </c>
      <c r="B89" s="148">
        <f>IF('KG1-3'!$B33="","",'KG1-3'!$B33)</f>
        <v/>
      </c>
      <c r="C89" s="146">
        <f>IF('KG1-3'!$C33="","",'KG1-3'!$C33)</f>
        <v/>
      </c>
      <c r="D89" s="148">
        <f>IF(B89="","",'KG1-3'!$B$2)</f>
        <v/>
      </c>
      <c r="E89" s="148">
        <f>IF(B89="","",MID(D89,FIND("-",D89&amp;"-")+1,10))</f>
        <v/>
      </c>
      <c r="F89" s="148">
        <f>IF(B89="","","نشط")</f>
        <v/>
      </c>
      <c r="G89" s="157">
        <f>IF(B89="","","")</f>
        <v/>
      </c>
      <c r="H89" s="146">
        <f>IF('KG1-3'!$K33="","",'KG1-3'!$K33)</f>
        <v/>
      </c>
      <c r="I89" s="148">
        <f>IF('KG1-3'!$J33="","",'KG1-3'!$J33)</f>
        <v/>
      </c>
      <c r="J89" s="148">
        <f>IF('KG1-3'!$M33="","",'KG1-3'!$M33)</f>
        <v/>
      </c>
      <c r="K89" s="148">
        <f>IF('KG1-3'!$N33="","",'KG1-3'!$N33)</f>
        <v/>
      </c>
      <c r="L89" s="148">
        <f>IF('KG1-3'!$D33="","",'KG1-3'!$D33)</f>
        <v/>
      </c>
      <c r="M89" s="148">
        <f>IF('KG1-3'!$E33="","",'KG1-3'!$E33)</f>
        <v/>
      </c>
      <c r="N89" s="148">
        <f>IF('KG1-3'!$F33="","",'KG1-3'!$F33)</f>
        <v/>
      </c>
      <c r="O89" s="158">
        <f>IF('KG1-3'!$G33="","",'KG1-3'!$G33)</f>
        <v/>
      </c>
      <c r="P89" s="158">
        <f>IF('KG1-3'!$O33="","",'KG1-3'!$O33)</f>
        <v/>
      </c>
      <c r="Q89" s="148">
        <f>IF('KG1-3'!$T33="","",'KG1-3'!$T33)</f>
        <v/>
      </c>
      <c r="R89" s="146">
        <f>IF('KG1-3'!$H33="","",'KG1-3'!$H33)</f>
        <v/>
      </c>
      <c r="S89" s="157">
        <f>IF('KG1-3'!$P33="","",'KG1-3'!$P33)</f>
        <v/>
      </c>
      <c r="T89" s="157">
        <f>IF('KG1-3'!$V33="","",'KG1-3'!$V33)</f>
        <v/>
      </c>
      <c r="U89" s="157">
        <f>IF('KG1-3'!$W33="","",'KG1-3'!$W33)</f>
        <v/>
      </c>
      <c r="V89" s="157">
        <f>IF('KG1-3'!$X33="","",'KG1-3'!$X33)</f>
        <v/>
      </c>
      <c r="W89" s="157">
        <f>IF('KG1-3'!$Y33="","",'KG1-3'!$Y33)</f>
        <v/>
      </c>
      <c r="X89" s="157">
        <f>IF('KG1-3'!$R33="","",'KG1-3'!$R33)</f>
        <v/>
      </c>
      <c r="Y89" s="148">
        <f>IF('KG1-3'!$S33="","",'KG1-3'!$S33)</f>
        <v/>
      </c>
      <c r="Z89" s="148">
        <f>IF('KG1-3'!$Q33="","",'KG1-3'!$Q33)</f>
        <v/>
      </c>
      <c r="AA89" s="148">
        <f>IF('KG1-3'!$I33="","",'KG1-3'!$I33)</f>
        <v/>
      </c>
      <c r="AB89" s="146">
        <f>IF(Q89="","",INDEX(LevelActions,MATCH(Q89,LevelValues,0)))</f>
        <v/>
      </c>
      <c r="AC89" s="148">
        <f>IF(J89="","",IF(J89=0,"—",IF(AND(L89=0,M89=0),Cat_L1,IF(O89&gt;=Cat_95,Cat_L2,IF(O89&gt;=Cat_90,Cat_L3,Cat_L4)))))</f>
        <v/>
      </c>
      <c r="AD89" s="146">
        <f>IF('KG1-3'!$L33="","",'KG1-3'!$L33)</f>
        <v/>
      </c>
      <c r="AE89" s="148">
        <f>IF(B89="","",IF(COUNTIF($B$5:$B$214,B89)&gt;1,"مكرر!",""))</f>
        <v/>
      </c>
      <c r="AF89" s="148">
        <f>IF(AND(B89&lt;&gt;"",F89="نشط",OR(Dash_Class="الكل",D89=Dash_Class)),1,0)</f>
        <v/>
      </c>
      <c r="AG89" s="40">
        <f>IF(OR(AF89=0,Dash_DayIdx=0),"",IF(INDEX('KG1-3'!$AD$7:$IM$7,Dash_DayIdx)&lt;&gt;"✓","",IF(INDEX('KG1-3'!$AD33:$IM33,Dash_DayIdx)="","P",IFERROR(INDEX(StatusCodes,MATCH(INDEX('KG1-3'!$AD33:$IM33,Dash_DayIdx),StatusLabels,0)),""))))</f>
        <v/>
      </c>
      <c r="AH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IF(LateAsPresent="نعم",COUNTIFS('KG1-3'!$AD33:$IM33,"متأخر",'KG1-3'!$AD$7:$IM$7,"✓",'KG1-3'!$AD$6:$IM$6,1,'KG1-3'!$AD$5:$IM$5,"&gt;="&amp;MAX('KG1-3'!$U33,Dash_PStart),'KG1-3'!$AD$5:$IM$5,"&lt;="&amp;Dash_PEnd),0))</f>
        <v/>
      </c>
      <c r="AI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COUNTIFS('KG1-3'!$AD33:$IM33,"غياب بدون عذر",'KG1-3'!$AD$7:$IM$7,"✓",'KG1-3'!$AD$6:$IM$6,1,'KG1-3'!$AD$5:$IM$5,"&gt;="&amp;MAX('KG1-3'!$U33,Dash_PStart),'KG1-3'!$AD$5:$IM$5,"&lt;="&amp;Dash_PEnd)+COUNTIFS('KG1-3'!$AD33:$IM33,"غياب بعذر",'KG1-3'!$AD$7:$IM$7,"✓",'KG1-3'!$AD$6:$IM$6,1,'KG1-3'!$AD$5:$IM$5,"&gt;="&amp;MAX('KG1-3'!$U33,Dash_PStart),'KG1-3'!$AD$5:$IM$5,"&lt;="&amp;Dash_PEnd)+COUNTIFS('KG1-3'!$AD33:$IM33,"متأخر",'KG1-3'!$AD$7:$IM$7,"✓",'KG1-3'!$AD$6:$IM$6,1,'KG1-3'!$AD$5:$IM$5,"&gt;="&amp;MAX('KG1-3'!$U33,Dash_PStart),'KG1-3'!$AD$5:$IM$5,"&lt;="&amp;Dash_PEnd))</f>
        <v/>
      </c>
      <c r="AJ89" s="40">
        <f>IF(AF89=0,0,IF(W89=Dash_Date,Thr_Critical,IF(V89=Dash_Date,Thr_High,IF(U89=Dash_Date,Thr_Repeated,IF(T89=Dash_Date,Thr_FollowUp,0)))))</f>
        <v/>
      </c>
      <c r="AK89" s="40">
        <f>IF(AJ89&gt;0,COUNTIF($AJ$5:AJ89,"&gt;0"),"")</f>
        <v/>
      </c>
      <c r="AL89" s="40">
        <f>IF(AND(B89&lt;&gt;"",F89="نشط",Q89&lt;&gt;"",Q89&gt;0),L89*1000+(999-ROW()),"")</f>
        <v/>
      </c>
      <c r="AM89" s="40">
        <f>IF(AND(AF89=1,J89&lt;&gt;"",J89&gt;0),ROUND(O89*10000,0)*1000000+K89*1000+(999-ROW()),"")</f>
        <v/>
      </c>
      <c r="AN89" s="40">
        <f>IF(AND(AF89=1,J89&lt;&gt;"",J89&gt;0),(L89+M89)*10000000+ROUND((1-O89)*10000,0)*1000+(999-ROW()),"")</f>
        <v/>
      </c>
      <c r="AO89" s="40">
        <f>IF(AND(AF89=1,Q89&lt;&gt;"",Q89&gt;=Thr_Critical),L89*1000+(999-ROW()),"")</f>
        <v/>
      </c>
      <c r="AP89" s="40">
        <f>IF(AND(B89&lt;&gt;"",F89="نشط",OR(Rpt_Class="الكل",D89=Rpt_Class)),1,0)</f>
        <v/>
      </c>
      <c r="AQ89" s="40">
        <f>IF(AND(AP89=1,Q89&lt;&gt;"",Q89&gt;0),L89*1000+(999-ROW()),"")</f>
        <v/>
      </c>
      <c r="AR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IF(LateAsPresent="نعم",COUNTIFS('KG1-3'!$AD33:$IM33,"متأخر",'KG1-3'!$AD$7:$IM$7,"✓",'KG1-3'!$AD$6:$IM$6,1,'KG1-3'!$AD$5:$IM$5,"&gt;="&amp;MAX('KG1-3'!$U33,Rpt_PStart),'KG1-3'!$AD$5:$IM$5,"&lt;="&amp;Rpt_PEnd),0))</f>
        <v/>
      </c>
      <c r="AS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COUNTIFS('KG1-3'!$AD33:$IM33,"غياب بدون عذر",'KG1-3'!$AD$7:$IM$7,"✓",'KG1-3'!$AD$6:$IM$6,1,'KG1-3'!$AD$5:$IM$5,"&gt;="&amp;MAX('KG1-3'!$U33,Rpt_PStart),'KG1-3'!$AD$5:$IM$5,"&lt;="&amp;Rpt_PEnd)+COUNTIFS('KG1-3'!$AD33:$IM33,"غياب بعذر",'KG1-3'!$AD$7:$IM$7,"✓",'KG1-3'!$AD$6:$IM$6,1,'KG1-3'!$AD$5:$IM$5,"&gt;="&amp;MAX('KG1-3'!$U33,Rpt_PStart),'KG1-3'!$AD$5:$IM$5,"&lt;="&amp;Rpt_PEnd)+COUNTIFS('KG1-3'!$AD33:$IM33,"متأخر",'KG1-3'!$AD$7:$IM$7,"✓",'KG1-3'!$AD$6:$IM$6,1,'KG1-3'!$AD$5:$IM$5,"&gt;="&amp;MAX('KG1-3'!$U33,Rpt_PStart),'KG1-3'!$AD$5:$IM$5,"&lt;="&amp;Rpt_PEnd))</f>
        <v/>
      </c>
      <c r="AT89" s="40">
        <f>IF(AP89=0,"",COUNTIFS('KG1-3'!$AD33:$IM33,"غياب بدون عذر",'KG1-3'!$AD$7:$IM$7,"✓",'KG1-3'!$AD$6:$IM$6,1,'KG1-3'!$AD$5:$IM$5,"&gt;="&amp;MAX('KG1-3'!$U33,Rpt_PStart),'KG1-3'!$AD$5:$IM$5,"&lt;="&amp;Rpt_PEnd)+COUNTIFS('KG1-3'!$AD33:$IM33,"غياب بعذر",'KG1-3'!$AD$7:$IM$7,"✓",'KG1-3'!$AD$6:$IM$6,1,'KG1-3'!$AD$5:$IM$5,"&gt;="&amp;MAX('KG1-3'!$U33,Rpt_PStart),'KG1-3'!$AD$5:$IM$5,"&lt;="&amp;Rpt_PEnd))</f>
        <v/>
      </c>
      <c r="AU89" s="40" t="n">
        <v>3</v>
      </c>
      <c r="AV89" s="40" t="n">
        <v>25</v>
      </c>
      <c r="AW89" s="40">
        <f>IF(OR(AP89=0,Rpt_DayIdx=0),"",IF(INDEX('KG1-3'!$AD$7:$IM$7,Rpt_DayIdx)&lt;&gt;"✓","",IF(INDEX('KG1-3'!$AD33:$IM33,Rpt_DayIdx)="","P",IFERROR(INDEX(StatusCodes,MATCH(INDEX('KG1-3'!$AD33:$IM33,Rpt_DayIdx),StatusLabels,0)),""))))</f>
        <v/>
      </c>
      <c r="AX89" s="40">
        <f>IF(AND(AP89=1,OR(AW89="A",AW89="E")),COUNTIFS($AP$5:AP89,1,$AW$5:AW89,"A")+COUNTIFS($AP$5:AP89,1,$AW$5:AW89,"E"),"")</f>
        <v/>
      </c>
    </row>
    <row r="90">
      <c r="A90" s="148">
        <f>IF(B90="","",ROW()-4)</f>
        <v/>
      </c>
      <c r="B90" s="148">
        <f>IF('KG1-3'!$B34="","",'KG1-3'!$B34)</f>
        <v/>
      </c>
      <c r="C90" s="146">
        <f>IF('KG1-3'!$C34="","",'KG1-3'!$C34)</f>
        <v/>
      </c>
      <c r="D90" s="148">
        <f>IF(B90="","",'KG1-3'!$B$2)</f>
        <v/>
      </c>
      <c r="E90" s="148">
        <f>IF(B90="","",MID(D90,FIND("-",D90&amp;"-")+1,10))</f>
        <v/>
      </c>
      <c r="F90" s="148">
        <f>IF(B90="","","نشط")</f>
        <v/>
      </c>
      <c r="G90" s="157">
        <f>IF(B90="","","")</f>
        <v/>
      </c>
      <c r="H90" s="146">
        <f>IF('KG1-3'!$K34="","",'KG1-3'!$K34)</f>
        <v/>
      </c>
      <c r="I90" s="148">
        <f>IF('KG1-3'!$J34="","",'KG1-3'!$J34)</f>
        <v/>
      </c>
      <c r="J90" s="148">
        <f>IF('KG1-3'!$M34="","",'KG1-3'!$M34)</f>
        <v/>
      </c>
      <c r="K90" s="148">
        <f>IF('KG1-3'!$N34="","",'KG1-3'!$N34)</f>
        <v/>
      </c>
      <c r="L90" s="148">
        <f>IF('KG1-3'!$D34="","",'KG1-3'!$D34)</f>
        <v/>
      </c>
      <c r="M90" s="148">
        <f>IF('KG1-3'!$E34="","",'KG1-3'!$E34)</f>
        <v/>
      </c>
      <c r="N90" s="148">
        <f>IF('KG1-3'!$F34="","",'KG1-3'!$F34)</f>
        <v/>
      </c>
      <c r="O90" s="158">
        <f>IF('KG1-3'!$G34="","",'KG1-3'!$G34)</f>
        <v/>
      </c>
      <c r="P90" s="158">
        <f>IF('KG1-3'!$O34="","",'KG1-3'!$O34)</f>
        <v/>
      </c>
      <c r="Q90" s="148">
        <f>IF('KG1-3'!$T34="","",'KG1-3'!$T34)</f>
        <v/>
      </c>
      <c r="R90" s="146">
        <f>IF('KG1-3'!$H34="","",'KG1-3'!$H34)</f>
        <v/>
      </c>
      <c r="S90" s="157">
        <f>IF('KG1-3'!$P34="","",'KG1-3'!$P34)</f>
        <v/>
      </c>
      <c r="T90" s="157">
        <f>IF('KG1-3'!$V34="","",'KG1-3'!$V34)</f>
        <v/>
      </c>
      <c r="U90" s="157">
        <f>IF('KG1-3'!$W34="","",'KG1-3'!$W34)</f>
        <v/>
      </c>
      <c r="V90" s="157">
        <f>IF('KG1-3'!$X34="","",'KG1-3'!$X34)</f>
        <v/>
      </c>
      <c r="W90" s="157">
        <f>IF('KG1-3'!$Y34="","",'KG1-3'!$Y34)</f>
        <v/>
      </c>
      <c r="X90" s="157">
        <f>IF('KG1-3'!$R34="","",'KG1-3'!$R34)</f>
        <v/>
      </c>
      <c r="Y90" s="148">
        <f>IF('KG1-3'!$S34="","",'KG1-3'!$S34)</f>
        <v/>
      </c>
      <c r="Z90" s="148">
        <f>IF('KG1-3'!$Q34="","",'KG1-3'!$Q34)</f>
        <v/>
      </c>
      <c r="AA90" s="148">
        <f>IF('KG1-3'!$I34="","",'KG1-3'!$I34)</f>
        <v/>
      </c>
      <c r="AB90" s="146">
        <f>IF(Q90="","",INDEX(LevelActions,MATCH(Q90,LevelValues,0)))</f>
        <v/>
      </c>
      <c r="AC90" s="148">
        <f>IF(J90="","",IF(J90=0,"—",IF(AND(L90=0,M90=0),Cat_L1,IF(O90&gt;=Cat_95,Cat_L2,IF(O90&gt;=Cat_90,Cat_L3,Cat_L4)))))</f>
        <v/>
      </c>
      <c r="AD90" s="146">
        <f>IF('KG1-3'!$L34="","",'KG1-3'!$L34)</f>
        <v/>
      </c>
      <c r="AE90" s="148">
        <f>IF(B90="","",IF(COUNTIF($B$5:$B$214,B90)&gt;1,"مكرر!",""))</f>
        <v/>
      </c>
      <c r="AF90" s="148">
        <f>IF(AND(B90&lt;&gt;"",F90="نشط",OR(Dash_Class="الكل",D90=Dash_Class)),1,0)</f>
        <v/>
      </c>
      <c r="AG90" s="40">
        <f>IF(OR(AF90=0,Dash_DayIdx=0),"",IF(INDEX('KG1-3'!$AD$7:$IM$7,Dash_DayIdx)&lt;&gt;"✓","",IF(INDEX('KG1-3'!$AD34:$IM34,Dash_DayIdx)="","P",IFERROR(INDEX(StatusCodes,MATCH(INDEX('KG1-3'!$AD34:$IM34,Dash_DayIdx),StatusLabels,0)),""))))</f>
        <v/>
      </c>
      <c r="AH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IF(LateAsPresent="نعم",COUNTIFS('KG1-3'!$AD34:$IM34,"متأخر",'KG1-3'!$AD$7:$IM$7,"✓",'KG1-3'!$AD$6:$IM$6,1,'KG1-3'!$AD$5:$IM$5,"&gt;="&amp;MAX('KG1-3'!$U34,Dash_PStart),'KG1-3'!$AD$5:$IM$5,"&lt;="&amp;Dash_PEnd),0))</f>
        <v/>
      </c>
      <c r="AI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COUNTIFS('KG1-3'!$AD34:$IM34,"غياب بدون عذر",'KG1-3'!$AD$7:$IM$7,"✓",'KG1-3'!$AD$6:$IM$6,1,'KG1-3'!$AD$5:$IM$5,"&gt;="&amp;MAX('KG1-3'!$U34,Dash_PStart),'KG1-3'!$AD$5:$IM$5,"&lt;="&amp;Dash_PEnd)+COUNTIFS('KG1-3'!$AD34:$IM34,"غياب بعذر",'KG1-3'!$AD$7:$IM$7,"✓",'KG1-3'!$AD$6:$IM$6,1,'KG1-3'!$AD$5:$IM$5,"&gt;="&amp;MAX('KG1-3'!$U34,Dash_PStart),'KG1-3'!$AD$5:$IM$5,"&lt;="&amp;Dash_PEnd)+COUNTIFS('KG1-3'!$AD34:$IM34,"متأخر",'KG1-3'!$AD$7:$IM$7,"✓",'KG1-3'!$AD$6:$IM$6,1,'KG1-3'!$AD$5:$IM$5,"&gt;="&amp;MAX('KG1-3'!$U34,Dash_PStart),'KG1-3'!$AD$5:$IM$5,"&lt;="&amp;Dash_PEnd))</f>
        <v/>
      </c>
      <c r="AJ90" s="40">
        <f>IF(AF90=0,0,IF(W90=Dash_Date,Thr_Critical,IF(V90=Dash_Date,Thr_High,IF(U90=Dash_Date,Thr_Repeated,IF(T90=Dash_Date,Thr_FollowUp,0)))))</f>
        <v/>
      </c>
      <c r="AK90" s="40">
        <f>IF(AJ90&gt;0,COUNTIF($AJ$5:AJ90,"&gt;0"),"")</f>
        <v/>
      </c>
      <c r="AL90" s="40">
        <f>IF(AND(B90&lt;&gt;"",F90="نشط",Q90&lt;&gt;"",Q90&gt;0),L90*1000+(999-ROW()),"")</f>
        <v/>
      </c>
      <c r="AM90" s="40">
        <f>IF(AND(AF90=1,J90&lt;&gt;"",J90&gt;0),ROUND(O90*10000,0)*1000000+K90*1000+(999-ROW()),"")</f>
        <v/>
      </c>
      <c r="AN90" s="40">
        <f>IF(AND(AF90=1,J90&lt;&gt;"",J90&gt;0),(L90+M90)*10000000+ROUND((1-O90)*10000,0)*1000+(999-ROW()),"")</f>
        <v/>
      </c>
      <c r="AO90" s="40">
        <f>IF(AND(AF90=1,Q90&lt;&gt;"",Q90&gt;=Thr_Critical),L90*1000+(999-ROW()),"")</f>
        <v/>
      </c>
      <c r="AP90" s="40">
        <f>IF(AND(B90&lt;&gt;"",F90="نشط",OR(Rpt_Class="الكل",D90=Rpt_Class)),1,0)</f>
        <v/>
      </c>
      <c r="AQ90" s="40">
        <f>IF(AND(AP90=1,Q90&lt;&gt;"",Q90&gt;0),L90*1000+(999-ROW()),"")</f>
        <v/>
      </c>
      <c r="AR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IF(LateAsPresent="نعم",COUNTIFS('KG1-3'!$AD34:$IM34,"متأخر",'KG1-3'!$AD$7:$IM$7,"✓",'KG1-3'!$AD$6:$IM$6,1,'KG1-3'!$AD$5:$IM$5,"&gt;="&amp;MAX('KG1-3'!$U34,Rpt_PStart),'KG1-3'!$AD$5:$IM$5,"&lt;="&amp;Rpt_PEnd),0))</f>
        <v/>
      </c>
      <c r="AS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COUNTIFS('KG1-3'!$AD34:$IM34,"غياب بدون عذر",'KG1-3'!$AD$7:$IM$7,"✓",'KG1-3'!$AD$6:$IM$6,1,'KG1-3'!$AD$5:$IM$5,"&gt;="&amp;MAX('KG1-3'!$U34,Rpt_PStart),'KG1-3'!$AD$5:$IM$5,"&lt;="&amp;Rpt_PEnd)+COUNTIFS('KG1-3'!$AD34:$IM34,"غياب بعذر",'KG1-3'!$AD$7:$IM$7,"✓",'KG1-3'!$AD$6:$IM$6,1,'KG1-3'!$AD$5:$IM$5,"&gt;="&amp;MAX('KG1-3'!$U34,Rpt_PStart),'KG1-3'!$AD$5:$IM$5,"&lt;="&amp;Rpt_PEnd)+COUNTIFS('KG1-3'!$AD34:$IM34,"متأخر",'KG1-3'!$AD$7:$IM$7,"✓",'KG1-3'!$AD$6:$IM$6,1,'KG1-3'!$AD$5:$IM$5,"&gt;="&amp;MAX('KG1-3'!$U34,Rpt_PStart),'KG1-3'!$AD$5:$IM$5,"&lt;="&amp;Rpt_PEnd))</f>
        <v/>
      </c>
      <c r="AT90" s="40">
        <f>IF(AP90=0,"",COUNTIFS('KG1-3'!$AD34:$IM34,"غياب بدون عذر",'KG1-3'!$AD$7:$IM$7,"✓",'KG1-3'!$AD$6:$IM$6,1,'KG1-3'!$AD$5:$IM$5,"&gt;="&amp;MAX('KG1-3'!$U34,Rpt_PStart),'KG1-3'!$AD$5:$IM$5,"&lt;="&amp;Rpt_PEnd)+COUNTIFS('KG1-3'!$AD34:$IM34,"غياب بعذر",'KG1-3'!$AD$7:$IM$7,"✓",'KG1-3'!$AD$6:$IM$6,1,'KG1-3'!$AD$5:$IM$5,"&gt;="&amp;MAX('KG1-3'!$U34,Rpt_PStart),'KG1-3'!$AD$5:$IM$5,"&lt;="&amp;Rpt_PEnd))</f>
        <v/>
      </c>
      <c r="AU90" s="40" t="n">
        <v>3</v>
      </c>
      <c r="AV90" s="40" t="n">
        <v>26</v>
      </c>
      <c r="AW90" s="40">
        <f>IF(OR(AP90=0,Rpt_DayIdx=0),"",IF(INDEX('KG1-3'!$AD$7:$IM$7,Rpt_DayIdx)&lt;&gt;"✓","",IF(INDEX('KG1-3'!$AD34:$IM34,Rpt_DayIdx)="","P",IFERROR(INDEX(StatusCodes,MATCH(INDEX('KG1-3'!$AD34:$IM34,Rpt_DayIdx),StatusLabels,0)),""))))</f>
        <v/>
      </c>
      <c r="AX90" s="40">
        <f>IF(AND(AP90=1,OR(AW90="A",AW90="E")),COUNTIFS($AP$5:AP90,1,$AW$5:AW90,"A")+COUNTIFS($AP$5:AP90,1,$AW$5:AW90,"E"),"")</f>
        <v/>
      </c>
    </row>
    <row r="91">
      <c r="A91" s="148">
        <f>IF(B91="","",ROW()-4)</f>
        <v/>
      </c>
      <c r="B91" s="148">
        <f>IF('KG1-3'!$B35="","",'KG1-3'!$B35)</f>
        <v/>
      </c>
      <c r="C91" s="146">
        <f>IF('KG1-3'!$C35="","",'KG1-3'!$C35)</f>
        <v/>
      </c>
      <c r="D91" s="148">
        <f>IF(B91="","",'KG1-3'!$B$2)</f>
        <v/>
      </c>
      <c r="E91" s="148">
        <f>IF(B91="","",MID(D91,FIND("-",D91&amp;"-")+1,10))</f>
        <v/>
      </c>
      <c r="F91" s="148">
        <f>IF(B91="","","نشط")</f>
        <v/>
      </c>
      <c r="G91" s="157">
        <f>IF(B91="","","")</f>
        <v/>
      </c>
      <c r="H91" s="146">
        <f>IF('KG1-3'!$K35="","",'KG1-3'!$K35)</f>
        <v/>
      </c>
      <c r="I91" s="148">
        <f>IF('KG1-3'!$J35="","",'KG1-3'!$J35)</f>
        <v/>
      </c>
      <c r="J91" s="148">
        <f>IF('KG1-3'!$M35="","",'KG1-3'!$M35)</f>
        <v/>
      </c>
      <c r="K91" s="148">
        <f>IF('KG1-3'!$N35="","",'KG1-3'!$N35)</f>
        <v/>
      </c>
      <c r="L91" s="148">
        <f>IF('KG1-3'!$D35="","",'KG1-3'!$D35)</f>
        <v/>
      </c>
      <c r="M91" s="148">
        <f>IF('KG1-3'!$E35="","",'KG1-3'!$E35)</f>
        <v/>
      </c>
      <c r="N91" s="148">
        <f>IF('KG1-3'!$F35="","",'KG1-3'!$F35)</f>
        <v/>
      </c>
      <c r="O91" s="158">
        <f>IF('KG1-3'!$G35="","",'KG1-3'!$G35)</f>
        <v/>
      </c>
      <c r="P91" s="158">
        <f>IF('KG1-3'!$O35="","",'KG1-3'!$O35)</f>
        <v/>
      </c>
      <c r="Q91" s="148">
        <f>IF('KG1-3'!$T35="","",'KG1-3'!$T35)</f>
        <v/>
      </c>
      <c r="R91" s="146">
        <f>IF('KG1-3'!$H35="","",'KG1-3'!$H35)</f>
        <v/>
      </c>
      <c r="S91" s="157">
        <f>IF('KG1-3'!$P35="","",'KG1-3'!$P35)</f>
        <v/>
      </c>
      <c r="T91" s="157">
        <f>IF('KG1-3'!$V35="","",'KG1-3'!$V35)</f>
        <v/>
      </c>
      <c r="U91" s="157">
        <f>IF('KG1-3'!$W35="","",'KG1-3'!$W35)</f>
        <v/>
      </c>
      <c r="V91" s="157">
        <f>IF('KG1-3'!$X35="","",'KG1-3'!$X35)</f>
        <v/>
      </c>
      <c r="W91" s="157">
        <f>IF('KG1-3'!$Y35="","",'KG1-3'!$Y35)</f>
        <v/>
      </c>
      <c r="X91" s="157">
        <f>IF('KG1-3'!$R35="","",'KG1-3'!$R35)</f>
        <v/>
      </c>
      <c r="Y91" s="148">
        <f>IF('KG1-3'!$S35="","",'KG1-3'!$S35)</f>
        <v/>
      </c>
      <c r="Z91" s="148">
        <f>IF('KG1-3'!$Q35="","",'KG1-3'!$Q35)</f>
        <v/>
      </c>
      <c r="AA91" s="148">
        <f>IF('KG1-3'!$I35="","",'KG1-3'!$I35)</f>
        <v/>
      </c>
      <c r="AB91" s="146">
        <f>IF(Q91="","",INDEX(LevelActions,MATCH(Q91,LevelValues,0)))</f>
        <v/>
      </c>
      <c r="AC91" s="148">
        <f>IF(J91="","",IF(J91=0,"—",IF(AND(L91=0,M91=0),Cat_L1,IF(O91&gt;=Cat_95,Cat_L2,IF(O91&gt;=Cat_90,Cat_L3,Cat_L4)))))</f>
        <v/>
      </c>
      <c r="AD91" s="146">
        <f>IF('KG1-3'!$L35="","",'KG1-3'!$L35)</f>
        <v/>
      </c>
      <c r="AE91" s="148">
        <f>IF(B91="","",IF(COUNTIF($B$5:$B$214,B91)&gt;1,"مكرر!",""))</f>
        <v/>
      </c>
      <c r="AF91" s="148">
        <f>IF(AND(B91&lt;&gt;"",F91="نشط",OR(Dash_Class="الكل",D91=Dash_Class)),1,0)</f>
        <v/>
      </c>
      <c r="AG91" s="40">
        <f>IF(OR(AF91=0,Dash_DayIdx=0),"",IF(INDEX('KG1-3'!$AD$7:$IM$7,Dash_DayIdx)&lt;&gt;"✓","",IF(INDEX('KG1-3'!$AD35:$IM35,Dash_DayIdx)="","P",IFERROR(INDEX(StatusCodes,MATCH(INDEX('KG1-3'!$AD35:$IM35,Dash_DayIdx),StatusLabels,0)),""))))</f>
        <v/>
      </c>
      <c r="AH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IF(LateAsPresent="نعم",COUNTIFS('KG1-3'!$AD35:$IM35,"متأخر",'KG1-3'!$AD$7:$IM$7,"✓",'KG1-3'!$AD$6:$IM$6,1,'KG1-3'!$AD$5:$IM$5,"&gt;="&amp;MAX('KG1-3'!$U35,Dash_PStart),'KG1-3'!$AD$5:$IM$5,"&lt;="&amp;Dash_PEnd),0))</f>
        <v/>
      </c>
      <c r="AI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COUNTIFS('KG1-3'!$AD35:$IM35,"غياب بدون عذر",'KG1-3'!$AD$7:$IM$7,"✓",'KG1-3'!$AD$6:$IM$6,1,'KG1-3'!$AD$5:$IM$5,"&gt;="&amp;MAX('KG1-3'!$U35,Dash_PStart),'KG1-3'!$AD$5:$IM$5,"&lt;="&amp;Dash_PEnd)+COUNTIFS('KG1-3'!$AD35:$IM35,"غياب بعذر",'KG1-3'!$AD$7:$IM$7,"✓",'KG1-3'!$AD$6:$IM$6,1,'KG1-3'!$AD$5:$IM$5,"&gt;="&amp;MAX('KG1-3'!$U35,Dash_PStart),'KG1-3'!$AD$5:$IM$5,"&lt;="&amp;Dash_PEnd)+COUNTIFS('KG1-3'!$AD35:$IM35,"متأخر",'KG1-3'!$AD$7:$IM$7,"✓",'KG1-3'!$AD$6:$IM$6,1,'KG1-3'!$AD$5:$IM$5,"&gt;="&amp;MAX('KG1-3'!$U35,Dash_PStart),'KG1-3'!$AD$5:$IM$5,"&lt;="&amp;Dash_PEnd))</f>
        <v/>
      </c>
      <c r="AJ91" s="40">
        <f>IF(AF91=0,0,IF(W91=Dash_Date,Thr_Critical,IF(V91=Dash_Date,Thr_High,IF(U91=Dash_Date,Thr_Repeated,IF(T91=Dash_Date,Thr_FollowUp,0)))))</f>
        <v/>
      </c>
      <c r="AK91" s="40">
        <f>IF(AJ91&gt;0,COUNTIF($AJ$5:AJ91,"&gt;0"),"")</f>
        <v/>
      </c>
      <c r="AL91" s="40">
        <f>IF(AND(B91&lt;&gt;"",F91="نشط",Q91&lt;&gt;"",Q91&gt;0),L91*1000+(999-ROW()),"")</f>
        <v/>
      </c>
      <c r="AM91" s="40">
        <f>IF(AND(AF91=1,J91&lt;&gt;"",J91&gt;0),ROUND(O91*10000,0)*1000000+K91*1000+(999-ROW()),"")</f>
        <v/>
      </c>
      <c r="AN91" s="40">
        <f>IF(AND(AF91=1,J91&lt;&gt;"",J91&gt;0),(L91+M91)*10000000+ROUND((1-O91)*10000,0)*1000+(999-ROW()),"")</f>
        <v/>
      </c>
      <c r="AO91" s="40">
        <f>IF(AND(AF91=1,Q91&lt;&gt;"",Q91&gt;=Thr_Critical),L91*1000+(999-ROW()),"")</f>
        <v/>
      </c>
      <c r="AP91" s="40">
        <f>IF(AND(B91&lt;&gt;"",F91="نشط",OR(Rpt_Class="الكل",D91=Rpt_Class)),1,0)</f>
        <v/>
      </c>
      <c r="AQ91" s="40">
        <f>IF(AND(AP91=1,Q91&lt;&gt;"",Q91&gt;0),L91*1000+(999-ROW()),"")</f>
        <v/>
      </c>
      <c r="AR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IF(LateAsPresent="نعم",COUNTIFS('KG1-3'!$AD35:$IM35,"متأخر",'KG1-3'!$AD$7:$IM$7,"✓",'KG1-3'!$AD$6:$IM$6,1,'KG1-3'!$AD$5:$IM$5,"&gt;="&amp;MAX('KG1-3'!$U35,Rpt_PStart),'KG1-3'!$AD$5:$IM$5,"&lt;="&amp;Rpt_PEnd),0))</f>
        <v/>
      </c>
      <c r="AS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COUNTIFS('KG1-3'!$AD35:$IM35,"غياب بدون عذر",'KG1-3'!$AD$7:$IM$7,"✓",'KG1-3'!$AD$6:$IM$6,1,'KG1-3'!$AD$5:$IM$5,"&gt;="&amp;MAX('KG1-3'!$U35,Rpt_PStart),'KG1-3'!$AD$5:$IM$5,"&lt;="&amp;Rpt_PEnd)+COUNTIFS('KG1-3'!$AD35:$IM35,"غياب بعذر",'KG1-3'!$AD$7:$IM$7,"✓",'KG1-3'!$AD$6:$IM$6,1,'KG1-3'!$AD$5:$IM$5,"&gt;="&amp;MAX('KG1-3'!$U35,Rpt_PStart),'KG1-3'!$AD$5:$IM$5,"&lt;="&amp;Rpt_PEnd)+COUNTIFS('KG1-3'!$AD35:$IM35,"متأخر",'KG1-3'!$AD$7:$IM$7,"✓",'KG1-3'!$AD$6:$IM$6,1,'KG1-3'!$AD$5:$IM$5,"&gt;="&amp;MAX('KG1-3'!$U35,Rpt_PStart),'KG1-3'!$AD$5:$IM$5,"&lt;="&amp;Rpt_PEnd))</f>
        <v/>
      </c>
      <c r="AT91" s="40">
        <f>IF(AP91=0,"",COUNTIFS('KG1-3'!$AD35:$IM35,"غياب بدون عذر",'KG1-3'!$AD$7:$IM$7,"✓",'KG1-3'!$AD$6:$IM$6,1,'KG1-3'!$AD$5:$IM$5,"&gt;="&amp;MAX('KG1-3'!$U35,Rpt_PStart),'KG1-3'!$AD$5:$IM$5,"&lt;="&amp;Rpt_PEnd)+COUNTIFS('KG1-3'!$AD35:$IM35,"غياب بعذر",'KG1-3'!$AD$7:$IM$7,"✓",'KG1-3'!$AD$6:$IM$6,1,'KG1-3'!$AD$5:$IM$5,"&gt;="&amp;MAX('KG1-3'!$U35,Rpt_PStart),'KG1-3'!$AD$5:$IM$5,"&lt;="&amp;Rpt_PEnd))</f>
        <v/>
      </c>
      <c r="AU91" s="40" t="n">
        <v>3</v>
      </c>
      <c r="AV91" s="40" t="n">
        <v>27</v>
      </c>
      <c r="AW91" s="40">
        <f>IF(OR(AP91=0,Rpt_DayIdx=0),"",IF(INDEX('KG1-3'!$AD$7:$IM$7,Rpt_DayIdx)&lt;&gt;"✓","",IF(INDEX('KG1-3'!$AD35:$IM35,Rpt_DayIdx)="","P",IFERROR(INDEX(StatusCodes,MATCH(INDEX('KG1-3'!$AD35:$IM35,Rpt_DayIdx),StatusLabels,0)),""))))</f>
        <v/>
      </c>
      <c r="AX91" s="40">
        <f>IF(AND(AP91=1,OR(AW91="A",AW91="E")),COUNTIFS($AP$5:AP91,1,$AW$5:AW91,"A")+COUNTIFS($AP$5:AP91,1,$AW$5:AW91,"E"),"")</f>
        <v/>
      </c>
    </row>
    <row r="92">
      <c r="A92" s="148">
        <f>IF(B92="","",ROW()-4)</f>
        <v/>
      </c>
      <c r="B92" s="148">
        <f>IF('KG1-3'!$B36="","",'KG1-3'!$B36)</f>
        <v/>
      </c>
      <c r="C92" s="146">
        <f>IF('KG1-3'!$C36="","",'KG1-3'!$C36)</f>
        <v/>
      </c>
      <c r="D92" s="148">
        <f>IF(B92="","",'KG1-3'!$B$2)</f>
        <v/>
      </c>
      <c r="E92" s="148">
        <f>IF(B92="","",MID(D92,FIND("-",D92&amp;"-")+1,10))</f>
        <v/>
      </c>
      <c r="F92" s="148">
        <f>IF(B92="","","نشط")</f>
        <v/>
      </c>
      <c r="G92" s="157">
        <f>IF(B92="","","")</f>
        <v/>
      </c>
      <c r="H92" s="146">
        <f>IF('KG1-3'!$K36="","",'KG1-3'!$K36)</f>
        <v/>
      </c>
      <c r="I92" s="148">
        <f>IF('KG1-3'!$J36="","",'KG1-3'!$J36)</f>
        <v/>
      </c>
      <c r="J92" s="148">
        <f>IF('KG1-3'!$M36="","",'KG1-3'!$M36)</f>
        <v/>
      </c>
      <c r="K92" s="148">
        <f>IF('KG1-3'!$N36="","",'KG1-3'!$N36)</f>
        <v/>
      </c>
      <c r="L92" s="148">
        <f>IF('KG1-3'!$D36="","",'KG1-3'!$D36)</f>
        <v/>
      </c>
      <c r="M92" s="148">
        <f>IF('KG1-3'!$E36="","",'KG1-3'!$E36)</f>
        <v/>
      </c>
      <c r="N92" s="148">
        <f>IF('KG1-3'!$F36="","",'KG1-3'!$F36)</f>
        <v/>
      </c>
      <c r="O92" s="158">
        <f>IF('KG1-3'!$G36="","",'KG1-3'!$G36)</f>
        <v/>
      </c>
      <c r="P92" s="158">
        <f>IF('KG1-3'!$O36="","",'KG1-3'!$O36)</f>
        <v/>
      </c>
      <c r="Q92" s="148">
        <f>IF('KG1-3'!$T36="","",'KG1-3'!$T36)</f>
        <v/>
      </c>
      <c r="R92" s="146">
        <f>IF('KG1-3'!$H36="","",'KG1-3'!$H36)</f>
        <v/>
      </c>
      <c r="S92" s="157">
        <f>IF('KG1-3'!$P36="","",'KG1-3'!$P36)</f>
        <v/>
      </c>
      <c r="T92" s="157">
        <f>IF('KG1-3'!$V36="","",'KG1-3'!$V36)</f>
        <v/>
      </c>
      <c r="U92" s="157">
        <f>IF('KG1-3'!$W36="","",'KG1-3'!$W36)</f>
        <v/>
      </c>
      <c r="V92" s="157">
        <f>IF('KG1-3'!$X36="","",'KG1-3'!$X36)</f>
        <v/>
      </c>
      <c r="W92" s="157">
        <f>IF('KG1-3'!$Y36="","",'KG1-3'!$Y36)</f>
        <v/>
      </c>
      <c r="X92" s="157">
        <f>IF('KG1-3'!$R36="","",'KG1-3'!$R36)</f>
        <v/>
      </c>
      <c r="Y92" s="148">
        <f>IF('KG1-3'!$S36="","",'KG1-3'!$S36)</f>
        <v/>
      </c>
      <c r="Z92" s="148">
        <f>IF('KG1-3'!$Q36="","",'KG1-3'!$Q36)</f>
        <v/>
      </c>
      <c r="AA92" s="148">
        <f>IF('KG1-3'!$I36="","",'KG1-3'!$I36)</f>
        <v/>
      </c>
      <c r="AB92" s="146">
        <f>IF(Q92="","",INDEX(LevelActions,MATCH(Q92,LevelValues,0)))</f>
        <v/>
      </c>
      <c r="AC92" s="148">
        <f>IF(J92="","",IF(J92=0,"—",IF(AND(L92=0,M92=0),Cat_L1,IF(O92&gt;=Cat_95,Cat_L2,IF(O92&gt;=Cat_90,Cat_L3,Cat_L4)))))</f>
        <v/>
      </c>
      <c r="AD92" s="146">
        <f>IF('KG1-3'!$L36="","",'KG1-3'!$L36)</f>
        <v/>
      </c>
      <c r="AE92" s="148">
        <f>IF(B92="","",IF(COUNTIF($B$5:$B$214,B92)&gt;1,"مكرر!",""))</f>
        <v/>
      </c>
      <c r="AF92" s="148">
        <f>IF(AND(B92&lt;&gt;"",F92="نشط",OR(Dash_Class="الكل",D92=Dash_Class)),1,0)</f>
        <v/>
      </c>
      <c r="AG92" s="40">
        <f>IF(OR(AF92=0,Dash_DayIdx=0),"",IF(INDEX('KG1-3'!$AD$7:$IM$7,Dash_DayIdx)&lt;&gt;"✓","",IF(INDEX('KG1-3'!$AD36:$IM36,Dash_DayIdx)="","P",IFERROR(INDEX(StatusCodes,MATCH(INDEX('KG1-3'!$AD36:$IM36,Dash_DayIdx),StatusLabels,0)),""))))</f>
        <v/>
      </c>
      <c r="AH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IF(LateAsPresent="نعم",COUNTIFS('KG1-3'!$AD36:$IM36,"متأخر",'KG1-3'!$AD$7:$IM$7,"✓",'KG1-3'!$AD$6:$IM$6,1,'KG1-3'!$AD$5:$IM$5,"&gt;="&amp;MAX('KG1-3'!$U36,Dash_PStart),'KG1-3'!$AD$5:$IM$5,"&lt;="&amp;Dash_PEnd),0))</f>
        <v/>
      </c>
      <c r="AI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COUNTIFS('KG1-3'!$AD36:$IM36,"غياب بدون عذر",'KG1-3'!$AD$7:$IM$7,"✓",'KG1-3'!$AD$6:$IM$6,1,'KG1-3'!$AD$5:$IM$5,"&gt;="&amp;MAX('KG1-3'!$U36,Dash_PStart),'KG1-3'!$AD$5:$IM$5,"&lt;="&amp;Dash_PEnd)+COUNTIFS('KG1-3'!$AD36:$IM36,"غياب بعذر",'KG1-3'!$AD$7:$IM$7,"✓",'KG1-3'!$AD$6:$IM$6,1,'KG1-3'!$AD$5:$IM$5,"&gt;="&amp;MAX('KG1-3'!$U36,Dash_PStart),'KG1-3'!$AD$5:$IM$5,"&lt;="&amp;Dash_PEnd)+COUNTIFS('KG1-3'!$AD36:$IM36,"متأخر",'KG1-3'!$AD$7:$IM$7,"✓",'KG1-3'!$AD$6:$IM$6,1,'KG1-3'!$AD$5:$IM$5,"&gt;="&amp;MAX('KG1-3'!$U36,Dash_PStart),'KG1-3'!$AD$5:$IM$5,"&lt;="&amp;Dash_PEnd))</f>
        <v/>
      </c>
      <c r="AJ92" s="40">
        <f>IF(AF92=0,0,IF(W92=Dash_Date,Thr_Critical,IF(V92=Dash_Date,Thr_High,IF(U92=Dash_Date,Thr_Repeated,IF(T92=Dash_Date,Thr_FollowUp,0)))))</f>
        <v/>
      </c>
      <c r="AK92" s="40">
        <f>IF(AJ92&gt;0,COUNTIF($AJ$5:AJ92,"&gt;0"),"")</f>
        <v/>
      </c>
      <c r="AL92" s="40">
        <f>IF(AND(B92&lt;&gt;"",F92="نشط",Q92&lt;&gt;"",Q92&gt;0),L92*1000+(999-ROW()),"")</f>
        <v/>
      </c>
      <c r="AM92" s="40">
        <f>IF(AND(AF92=1,J92&lt;&gt;"",J92&gt;0),ROUND(O92*10000,0)*1000000+K92*1000+(999-ROW()),"")</f>
        <v/>
      </c>
      <c r="AN92" s="40">
        <f>IF(AND(AF92=1,J92&lt;&gt;"",J92&gt;0),(L92+M92)*10000000+ROUND((1-O92)*10000,0)*1000+(999-ROW()),"")</f>
        <v/>
      </c>
      <c r="AO92" s="40">
        <f>IF(AND(AF92=1,Q92&lt;&gt;"",Q92&gt;=Thr_Critical),L92*1000+(999-ROW()),"")</f>
        <v/>
      </c>
      <c r="AP92" s="40">
        <f>IF(AND(B92&lt;&gt;"",F92="نشط",OR(Rpt_Class="الكل",D92=Rpt_Class)),1,0)</f>
        <v/>
      </c>
      <c r="AQ92" s="40">
        <f>IF(AND(AP92=1,Q92&lt;&gt;"",Q92&gt;0),L92*1000+(999-ROW()),"")</f>
        <v/>
      </c>
      <c r="AR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IF(LateAsPresent="نعم",COUNTIFS('KG1-3'!$AD36:$IM36,"متأخر",'KG1-3'!$AD$7:$IM$7,"✓",'KG1-3'!$AD$6:$IM$6,1,'KG1-3'!$AD$5:$IM$5,"&gt;="&amp;MAX('KG1-3'!$U36,Rpt_PStart),'KG1-3'!$AD$5:$IM$5,"&lt;="&amp;Rpt_PEnd),0))</f>
        <v/>
      </c>
      <c r="AS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COUNTIFS('KG1-3'!$AD36:$IM36,"غياب بدون عذر",'KG1-3'!$AD$7:$IM$7,"✓",'KG1-3'!$AD$6:$IM$6,1,'KG1-3'!$AD$5:$IM$5,"&gt;="&amp;MAX('KG1-3'!$U36,Rpt_PStart),'KG1-3'!$AD$5:$IM$5,"&lt;="&amp;Rpt_PEnd)+COUNTIFS('KG1-3'!$AD36:$IM36,"غياب بعذر",'KG1-3'!$AD$7:$IM$7,"✓",'KG1-3'!$AD$6:$IM$6,1,'KG1-3'!$AD$5:$IM$5,"&gt;="&amp;MAX('KG1-3'!$U36,Rpt_PStart),'KG1-3'!$AD$5:$IM$5,"&lt;="&amp;Rpt_PEnd)+COUNTIFS('KG1-3'!$AD36:$IM36,"متأخر",'KG1-3'!$AD$7:$IM$7,"✓",'KG1-3'!$AD$6:$IM$6,1,'KG1-3'!$AD$5:$IM$5,"&gt;="&amp;MAX('KG1-3'!$U36,Rpt_PStart),'KG1-3'!$AD$5:$IM$5,"&lt;="&amp;Rpt_PEnd))</f>
        <v/>
      </c>
      <c r="AT92" s="40">
        <f>IF(AP92=0,"",COUNTIFS('KG1-3'!$AD36:$IM36,"غياب بدون عذر",'KG1-3'!$AD$7:$IM$7,"✓",'KG1-3'!$AD$6:$IM$6,1,'KG1-3'!$AD$5:$IM$5,"&gt;="&amp;MAX('KG1-3'!$U36,Rpt_PStart),'KG1-3'!$AD$5:$IM$5,"&lt;="&amp;Rpt_PEnd)+COUNTIFS('KG1-3'!$AD36:$IM36,"غياب بعذر",'KG1-3'!$AD$7:$IM$7,"✓",'KG1-3'!$AD$6:$IM$6,1,'KG1-3'!$AD$5:$IM$5,"&gt;="&amp;MAX('KG1-3'!$U36,Rpt_PStart),'KG1-3'!$AD$5:$IM$5,"&lt;="&amp;Rpt_PEnd))</f>
        <v/>
      </c>
      <c r="AU92" s="40" t="n">
        <v>3</v>
      </c>
      <c r="AV92" s="40" t="n">
        <v>28</v>
      </c>
      <c r="AW92" s="40">
        <f>IF(OR(AP92=0,Rpt_DayIdx=0),"",IF(INDEX('KG1-3'!$AD$7:$IM$7,Rpt_DayIdx)&lt;&gt;"✓","",IF(INDEX('KG1-3'!$AD36:$IM36,Rpt_DayIdx)="","P",IFERROR(INDEX(StatusCodes,MATCH(INDEX('KG1-3'!$AD36:$IM36,Rpt_DayIdx),StatusLabels,0)),""))))</f>
        <v/>
      </c>
      <c r="AX92" s="40">
        <f>IF(AND(AP92=1,OR(AW92="A",AW92="E")),COUNTIFS($AP$5:AP92,1,$AW$5:AW92,"A")+COUNTIFS($AP$5:AP92,1,$AW$5:AW92,"E"),"")</f>
        <v/>
      </c>
    </row>
    <row r="93">
      <c r="A93" s="148">
        <f>IF(B93="","",ROW()-4)</f>
        <v/>
      </c>
      <c r="B93" s="148">
        <f>IF('KG1-3'!$B37="","",'KG1-3'!$B37)</f>
        <v/>
      </c>
      <c r="C93" s="146">
        <f>IF('KG1-3'!$C37="","",'KG1-3'!$C37)</f>
        <v/>
      </c>
      <c r="D93" s="148">
        <f>IF(B93="","",'KG1-3'!$B$2)</f>
        <v/>
      </c>
      <c r="E93" s="148">
        <f>IF(B93="","",MID(D93,FIND("-",D93&amp;"-")+1,10))</f>
        <v/>
      </c>
      <c r="F93" s="148">
        <f>IF(B93="","","نشط")</f>
        <v/>
      </c>
      <c r="G93" s="157">
        <f>IF(B93="","","")</f>
        <v/>
      </c>
      <c r="H93" s="146">
        <f>IF('KG1-3'!$K37="","",'KG1-3'!$K37)</f>
        <v/>
      </c>
      <c r="I93" s="148">
        <f>IF('KG1-3'!$J37="","",'KG1-3'!$J37)</f>
        <v/>
      </c>
      <c r="J93" s="148">
        <f>IF('KG1-3'!$M37="","",'KG1-3'!$M37)</f>
        <v/>
      </c>
      <c r="K93" s="148">
        <f>IF('KG1-3'!$N37="","",'KG1-3'!$N37)</f>
        <v/>
      </c>
      <c r="L93" s="148">
        <f>IF('KG1-3'!$D37="","",'KG1-3'!$D37)</f>
        <v/>
      </c>
      <c r="M93" s="148">
        <f>IF('KG1-3'!$E37="","",'KG1-3'!$E37)</f>
        <v/>
      </c>
      <c r="N93" s="148">
        <f>IF('KG1-3'!$F37="","",'KG1-3'!$F37)</f>
        <v/>
      </c>
      <c r="O93" s="158">
        <f>IF('KG1-3'!$G37="","",'KG1-3'!$G37)</f>
        <v/>
      </c>
      <c r="P93" s="158">
        <f>IF('KG1-3'!$O37="","",'KG1-3'!$O37)</f>
        <v/>
      </c>
      <c r="Q93" s="148">
        <f>IF('KG1-3'!$T37="","",'KG1-3'!$T37)</f>
        <v/>
      </c>
      <c r="R93" s="146">
        <f>IF('KG1-3'!$H37="","",'KG1-3'!$H37)</f>
        <v/>
      </c>
      <c r="S93" s="157">
        <f>IF('KG1-3'!$P37="","",'KG1-3'!$P37)</f>
        <v/>
      </c>
      <c r="T93" s="157">
        <f>IF('KG1-3'!$V37="","",'KG1-3'!$V37)</f>
        <v/>
      </c>
      <c r="U93" s="157">
        <f>IF('KG1-3'!$W37="","",'KG1-3'!$W37)</f>
        <v/>
      </c>
      <c r="V93" s="157">
        <f>IF('KG1-3'!$X37="","",'KG1-3'!$X37)</f>
        <v/>
      </c>
      <c r="W93" s="157">
        <f>IF('KG1-3'!$Y37="","",'KG1-3'!$Y37)</f>
        <v/>
      </c>
      <c r="X93" s="157">
        <f>IF('KG1-3'!$R37="","",'KG1-3'!$R37)</f>
        <v/>
      </c>
      <c r="Y93" s="148">
        <f>IF('KG1-3'!$S37="","",'KG1-3'!$S37)</f>
        <v/>
      </c>
      <c r="Z93" s="148">
        <f>IF('KG1-3'!$Q37="","",'KG1-3'!$Q37)</f>
        <v/>
      </c>
      <c r="AA93" s="148">
        <f>IF('KG1-3'!$I37="","",'KG1-3'!$I37)</f>
        <v/>
      </c>
      <c r="AB93" s="146">
        <f>IF(Q93="","",INDEX(LevelActions,MATCH(Q93,LevelValues,0)))</f>
        <v/>
      </c>
      <c r="AC93" s="148">
        <f>IF(J93="","",IF(J93=0,"—",IF(AND(L93=0,M93=0),Cat_L1,IF(O93&gt;=Cat_95,Cat_L2,IF(O93&gt;=Cat_90,Cat_L3,Cat_L4)))))</f>
        <v/>
      </c>
      <c r="AD93" s="146">
        <f>IF('KG1-3'!$L37="","",'KG1-3'!$L37)</f>
        <v/>
      </c>
      <c r="AE93" s="148">
        <f>IF(B93="","",IF(COUNTIF($B$5:$B$214,B93)&gt;1,"مكرر!",""))</f>
        <v/>
      </c>
      <c r="AF93" s="148">
        <f>IF(AND(B93&lt;&gt;"",F93="نشط",OR(Dash_Class="الكل",D93=Dash_Class)),1,0)</f>
        <v/>
      </c>
      <c r="AG93" s="40">
        <f>IF(OR(AF93=0,Dash_DayIdx=0),"",IF(INDEX('KG1-3'!$AD$7:$IM$7,Dash_DayIdx)&lt;&gt;"✓","",IF(INDEX('KG1-3'!$AD37:$IM37,Dash_DayIdx)="","P",IFERROR(INDEX(StatusCodes,MATCH(INDEX('KG1-3'!$AD37:$IM37,Dash_DayIdx),StatusLabels,0)),""))))</f>
        <v/>
      </c>
      <c r="AH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IF(LateAsPresent="نعم",COUNTIFS('KG1-3'!$AD37:$IM37,"متأخر",'KG1-3'!$AD$7:$IM$7,"✓",'KG1-3'!$AD$6:$IM$6,1,'KG1-3'!$AD$5:$IM$5,"&gt;="&amp;MAX('KG1-3'!$U37,Dash_PStart),'KG1-3'!$AD$5:$IM$5,"&lt;="&amp;Dash_PEnd),0))</f>
        <v/>
      </c>
      <c r="AI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COUNTIFS('KG1-3'!$AD37:$IM37,"غياب بدون عذر",'KG1-3'!$AD$7:$IM$7,"✓",'KG1-3'!$AD$6:$IM$6,1,'KG1-3'!$AD$5:$IM$5,"&gt;="&amp;MAX('KG1-3'!$U37,Dash_PStart),'KG1-3'!$AD$5:$IM$5,"&lt;="&amp;Dash_PEnd)+COUNTIFS('KG1-3'!$AD37:$IM37,"غياب بعذر",'KG1-3'!$AD$7:$IM$7,"✓",'KG1-3'!$AD$6:$IM$6,1,'KG1-3'!$AD$5:$IM$5,"&gt;="&amp;MAX('KG1-3'!$U37,Dash_PStart),'KG1-3'!$AD$5:$IM$5,"&lt;="&amp;Dash_PEnd)+COUNTIFS('KG1-3'!$AD37:$IM37,"متأخر",'KG1-3'!$AD$7:$IM$7,"✓",'KG1-3'!$AD$6:$IM$6,1,'KG1-3'!$AD$5:$IM$5,"&gt;="&amp;MAX('KG1-3'!$U37,Dash_PStart),'KG1-3'!$AD$5:$IM$5,"&lt;="&amp;Dash_PEnd))</f>
        <v/>
      </c>
      <c r="AJ93" s="40">
        <f>IF(AF93=0,0,IF(W93=Dash_Date,Thr_Critical,IF(V93=Dash_Date,Thr_High,IF(U93=Dash_Date,Thr_Repeated,IF(T93=Dash_Date,Thr_FollowUp,0)))))</f>
        <v/>
      </c>
      <c r="AK93" s="40">
        <f>IF(AJ93&gt;0,COUNTIF($AJ$5:AJ93,"&gt;0"),"")</f>
        <v/>
      </c>
      <c r="AL93" s="40">
        <f>IF(AND(B93&lt;&gt;"",F93="نشط",Q93&lt;&gt;"",Q93&gt;0),L93*1000+(999-ROW()),"")</f>
        <v/>
      </c>
      <c r="AM93" s="40">
        <f>IF(AND(AF93=1,J93&lt;&gt;"",J93&gt;0),ROUND(O93*10000,0)*1000000+K93*1000+(999-ROW()),"")</f>
        <v/>
      </c>
      <c r="AN93" s="40">
        <f>IF(AND(AF93=1,J93&lt;&gt;"",J93&gt;0),(L93+M93)*10000000+ROUND((1-O93)*10000,0)*1000+(999-ROW()),"")</f>
        <v/>
      </c>
      <c r="AO93" s="40">
        <f>IF(AND(AF93=1,Q93&lt;&gt;"",Q93&gt;=Thr_Critical),L93*1000+(999-ROW()),"")</f>
        <v/>
      </c>
      <c r="AP93" s="40">
        <f>IF(AND(B93&lt;&gt;"",F93="نشط",OR(Rpt_Class="الكل",D93=Rpt_Class)),1,0)</f>
        <v/>
      </c>
      <c r="AQ93" s="40">
        <f>IF(AND(AP93=1,Q93&lt;&gt;"",Q93&gt;0),L93*1000+(999-ROW()),"")</f>
        <v/>
      </c>
      <c r="AR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IF(LateAsPresent="نعم",COUNTIFS('KG1-3'!$AD37:$IM37,"متأخر",'KG1-3'!$AD$7:$IM$7,"✓",'KG1-3'!$AD$6:$IM$6,1,'KG1-3'!$AD$5:$IM$5,"&gt;="&amp;MAX('KG1-3'!$U37,Rpt_PStart),'KG1-3'!$AD$5:$IM$5,"&lt;="&amp;Rpt_PEnd),0))</f>
        <v/>
      </c>
      <c r="AS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COUNTIFS('KG1-3'!$AD37:$IM37,"غياب بدون عذر",'KG1-3'!$AD$7:$IM$7,"✓",'KG1-3'!$AD$6:$IM$6,1,'KG1-3'!$AD$5:$IM$5,"&gt;="&amp;MAX('KG1-3'!$U37,Rpt_PStart),'KG1-3'!$AD$5:$IM$5,"&lt;="&amp;Rpt_PEnd)+COUNTIFS('KG1-3'!$AD37:$IM37,"غياب بعذر",'KG1-3'!$AD$7:$IM$7,"✓",'KG1-3'!$AD$6:$IM$6,1,'KG1-3'!$AD$5:$IM$5,"&gt;="&amp;MAX('KG1-3'!$U37,Rpt_PStart),'KG1-3'!$AD$5:$IM$5,"&lt;="&amp;Rpt_PEnd)+COUNTIFS('KG1-3'!$AD37:$IM37,"متأخر",'KG1-3'!$AD$7:$IM$7,"✓",'KG1-3'!$AD$6:$IM$6,1,'KG1-3'!$AD$5:$IM$5,"&gt;="&amp;MAX('KG1-3'!$U37,Rpt_PStart),'KG1-3'!$AD$5:$IM$5,"&lt;="&amp;Rpt_PEnd))</f>
        <v/>
      </c>
      <c r="AT93" s="40">
        <f>IF(AP93=0,"",COUNTIFS('KG1-3'!$AD37:$IM37,"غياب بدون عذر",'KG1-3'!$AD$7:$IM$7,"✓",'KG1-3'!$AD$6:$IM$6,1,'KG1-3'!$AD$5:$IM$5,"&gt;="&amp;MAX('KG1-3'!$U37,Rpt_PStart),'KG1-3'!$AD$5:$IM$5,"&lt;="&amp;Rpt_PEnd)+COUNTIFS('KG1-3'!$AD37:$IM37,"غياب بعذر",'KG1-3'!$AD$7:$IM$7,"✓",'KG1-3'!$AD$6:$IM$6,1,'KG1-3'!$AD$5:$IM$5,"&gt;="&amp;MAX('KG1-3'!$U37,Rpt_PStart),'KG1-3'!$AD$5:$IM$5,"&lt;="&amp;Rpt_PEnd))</f>
        <v/>
      </c>
      <c r="AU93" s="40" t="n">
        <v>3</v>
      </c>
      <c r="AV93" s="40" t="n">
        <v>29</v>
      </c>
      <c r="AW93" s="40">
        <f>IF(OR(AP93=0,Rpt_DayIdx=0),"",IF(INDEX('KG1-3'!$AD$7:$IM$7,Rpt_DayIdx)&lt;&gt;"✓","",IF(INDEX('KG1-3'!$AD37:$IM37,Rpt_DayIdx)="","P",IFERROR(INDEX(StatusCodes,MATCH(INDEX('KG1-3'!$AD37:$IM37,Rpt_DayIdx),StatusLabels,0)),""))))</f>
        <v/>
      </c>
      <c r="AX93" s="40">
        <f>IF(AND(AP93=1,OR(AW93="A",AW93="E")),COUNTIFS($AP$5:AP93,1,$AW$5:AW93,"A")+COUNTIFS($AP$5:AP93,1,$AW$5:AW93,"E"),"")</f>
        <v/>
      </c>
    </row>
    <row r="94">
      <c r="A94" s="148">
        <f>IF(B94="","",ROW()-4)</f>
        <v/>
      </c>
      <c r="B94" s="148">
        <f>IF('KG1-3'!$B38="","",'KG1-3'!$B38)</f>
        <v/>
      </c>
      <c r="C94" s="146">
        <f>IF('KG1-3'!$C38="","",'KG1-3'!$C38)</f>
        <v/>
      </c>
      <c r="D94" s="148">
        <f>IF(B94="","",'KG1-3'!$B$2)</f>
        <v/>
      </c>
      <c r="E94" s="148">
        <f>IF(B94="","",MID(D94,FIND("-",D94&amp;"-")+1,10))</f>
        <v/>
      </c>
      <c r="F94" s="148">
        <f>IF(B94="","","نشط")</f>
        <v/>
      </c>
      <c r="G94" s="157">
        <f>IF(B94="","","")</f>
        <v/>
      </c>
      <c r="H94" s="146">
        <f>IF('KG1-3'!$K38="","",'KG1-3'!$K38)</f>
        <v/>
      </c>
      <c r="I94" s="148">
        <f>IF('KG1-3'!$J38="","",'KG1-3'!$J38)</f>
        <v/>
      </c>
      <c r="J94" s="148">
        <f>IF('KG1-3'!$M38="","",'KG1-3'!$M38)</f>
        <v/>
      </c>
      <c r="K94" s="148">
        <f>IF('KG1-3'!$N38="","",'KG1-3'!$N38)</f>
        <v/>
      </c>
      <c r="L94" s="148">
        <f>IF('KG1-3'!$D38="","",'KG1-3'!$D38)</f>
        <v/>
      </c>
      <c r="M94" s="148">
        <f>IF('KG1-3'!$E38="","",'KG1-3'!$E38)</f>
        <v/>
      </c>
      <c r="N94" s="148">
        <f>IF('KG1-3'!$F38="","",'KG1-3'!$F38)</f>
        <v/>
      </c>
      <c r="O94" s="158">
        <f>IF('KG1-3'!$G38="","",'KG1-3'!$G38)</f>
        <v/>
      </c>
      <c r="P94" s="158">
        <f>IF('KG1-3'!$O38="","",'KG1-3'!$O38)</f>
        <v/>
      </c>
      <c r="Q94" s="148">
        <f>IF('KG1-3'!$T38="","",'KG1-3'!$T38)</f>
        <v/>
      </c>
      <c r="R94" s="146">
        <f>IF('KG1-3'!$H38="","",'KG1-3'!$H38)</f>
        <v/>
      </c>
      <c r="S94" s="157">
        <f>IF('KG1-3'!$P38="","",'KG1-3'!$P38)</f>
        <v/>
      </c>
      <c r="T94" s="157">
        <f>IF('KG1-3'!$V38="","",'KG1-3'!$V38)</f>
        <v/>
      </c>
      <c r="U94" s="157">
        <f>IF('KG1-3'!$W38="","",'KG1-3'!$W38)</f>
        <v/>
      </c>
      <c r="V94" s="157">
        <f>IF('KG1-3'!$X38="","",'KG1-3'!$X38)</f>
        <v/>
      </c>
      <c r="W94" s="157">
        <f>IF('KG1-3'!$Y38="","",'KG1-3'!$Y38)</f>
        <v/>
      </c>
      <c r="X94" s="157">
        <f>IF('KG1-3'!$R38="","",'KG1-3'!$R38)</f>
        <v/>
      </c>
      <c r="Y94" s="148">
        <f>IF('KG1-3'!$S38="","",'KG1-3'!$S38)</f>
        <v/>
      </c>
      <c r="Z94" s="148">
        <f>IF('KG1-3'!$Q38="","",'KG1-3'!$Q38)</f>
        <v/>
      </c>
      <c r="AA94" s="148">
        <f>IF('KG1-3'!$I38="","",'KG1-3'!$I38)</f>
        <v/>
      </c>
      <c r="AB94" s="146">
        <f>IF(Q94="","",INDEX(LevelActions,MATCH(Q94,LevelValues,0)))</f>
        <v/>
      </c>
      <c r="AC94" s="148">
        <f>IF(J94="","",IF(J94=0,"—",IF(AND(L94=0,M94=0),Cat_L1,IF(O94&gt;=Cat_95,Cat_L2,IF(O94&gt;=Cat_90,Cat_L3,Cat_L4)))))</f>
        <v/>
      </c>
      <c r="AD94" s="146">
        <f>IF('KG1-3'!$L38="","",'KG1-3'!$L38)</f>
        <v/>
      </c>
      <c r="AE94" s="148">
        <f>IF(B94="","",IF(COUNTIF($B$5:$B$214,B94)&gt;1,"مكرر!",""))</f>
        <v/>
      </c>
      <c r="AF94" s="148">
        <f>IF(AND(B94&lt;&gt;"",F94="نشط",OR(Dash_Class="الكل",D94=Dash_Class)),1,0)</f>
        <v/>
      </c>
      <c r="AG94" s="40">
        <f>IF(OR(AF94=0,Dash_DayIdx=0),"",IF(INDEX('KG1-3'!$AD$7:$IM$7,Dash_DayIdx)&lt;&gt;"✓","",IF(INDEX('KG1-3'!$AD38:$IM38,Dash_DayIdx)="","P",IFERROR(INDEX(StatusCodes,MATCH(INDEX('KG1-3'!$AD38:$IM38,Dash_DayIdx),StatusLabels,0)),""))))</f>
        <v/>
      </c>
      <c r="AH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IF(LateAsPresent="نعم",COUNTIFS('KG1-3'!$AD38:$IM38,"متأخر",'KG1-3'!$AD$7:$IM$7,"✓",'KG1-3'!$AD$6:$IM$6,1,'KG1-3'!$AD$5:$IM$5,"&gt;="&amp;MAX('KG1-3'!$U38,Dash_PStart),'KG1-3'!$AD$5:$IM$5,"&lt;="&amp;Dash_PEnd),0))</f>
        <v/>
      </c>
      <c r="AI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COUNTIFS('KG1-3'!$AD38:$IM38,"غياب بدون عذر",'KG1-3'!$AD$7:$IM$7,"✓",'KG1-3'!$AD$6:$IM$6,1,'KG1-3'!$AD$5:$IM$5,"&gt;="&amp;MAX('KG1-3'!$U38,Dash_PStart),'KG1-3'!$AD$5:$IM$5,"&lt;="&amp;Dash_PEnd)+COUNTIFS('KG1-3'!$AD38:$IM38,"غياب بعذر",'KG1-3'!$AD$7:$IM$7,"✓",'KG1-3'!$AD$6:$IM$6,1,'KG1-3'!$AD$5:$IM$5,"&gt;="&amp;MAX('KG1-3'!$U38,Dash_PStart),'KG1-3'!$AD$5:$IM$5,"&lt;="&amp;Dash_PEnd)+COUNTIFS('KG1-3'!$AD38:$IM38,"متأخر",'KG1-3'!$AD$7:$IM$7,"✓",'KG1-3'!$AD$6:$IM$6,1,'KG1-3'!$AD$5:$IM$5,"&gt;="&amp;MAX('KG1-3'!$U38,Dash_PStart),'KG1-3'!$AD$5:$IM$5,"&lt;="&amp;Dash_PEnd))</f>
        <v/>
      </c>
      <c r="AJ94" s="40">
        <f>IF(AF94=0,0,IF(W94=Dash_Date,Thr_Critical,IF(V94=Dash_Date,Thr_High,IF(U94=Dash_Date,Thr_Repeated,IF(T94=Dash_Date,Thr_FollowUp,0)))))</f>
        <v/>
      </c>
      <c r="AK94" s="40">
        <f>IF(AJ94&gt;0,COUNTIF($AJ$5:AJ94,"&gt;0"),"")</f>
        <v/>
      </c>
      <c r="AL94" s="40">
        <f>IF(AND(B94&lt;&gt;"",F94="نشط",Q94&lt;&gt;"",Q94&gt;0),L94*1000+(999-ROW()),"")</f>
        <v/>
      </c>
      <c r="AM94" s="40">
        <f>IF(AND(AF94=1,J94&lt;&gt;"",J94&gt;0),ROUND(O94*10000,0)*1000000+K94*1000+(999-ROW()),"")</f>
        <v/>
      </c>
      <c r="AN94" s="40">
        <f>IF(AND(AF94=1,J94&lt;&gt;"",J94&gt;0),(L94+M94)*10000000+ROUND((1-O94)*10000,0)*1000+(999-ROW()),"")</f>
        <v/>
      </c>
      <c r="AO94" s="40">
        <f>IF(AND(AF94=1,Q94&lt;&gt;"",Q94&gt;=Thr_Critical),L94*1000+(999-ROW()),"")</f>
        <v/>
      </c>
      <c r="AP94" s="40">
        <f>IF(AND(B94&lt;&gt;"",F94="نشط",OR(Rpt_Class="الكل",D94=Rpt_Class)),1,0)</f>
        <v/>
      </c>
      <c r="AQ94" s="40">
        <f>IF(AND(AP94=1,Q94&lt;&gt;"",Q94&gt;0),L94*1000+(999-ROW()),"")</f>
        <v/>
      </c>
      <c r="AR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IF(LateAsPresent="نعم",COUNTIFS('KG1-3'!$AD38:$IM38,"متأخر",'KG1-3'!$AD$7:$IM$7,"✓",'KG1-3'!$AD$6:$IM$6,1,'KG1-3'!$AD$5:$IM$5,"&gt;="&amp;MAX('KG1-3'!$U38,Rpt_PStart),'KG1-3'!$AD$5:$IM$5,"&lt;="&amp;Rpt_PEnd),0))</f>
        <v/>
      </c>
      <c r="AS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COUNTIFS('KG1-3'!$AD38:$IM38,"غياب بدون عذر",'KG1-3'!$AD$7:$IM$7,"✓",'KG1-3'!$AD$6:$IM$6,1,'KG1-3'!$AD$5:$IM$5,"&gt;="&amp;MAX('KG1-3'!$U38,Rpt_PStart),'KG1-3'!$AD$5:$IM$5,"&lt;="&amp;Rpt_PEnd)+COUNTIFS('KG1-3'!$AD38:$IM38,"غياب بعذر",'KG1-3'!$AD$7:$IM$7,"✓",'KG1-3'!$AD$6:$IM$6,1,'KG1-3'!$AD$5:$IM$5,"&gt;="&amp;MAX('KG1-3'!$U38,Rpt_PStart),'KG1-3'!$AD$5:$IM$5,"&lt;="&amp;Rpt_PEnd)+COUNTIFS('KG1-3'!$AD38:$IM38,"متأخر",'KG1-3'!$AD$7:$IM$7,"✓",'KG1-3'!$AD$6:$IM$6,1,'KG1-3'!$AD$5:$IM$5,"&gt;="&amp;MAX('KG1-3'!$U38,Rpt_PStart),'KG1-3'!$AD$5:$IM$5,"&lt;="&amp;Rpt_PEnd))</f>
        <v/>
      </c>
      <c r="AT94" s="40">
        <f>IF(AP94=0,"",COUNTIFS('KG1-3'!$AD38:$IM38,"غياب بدون عذر",'KG1-3'!$AD$7:$IM$7,"✓",'KG1-3'!$AD$6:$IM$6,1,'KG1-3'!$AD$5:$IM$5,"&gt;="&amp;MAX('KG1-3'!$U38,Rpt_PStart),'KG1-3'!$AD$5:$IM$5,"&lt;="&amp;Rpt_PEnd)+COUNTIFS('KG1-3'!$AD38:$IM38,"غياب بعذر",'KG1-3'!$AD$7:$IM$7,"✓",'KG1-3'!$AD$6:$IM$6,1,'KG1-3'!$AD$5:$IM$5,"&gt;="&amp;MAX('KG1-3'!$U38,Rpt_PStart),'KG1-3'!$AD$5:$IM$5,"&lt;="&amp;Rpt_PEnd))</f>
        <v/>
      </c>
      <c r="AU94" s="40" t="n">
        <v>3</v>
      </c>
      <c r="AV94" s="40" t="n">
        <v>30</v>
      </c>
      <c r="AW94" s="40">
        <f>IF(OR(AP94=0,Rpt_DayIdx=0),"",IF(INDEX('KG1-3'!$AD$7:$IM$7,Rpt_DayIdx)&lt;&gt;"✓","",IF(INDEX('KG1-3'!$AD38:$IM38,Rpt_DayIdx)="","P",IFERROR(INDEX(StatusCodes,MATCH(INDEX('KG1-3'!$AD38:$IM38,Rpt_DayIdx),StatusLabels,0)),""))))</f>
        <v/>
      </c>
      <c r="AX94" s="40">
        <f>IF(AND(AP94=1,OR(AW94="A",AW94="E")),COUNTIFS($AP$5:AP94,1,$AW$5:AW94,"A")+COUNTIFS($AP$5:AP94,1,$AW$5:AW94,"E"),"")</f>
        <v/>
      </c>
    </row>
    <row r="95">
      <c r="A95" s="148">
        <f>IF(B95="","",ROW()-4)</f>
        <v/>
      </c>
      <c r="B95" s="148">
        <f>IF('KG1-4'!$B9="","",'KG1-4'!$B9)</f>
        <v/>
      </c>
      <c r="C95" s="146">
        <f>IF('KG1-4'!$C9="","",'KG1-4'!$C9)</f>
        <v/>
      </c>
      <c r="D95" s="148">
        <f>IF(B95="","",'KG1-4'!$B$2)</f>
        <v/>
      </c>
      <c r="E95" s="148">
        <f>IF(B95="","",MID(D95,FIND("-",D95&amp;"-")+1,10))</f>
        <v/>
      </c>
      <c r="F95" s="148">
        <f>IF(B95="","","نشط")</f>
        <v/>
      </c>
      <c r="G95" s="157">
        <f>IF(B95="","","")</f>
        <v/>
      </c>
      <c r="H95" s="146">
        <f>IF('KG1-4'!$K9="","",'KG1-4'!$K9)</f>
        <v/>
      </c>
      <c r="I95" s="148">
        <f>IF('KG1-4'!$J9="","",'KG1-4'!$J9)</f>
        <v/>
      </c>
      <c r="J95" s="148">
        <f>IF('KG1-4'!$M9="","",'KG1-4'!$M9)</f>
        <v/>
      </c>
      <c r="K95" s="148">
        <f>IF('KG1-4'!$N9="","",'KG1-4'!$N9)</f>
        <v/>
      </c>
      <c r="L95" s="148">
        <f>IF('KG1-4'!$D9="","",'KG1-4'!$D9)</f>
        <v/>
      </c>
      <c r="M95" s="148">
        <f>IF('KG1-4'!$E9="","",'KG1-4'!$E9)</f>
        <v/>
      </c>
      <c r="N95" s="148">
        <f>IF('KG1-4'!$F9="","",'KG1-4'!$F9)</f>
        <v/>
      </c>
      <c r="O95" s="158">
        <f>IF('KG1-4'!$G9="","",'KG1-4'!$G9)</f>
        <v/>
      </c>
      <c r="P95" s="158">
        <f>IF('KG1-4'!$O9="","",'KG1-4'!$O9)</f>
        <v/>
      </c>
      <c r="Q95" s="148">
        <f>IF('KG1-4'!$T9="","",'KG1-4'!$T9)</f>
        <v/>
      </c>
      <c r="R95" s="146">
        <f>IF('KG1-4'!$H9="","",'KG1-4'!$H9)</f>
        <v/>
      </c>
      <c r="S95" s="157">
        <f>IF('KG1-4'!$P9="","",'KG1-4'!$P9)</f>
        <v/>
      </c>
      <c r="T95" s="157">
        <f>IF('KG1-4'!$V9="","",'KG1-4'!$V9)</f>
        <v/>
      </c>
      <c r="U95" s="157">
        <f>IF('KG1-4'!$W9="","",'KG1-4'!$W9)</f>
        <v/>
      </c>
      <c r="V95" s="157">
        <f>IF('KG1-4'!$X9="","",'KG1-4'!$X9)</f>
        <v/>
      </c>
      <c r="W95" s="157">
        <f>IF('KG1-4'!$Y9="","",'KG1-4'!$Y9)</f>
        <v/>
      </c>
      <c r="X95" s="157">
        <f>IF('KG1-4'!$R9="","",'KG1-4'!$R9)</f>
        <v/>
      </c>
      <c r="Y95" s="148">
        <f>IF('KG1-4'!$S9="","",'KG1-4'!$S9)</f>
        <v/>
      </c>
      <c r="Z95" s="148">
        <f>IF('KG1-4'!$Q9="","",'KG1-4'!$Q9)</f>
        <v/>
      </c>
      <c r="AA95" s="148">
        <f>IF('KG1-4'!$I9="","",'KG1-4'!$I9)</f>
        <v/>
      </c>
      <c r="AB95" s="146">
        <f>IF(Q95="","",INDEX(LevelActions,MATCH(Q95,LevelValues,0)))</f>
        <v/>
      </c>
      <c r="AC95" s="148">
        <f>IF(J95="","",IF(J95=0,"—",IF(AND(L95=0,M95=0),Cat_L1,IF(O95&gt;=Cat_95,Cat_L2,IF(O95&gt;=Cat_90,Cat_L3,Cat_L4)))))</f>
        <v/>
      </c>
      <c r="AD95" s="146">
        <f>IF('KG1-4'!$L9="","",'KG1-4'!$L9)</f>
        <v/>
      </c>
      <c r="AE95" s="148">
        <f>IF(B95="","",IF(COUNTIF($B$5:$B$214,B95)&gt;1,"مكرر!",""))</f>
        <v/>
      </c>
      <c r="AF95" s="148">
        <f>IF(AND(B95&lt;&gt;"",F95="نشط",OR(Dash_Class="الكل",D95=Dash_Class)),1,0)</f>
        <v/>
      </c>
      <c r="AG95" s="40">
        <f>IF(OR(AF95=0,Dash_DayIdx=0),"",IF(INDEX('KG1-4'!$AD$7:$IM$7,Dash_DayIdx)&lt;&gt;"✓","",IF(INDEX('KG1-4'!$AD9:$IM9,Dash_DayIdx)="","P",IFERROR(INDEX(StatusCodes,MATCH(INDEX('KG1-4'!$AD9:$IM9,Dash_DayIdx),StatusLabels,0)),""))))</f>
        <v/>
      </c>
      <c r="AH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IF(LateAsPresent="نعم",COUNTIFS('KG1-4'!$AD9:$IM9,"متأخر",'KG1-4'!$AD$7:$IM$7,"✓",'KG1-4'!$AD$6:$IM$6,1,'KG1-4'!$AD$5:$IM$5,"&gt;="&amp;MAX('KG1-4'!$U9,Dash_PStart),'KG1-4'!$AD$5:$IM$5,"&lt;="&amp;Dash_PEnd),0))</f>
        <v/>
      </c>
      <c r="AI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COUNTIFS('KG1-4'!$AD9:$IM9,"غياب بدون عذر",'KG1-4'!$AD$7:$IM$7,"✓",'KG1-4'!$AD$6:$IM$6,1,'KG1-4'!$AD$5:$IM$5,"&gt;="&amp;MAX('KG1-4'!$U9,Dash_PStart),'KG1-4'!$AD$5:$IM$5,"&lt;="&amp;Dash_PEnd)+COUNTIFS('KG1-4'!$AD9:$IM9,"غياب بعذر",'KG1-4'!$AD$7:$IM$7,"✓",'KG1-4'!$AD$6:$IM$6,1,'KG1-4'!$AD$5:$IM$5,"&gt;="&amp;MAX('KG1-4'!$U9,Dash_PStart),'KG1-4'!$AD$5:$IM$5,"&lt;="&amp;Dash_PEnd)+COUNTIFS('KG1-4'!$AD9:$IM9,"متأخر",'KG1-4'!$AD$7:$IM$7,"✓",'KG1-4'!$AD$6:$IM$6,1,'KG1-4'!$AD$5:$IM$5,"&gt;="&amp;MAX('KG1-4'!$U9,Dash_PStart),'KG1-4'!$AD$5:$IM$5,"&lt;="&amp;Dash_PEnd))</f>
        <v/>
      </c>
      <c r="AJ95" s="40">
        <f>IF(AF95=0,0,IF(W95=Dash_Date,Thr_Critical,IF(V95=Dash_Date,Thr_High,IF(U95=Dash_Date,Thr_Repeated,IF(T95=Dash_Date,Thr_FollowUp,0)))))</f>
        <v/>
      </c>
      <c r="AK95" s="40">
        <f>IF(AJ95&gt;0,COUNTIF($AJ$5:AJ95,"&gt;0"),"")</f>
        <v/>
      </c>
      <c r="AL95" s="40">
        <f>IF(AND(B95&lt;&gt;"",F95="نشط",Q95&lt;&gt;"",Q95&gt;0),L95*1000+(999-ROW()),"")</f>
        <v/>
      </c>
      <c r="AM95" s="40">
        <f>IF(AND(AF95=1,J95&lt;&gt;"",J95&gt;0),ROUND(O95*10000,0)*1000000+K95*1000+(999-ROW()),"")</f>
        <v/>
      </c>
      <c r="AN95" s="40">
        <f>IF(AND(AF95=1,J95&lt;&gt;"",J95&gt;0),(L95+M95)*10000000+ROUND((1-O95)*10000,0)*1000+(999-ROW()),"")</f>
        <v/>
      </c>
      <c r="AO95" s="40">
        <f>IF(AND(AF95=1,Q95&lt;&gt;"",Q95&gt;=Thr_Critical),L95*1000+(999-ROW()),"")</f>
        <v/>
      </c>
      <c r="AP95" s="40">
        <f>IF(AND(B95&lt;&gt;"",F95="نشط",OR(Rpt_Class="الكل",D95=Rpt_Class)),1,0)</f>
        <v/>
      </c>
      <c r="AQ95" s="40">
        <f>IF(AND(AP95=1,Q95&lt;&gt;"",Q95&gt;0),L95*1000+(999-ROW()),"")</f>
        <v/>
      </c>
      <c r="AR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IF(LateAsPresent="نعم",COUNTIFS('KG1-4'!$AD9:$IM9,"متأخر",'KG1-4'!$AD$7:$IM$7,"✓",'KG1-4'!$AD$6:$IM$6,1,'KG1-4'!$AD$5:$IM$5,"&gt;="&amp;MAX('KG1-4'!$U9,Rpt_PStart),'KG1-4'!$AD$5:$IM$5,"&lt;="&amp;Rpt_PEnd),0))</f>
        <v/>
      </c>
      <c r="AS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COUNTIFS('KG1-4'!$AD9:$IM9,"غياب بدون عذر",'KG1-4'!$AD$7:$IM$7,"✓",'KG1-4'!$AD$6:$IM$6,1,'KG1-4'!$AD$5:$IM$5,"&gt;="&amp;MAX('KG1-4'!$U9,Rpt_PStart),'KG1-4'!$AD$5:$IM$5,"&lt;="&amp;Rpt_PEnd)+COUNTIFS('KG1-4'!$AD9:$IM9,"غياب بعذر",'KG1-4'!$AD$7:$IM$7,"✓",'KG1-4'!$AD$6:$IM$6,1,'KG1-4'!$AD$5:$IM$5,"&gt;="&amp;MAX('KG1-4'!$U9,Rpt_PStart),'KG1-4'!$AD$5:$IM$5,"&lt;="&amp;Rpt_PEnd)+COUNTIFS('KG1-4'!$AD9:$IM9,"متأخر",'KG1-4'!$AD$7:$IM$7,"✓",'KG1-4'!$AD$6:$IM$6,1,'KG1-4'!$AD$5:$IM$5,"&gt;="&amp;MAX('KG1-4'!$U9,Rpt_PStart),'KG1-4'!$AD$5:$IM$5,"&lt;="&amp;Rpt_PEnd))</f>
        <v/>
      </c>
      <c r="AT95" s="40">
        <f>IF(AP95=0,"",COUNTIFS('KG1-4'!$AD9:$IM9,"غياب بدون عذر",'KG1-4'!$AD$7:$IM$7,"✓",'KG1-4'!$AD$6:$IM$6,1,'KG1-4'!$AD$5:$IM$5,"&gt;="&amp;MAX('KG1-4'!$U9,Rpt_PStart),'KG1-4'!$AD$5:$IM$5,"&lt;="&amp;Rpt_PEnd)+COUNTIFS('KG1-4'!$AD9:$IM9,"غياب بعذر",'KG1-4'!$AD$7:$IM$7,"✓",'KG1-4'!$AD$6:$IM$6,1,'KG1-4'!$AD$5:$IM$5,"&gt;="&amp;MAX('KG1-4'!$U9,Rpt_PStart),'KG1-4'!$AD$5:$IM$5,"&lt;="&amp;Rpt_PEnd))</f>
        <v/>
      </c>
      <c r="AU95" s="40" t="n">
        <v>4</v>
      </c>
      <c r="AV95" s="40" t="n">
        <v>1</v>
      </c>
      <c r="AW95" s="40">
        <f>IF(OR(AP95=0,Rpt_DayIdx=0),"",IF(INDEX('KG1-4'!$AD$7:$IM$7,Rpt_DayIdx)&lt;&gt;"✓","",IF(INDEX('KG1-4'!$AD9:$IM9,Rpt_DayIdx)="","P",IFERROR(INDEX(StatusCodes,MATCH(INDEX('KG1-4'!$AD9:$IM9,Rpt_DayIdx),StatusLabels,0)),""))))</f>
        <v/>
      </c>
      <c r="AX95" s="40">
        <f>IF(AND(AP95=1,OR(AW95="A",AW95="E")),COUNTIFS($AP$5:AP95,1,$AW$5:AW95,"A")+COUNTIFS($AP$5:AP95,1,$AW$5:AW95,"E"),"")</f>
        <v/>
      </c>
    </row>
    <row r="96">
      <c r="A96" s="148">
        <f>IF(B96="","",ROW()-4)</f>
        <v/>
      </c>
      <c r="B96" s="148">
        <f>IF('KG1-4'!$B10="","",'KG1-4'!$B10)</f>
        <v/>
      </c>
      <c r="C96" s="146">
        <f>IF('KG1-4'!$C10="","",'KG1-4'!$C10)</f>
        <v/>
      </c>
      <c r="D96" s="148">
        <f>IF(B96="","",'KG1-4'!$B$2)</f>
        <v/>
      </c>
      <c r="E96" s="148">
        <f>IF(B96="","",MID(D96,FIND("-",D96&amp;"-")+1,10))</f>
        <v/>
      </c>
      <c r="F96" s="148">
        <f>IF(B96="","","نشط")</f>
        <v/>
      </c>
      <c r="G96" s="157">
        <f>IF(B96="","","")</f>
        <v/>
      </c>
      <c r="H96" s="146">
        <f>IF('KG1-4'!$K10="","",'KG1-4'!$K10)</f>
        <v/>
      </c>
      <c r="I96" s="148">
        <f>IF('KG1-4'!$J10="","",'KG1-4'!$J10)</f>
        <v/>
      </c>
      <c r="J96" s="148">
        <f>IF('KG1-4'!$M10="","",'KG1-4'!$M10)</f>
        <v/>
      </c>
      <c r="K96" s="148">
        <f>IF('KG1-4'!$N10="","",'KG1-4'!$N10)</f>
        <v/>
      </c>
      <c r="L96" s="148">
        <f>IF('KG1-4'!$D10="","",'KG1-4'!$D10)</f>
        <v/>
      </c>
      <c r="M96" s="148">
        <f>IF('KG1-4'!$E10="","",'KG1-4'!$E10)</f>
        <v/>
      </c>
      <c r="N96" s="148">
        <f>IF('KG1-4'!$F10="","",'KG1-4'!$F10)</f>
        <v/>
      </c>
      <c r="O96" s="158">
        <f>IF('KG1-4'!$G10="","",'KG1-4'!$G10)</f>
        <v/>
      </c>
      <c r="P96" s="158">
        <f>IF('KG1-4'!$O10="","",'KG1-4'!$O10)</f>
        <v/>
      </c>
      <c r="Q96" s="148">
        <f>IF('KG1-4'!$T10="","",'KG1-4'!$T10)</f>
        <v/>
      </c>
      <c r="R96" s="146">
        <f>IF('KG1-4'!$H10="","",'KG1-4'!$H10)</f>
        <v/>
      </c>
      <c r="S96" s="157">
        <f>IF('KG1-4'!$P10="","",'KG1-4'!$P10)</f>
        <v/>
      </c>
      <c r="T96" s="157">
        <f>IF('KG1-4'!$V10="","",'KG1-4'!$V10)</f>
        <v/>
      </c>
      <c r="U96" s="157">
        <f>IF('KG1-4'!$W10="","",'KG1-4'!$W10)</f>
        <v/>
      </c>
      <c r="V96" s="157">
        <f>IF('KG1-4'!$X10="","",'KG1-4'!$X10)</f>
        <v/>
      </c>
      <c r="W96" s="157">
        <f>IF('KG1-4'!$Y10="","",'KG1-4'!$Y10)</f>
        <v/>
      </c>
      <c r="X96" s="157">
        <f>IF('KG1-4'!$R10="","",'KG1-4'!$R10)</f>
        <v/>
      </c>
      <c r="Y96" s="148">
        <f>IF('KG1-4'!$S10="","",'KG1-4'!$S10)</f>
        <v/>
      </c>
      <c r="Z96" s="148">
        <f>IF('KG1-4'!$Q10="","",'KG1-4'!$Q10)</f>
        <v/>
      </c>
      <c r="AA96" s="148">
        <f>IF('KG1-4'!$I10="","",'KG1-4'!$I10)</f>
        <v/>
      </c>
      <c r="AB96" s="146">
        <f>IF(Q96="","",INDEX(LevelActions,MATCH(Q96,LevelValues,0)))</f>
        <v/>
      </c>
      <c r="AC96" s="148">
        <f>IF(J96="","",IF(J96=0,"—",IF(AND(L96=0,M96=0),Cat_L1,IF(O96&gt;=Cat_95,Cat_L2,IF(O96&gt;=Cat_90,Cat_L3,Cat_L4)))))</f>
        <v/>
      </c>
      <c r="AD96" s="146">
        <f>IF('KG1-4'!$L10="","",'KG1-4'!$L10)</f>
        <v/>
      </c>
      <c r="AE96" s="148">
        <f>IF(B96="","",IF(COUNTIF($B$5:$B$214,B96)&gt;1,"مكرر!",""))</f>
        <v/>
      </c>
      <c r="AF96" s="148">
        <f>IF(AND(B96&lt;&gt;"",F96="نشط",OR(Dash_Class="الكل",D96=Dash_Class)),1,0)</f>
        <v/>
      </c>
      <c r="AG96" s="40">
        <f>IF(OR(AF96=0,Dash_DayIdx=0),"",IF(INDEX('KG1-4'!$AD$7:$IM$7,Dash_DayIdx)&lt;&gt;"✓","",IF(INDEX('KG1-4'!$AD10:$IM10,Dash_DayIdx)="","P",IFERROR(INDEX(StatusCodes,MATCH(INDEX('KG1-4'!$AD10:$IM10,Dash_DayIdx),StatusLabels,0)),""))))</f>
        <v/>
      </c>
      <c r="AH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IF(LateAsPresent="نعم",COUNTIFS('KG1-4'!$AD10:$IM10,"متأخر",'KG1-4'!$AD$7:$IM$7,"✓",'KG1-4'!$AD$6:$IM$6,1,'KG1-4'!$AD$5:$IM$5,"&gt;="&amp;MAX('KG1-4'!$U10,Dash_PStart),'KG1-4'!$AD$5:$IM$5,"&lt;="&amp;Dash_PEnd),0))</f>
        <v/>
      </c>
      <c r="AI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COUNTIFS('KG1-4'!$AD10:$IM10,"غياب بدون عذر",'KG1-4'!$AD$7:$IM$7,"✓",'KG1-4'!$AD$6:$IM$6,1,'KG1-4'!$AD$5:$IM$5,"&gt;="&amp;MAX('KG1-4'!$U10,Dash_PStart),'KG1-4'!$AD$5:$IM$5,"&lt;="&amp;Dash_PEnd)+COUNTIFS('KG1-4'!$AD10:$IM10,"غياب بعذر",'KG1-4'!$AD$7:$IM$7,"✓",'KG1-4'!$AD$6:$IM$6,1,'KG1-4'!$AD$5:$IM$5,"&gt;="&amp;MAX('KG1-4'!$U10,Dash_PStart),'KG1-4'!$AD$5:$IM$5,"&lt;="&amp;Dash_PEnd)+COUNTIFS('KG1-4'!$AD10:$IM10,"متأخر",'KG1-4'!$AD$7:$IM$7,"✓",'KG1-4'!$AD$6:$IM$6,1,'KG1-4'!$AD$5:$IM$5,"&gt;="&amp;MAX('KG1-4'!$U10,Dash_PStart),'KG1-4'!$AD$5:$IM$5,"&lt;="&amp;Dash_PEnd))</f>
        <v/>
      </c>
      <c r="AJ96" s="40">
        <f>IF(AF96=0,0,IF(W96=Dash_Date,Thr_Critical,IF(V96=Dash_Date,Thr_High,IF(U96=Dash_Date,Thr_Repeated,IF(T96=Dash_Date,Thr_FollowUp,0)))))</f>
        <v/>
      </c>
      <c r="AK96" s="40">
        <f>IF(AJ96&gt;0,COUNTIF($AJ$5:AJ96,"&gt;0"),"")</f>
        <v/>
      </c>
      <c r="AL96" s="40">
        <f>IF(AND(B96&lt;&gt;"",F96="نشط",Q96&lt;&gt;"",Q96&gt;0),L96*1000+(999-ROW()),"")</f>
        <v/>
      </c>
      <c r="AM96" s="40">
        <f>IF(AND(AF96=1,J96&lt;&gt;"",J96&gt;0),ROUND(O96*10000,0)*1000000+K96*1000+(999-ROW()),"")</f>
        <v/>
      </c>
      <c r="AN96" s="40">
        <f>IF(AND(AF96=1,J96&lt;&gt;"",J96&gt;0),(L96+M96)*10000000+ROUND((1-O96)*10000,0)*1000+(999-ROW()),"")</f>
        <v/>
      </c>
      <c r="AO96" s="40">
        <f>IF(AND(AF96=1,Q96&lt;&gt;"",Q96&gt;=Thr_Critical),L96*1000+(999-ROW()),"")</f>
        <v/>
      </c>
      <c r="AP96" s="40">
        <f>IF(AND(B96&lt;&gt;"",F96="نشط",OR(Rpt_Class="الكل",D96=Rpt_Class)),1,0)</f>
        <v/>
      </c>
      <c r="AQ96" s="40">
        <f>IF(AND(AP96=1,Q96&lt;&gt;"",Q96&gt;0),L96*1000+(999-ROW()),"")</f>
        <v/>
      </c>
      <c r="AR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IF(LateAsPresent="نعم",COUNTIFS('KG1-4'!$AD10:$IM10,"متأخر",'KG1-4'!$AD$7:$IM$7,"✓",'KG1-4'!$AD$6:$IM$6,1,'KG1-4'!$AD$5:$IM$5,"&gt;="&amp;MAX('KG1-4'!$U10,Rpt_PStart),'KG1-4'!$AD$5:$IM$5,"&lt;="&amp;Rpt_PEnd),0))</f>
        <v/>
      </c>
      <c r="AS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COUNTIFS('KG1-4'!$AD10:$IM10,"غياب بدون عذر",'KG1-4'!$AD$7:$IM$7,"✓",'KG1-4'!$AD$6:$IM$6,1,'KG1-4'!$AD$5:$IM$5,"&gt;="&amp;MAX('KG1-4'!$U10,Rpt_PStart),'KG1-4'!$AD$5:$IM$5,"&lt;="&amp;Rpt_PEnd)+COUNTIFS('KG1-4'!$AD10:$IM10,"غياب بعذر",'KG1-4'!$AD$7:$IM$7,"✓",'KG1-4'!$AD$6:$IM$6,1,'KG1-4'!$AD$5:$IM$5,"&gt;="&amp;MAX('KG1-4'!$U10,Rpt_PStart),'KG1-4'!$AD$5:$IM$5,"&lt;="&amp;Rpt_PEnd)+COUNTIFS('KG1-4'!$AD10:$IM10,"متأخر",'KG1-4'!$AD$7:$IM$7,"✓",'KG1-4'!$AD$6:$IM$6,1,'KG1-4'!$AD$5:$IM$5,"&gt;="&amp;MAX('KG1-4'!$U10,Rpt_PStart),'KG1-4'!$AD$5:$IM$5,"&lt;="&amp;Rpt_PEnd))</f>
        <v/>
      </c>
      <c r="AT96" s="40">
        <f>IF(AP96=0,"",COUNTIFS('KG1-4'!$AD10:$IM10,"غياب بدون عذر",'KG1-4'!$AD$7:$IM$7,"✓",'KG1-4'!$AD$6:$IM$6,1,'KG1-4'!$AD$5:$IM$5,"&gt;="&amp;MAX('KG1-4'!$U10,Rpt_PStart),'KG1-4'!$AD$5:$IM$5,"&lt;="&amp;Rpt_PEnd)+COUNTIFS('KG1-4'!$AD10:$IM10,"غياب بعذر",'KG1-4'!$AD$7:$IM$7,"✓",'KG1-4'!$AD$6:$IM$6,1,'KG1-4'!$AD$5:$IM$5,"&gt;="&amp;MAX('KG1-4'!$U10,Rpt_PStart),'KG1-4'!$AD$5:$IM$5,"&lt;="&amp;Rpt_PEnd))</f>
        <v/>
      </c>
      <c r="AU96" s="40" t="n">
        <v>4</v>
      </c>
      <c r="AV96" s="40" t="n">
        <v>2</v>
      </c>
      <c r="AW96" s="40">
        <f>IF(OR(AP96=0,Rpt_DayIdx=0),"",IF(INDEX('KG1-4'!$AD$7:$IM$7,Rpt_DayIdx)&lt;&gt;"✓","",IF(INDEX('KG1-4'!$AD10:$IM10,Rpt_DayIdx)="","P",IFERROR(INDEX(StatusCodes,MATCH(INDEX('KG1-4'!$AD10:$IM10,Rpt_DayIdx),StatusLabels,0)),""))))</f>
        <v/>
      </c>
      <c r="AX96" s="40">
        <f>IF(AND(AP96=1,OR(AW96="A",AW96="E")),COUNTIFS($AP$5:AP96,1,$AW$5:AW96,"A")+COUNTIFS($AP$5:AP96,1,$AW$5:AW96,"E"),"")</f>
        <v/>
      </c>
    </row>
    <row r="97">
      <c r="A97" s="148">
        <f>IF(B97="","",ROW()-4)</f>
        <v/>
      </c>
      <c r="B97" s="148">
        <f>IF('KG1-4'!$B11="","",'KG1-4'!$B11)</f>
        <v/>
      </c>
      <c r="C97" s="146">
        <f>IF('KG1-4'!$C11="","",'KG1-4'!$C11)</f>
        <v/>
      </c>
      <c r="D97" s="148">
        <f>IF(B97="","",'KG1-4'!$B$2)</f>
        <v/>
      </c>
      <c r="E97" s="148">
        <f>IF(B97="","",MID(D97,FIND("-",D97&amp;"-")+1,10))</f>
        <v/>
      </c>
      <c r="F97" s="148">
        <f>IF(B97="","","نشط")</f>
        <v/>
      </c>
      <c r="G97" s="157">
        <f>IF(B97="","","")</f>
        <v/>
      </c>
      <c r="H97" s="146">
        <f>IF('KG1-4'!$K11="","",'KG1-4'!$K11)</f>
        <v/>
      </c>
      <c r="I97" s="148">
        <f>IF('KG1-4'!$J11="","",'KG1-4'!$J11)</f>
        <v/>
      </c>
      <c r="J97" s="148">
        <f>IF('KG1-4'!$M11="","",'KG1-4'!$M11)</f>
        <v/>
      </c>
      <c r="K97" s="148">
        <f>IF('KG1-4'!$N11="","",'KG1-4'!$N11)</f>
        <v/>
      </c>
      <c r="L97" s="148">
        <f>IF('KG1-4'!$D11="","",'KG1-4'!$D11)</f>
        <v/>
      </c>
      <c r="M97" s="148">
        <f>IF('KG1-4'!$E11="","",'KG1-4'!$E11)</f>
        <v/>
      </c>
      <c r="N97" s="148">
        <f>IF('KG1-4'!$F11="","",'KG1-4'!$F11)</f>
        <v/>
      </c>
      <c r="O97" s="158">
        <f>IF('KG1-4'!$G11="","",'KG1-4'!$G11)</f>
        <v/>
      </c>
      <c r="P97" s="158">
        <f>IF('KG1-4'!$O11="","",'KG1-4'!$O11)</f>
        <v/>
      </c>
      <c r="Q97" s="148">
        <f>IF('KG1-4'!$T11="","",'KG1-4'!$T11)</f>
        <v/>
      </c>
      <c r="R97" s="146">
        <f>IF('KG1-4'!$H11="","",'KG1-4'!$H11)</f>
        <v/>
      </c>
      <c r="S97" s="157">
        <f>IF('KG1-4'!$P11="","",'KG1-4'!$P11)</f>
        <v/>
      </c>
      <c r="T97" s="157">
        <f>IF('KG1-4'!$V11="","",'KG1-4'!$V11)</f>
        <v/>
      </c>
      <c r="U97" s="157">
        <f>IF('KG1-4'!$W11="","",'KG1-4'!$W11)</f>
        <v/>
      </c>
      <c r="V97" s="157">
        <f>IF('KG1-4'!$X11="","",'KG1-4'!$X11)</f>
        <v/>
      </c>
      <c r="W97" s="157">
        <f>IF('KG1-4'!$Y11="","",'KG1-4'!$Y11)</f>
        <v/>
      </c>
      <c r="X97" s="157">
        <f>IF('KG1-4'!$R11="","",'KG1-4'!$R11)</f>
        <v/>
      </c>
      <c r="Y97" s="148">
        <f>IF('KG1-4'!$S11="","",'KG1-4'!$S11)</f>
        <v/>
      </c>
      <c r="Z97" s="148">
        <f>IF('KG1-4'!$Q11="","",'KG1-4'!$Q11)</f>
        <v/>
      </c>
      <c r="AA97" s="148">
        <f>IF('KG1-4'!$I11="","",'KG1-4'!$I11)</f>
        <v/>
      </c>
      <c r="AB97" s="146">
        <f>IF(Q97="","",INDEX(LevelActions,MATCH(Q97,LevelValues,0)))</f>
        <v/>
      </c>
      <c r="AC97" s="148">
        <f>IF(J97="","",IF(J97=0,"—",IF(AND(L97=0,M97=0),Cat_L1,IF(O97&gt;=Cat_95,Cat_L2,IF(O97&gt;=Cat_90,Cat_L3,Cat_L4)))))</f>
        <v/>
      </c>
      <c r="AD97" s="146">
        <f>IF('KG1-4'!$L11="","",'KG1-4'!$L11)</f>
        <v/>
      </c>
      <c r="AE97" s="148">
        <f>IF(B97="","",IF(COUNTIF($B$5:$B$214,B97)&gt;1,"مكرر!",""))</f>
        <v/>
      </c>
      <c r="AF97" s="148">
        <f>IF(AND(B97&lt;&gt;"",F97="نشط",OR(Dash_Class="الكل",D97=Dash_Class)),1,0)</f>
        <v/>
      </c>
      <c r="AG97" s="40">
        <f>IF(OR(AF97=0,Dash_DayIdx=0),"",IF(INDEX('KG1-4'!$AD$7:$IM$7,Dash_DayIdx)&lt;&gt;"✓","",IF(INDEX('KG1-4'!$AD11:$IM11,Dash_DayIdx)="","P",IFERROR(INDEX(StatusCodes,MATCH(INDEX('KG1-4'!$AD11:$IM11,Dash_DayIdx),StatusLabels,0)),""))))</f>
        <v/>
      </c>
      <c r="AH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IF(LateAsPresent="نعم",COUNTIFS('KG1-4'!$AD11:$IM11,"متأخر",'KG1-4'!$AD$7:$IM$7,"✓",'KG1-4'!$AD$6:$IM$6,1,'KG1-4'!$AD$5:$IM$5,"&gt;="&amp;MAX('KG1-4'!$U11,Dash_PStart),'KG1-4'!$AD$5:$IM$5,"&lt;="&amp;Dash_PEnd),0))</f>
        <v/>
      </c>
      <c r="AI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COUNTIFS('KG1-4'!$AD11:$IM11,"غياب بدون عذر",'KG1-4'!$AD$7:$IM$7,"✓",'KG1-4'!$AD$6:$IM$6,1,'KG1-4'!$AD$5:$IM$5,"&gt;="&amp;MAX('KG1-4'!$U11,Dash_PStart),'KG1-4'!$AD$5:$IM$5,"&lt;="&amp;Dash_PEnd)+COUNTIFS('KG1-4'!$AD11:$IM11,"غياب بعذر",'KG1-4'!$AD$7:$IM$7,"✓",'KG1-4'!$AD$6:$IM$6,1,'KG1-4'!$AD$5:$IM$5,"&gt;="&amp;MAX('KG1-4'!$U11,Dash_PStart),'KG1-4'!$AD$5:$IM$5,"&lt;="&amp;Dash_PEnd)+COUNTIFS('KG1-4'!$AD11:$IM11,"متأخر",'KG1-4'!$AD$7:$IM$7,"✓",'KG1-4'!$AD$6:$IM$6,1,'KG1-4'!$AD$5:$IM$5,"&gt;="&amp;MAX('KG1-4'!$U11,Dash_PStart),'KG1-4'!$AD$5:$IM$5,"&lt;="&amp;Dash_PEnd))</f>
        <v/>
      </c>
      <c r="AJ97" s="40">
        <f>IF(AF97=0,0,IF(W97=Dash_Date,Thr_Critical,IF(V97=Dash_Date,Thr_High,IF(U97=Dash_Date,Thr_Repeated,IF(T97=Dash_Date,Thr_FollowUp,0)))))</f>
        <v/>
      </c>
      <c r="AK97" s="40">
        <f>IF(AJ97&gt;0,COUNTIF($AJ$5:AJ97,"&gt;0"),"")</f>
        <v/>
      </c>
      <c r="AL97" s="40">
        <f>IF(AND(B97&lt;&gt;"",F97="نشط",Q97&lt;&gt;"",Q97&gt;0),L97*1000+(999-ROW()),"")</f>
        <v/>
      </c>
      <c r="AM97" s="40">
        <f>IF(AND(AF97=1,J97&lt;&gt;"",J97&gt;0),ROUND(O97*10000,0)*1000000+K97*1000+(999-ROW()),"")</f>
        <v/>
      </c>
      <c r="AN97" s="40">
        <f>IF(AND(AF97=1,J97&lt;&gt;"",J97&gt;0),(L97+M97)*10000000+ROUND((1-O97)*10000,0)*1000+(999-ROW()),"")</f>
        <v/>
      </c>
      <c r="AO97" s="40">
        <f>IF(AND(AF97=1,Q97&lt;&gt;"",Q97&gt;=Thr_Critical),L97*1000+(999-ROW()),"")</f>
        <v/>
      </c>
      <c r="AP97" s="40">
        <f>IF(AND(B97&lt;&gt;"",F97="نشط",OR(Rpt_Class="الكل",D97=Rpt_Class)),1,0)</f>
        <v/>
      </c>
      <c r="AQ97" s="40">
        <f>IF(AND(AP97=1,Q97&lt;&gt;"",Q97&gt;0),L97*1000+(999-ROW()),"")</f>
        <v/>
      </c>
      <c r="AR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IF(LateAsPresent="نعم",COUNTIFS('KG1-4'!$AD11:$IM11,"متأخر",'KG1-4'!$AD$7:$IM$7,"✓",'KG1-4'!$AD$6:$IM$6,1,'KG1-4'!$AD$5:$IM$5,"&gt;="&amp;MAX('KG1-4'!$U11,Rpt_PStart),'KG1-4'!$AD$5:$IM$5,"&lt;="&amp;Rpt_PEnd),0))</f>
        <v/>
      </c>
      <c r="AS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COUNTIFS('KG1-4'!$AD11:$IM11,"غياب بدون عذر",'KG1-4'!$AD$7:$IM$7,"✓",'KG1-4'!$AD$6:$IM$6,1,'KG1-4'!$AD$5:$IM$5,"&gt;="&amp;MAX('KG1-4'!$U11,Rpt_PStart),'KG1-4'!$AD$5:$IM$5,"&lt;="&amp;Rpt_PEnd)+COUNTIFS('KG1-4'!$AD11:$IM11,"غياب بعذر",'KG1-4'!$AD$7:$IM$7,"✓",'KG1-4'!$AD$6:$IM$6,1,'KG1-4'!$AD$5:$IM$5,"&gt;="&amp;MAX('KG1-4'!$U11,Rpt_PStart),'KG1-4'!$AD$5:$IM$5,"&lt;="&amp;Rpt_PEnd)+COUNTIFS('KG1-4'!$AD11:$IM11,"متأخر",'KG1-4'!$AD$7:$IM$7,"✓",'KG1-4'!$AD$6:$IM$6,1,'KG1-4'!$AD$5:$IM$5,"&gt;="&amp;MAX('KG1-4'!$U11,Rpt_PStart),'KG1-4'!$AD$5:$IM$5,"&lt;="&amp;Rpt_PEnd))</f>
        <v/>
      </c>
      <c r="AT97" s="40">
        <f>IF(AP97=0,"",COUNTIFS('KG1-4'!$AD11:$IM11,"غياب بدون عذر",'KG1-4'!$AD$7:$IM$7,"✓",'KG1-4'!$AD$6:$IM$6,1,'KG1-4'!$AD$5:$IM$5,"&gt;="&amp;MAX('KG1-4'!$U11,Rpt_PStart),'KG1-4'!$AD$5:$IM$5,"&lt;="&amp;Rpt_PEnd)+COUNTIFS('KG1-4'!$AD11:$IM11,"غياب بعذر",'KG1-4'!$AD$7:$IM$7,"✓",'KG1-4'!$AD$6:$IM$6,1,'KG1-4'!$AD$5:$IM$5,"&gt;="&amp;MAX('KG1-4'!$U11,Rpt_PStart),'KG1-4'!$AD$5:$IM$5,"&lt;="&amp;Rpt_PEnd))</f>
        <v/>
      </c>
      <c r="AU97" s="40" t="n">
        <v>4</v>
      </c>
      <c r="AV97" s="40" t="n">
        <v>3</v>
      </c>
      <c r="AW97" s="40">
        <f>IF(OR(AP97=0,Rpt_DayIdx=0),"",IF(INDEX('KG1-4'!$AD$7:$IM$7,Rpt_DayIdx)&lt;&gt;"✓","",IF(INDEX('KG1-4'!$AD11:$IM11,Rpt_DayIdx)="","P",IFERROR(INDEX(StatusCodes,MATCH(INDEX('KG1-4'!$AD11:$IM11,Rpt_DayIdx),StatusLabels,0)),""))))</f>
        <v/>
      </c>
      <c r="AX97" s="40">
        <f>IF(AND(AP97=1,OR(AW97="A",AW97="E")),COUNTIFS($AP$5:AP97,1,$AW$5:AW97,"A")+COUNTIFS($AP$5:AP97,1,$AW$5:AW97,"E"),"")</f>
        <v/>
      </c>
    </row>
    <row r="98">
      <c r="A98" s="148">
        <f>IF(B98="","",ROW()-4)</f>
        <v/>
      </c>
      <c r="B98" s="148">
        <f>IF('KG1-4'!$B12="","",'KG1-4'!$B12)</f>
        <v/>
      </c>
      <c r="C98" s="146">
        <f>IF('KG1-4'!$C12="","",'KG1-4'!$C12)</f>
        <v/>
      </c>
      <c r="D98" s="148">
        <f>IF(B98="","",'KG1-4'!$B$2)</f>
        <v/>
      </c>
      <c r="E98" s="148">
        <f>IF(B98="","",MID(D98,FIND("-",D98&amp;"-")+1,10))</f>
        <v/>
      </c>
      <c r="F98" s="148">
        <f>IF(B98="","","نشط")</f>
        <v/>
      </c>
      <c r="G98" s="157">
        <f>IF(B98="","","")</f>
        <v/>
      </c>
      <c r="H98" s="146">
        <f>IF('KG1-4'!$K12="","",'KG1-4'!$K12)</f>
        <v/>
      </c>
      <c r="I98" s="148">
        <f>IF('KG1-4'!$J12="","",'KG1-4'!$J12)</f>
        <v/>
      </c>
      <c r="J98" s="148">
        <f>IF('KG1-4'!$M12="","",'KG1-4'!$M12)</f>
        <v/>
      </c>
      <c r="K98" s="148">
        <f>IF('KG1-4'!$N12="","",'KG1-4'!$N12)</f>
        <v/>
      </c>
      <c r="L98" s="148">
        <f>IF('KG1-4'!$D12="","",'KG1-4'!$D12)</f>
        <v/>
      </c>
      <c r="M98" s="148">
        <f>IF('KG1-4'!$E12="","",'KG1-4'!$E12)</f>
        <v/>
      </c>
      <c r="N98" s="148">
        <f>IF('KG1-4'!$F12="","",'KG1-4'!$F12)</f>
        <v/>
      </c>
      <c r="O98" s="158">
        <f>IF('KG1-4'!$G12="","",'KG1-4'!$G12)</f>
        <v/>
      </c>
      <c r="P98" s="158">
        <f>IF('KG1-4'!$O12="","",'KG1-4'!$O12)</f>
        <v/>
      </c>
      <c r="Q98" s="148">
        <f>IF('KG1-4'!$T12="","",'KG1-4'!$T12)</f>
        <v/>
      </c>
      <c r="R98" s="146">
        <f>IF('KG1-4'!$H12="","",'KG1-4'!$H12)</f>
        <v/>
      </c>
      <c r="S98" s="157">
        <f>IF('KG1-4'!$P12="","",'KG1-4'!$P12)</f>
        <v/>
      </c>
      <c r="T98" s="157">
        <f>IF('KG1-4'!$V12="","",'KG1-4'!$V12)</f>
        <v/>
      </c>
      <c r="U98" s="157">
        <f>IF('KG1-4'!$W12="","",'KG1-4'!$W12)</f>
        <v/>
      </c>
      <c r="V98" s="157">
        <f>IF('KG1-4'!$X12="","",'KG1-4'!$X12)</f>
        <v/>
      </c>
      <c r="W98" s="157">
        <f>IF('KG1-4'!$Y12="","",'KG1-4'!$Y12)</f>
        <v/>
      </c>
      <c r="X98" s="157">
        <f>IF('KG1-4'!$R12="","",'KG1-4'!$R12)</f>
        <v/>
      </c>
      <c r="Y98" s="148">
        <f>IF('KG1-4'!$S12="","",'KG1-4'!$S12)</f>
        <v/>
      </c>
      <c r="Z98" s="148">
        <f>IF('KG1-4'!$Q12="","",'KG1-4'!$Q12)</f>
        <v/>
      </c>
      <c r="AA98" s="148">
        <f>IF('KG1-4'!$I12="","",'KG1-4'!$I12)</f>
        <v/>
      </c>
      <c r="AB98" s="146">
        <f>IF(Q98="","",INDEX(LevelActions,MATCH(Q98,LevelValues,0)))</f>
        <v/>
      </c>
      <c r="AC98" s="148">
        <f>IF(J98="","",IF(J98=0,"—",IF(AND(L98=0,M98=0),Cat_L1,IF(O98&gt;=Cat_95,Cat_L2,IF(O98&gt;=Cat_90,Cat_L3,Cat_L4)))))</f>
        <v/>
      </c>
      <c r="AD98" s="146">
        <f>IF('KG1-4'!$L12="","",'KG1-4'!$L12)</f>
        <v/>
      </c>
      <c r="AE98" s="148">
        <f>IF(B98="","",IF(COUNTIF($B$5:$B$214,B98)&gt;1,"مكرر!",""))</f>
        <v/>
      </c>
      <c r="AF98" s="148">
        <f>IF(AND(B98&lt;&gt;"",F98="نشط",OR(Dash_Class="الكل",D98=Dash_Class)),1,0)</f>
        <v/>
      </c>
      <c r="AG98" s="40">
        <f>IF(OR(AF98=0,Dash_DayIdx=0),"",IF(INDEX('KG1-4'!$AD$7:$IM$7,Dash_DayIdx)&lt;&gt;"✓","",IF(INDEX('KG1-4'!$AD12:$IM12,Dash_DayIdx)="","P",IFERROR(INDEX(StatusCodes,MATCH(INDEX('KG1-4'!$AD12:$IM12,Dash_DayIdx),StatusLabels,0)),""))))</f>
        <v/>
      </c>
      <c r="AH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IF(LateAsPresent="نعم",COUNTIFS('KG1-4'!$AD12:$IM12,"متأخر",'KG1-4'!$AD$7:$IM$7,"✓",'KG1-4'!$AD$6:$IM$6,1,'KG1-4'!$AD$5:$IM$5,"&gt;="&amp;MAX('KG1-4'!$U12,Dash_PStart),'KG1-4'!$AD$5:$IM$5,"&lt;="&amp;Dash_PEnd),0))</f>
        <v/>
      </c>
      <c r="AI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COUNTIFS('KG1-4'!$AD12:$IM12,"غياب بدون عذر",'KG1-4'!$AD$7:$IM$7,"✓",'KG1-4'!$AD$6:$IM$6,1,'KG1-4'!$AD$5:$IM$5,"&gt;="&amp;MAX('KG1-4'!$U12,Dash_PStart),'KG1-4'!$AD$5:$IM$5,"&lt;="&amp;Dash_PEnd)+COUNTIFS('KG1-4'!$AD12:$IM12,"غياب بعذر",'KG1-4'!$AD$7:$IM$7,"✓",'KG1-4'!$AD$6:$IM$6,1,'KG1-4'!$AD$5:$IM$5,"&gt;="&amp;MAX('KG1-4'!$U12,Dash_PStart),'KG1-4'!$AD$5:$IM$5,"&lt;="&amp;Dash_PEnd)+COUNTIFS('KG1-4'!$AD12:$IM12,"متأخر",'KG1-4'!$AD$7:$IM$7,"✓",'KG1-4'!$AD$6:$IM$6,1,'KG1-4'!$AD$5:$IM$5,"&gt;="&amp;MAX('KG1-4'!$U12,Dash_PStart),'KG1-4'!$AD$5:$IM$5,"&lt;="&amp;Dash_PEnd))</f>
        <v/>
      </c>
      <c r="AJ98" s="40">
        <f>IF(AF98=0,0,IF(W98=Dash_Date,Thr_Critical,IF(V98=Dash_Date,Thr_High,IF(U98=Dash_Date,Thr_Repeated,IF(T98=Dash_Date,Thr_FollowUp,0)))))</f>
        <v/>
      </c>
      <c r="AK98" s="40">
        <f>IF(AJ98&gt;0,COUNTIF($AJ$5:AJ98,"&gt;0"),"")</f>
        <v/>
      </c>
      <c r="AL98" s="40">
        <f>IF(AND(B98&lt;&gt;"",F98="نشط",Q98&lt;&gt;"",Q98&gt;0),L98*1000+(999-ROW()),"")</f>
        <v/>
      </c>
      <c r="AM98" s="40">
        <f>IF(AND(AF98=1,J98&lt;&gt;"",J98&gt;0),ROUND(O98*10000,0)*1000000+K98*1000+(999-ROW()),"")</f>
        <v/>
      </c>
      <c r="AN98" s="40">
        <f>IF(AND(AF98=1,J98&lt;&gt;"",J98&gt;0),(L98+M98)*10000000+ROUND((1-O98)*10000,0)*1000+(999-ROW()),"")</f>
        <v/>
      </c>
      <c r="AO98" s="40">
        <f>IF(AND(AF98=1,Q98&lt;&gt;"",Q98&gt;=Thr_Critical),L98*1000+(999-ROW()),"")</f>
        <v/>
      </c>
      <c r="AP98" s="40">
        <f>IF(AND(B98&lt;&gt;"",F98="نشط",OR(Rpt_Class="الكل",D98=Rpt_Class)),1,0)</f>
        <v/>
      </c>
      <c r="AQ98" s="40">
        <f>IF(AND(AP98=1,Q98&lt;&gt;"",Q98&gt;0),L98*1000+(999-ROW()),"")</f>
        <v/>
      </c>
      <c r="AR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IF(LateAsPresent="نعم",COUNTIFS('KG1-4'!$AD12:$IM12,"متأخر",'KG1-4'!$AD$7:$IM$7,"✓",'KG1-4'!$AD$6:$IM$6,1,'KG1-4'!$AD$5:$IM$5,"&gt;="&amp;MAX('KG1-4'!$U12,Rpt_PStart),'KG1-4'!$AD$5:$IM$5,"&lt;="&amp;Rpt_PEnd),0))</f>
        <v/>
      </c>
      <c r="AS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COUNTIFS('KG1-4'!$AD12:$IM12,"غياب بدون عذر",'KG1-4'!$AD$7:$IM$7,"✓",'KG1-4'!$AD$6:$IM$6,1,'KG1-4'!$AD$5:$IM$5,"&gt;="&amp;MAX('KG1-4'!$U12,Rpt_PStart),'KG1-4'!$AD$5:$IM$5,"&lt;="&amp;Rpt_PEnd)+COUNTIFS('KG1-4'!$AD12:$IM12,"غياب بعذر",'KG1-4'!$AD$7:$IM$7,"✓",'KG1-4'!$AD$6:$IM$6,1,'KG1-4'!$AD$5:$IM$5,"&gt;="&amp;MAX('KG1-4'!$U12,Rpt_PStart),'KG1-4'!$AD$5:$IM$5,"&lt;="&amp;Rpt_PEnd)+COUNTIFS('KG1-4'!$AD12:$IM12,"متأخر",'KG1-4'!$AD$7:$IM$7,"✓",'KG1-4'!$AD$6:$IM$6,1,'KG1-4'!$AD$5:$IM$5,"&gt;="&amp;MAX('KG1-4'!$U12,Rpt_PStart),'KG1-4'!$AD$5:$IM$5,"&lt;="&amp;Rpt_PEnd))</f>
        <v/>
      </c>
      <c r="AT98" s="40">
        <f>IF(AP98=0,"",COUNTIFS('KG1-4'!$AD12:$IM12,"غياب بدون عذر",'KG1-4'!$AD$7:$IM$7,"✓",'KG1-4'!$AD$6:$IM$6,1,'KG1-4'!$AD$5:$IM$5,"&gt;="&amp;MAX('KG1-4'!$U12,Rpt_PStart),'KG1-4'!$AD$5:$IM$5,"&lt;="&amp;Rpt_PEnd)+COUNTIFS('KG1-4'!$AD12:$IM12,"غياب بعذر",'KG1-4'!$AD$7:$IM$7,"✓",'KG1-4'!$AD$6:$IM$6,1,'KG1-4'!$AD$5:$IM$5,"&gt;="&amp;MAX('KG1-4'!$U12,Rpt_PStart),'KG1-4'!$AD$5:$IM$5,"&lt;="&amp;Rpt_PEnd))</f>
        <v/>
      </c>
      <c r="AU98" s="40" t="n">
        <v>4</v>
      </c>
      <c r="AV98" s="40" t="n">
        <v>4</v>
      </c>
      <c r="AW98" s="40">
        <f>IF(OR(AP98=0,Rpt_DayIdx=0),"",IF(INDEX('KG1-4'!$AD$7:$IM$7,Rpt_DayIdx)&lt;&gt;"✓","",IF(INDEX('KG1-4'!$AD12:$IM12,Rpt_DayIdx)="","P",IFERROR(INDEX(StatusCodes,MATCH(INDEX('KG1-4'!$AD12:$IM12,Rpt_DayIdx),StatusLabels,0)),""))))</f>
        <v/>
      </c>
      <c r="AX98" s="40">
        <f>IF(AND(AP98=1,OR(AW98="A",AW98="E")),COUNTIFS($AP$5:AP98,1,$AW$5:AW98,"A")+COUNTIFS($AP$5:AP98,1,$AW$5:AW98,"E"),"")</f>
        <v/>
      </c>
    </row>
    <row r="99">
      <c r="A99" s="148">
        <f>IF(B99="","",ROW()-4)</f>
        <v/>
      </c>
      <c r="B99" s="148">
        <f>IF('KG1-4'!$B13="","",'KG1-4'!$B13)</f>
        <v/>
      </c>
      <c r="C99" s="146">
        <f>IF('KG1-4'!$C13="","",'KG1-4'!$C13)</f>
        <v/>
      </c>
      <c r="D99" s="148">
        <f>IF(B99="","",'KG1-4'!$B$2)</f>
        <v/>
      </c>
      <c r="E99" s="148">
        <f>IF(B99="","",MID(D99,FIND("-",D99&amp;"-")+1,10))</f>
        <v/>
      </c>
      <c r="F99" s="148">
        <f>IF(B99="","","نشط")</f>
        <v/>
      </c>
      <c r="G99" s="157">
        <f>IF(B99="","","")</f>
        <v/>
      </c>
      <c r="H99" s="146">
        <f>IF('KG1-4'!$K13="","",'KG1-4'!$K13)</f>
        <v/>
      </c>
      <c r="I99" s="148">
        <f>IF('KG1-4'!$J13="","",'KG1-4'!$J13)</f>
        <v/>
      </c>
      <c r="J99" s="148">
        <f>IF('KG1-4'!$M13="","",'KG1-4'!$M13)</f>
        <v/>
      </c>
      <c r="K99" s="148">
        <f>IF('KG1-4'!$N13="","",'KG1-4'!$N13)</f>
        <v/>
      </c>
      <c r="L99" s="148">
        <f>IF('KG1-4'!$D13="","",'KG1-4'!$D13)</f>
        <v/>
      </c>
      <c r="M99" s="148">
        <f>IF('KG1-4'!$E13="","",'KG1-4'!$E13)</f>
        <v/>
      </c>
      <c r="N99" s="148">
        <f>IF('KG1-4'!$F13="","",'KG1-4'!$F13)</f>
        <v/>
      </c>
      <c r="O99" s="158">
        <f>IF('KG1-4'!$G13="","",'KG1-4'!$G13)</f>
        <v/>
      </c>
      <c r="P99" s="158">
        <f>IF('KG1-4'!$O13="","",'KG1-4'!$O13)</f>
        <v/>
      </c>
      <c r="Q99" s="148">
        <f>IF('KG1-4'!$T13="","",'KG1-4'!$T13)</f>
        <v/>
      </c>
      <c r="R99" s="146">
        <f>IF('KG1-4'!$H13="","",'KG1-4'!$H13)</f>
        <v/>
      </c>
      <c r="S99" s="157">
        <f>IF('KG1-4'!$P13="","",'KG1-4'!$P13)</f>
        <v/>
      </c>
      <c r="T99" s="157">
        <f>IF('KG1-4'!$V13="","",'KG1-4'!$V13)</f>
        <v/>
      </c>
      <c r="U99" s="157">
        <f>IF('KG1-4'!$W13="","",'KG1-4'!$W13)</f>
        <v/>
      </c>
      <c r="V99" s="157">
        <f>IF('KG1-4'!$X13="","",'KG1-4'!$X13)</f>
        <v/>
      </c>
      <c r="W99" s="157">
        <f>IF('KG1-4'!$Y13="","",'KG1-4'!$Y13)</f>
        <v/>
      </c>
      <c r="X99" s="157">
        <f>IF('KG1-4'!$R13="","",'KG1-4'!$R13)</f>
        <v/>
      </c>
      <c r="Y99" s="148">
        <f>IF('KG1-4'!$S13="","",'KG1-4'!$S13)</f>
        <v/>
      </c>
      <c r="Z99" s="148">
        <f>IF('KG1-4'!$Q13="","",'KG1-4'!$Q13)</f>
        <v/>
      </c>
      <c r="AA99" s="148">
        <f>IF('KG1-4'!$I13="","",'KG1-4'!$I13)</f>
        <v/>
      </c>
      <c r="AB99" s="146">
        <f>IF(Q99="","",INDEX(LevelActions,MATCH(Q99,LevelValues,0)))</f>
        <v/>
      </c>
      <c r="AC99" s="148">
        <f>IF(J99="","",IF(J99=0,"—",IF(AND(L99=0,M99=0),Cat_L1,IF(O99&gt;=Cat_95,Cat_L2,IF(O99&gt;=Cat_90,Cat_L3,Cat_L4)))))</f>
        <v/>
      </c>
      <c r="AD99" s="146">
        <f>IF('KG1-4'!$L13="","",'KG1-4'!$L13)</f>
        <v/>
      </c>
      <c r="AE99" s="148">
        <f>IF(B99="","",IF(COUNTIF($B$5:$B$214,B99)&gt;1,"مكرر!",""))</f>
        <v/>
      </c>
      <c r="AF99" s="148">
        <f>IF(AND(B99&lt;&gt;"",F99="نشط",OR(Dash_Class="الكل",D99=Dash_Class)),1,0)</f>
        <v/>
      </c>
      <c r="AG99" s="40">
        <f>IF(OR(AF99=0,Dash_DayIdx=0),"",IF(INDEX('KG1-4'!$AD$7:$IM$7,Dash_DayIdx)&lt;&gt;"✓","",IF(INDEX('KG1-4'!$AD13:$IM13,Dash_DayIdx)="","P",IFERROR(INDEX(StatusCodes,MATCH(INDEX('KG1-4'!$AD13:$IM13,Dash_DayIdx),StatusLabels,0)),""))))</f>
        <v/>
      </c>
      <c r="AH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IF(LateAsPresent="نعم",COUNTIFS('KG1-4'!$AD13:$IM13,"متأخر",'KG1-4'!$AD$7:$IM$7,"✓",'KG1-4'!$AD$6:$IM$6,1,'KG1-4'!$AD$5:$IM$5,"&gt;="&amp;MAX('KG1-4'!$U13,Dash_PStart),'KG1-4'!$AD$5:$IM$5,"&lt;="&amp;Dash_PEnd),0))</f>
        <v/>
      </c>
      <c r="AI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COUNTIFS('KG1-4'!$AD13:$IM13,"غياب بدون عذر",'KG1-4'!$AD$7:$IM$7,"✓",'KG1-4'!$AD$6:$IM$6,1,'KG1-4'!$AD$5:$IM$5,"&gt;="&amp;MAX('KG1-4'!$U13,Dash_PStart),'KG1-4'!$AD$5:$IM$5,"&lt;="&amp;Dash_PEnd)+COUNTIFS('KG1-4'!$AD13:$IM13,"غياب بعذر",'KG1-4'!$AD$7:$IM$7,"✓",'KG1-4'!$AD$6:$IM$6,1,'KG1-4'!$AD$5:$IM$5,"&gt;="&amp;MAX('KG1-4'!$U13,Dash_PStart),'KG1-4'!$AD$5:$IM$5,"&lt;="&amp;Dash_PEnd)+COUNTIFS('KG1-4'!$AD13:$IM13,"متأخر",'KG1-4'!$AD$7:$IM$7,"✓",'KG1-4'!$AD$6:$IM$6,1,'KG1-4'!$AD$5:$IM$5,"&gt;="&amp;MAX('KG1-4'!$U13,Dash_PStart),'KG1-4'!$AD$5:$IM$5,"&lt;="&amp;Dash_PEnd))</f>
        <v/>
      </c>
      <c r="AJ99" s="40">
        <f>IF(AF99=0,0,IF(W99=Dash_Date,Thr_Critical,IF(V99=Dash_Date,Thr_High,IF(U99=Dash_Date,Thr_Repeated,IF(T99=Dash_Date,Thr_FollowUp,0)))))</f>
        <v/>
      </c>
      <c r="AK99" s="40">
        <f>IF(AJ99&gt;0,COUNTIF($AJ$5:AJ99,"&gt;0"),"")</f>
        <v/>
      </c>
      <c r="AL99" s="40">
        <f>IF(AND(B99&lt;&gt;"",F99="نشط",Q99&lt;&gt;"",Q99&gt;0),L99*1000+(999-ROW()),"")</f>
        <v/>
      </c>
      <c r="AM99" s="40">
        <f>IF(AND(AF99=1,J99&lt;&gt;"",J99&gt;0),ROUND(O99*10000,0)*1000000+K99*1000+(999-ROW()),"")</f>
        <v/>
      </c>
      <c r="AN99" s="40">
        <f>IF(AND(AF99=1,J99&lt;&gt;"",J99&gt;0),(L99+M99)*10000000+ROUND((1-O99)*10000,0)*1000+(999-ROW()),"")</f>
        <v/>
      </c>
      <c r="AO99" s="40">
        <f>IF(AND(AF99=1,Q99&lt;&gt;"",Q99&gt;=Thr_Critical),L99*1000+(999-ROW()),"")</f>
        <v/>
      </c>
      <c r="AP99" s="40">
        <f>IF(AND(B99&lt;&gt;"",F99="نشط",OR(Rpt_Class="الكل",D99=Rpt_Class)),1,0)</f>
        <v/>
      </c>
      <c r="AQ99" s="40">
        <f>IF(AND(AP99=1,Q99&lt;&gt;"",Q99&gt;0),L99*1000+(999-ROW()),"")</f>
        <v/>
      </c>
      <c r="AR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IF(LateAsPresent="نعم",COUNTIFS('KG1-4'!$AD13:$IM13,"متأخر",'KG1-4'!$AD$7:$IM$7,"✓",'KG1-4'!$AD$6:$IM$6,1,'KG1-4'!$AD$5:$IM$5,"&gt;="&amp;MAX('KG1-4'!$U13,Rpt_PStart),'KG1-4'!$AD$5:$IM$5,"&lt;="&amp;Rpt_PEnd),0))</f>
        <v/>
      </c>
      <c r="AS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COUNTIFS('KG1-4'!$AD13:$IM13,"غياب بدون عذر",'KG1-4'!$AD$7:$IM$7,"✓",'KG1-4'!$AD$6:$IM$6,1,'KG1-4'!$AD$5:$IM$5,"&gt;="&amp;MAX('KG1-4'!$U13,Rpt_PStart),'KG1-4'!$AD$5:$IM$5,"&lt;="&amp;Rpt_PEnd)+COUNTIFS('KG1-4'!$AD13:$IM13,"غياب بعذر",'KG1-4'!$AD$7:$IM$7,"✓",'KG1-4'!$AD$6:$IM$6,1,'KG1-4'!$AD$5:$IM$5,"&gt;="&amp;MAX('KG1-4'!$U13,Rpt_PStart),'KG1-4'!$AD$5:$IM$5,"&lt;="&amp;Rpt_PEnd)+COUNTIFS('KG1-4'!$AD13:$IM13,"متأخر",'KG1-4'!$AD$7:$IM$7,"✓",'KG1-4'!$AD$6:$IM$6,1,'KG1-4'!$AD$5:$IM$5,"&gt;="&amp;MAX('KG1-4'!$U13,Rpt_PStart),'KG1-4'!$AD$5:$IM$5,"&lt;="&amp;Rpt_PEnd))</f>
        <v/>
      </c>
      <c r="AT99" s="40">
        <f>IF(AP99=0,"",COUNTIFS('KG1-4'!$AD13:$IM13,"غياب بدون عذر",'KG1-4'!$AD$7:$IM$7,"✓",'KG1-4'!$AD$6:$IM$6,1,'KG1-4'!$AD$5:$IM$5,"&gt;="&amp;MAX('KG1-4'!$U13,Rpt_PStart),'KG1-4'!$AD$5:$IM$5,"&lt;="&amp;Rpt_PEnd)+COUNTIFS('KG1-4'!$AD13:$IM13,"غياب بعذر",'KG1-4'!$AD$7:$IM$7,"✓",'KG1-4'!$AD$6:$IM$6,1,'KG1-4'!$AD$5:$IM$5,"&gt;="&amp;MAX('KG1-4'!$U13,Rpt_PStart),'KG1-4'!$AD$5:$IM$5,"&lt;="&amp;Rpt_PEnd))</f>
        <v/>
      </c>
      <c r="AU99" s="40" t="n">
        <v>4</v>
      </c>
      <c r="AV99" s="40" t="n">
        <v>5</v>
      </c>
      <c r="AW99" s="40">
        <f>IF(OR(AP99=0,Rpt_DayIdx=0),"",IF(INDEX('KG1-4'!$AD$7:$IM$7,Rpt_DayIdx)&lt;&gt;"✓","",IF(INDEX('KG1-4'!$AD13:$IM13,Rpt_DayIdx)="","P",IFERROR(INDEX(StatusCodes,MATCH(INDEX('KG1-4'!$AD13:$IM13,Rpt_DayIdx),StatusLabels,0)),""))))</f>
        <v/>
      </c>
      <c r="AX99" s="40">
        <f>IF(AND(AP99=1,OR(AW99="A",AW99="E")),COUNTIFS($AP$5:AP99,1,$AW$5:AW99,"A")+COUNTIFS($AP$5:AP99,1,$AW$5:AW99,"E"),"")</f>
        <v/>
      </c>
    </row>
    <row r="100">
      <c r="A100" s="148">
        <f>IF(B100="","",ROW()-4)</f>
        <v/>
      </c>
      <c r="B100" s="148">
        <f>IF('KG1-4'!$B14="","",'KG1-4'!$B14)</f>
        <v/>
      </c>
      <c r="C100" s="146">
        <f>IF('KG1-4'!$C14="","",'KG1-4'!$C14)</f>
        <v/>
      </c>
      <c r="D100" s="148">
        <f>IF(B100="","",'KG1-4'!$B$2)</f>
        <v/>
      </c>
      <c r="E100" s="148">
        <f>IF(B100="","",MID(D100,FIND("-",D100&amp;"-")+1,10))</f>
        <v/>
      </c>
      <c r="F100" s="148">
        <f>IF(B100="","","نشط")</f>
        <v/>
      </c>
      <c r="G100" s="157">
        <f>IF(B100="","","")</f>
        <v/>
      </c>
      <c r="H100" s="146">
        <f>IF('KG1-4'!$K14="","",'KG1-4'!$K14)</f>
        <v/>
      </c>
      <c r="I100" s="148">
        <f>IF('KG1-4'!$J14="","",'KG1-4'!$J14)</f>
        <v/>
      </c>
      <c r="J100" s="148">
        <f>IF('KG1-4'!$M14="","",'KG1-4'!$M14)</f>
        <v/>
      </c>
      <c r="K100" s="148">
        <f>IF('KG1-4'!$N14="","",'KG1-4'!$N14)</f>
        <v/>
      </c>
      <c r="L100" s="148">
        <f>IF('KG1-4'!$D14="","",'KG1-4'!$D14)</f>
        <v/>
      </c>
      <c r="M100" s="148">
        <f>IF('KG1-4'!$E14="","",'KG1-4'!$E14)</f>
        <v/>
      </c>
      <c r="N100" s="148">
        <f>IF('KG1-4'!$F14="","",'KG1-4'!$F14)</f>
        <v/>
      </c>
      <c r="O100" s="158">
        <f>IF('KG1-4'!$G14="","",'KG1-4'!$G14)</f>
        <v/>
      </c>
      <c r="P100" s="158">
        <f>IF('KG1-4'!$O14="","",'KG1-4'!$O14)</f>
        <v/>
      </c>
      <c r="Q100" s="148">
        <f>IF('KG1-4'!$T14="","",'KG1-4'!$T14)</f>
        <v/>
      </c>
      <c r="R100" s="146">
        <f>IF('KG1-4'!$H14="","",'KG1-4'!$H14)</f>
        <v/>
      </c>
      <c r="S100" s="157">
        <f>IF('KG1-4'!$P14="","",'KG1-4'!$P14)</f>
        <v/>
      </c>
      <c r="T100" s="157">
        <f>IF('KG1-4'!$V14="","",'KG1-4'!$V14)</f>
        <v/>
      </c>
      <c r="U100" s="157">
        <f>IF('KG1-4'!$W14="","",'KG1-4'!$W14)</f>
        <v/>
      </c>
      <c r="V100" s="157">
        <f>IF('KG1-4'!$X14="","",'KG1-4'!$X14)</f>
        <v/>
      </c>
      <c r="W100" s="157">
        <f>IF('KG1-4'!$Y14="","",'KG1-4'!$Y14)</f>
        <v/>
      </c>
      <c r="X100" s="157">
        <f>IF('KG1-4'!$R14="","",'KG1-4'!$R14)</f>
        <v/>
      </c>
      <c r="Y100" s="148">
        <f>IF('KG1-4'!$S14="","",'KG1-4'!$S14)</f>
        <v/>
      </c>
      <c r="Z100" s="148">
        <f>IF('KG1-4'!$Q14="","",'KG1-4'!$Q14)</f>
        <v/>
      </c>
      <c r="AA100" s="148">
        <f>IF('KG1-4'!$I14="","",'KG1-4'!$I14)</f>
        <v/>
      </c>
      <c r="AB100" s="146">
        <f>IF(Q100="","",INDEX(LevelActions,MATCH(Q100,LevelValues,0)))</f>
        <v/>
      </c>
      <c r="AC100" s="148">
        <f>IF(J100="","",IF(J100=0,"—",IF(AND(L100=0,M100=0),Cat_L1,IF(O100&gt;=Cat_95,Cat_L2,IF(O100&gt;=Cat_90,Cat_L3,Cat_L4)))))</f>
        <v/>
      </c>
      <c r="AD100" s="146">
        <f>IF('KG1-4'!$L14="","",'KG1-4'!$L14)</f>
        <v/>
      </c>
      <c r="AE100" s="148">
        <f>IF(B100="","",IF(COUNTIF($B$5:$B$214,B100)&gt;1,"مكرر!",""))</f>
        <v/>
      </c>
      <c r="AF100" s="148">
        <f>IF(AND(B100&lt;&gt;"",F100="نشط",OR(Dash_Class="الكل",D100=Dash_Class)),1,0)</f>
        <v/>
      </c>
      <c r="AG100" s="40">
        <f>IF(OR(AF100=0,Dash_DayIdx=0),"",IF(INDEX('KG1-4'!$AD$7:$IM$7,Dash_DayIdx)&lt;&gt;"✓","",IF(INDEX('KG1-4'!$AD14:$IM14,Dash_DayIdx)="","P",IFERROR(INDEX(StatusCodes,MATCH(INDEX('KG1-4'!$AD14:$IM14,Dash_DayIdx),StatusLabels,0)),""))))</f>
        <v/>
      </c>
      <c r="AH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IF(LateAsPresent="نعم",COUNTIFS('KG1-4'!$AD14:$IM14,"متأخر",'KG1-4'!$AD$7:$IM$7,"✓",'KG1-4'!$AD$6:$IM$6,1,'KG1-4'!$AD$5:$IM$5,"&gt;="&amp;MAX('KG1-4'!$U14,Dash_PStart),'KG1-4'!$AD$5:$IM$5,"&lt;="&amp;Dash_PEnd),0))</f>
        <v/>
      </c>
      <c r="AI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COUNTIFS('KG1-4'!$AD14:$IM14,"غياب بدون عذر",'KG1-4'!$AD$7:$IM$7,"✓",'KG1-4'!$AD$6:$IM$6,1,'KG1-4'!$AD$5:$IM$5,"&gt;="&amp;MAX('KG1-4'!$U14,Dash_PStart),'KG1-4'!$AD$5:$IM$5,"&lt;="&amp;Dash_PEnd)+COUNTIFS('KG1-4'!$AD14:$IM14,"غياب بعذر",'KG1-4'!$AD$7:$IM$7,"✓",'KG1-4'!$AD$6:$IM$6,1,'KG1-4'!$AD$5:$IM$5,"&gt;="&amp;MAX('KG1-4'!$U14,Dash_PStart),'KG1-4'!$AD$5:$IM$5,"&lt;="&amp;Dash_PEnd)+COUNTIFS('KG1-4'!$AD14:$IM14,"متأخر",'KG1-4'!$AD$7:$IM$7,"✓",'KG1-4'!$AD$6:$IM$6,1,'KG1-4'!$AD$5:$IM$5,"&gt;="&amp;MAX('KG1-4'!$U14,Dash_PStart),'KG1-4'!$AD$5:$IM$5,"&lt;="&amp;Dash_PEnd))</f>
        <v/>
      </c>
      <c r="AJ100" s="40">
        <f>IF(AF100=0,0,IF(W100=Dash_Date,Thr_Critical,IF(V100=Dash_Date,Thr_High,IF(U100=Dash_Date,Thr_Repeated,IF(T100=Dash_Date,Thr_FollowUp,0)))))</f>
        <v/>
      </c>
      <c r="AK100" s="40">
        <f>IF(AJ100&gt;0,COUNTIF($AJ$5:AJ100,"&gt;0"),"")</f>
        <v/>
      </c>
      <c r="AL100" s="40">
        <f>IF(AND(B100&lt;&gt;"",F100="نشط",Q100&lt;&gt;"",Q100&gt;0),L100*1000+(999-ROW()),"")</f>
        <v/>
      </c>
      <c r="AM100" s="40">
        <f>IF(AND(AF100=1,J100&lt;&gt;"",J100&gt;0),ROUND(O100*10000,0)*1000000+K100*1000+(999-ROW()),"")</f>
        <v/>
      </c>
      <c r="AN100" s="40">
        <f>IF(AND(AF100=1,J100&lt;&gt;"",J100&gt;0),(L100+M100)*10000000+ROUND((1-O100)*10000,0)*1000+(999-ROW()),"")</f>
        <v/>
      </c>
      <c r="AO100" s="40">
        <f>IF(AND(AF100=1,Q100&lt;&gt;"",Q100&gt;=Thr_Critical),L100*1000+(999-ROW()),"")</f>
        <v/>
      </c>
      <c r="AP100" s="40">
        <f>IF(AND(B100&lt;&gt;"",F100="نشط",OR(Rpt_Class="الكل",D100=Rpt_Class)),1,0)</f>
        <v/>
      </c>
      <c r="AQ100" s="40">
        <f>IF(AND(AP100=1,Q100&lt;&gt;"",Q100&gt;0),L100*1000+(999-ROW()),"")</f>
        <v/>
      </c>
      <c r="AR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IF(LateAsPresent="نعم",COUNTIFS('KG1-4'!$AD14:$IM14,"متأخر",'KG1-4'!$AD$7:$IM$7,"✓",'KG1-4'!$AD$6:$IM$6,1,'KG1-4'!$AD$5:$IM$5,"&gt;="&amp;MAX('KG1-4'!$U14,Rpt_PStart),'KG1-4'!$AD$5:$IM$5,"&lt;="&amp;Rpt_PEnd),0))</f>
        <v/>
      </c>
      <c r="AS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COUNTIFS('KG1-4'!$AD14:$IM14,"غياب بدون عذر",'KG1-4'!$AD$7:$IM$7,"✓",'KG1-4'!$AD$6:$IM$6,1,'KG1-4'!$AD$5:$IM$5,"&gt;="&amp;MAX('KG1-4'!$U14,Rpt_PStart),'KG1-4'!$AD$5:$IM$5,"&lt;="&amp;Rpt_PEnd)+COUNTIFS('KG1-4'!$AD14:$IM14,"غياب بعذر",'KG1-4'!$AD$7:$IM$7,"✓",'KG1-4'!$AD$6:$IM$6,1,'KG1-4'!$AD$5:$IM$5,"&gt;="&amp;MAX('KG1-4'!$U14,Rpt_PStart),'KG1-4'!$AD$5:$IM$5,"&lt;="&amp;Rpt_PEnd)+COUNTIFS('KG1-4'!$AD14:$IM14,"متأخر",'KG1-4'!$AD$7:$IM$7,"✓",'KG1-4'!$AD$6:$IM$6,1,'KG1-4'!$AD$5:$IM$5,"&gt;="&amp;MAX('KG1-4'!$U14,Rpt_PStart),'KG1-4'!$AD$5:$IM$5,"&lt;="&amp;Rpt_PEnd))</f>
        <v/>
      </c>
      <c r="AT100" s="40">
        <f>IF(AP100=0,"",COUNTIFS('KG1-4'!$AD14:$IM14,"غياب بدون عذر",'KG1-4'!$AD$7:$IM$7,"✓",'KG1-4'!$AD$6:$IM$6,1,'KG1-4'!$AD$5:$IM$5,"&gt;="&amp;MAX('KG1-4'!$U14,Rpt_PStart),'KG1-4'!$AD$5:$IM$5,"&lt;="&amp;Rpt_PEnd)+COUNTIFS('KG1-4'!$AD14:$IM14,"غياب بعذر",'KG1-4'!$AD$7:$IM$7,"✓",'KG1-4'!$AD$6:$IM$6,1,'KG1-4'!$AD$5:$IM$5,"&gt;="&amp;MAX('KG1-4'!$U14,Rpt_PStart),'KG1-4'!$AD$5:$IM$5,"&lt;="&amp;Rpt_PEnd))</f>
        <v/>
      </c>
      <c r="AU100" s="40" t="n">
        <v>4</v>
      </c>
      <c r="AV100" s="40" t="n">
        <v>6</v>
      </c>
      <c r="AW100" s="40">
        <f>IF(OR(AP100=0,Rpt_DayIdx=0),"",IF(INDEX('KG1-4'!$AD$7:$IM$7,Rpt_DayIdx)&lt;&gt;"✓","",IF(INDEX('KG1-4'!$AD14:$IM14,Rpt_DayIdx)="","P",IFERROR(INDEX(StatusCodes,MATCH(INDEX('KG1-4'!$AD14:$IM14,Rpt_DayIdx),StatusLabels,0)),""))))</f>
        <v/>
      </c>
      <c r="AX100" s="40">
        <f>IF(AND(AP100=1,OR(AW100="A",AW100="E")),COUNTIFS($AP$5:AP100,1,$AW$5:AW100,"A")+COUNTIFS($AP$5:AP100,1,$AW$5:AW100,"E"),"")</f>
        <v/>
      </c>
    </row>
    <row r="101">
      <c r="A101" s="148">
        <f>IF(B101="","",ROW()-4)</f>
        <v/>
      </c>
      <c r="B101" s="148">
        <f>IF('KG1-4'!$B15="","",'KG1-4'!$B15)</f>
        <v/>
      </c>
      <c r="C101" s="146">
        <f>IF('KG1-4'!$C15="","",'KG1-4'!$C15)</f>
        <v/>
      </c>
      <c r="D101" s="148">
        <f>IF(B101="","",'KG1-4'!$B$2)</f>
        <v/>
      </c>
      <c r="E101" s="148">
        <f>IF(B101="","",MID(D101,FIND("-",D101&amp;"-")+1,10))</f>
        <v/>
      </c>
      <c r="F101" s="148">
        <f>IF(B101="","","نشط")</f>
        <v/>
      </c>
      <c r="G101" s="157">
        <f>IF(B101="","","")</f>
        <v/>
      </c>
      <c r="H101" s="146">
        <f>IF('KG1-4'!$K15="","",'KG1-4'!$K15)</f>
        <v/>
      </c>
      <c r="I101" s="148">
        <f>IF('KG1-4'!$J15="","",'KG1-4'!$J15)</f>
        <v/>
      </c>
      <c r="J101" s="148">
        <f>IF('KG1-4'!$M15="","",'KG1-4'!$M15)</f>
        <v/>
      </c>
      <c r="K101" s="148">
        <f>IF('KG1-4'!$N15="","",'KG1-4'!$N15)</f>
        <v/>
      </c>
      <c r="L101" s="148">
        <f>IF('KG1-4'!$D15="","",'KG1-4'!$D15)</f>
        <v/>
      </c>
      <c r="M101" s="148">
        <f>IF('KG1-4'!$E15="","",'KG1-4'!$E15)</f>
        <v/>
      </c>
      <c r="N101" s="148">
        <f>IF('KG1-4'!$F15="","",'KG1-4'!$F15)</f>
        <v/>
      </c>
      <c r="O101" s="158">
        <f>IF('KG1-4'!$G15="","",'KG1-4'!$G15)</f>
        <v/>
      </c>
      <c r="P101" s="158">
        <f>IF('KG1-4'!$O15="","",'KG1-4'!$O15)</f>
        <v/>
      </c>
      <c r="Q101" s="148">
        <f>IF('KG1-4'!$T15="","",'KG1-4'!$T15)</f>
        <v/>
      </c>
      <c r="R101" s="146">
        <f>IF('KG1-4'!$H15="","",'KG1-4'!$H15)</f>
        <v/>
      </c>
      <c r="S101" s="157">
        <f>IF('KG1-4'!$P15="","",'KG1-4'!$P15)</f>
        <v/>
      </c>
      <c r="T101" s="157">
        <f>IF('KG1-4'!$V15="","",'KG1-4'!$V15)</f>
        <v/>
      </c>
      <c r="U101" s="157">
        <f>IF('KG1-4'!$W15="","",'KG1-4'!$W15)</f>
        <v/>
      </c>
      <c r="V101" s="157">
        <f>IF('KG1-4'!$X15="","",'KG1-4'!$X15)</f>
        <v/>
      </c>
      <c r="W101" s="157">
        <f>IF('KG1-4'!$Y15="","",'KG1-4'!$Y15)</f>
        <v/>
      </c>
      <c r="X101" s="157">
        <f>IF('KG1-4'!$R15="","",'KG1-4'!$R15)</f>
        <v/>
      </c>
      <c r="Y101" s="148">
        <f>IF('KG1-4'!$S15="","",'KG1-4'!$S15)</f>
        <v/>
      </c>
      <c r="Z101" s="148">
        <f>IF('KG1-4'!$Q15="","",'KG1-4'!$Q15)</f>
        <v/>
      </c>
      <c r="AA101" s="148">
        <f>IF('KG1-4'!$I15="","",'KG1-4'!$I15)</f>
        <v/>
      </c>
      <c r="AB101" s="146">
        <f>IF(Q101="","",INDEX(LevelActions,MATCH(Q101,LevelValues,0)))</f>
        <v/>
      </c>
      <c r="AC101" s="148">
        <f>IF(J101="","",IF(J101=0,"—",IF(AND(L101=0,M101=0),Cat_L1,IF(O101&gt;=Cat_95,Cat_L2,IF(O101&gt;=Cat_90,Cat_L3,Cat_L4)))))</f>
        <v/>
      </c>
      <c r="AD101" s="146">
        <f>IF('KG1-4'!$L15="","",'KG1-4'!$L15)</f>
        <v/>
      </c>
      <c r="AE101" s="148">
        <f>IF(B101="","",IF(COUNTIF($B$5:$B$214,B101)&gt;1,"مكرر!",""))</f>
        <v/>
      </c>
      <c r="AF101" s="148">
        <f>IF(AND(B101&lt;&gt;"",F101="نشط",OR(Dash_Class="الكل",D101=Dash_Class)),1,0)</f>
        <v/>
      </c>
      <c r="AG101" s="40">
        <f>IF(OR(AF101=0,Dash_DayIdx=0),"",IF(INDEX('KG1-4'!$AD$7:$IM$7,Dash_DayIdx)&lt;&gt;"✓","",IF(INDEX('KG1-4'!$AD15:$IM15,Dash_DayIdx)="","P",IFERROR(INDEX(StatusCodes,MATCH(INDEX('KG1-4'!$AD15:$IM15,Dash_DayIdx),StatusLabels,0)),""))))</f>
        <v/>
      </c>
      <c r="AH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IF(LateAsPresent="نعم",COUNTIFS('KG1-4'!$AD15:$IM15,"متأخر",'KG1-4'!$AD$7:$IM$7,"✓",'KG1-4'!$AD$6:$IM$6,1,'KG1-4'!$AD$5:$IM$5,"&gt;="&amp;MAX('KG1-4'!$U15,Dash_PStart),'KG1-4'!$AD$5:$IM$5,"&lt;="&amp;Dash_PEnd),0))</f>
        <v/>
      </c>
      <c r="AI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COUNTIFS('KG1-4'!$AD15:$IM15,"غياب بدون عذر",'KG1-4'!$AD$7:$IM$7,"✓",'KG1-4'!$AD$6:$IM$6,1,'KG1-4'!$AD$5:$IM$5,"&gt;="&amp;MAX('KG1-4'!$U15,Dash_PStart),'KG1-4'!$AD$5:$IM$5,"&lt;="&amp;Dash_PEnd)+COUNTIFS('KG1-4'!$AD15:$IM15,"غياب بعذر",'KG1-4'!$AD$7:$IM$7,"✓",'KG1-4'!$AD$6:$IM$6,1,'KG1-4'!$AD$5:$IM$5,"&gt;="&amp;MAX('KG1-4'!$U15,Dash_PStart),'KG1-4'!$AD$5:$IM$5,"&lt;="&amp;Dash_PEnd)+COUNTIFS('KG1-4'!$AD15:$IM15,"متأخر",'KG1-4'!$AD$7:$IM$7,"✓",'KG1-4'!$AD$6:$IM$6,1,'KG1-4'!$AD$5:$IM$5,"&gt;="&amp;MAX('KG1-4'!$U15,Dash_PStart),'KG1-4'!$AD$5:$IM$5,"&lt;="&amp;Dash_PEnd))</f>
        <v/>
      </c>
      <c r="AJ101" s="40">
        <f>IF(AF101=0,0,IF(W101=Dash_Date,Thr_Critical,IF(V101=Dash_Date,Thr_High,IF(U101=Dash_Date,Thr_Repeated,IF(T101=Dash_Date,Thr_FollowUp,0)))))</f>
        <v/>
      </c>
      <c r="AK101" s="40">
        <f>IF(AJ101&gt;0,COUNTIF($AJ$5:AJ101,"&gt;0"),"")</f>
        <v/>
      </c>
      <c r="AL101" s="40">
        <f>IF(AND(B101&lt;&gt;"",F101="نشط",Q101&lt;&gt;"",Q101&gt;0),L101*1000+(999-ROW()),"")</f>
        <v/>
      </c>
      <c r="AM101" s="40">
        <f>IF(AND(AF101=1,J101&lt;&gt;"",J101&gt;0),ROUND(O101*10000,0)*1000000+K101*1000+(999-ROW()),"")</f>
        <v/>
      </c>
      <c r="AN101" s="40">
        <f>IF(AND(AF101=1,J101&lt;&gt;"",J101&gt;0),(L101+M101)*10000000+ROUND((1-O101)*10000,0)*1000+(999-ROW()),"")</f>
        <v/>
      </c>
      <c r="AO101" s="40">
        <f>IF(AND(AF101=1,Q101&lt;&gt;"",Q101&gt;=Thr_Critical),L101*1000+(999-ROW()),"")</f>
        <v/>
      </c>
      <c r="AP101" s="40">
        <f>IF(AND(B101&lt;&gt;"",F101="نشط",OR(Rpt_Class="الكل",D101=Rpt_Class)),1,0)</f>
        <v/>
      </c>
      <c r="AQ101" s="40">
        <f>IF(AND(AP101=1,Q101&lt;&gt;"",Q101&gt;0),L101*1000+(999-ROW()),"")</f>
        <v/>
      </c>
      <c r="AR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IF(LateAsPresent="نعم",COUNTIFS('KG1-4'!$AD15:$IM15,"متأخر",'KG1-4'!$AD$7:$IM$7,"✓",'KG1-4'!$AD$6:$IM$6,1,'KG1-4'!$AD$5:$IM$5,"&gt;="&amp;MAX('KG1-4'!$U15,Rpt_PStart),'KG1-4'!$AD$5:$IM$5,"&lt;="&amp;Rpt_PEnd),0))</f>
        <v/>
      </c>
      <c r="AS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COUNTIFS('KG1-4'!$AD15:$IM15,"غياب بدون عذر",'KG1-4'!$AD$7:$IM$7,"✓",'KG1-4'!$AD$6:$IM$6,1,'KG1-4'!$AD$5:$IM$5,"&gt;="&amp;MAX('KG1-4'!$U15,Rpt_PStart),'KG1-4'!$AD$5:$IM$5,"&lt;="&amp;Rpt_PEnd)+COUNTIFS('KG1-4'!$AD15:$IM15,"غياب بعذر",'KG1-4'!$AD$7:$IM$7,"✓",'KG1-4'!$AD$6:$IM$6,1,'KG1-4'!$AD$5:$IM$5,"&gt;="&amp;MAX('KG1-4'!$U15,Rpt_PStart),'KG1-4'!$AD$5:$IM$5,"&lt;="&amp;Rpt_PEnd)+COUNTIFS('KG1-4'!$AD15:$IM15,"متأخر",'KG1-4'!$AD$7:$IM$7,"✓",'KG1-4'!$AD$6:$IM$6,1,'KG1-4'!$AD$5:$IM$5,"&gt;="&amp;MAX('KG1-4'!$U15,Rpt_PStart),'KG1-4'!$AD$5:$IM$5,"&lt;="&amp;Rpt_PEnd))</f>
        <v/>
      </c>
      <c r="AT101" s="40">
        <f>IF(AP101=0,"",COUNTIFS('KG1-4'!$AD15:$IM15,"غياب بدون عذر",'KG1-4'!$AD$7:$IM$7,"✓",'KG1-4'!$AD$6:$IM$6,1,'KG1-4'!$AD$5:$IM$5,"&gt;="&amp;MAX('KG1-4'!$U15,Rpt_PStart),'KG1-4'!$AD$5:$IM$5,"&lt;="&amp;Rpt_PEnd)+COUNTIFS('KG1-4'!$AD15:$IM15,"غياب بعذر",'KG1-4'!$AD$7:$IM$7,"✓",'KG1-4'!$AD$6:$IM$6,1,'KG1-4'!$AD$5:$IM$5,"&gt;="&amp;MAX('KG1-4'!$U15,Rpt_PStart),'KG1-4'!$AD$5:$IM$5,"&lt;="&amp;Rpt_PEnd))</f>
        <v/>
      </c>
      <c r="AU101" s="40" t="n">
        <v>4</v>
      </c>
      <c r="AV101" s="40" t="n">
        <v>7</v>
      </c>
      <c r="AW101" s="40">
        <f>IF(OR(AP101=0,Rpt_DayIdx=0),"",IF(INDEX('KG1-4'!$AD$7:$IM$7,Rpt_DayIdx)&lt;&gt;"✓","",IF(INDEX('KG1-4'!$AD15:$IM15,Rpt_DayIdx)="","P",IFERROR(INDEX(StatusCodes,MATCH(INDEX('KG1-4'!$AD15:$IM15,Rpt_DayIdx),StatusLabels,0)),""))))</f>
        <v/>
      </c>
      <c r="AX101" s="40">
        <f>IF(AND(AP101=1,OR(AW101="A",AW101="E")),COUNTIFS($AP$5:AP101,1,$AW$5:AW101,"A")+COUNTIFS($AP$5:AP101,1,$AW$5:AW101,"E"),"")</f>
        <v/>
      </c>
    </row>
    <row r="102">
      <c r="A102" s="148">
        <f>IF(B102="","",ROW()-4)</f>
        <v/>
      </c>
      <c r="B102" s="148">
        <f>IF('KG1-4'!$B16="","",'KG1-4'!$B16)</f>
        <v/>
      </c>
      <c r="C102" s="146">
        <f>IF('KG1-4'!$C16="","",'KG1-4'!$C16)</f>
        <v/>
      </c>
      <c r="D102" s="148">
        <f>IF(B102="","",'KG1-4'!$B$2)</f>
        <v/>
      </c>
      <c r="E102" s="148">
        <f>IF(B102="","",MID(D102,FIND("-",D102&amp;"-")+1,10))</f>
        <v/>
      </c>
      <c r="F102" s="148">
        <f>IF(B102="","","نشط")</f>
        <v/>
      </c>
      <c r="G102" s="157">
        <f>IF(B102="","","")</f>
        <v/>
      </c>
      <c r="H102" s="146">
        <f>IF('KG1-4'!$K16="","",'KG1-4'!$K16)</f>
        <v/>
      </c>
      <c r="I102" s="148">
        <f>IF('KG1-4'!$J16="","",'KG1-4'!$J16)</f>
        <v/>
      </c>
      <c r="J102" s="148">
        <f>IF('KG1-4'!$M16="","",'KG1-4'!$M16)</f>
        <v/>
      </c>
      <c r="K102" s="148">
        <f>IF('KG1-4'!$N16="","",'KG1-4'!$N16)</f>
        <v/>
      </c>
      <c r="L102" s="148">
        <f>IF('KG1-4'!$D16="","",'KG1-4'!$D16)</f>
        <v/>
      </c>
      <c r="M102" s="148">
        <f>IF('KG1-4'!$E16="","",'KG1-4'!$E16)</f>
        <v/>
      </c>
      <c r="N102" s="148">
        <f>IF('KG1-4'!$F16="","",'KG1-4'!$F16)</f>
        <v/>
      </c>
      <c r="O102" s="158">
        <f>IF('KG1-4'!$G16="","",'KG1-4'!$G16)</f>
        <v/>
      </c>
      <c r="P102" s="158">
        <f>IF('KG1-4'!$O16="","",'KG1-4'!$O16)</f>
        <v/>
      </c>
      <c r="Q102" s="148">
        <f>IF('KG1-4'!$T16="","",'KG1-4'!$T16)</f>
        <v/>
      </c>
      <c r="R102" s="146">
        <f>IF('KG1-4'!$H16="","",'KG1-4'!$H16)</f>
        <v/>
      </c>
      <c r="S102" s="157">
        <f>IF('KG1-4'!$P16="","",'KG1-4'!$P16)</f>
        <v/>
      </c>
      <c r="T102" s="157">
        <f>IF('KG1-4'!$V16="","",'KG1-4'!$V16)</f>
        <v/>
      </c>
      <c r="U102" s="157">
        <f>IF('KG1-4'!$W16="","",'KG1-4'!$W16)</f>
        <v/>
      </c>
      <c r="V102" s="157">
        <f>IF('KG1-4'!$X16="","",'KG1-4'!$X16)</f>
        <v/>
      </c>
      <c r="W102" s="157">
        <f>IF('KG1-4'!$Y16="","",'KG1-4'!$Y16)</f>
        <v/>
      </c>
      <c r="X102" s="157">
        <f>IF('KG1-4'!$R16="","",'KG1-4'!$R16)</f>
        <v/>
      </c>
      <c r="Y102" s="148">
        <f>IF('KG1-4'!$S16="","",'KG1-4'!$S16)</f>
        <v/>
      </c>
      <c r="Z102" s="148">
        <f>IF('KG1-4'!$Q16="","",'KG1-4'!$Q16)</f>
        <v/>
      </c>
      <c r="AA102" s="148">
        <f>IF('KG1-4'!$I16="","",'KG1-4'!$I16)</f>
        <v/>
      </c>
      <c r="AB102" s="146">
        <f>IF(Q102="","",INDEX(LevelActions,MATCH(Q102,LevelValues,0)))</f>
        <v/>
      </c>
      <c r="AC102" s="148">
        <f>IF(J102="","",IF(J102=0,"—",IF(AND(L102=0,M102=0),Cat_L1,IF(O102&gt;=Cat_95,Cat_L2,IF(O102&gt;=Cat_90,Cat_L3,Cat_L4)))))</f>
        <v/>
      </c>
      <c r="AD102" s="146">
        <f>IF('KG1-4'!$L16="","",'KG1-4'!$L16)</f>
        <v/>
      </c>
      <c r="AE102" s="148">
        <f>IF(B102="","",IF(COUNTIF($B$5:$B$214,B102)&gt;1,"مكرر!",""))</f>
        <v/>
      </c>
      <c r="AF102" s="148">
        <f>IF(AND(B102&lt;&gt;"",F102="نشط",OR(Dash_Class="الكل",D102=Dash_Class)),1,0)</f>
        <v/>
      </c>
      <c r="AG102" s="40">
        <f>IF(OR(AF102=0,Dash_DayIdx=0),"",IF(INDEX('KG1-4'!$AD$7:$IM$7,Dash_DayIdx)&lt;&gt;"✓","",IF(INDEX('KG1-4'!$AD16:$IM16,Dash_DayIdx)="","P",IFERROR(INDEX(StatusCodes,MATCH(INDEX('KG1-4'!$AD16:$IM16,Dash_DayIdx),StatusLabels,0)),""))))</f>
        <v/>
      </c>
      <c r="AH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IF(LateAsPresent="نعم",COUNTIFS('KG1-4'!$AD16:$IM16,"متأخر",'KG1-4'!$AD$7:$IM$7,"✓",'KG1-4'!$AD$6:$IM$6,1,'KG1-4'!$AD$5:$IM$5,"&gt;="&amp;MAX('KG1-4'!$U16,Dash_PStart),'KG1-4'!$AD$5:$IM$5,"&lt;="&amp;Dash_PEnd),0))</f>
        <v/>
      </c>
      <c r="AI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COUNTIFS('KG1-4'!$AD16:$IM16,"غياب بدون عذر",'KG1-4'!$AD$7:$IM$7,"✓",'KG1-4'!$AD$6:$IM$6,1,'KG1-4'!$AD$5:$IM$5,"&gt;="&amp;MAX('KG1-4'!$U16,Dash_PStart),'KG1-4'!$AD$5:$IM$5,"&lt;="&amp;Dash_PEnd)+COUNTIFS('KG1-4'!$AD16:$IM16,"غياب بعذر",'KG1-4'!$AD$7:$IM$7,"✓",'KG1-4'!$AD$6:$IM$6,1,'KG1-4'!$AD$5:$IM$5,"&gt;="&amp;MAX('KG1-4'!$U16,Dash_PStart),'KG1-4'!$AD$5:$IM$5,"&lt;="&amp;Dash_PEnd)+COUNTIFS('KG1-4'!$AD16:$IM16,"متأخر",'KG1-4'!$AD$7:$IM$7,"✓",'KG1-4'!$AD$6:$IM$6,1,'KG1-4'!$AD$5:$IM$5,"&gt;="&amp;MAX('KG1-4'!$U16,Dash_PStart),'KG1-4'!$AD$5:$IM$5,"&lt;="&amp;Dash_PEnd))</f>
        <v/>
      </c>
      <c r="AJ102" s="40">
        <f>IF(AF102=0,0,IF(W102=Dash_Date,Thr_Critical,IF(V102=Dash_Date,Thr_High,IF(U102=Dash_Date,Thr_Repeated,IF(T102=Dash_Date,Thr_FollowUp,0)))))</f>
        <v/>
      </c>
      <c r="AK102" s="40">
        <f>IF(AJ102&gt;0,COUNTIF($AJ$5:AJ102,"&gt;0"),"")</f>
        <v/>
      </c>
      <c r="AL102" s="40">
        <f>IF(AND(B102&lt;&gt;"",F102="نشط",Q102&lt;&gt;"",Q102&gt;0),L102*1000+(999-ROW()),"")</f>
        <v/>
      </c>
      <c r="AM102" s="40">
        <f>IF(AND(AF102=1,J102&lt;&gt;"",J102&gt;0),ROUND(O102*10000,0)*1000000+K102*1000+(999-ROW()),"")</f>
        <v/>
      </c>
      <c r="AN102" s="40">
        <f>IF(AND(AF102=1,J102&lt;&gt;"",J102&gt;0),(L102+M102)*10000000+ROUND((1-O102)*10000,0)*1000+(999-ROW()),"")</f>
        <v/>
      </c>
      <c r="AO102" s="40">
        <f>IF(AND(AF102=1,Q102&lt;&gt;"",Q102&gt;=Thr_Critical),L102*1000+(999-ROW()),"")</f>
        <v/>
      </c>
      <c r="AP102" s="40">
        <f>IF(AND(B102&lt;&gt;"",F102="نشط",OR(Rpt_Class="الكل",D102=Rpt_Class)),1,0)</f>
        <v/>
      </c>
      <c r="AQ102" s="40">
        <f>IF(AND(AP102=1,Q102&lt;&gt;"",Q102&gt;0),L102*1000+(999-ROW()),"")</f>
        <v/>
      </c>
      <c r="AR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IF(LateAsPresent="نعم",COUNTIFS('KG1-4'!$AD16:$IM16,"متأخر",'KG1-4'!$AD$7:$IM$7,"✓",'KG1-4'!$AD$6:$IM$6,1,'KG1-4'!$AD$5:$IM$5,"&gt;="&amp;MAX('KG1-4'!$U16,Rpt_PStart),'KG1-4'!$AD$5:$IM$5,"&lt;="&amp;Rpt_PEnd),0))</f>
        <v/>
      </c>
      <c r="AS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COUNTIFS('KG1-4'!$AD16:$IM16,"غياب بدون عذر",'KG1-4'!$AD$7:$IM$7,"✓",'KG1-4'!$AD$6:$IM$6,1,'KG1-4'!$AD$5:$IM$5,"&gt;="&amp;MAX('KG1-4'!$U16,Rpt_PStart),'KG1-4'!$AD$5:$IM$5,"&lt;="&amp;Rpt_PEnd)+COUNTIFS('KG1-4'!$AD16:$IM16,"غياب بعذر",'KG1-4'!$AD$7:$IM$7,"✓",'KG1-4'!$AD$6:$IM$6,1,'KG1-4'!$AD$5:$IM$5,"&gt;="&amp;MAX('KG1-4'!$U16,Rpt_PStart),'KG1-4'!$AD$5:$IM$5,"&lt;="&amp;Rpt_PEnd)+COUNTIFS('KG1-4'!$AD16:$IM16,"متأخر",'KG1-4'!$AD$7:$IM$7,"✓",'KG1-4'!$AD$6:$IM$6,1,'KG1-4'!$AD$5:$IM$5,"&gt;="&amp;MAX('KG1-4'!$U16,Rpt_PStart),'KG1-4'!$AD$5:$IM$5,"&lt;="&amp;Rpt_PEnd))</f>
        <v/>
      </c>
      <c r="AT102" s="40">
        <f>IF(AP102=0,"",COUNTIFS('KG1-4'!$AD16:$IM16,"غياب بدون عذر",'KG1-4'!$AD$7:$IM$7,"✓",'KG1-4'!$AD$6:$IM$6,1,'KG1-4'!$AD$5:$IM$5,"&gt;="&amp;MAX('KG1-4'!$U16,Rpt_PStart),'KG1-4'!$AD$5:$IM$5,"&lt;="&amp;Rpt_PEnd)+COUNTIFS('KG1-4'!$AD16:$IM16,"غياب بعذر",'KG1-4'!$AD$7:$IM$7,"✓",'KG1-4'!$AD$6:$IM$6,1,'KG1-4'!$AD$5:$IM$5,"&gt;="&amp;MAX('KG1-4'!$U16,Rpt_PStart),'KG1-4'!$AD$5:$IM$5,"&lt;="&amp;Rpt_PEnd))</f>
        <v/>
      </c>
      <c r="AU102" s="40" t="n">
        <v>4</v>
      </c>
      <c r="AV102" s="40" t="n">
        <v>8</v>
      </c>
      <c r="AW102" s="40">
        <f>IF(OR(AP102=0,Rpt_DayIdx=0),"",IF(INDEX('KG1-4'!$AD$7:$IM$7,Rpt_DayIdx)&lt;&gt;"✓","",IF(INDEX('KG1-4'!$AD16:$IM16,Rpt_DayIdx)="","P",IFERROR(INDEX(StatusCodes,MATCH(INDEX('KG1-4'!$AD16:$IM16,Rpt_DayIdx),StatusLabels,0)),""))))</f>
        <v/>
      </c>
      <c r="AX102" s="40">
        <f>IF(AND(AP102=1,OR(AW102="A",AW102="E")),COUNTIFS($AP$5:AP102,1,$AW$5:AW102,"A")+COUNTIFS($AP$5:AP102,1,$AW$5:AW102,"E"),"")</f>
        <v/>
      </c>
    </row>
    <row r="103">
      <c r="A103" s="148">
        <f>IF(B103="","",ROW()-4)</f>
        <v/>
      </c>
      <c r="B103" s="148">
        <f>IF('KG1-4'!$B17="","",'KG1-4'!$B17)</f>
        <v/>
      </c>
      <c r="C103" s="146">
        <f>IF('KG1-4'!$C17="","",'KG1-4'!$C17)</f>
        <v/>
      </c>
      <c r="D103" s="148">
        <f>IF(B103="","",'KG1-4'!$B$2)</f>
        <v/>
      </c>
      <c r="E103" s="148">
        <f>IF(B103="","",MID(D103,FIND("-",D103&amp;"-")+1,10))</f>
        <v/>
      </c>
      <c r="F103" s="148">
        <f>IF(B103="","","نشط")</f>
        <v/>
      </c>
      <c r="G103" s="157">
        <f>IF(B103="","","")</f>
        <v/>
      </c>
      <c r="H103" s="146">
        <f>IF('KG1-4'!$K17="","",'KG1-4'!$K17)</f>
        <v/>
      </c>
      <c r="I103" s="148">
        <f>IF('KG1-4'!$J17="","",'KG1-4'!$J17)</f>
        <v/>
      </c>
      <c r="J103" s="148">
        <f>IF('KG1-4'!$M17="","",'KG1-4'!$M17)</f>
        <v/>
      </c>
      <c r="K103" s="148">
        <f>IF('KG1-4'!$N17="","",'KG1-4'!$N17)</f>
        <v/>
      </c>
      <c r="L103" s="148">
        <f>IF('KG1-4'!$D17="","",'KG1-4'!$D17)</f>
        <v/>
      </c>
      <c r="M103" s="148">
        <f>IF('KG1-4'!$E17="","",'KG1-4'!$E17)</f>
        <v/>
      </c>
      <c r="N103" s="148">
        <f>IF('KG1-4'!$F17="","",'KG1-4'!$F17)</f>
        <v/>
      </c>
      <c r="O103" s="158">
        <f>IF('KG1-4'!$G17="","",'KG1-4'!$G17)</f>
        <v/>
      </c>
      <c r="P103" s="158">
        <f>IF('KG1-4'!$O17="","",'KG1-4'!$O17)</f>
        <v/>
      </c>
      <c r="Q103" s="148">
        <f>IF('KG1-4'!$T17="","",'KG1-4'!$T17)</f>
        <v/>
      </c>
      <c r="R103" s="146">
        <f>IF('KG1-4'!$H17="","",'KG1-4'!$H17)</f>
        <v/>
      </c>
      <c r="S103" s="157">
        <f>IF('KG1-4'!$P17="","",'KG1-4'!$P17)</f>
        <v/>
      </c>
      <c r="T103" s="157">
        <f>IF('KG1-4'!$V17="","",'KG1-4'!$V17)</f>
        <v/>
      </c>
      <c r="U103" s="157">
        <f>IF('KG1-4'!$W17="","",'KG1-4'!$W17)</f>
        <v/>
      </c>
      <c r="V103" s="157">
        <f>IF('KG1-4'!$X17="","",'KG1-4'!$X17)</f>
        <v/>
      </c>
      <c r="W103" s="157">
        <f>IF('KG1-4'!$Y17="","",'KG1-4'!$Y17)</f>
        <v/>
      </c>
      <c r="X103" s="157">
        <f>IF('KG1-4'!$R17="","",'KG1-4'!$R17)</f>
        <v/>
      </c>
      <c r="Y103" s="148">
        <f>IF('KG1-4'!$S17="","",'KG1-4'!$S17)</f>
        <v/>
      </c>
      <c r="Z103" s="148">
        <f>IF('KG1-4'!$Q17="","",'KG1-4'!$Q17)</f>
        <v/>
      </c>
      <c r="AA103" s="148">
        <f>IF('KG1-4'!$I17="","",'KG1-4'!$I17)</f>
        <v/>
      </c>
      <c r="AB103" s="146">
        <f>IF(Q103="","",INDEX(LevelActions,MATCH(Q103,LevelValues,0)))</f>
        <v/>
      </c>
      <c r="AC103" s="148">
        <f>IF(J103="","",IF(J103=0,"—",IF(AND(L103=0,M103=0),Cat_L1,IF(O103&gt;=Cat_95,Cat_L2,IF(O103&gt;=Cat_90,Cat_L3,Cat_L4)))))</f>
        <v/>
      </c>
      <c r="AD103" s="146">
        <f>IF('KG1-4'!$L17="","",'KG1-4'!$L17)</f>
        <v/>
      </c>
      <c r="AE103" s="148">
        <f>IF(B103="","",IF(COUNTIF($B$5:$B$214,B103)&gt;1,"مكرر!",""))</f>
        <v/>
      </c>
      <c r="AF103" s="148">
        <f>IF(AND(B103&lt;&gt;"",F103="نشط",OR(Dash_Class="الكل",D103=Dash_Class)),1,0)</f>
        <v/>
      </c>
      <c r="AG103" s="40">
        <f>IF(OR(AF103=0,Dash_DayIdx=0),"",IF(INDEX('KG1-4'!$AD$7:$IM$7,Dash_DayIdx)&lt;&gt;"✓","",IF(INDEX('KG1-4'!$AD17:$IM17,Dash_DayIdx)="","P",IFERROR(INDEX(StatusCodes,MATCH(INDEX('KG1-4'!$AD17:$IM17,Dash_DayIdx),StatusLabels,0)),""))))</f>
        <v/>
      </c>
      <c r="AH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IF(LateAsPresent="نعم",COUNTIFS('KG1-4'!$AD17:$IM17,"متأخر",'KG1-4'!$AD$7:$IM$7,"✓",'KG1-4'!$AD$6:$IM$6,1,'KG1-4'!$AD$5:$IM$5,"&gt;="&amp;MAX('KG1-4'!$U17,Dash_PStart),'KG1-4'!$AD$5:$IM$5,"&lt;="&amp;Dash_PEnd),0))</f>
        <v/>
      </c>
      <c r="AI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COUNTIFS('KG1-4'!$AD17:$IM17,"غياب بدون عذر",'KG1-4'!$AD$7:$IM$7,"✓",'KG1-4'!$AD$6:$IM$6,1,'KG1-4'!$AD$5:$IM$5,"&gt;="&amp;MAX('KG1-4'!$U17,Dash_PStart),'KG1-4'!$AD$5:$IM$5,"&lt;="&amp;Dash_PEnd)+COUNTIFS('KG1-4'!$AD17:$IM17,"غياب بعذر",'KG1-4'!$AD$7:$IM$7,"✓",'KG1-4'!$AD$6:$IM$6,1,'KG1-4'!$AD$5:$IM$5,"&gt;="&amp;MAX('KG1-4'!$U17,Dash_PStart),'KG1-4'!$AD$5:$IM$5,"&lt;="&amp;Dash_PEnd)+COUNTIFS('KG1-4'!$AD17:$IM17,"متأخر",'KG1-4'!$AD$7:$IM$7,"✓",'KG1-4'!$AD$6:$IM$6,1,'KG1-4'!$AD$5:$IM$5,"&gt;="&amp;MAX('KG1-4'!$U17,Dash_PStart),'KG1-4'!$AD$5:$IM$5,"&lt;="&amp;Dash_PEnd))</f>
        <v/>
      </c>
      <c r="AJ103" s="40">
        <f>IF(AF103=0,0,IF(W103=Dash_Date,Thr_Critical,IF(V103=Dash_Date,Thr_High,IF(U103=Dash_Date,Thr_Repeated,IF(T103=Dash_Date,Thr_FollowUp,0)))))</f>
        <v/>
      </c>
      <c r="AK103" s="40">
        <f>IF(AJ103&gt;0,COUNTIF($AJ$5:AJ103,"&gt;0"),"")</f>
        <v/>
      </c>
      <c r="AL103" s="40">
        <f>IF(AND(B103&lt;&gt;"",F103="نشط",Q103&lt;&gt;"",Q103&gt;0),L103*1000+(999-ROW()),"")</f>
        <v/>
      </c>
      <c r="AM103" s="40">
        <f>IF(AND(AF103=1,J103&lt;&gt;"",J103&gt;0),ROUND(O103*10000,0)*1000000+K103*1000+(999-ROW()),"")</f>
        <v/>
      </c>
      <c r="AN103" s="40">
        <f>IF(AND(AF103=1,J103&lt;&gt;"",J103&gt;0),(L103+M103)*10000000+ROUND((1-O103)*10000,0)*1000+(999-ROW()),"")</f>
        <v/>
      </c>
      <c r="AO103" s="40">
        <f>IF(AND(AF103=1,Q103&lt;&gt;"",Q103&gt;=Thr_Critical),L103*1000+(999-ROW()),"")</f>
        <v/>
      </c>
      <c r="AP103" s="40">
        <f>IF(AND(B103&lt;&gt;"",F103="نشط",OR(Rpt_Class="الكل",D103=Rpt_Class)),1,0)</f>
        <v/>
      </c>
      <c r="AQ103" s="40">
        <f>IF(AND(AP103=1,Q103&lt;&gt;"",Q103&gt;0),L103*1000+(999-ROW()),"")</f>
        <v/>
      </c>
      <c r="AR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IF(LateAsPresent="نعم",COUNTIFS('KG1-4'!$AD17:$IM17,"متأخر",'KG1-4'!$AD$7:$IM$7,"✓",'KG1-4'!$AD$6:$IM$6,1,'KG1-4'!$AD$5:$IM$5,"&gt;="&amp;MAX('KG1-4'!$U17,Rpt_PStart),'KG1-4'!$AD$5:$IM$5,"&lt;="&amp;Rpt_PEnd),0))</f>
        <v/>
      </c>
      <c r="AS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COUNTIFS('KG1-4'!$AD17:$IM17,"غياب بدون عذر",'KG1-4'!$AD$7:$IM$7,"✓",'KG1-4'!$AD$6:$IM$6,1,'KG1-4'!$AD$5:$IM$5,"&gt;="&amp;MAX('KG1-4'!$U17,Rpt_PStart),'KG1-4'!$AD$5:$IM$5,"&lt;="&amp;Rpt_PEnd)+COUNTIFS('KG1-4'!$AD17:$IM17,"غياب بعذر",'KG1-4'!$AD$7:$IM$7,"✓",'KG1-4'!$AD$6:$IM$6,1,'KG1-4'!$AD$5:$IM$5,"&gt;="&amp;MAX('KG1-4'!$U17,Rpt_PStart),'KG1-4'!$AD$5:$IM$5,"&lt;="&amp;Rpt_PEnd)+COUNTIFS('KG1-4'!$AD17:$IM17,"متأخر",'KG1-4'!$AD$7:$IM$7,"✓",'KG1-4'!$AD$6:$IM$6,1,'KG1-4'!$AD$5:$IM$5,"&gt;="&amp;MAX('KG1-4'!$U17,Rpt_PStart),'KG1-4'!$AD$5:$IM$5,"&lt;="&amp;Rpt_PEnd))</f>
        <v/>
      </c>
      <c r="AT103" s="40">
        <f>IF(AP103=0,"",COUNTIFS('KG1-4'!$AD17:$IM17,"غياب بدون عذر",'KG1-4'!$AD$7:$IM$7,"✓",'KG1-4'!$AD$6:$IM$6,1,'KG1-4'!$AD$5:$IM$5,"&gt;="&amp;MAX('KG1-4'!$U17,Rpt_PStart),'KG1-4'!$AD$5:$IM$5,"&lt;="&amp;Rpt_PEnd)+COUNTIFS('KG1-4'!$AD17:$IM17,"غياب بعذر",'KG1-4'!$AD$7:$IM$7,"✓",'KG1-4'!$AD$6:$IM$6,1,'KG1-4'!$AD$5:$IM$5,"&gt;="&amp;MAX('KG1-4'!$U17,Rpt_PStart),'KG1-4'!$AD$5:$IM$5,"&lt;="&amp;Rpt_PEnd))</f>
        <v/>
      </c>
      <c r="AU103" s="40" t="n">
        <v>4</v>
      </c>
      <c r="AV103" s="40" t="n">
        <v>9</v>
      </c>
      <c r="AW103" s="40">
        <f>IF(OR(AP103=0,Rpt_DayIdx=0),"",IF(INDEX('KG1-4'!$AD$7:$IM$7,Rpt_DayIdx)&lt;&gt;"✓","",IF(INDEX('KG1-4'!$AD17:$IM17,Rpt_DayIdx)="","P",IFERROR(INDEX(StatusCodes,MATCH(INDEX('KG1-4'!$AD17:$IM17,Rpt_DayIdx),StatusLabels,0)),""))))</f>
        <v/>
      </c>
      <c r="AX103" s="40">
        <f>IF(AND(AP103=1,OR(AW103="A",AW103="E")),COUNTIFS($AP$5:AP103,1,$AW$5:AW103,"A")+COUNTIFS($AP$5:AP103,1,$AW$5:AW103,"E"),"")</f>
        <v/>
      </c>
    </row>
    <row r="104">
      <c r="A104" s="148">
        <f>IF(B104="","",ROW()-4)</f>
        <v/>
      </c>
      <c r="B104" s="148">
        <f>IF('KG1-4'!$B18="","",'KG1-4'!$B18)</f>
        <v/>
      </c>
      <c r="C104" s="146">
        <f>IF('KG1-4'!$C18="","",'KG1-4'!$C18)</f>
        <v/>
      </c>
      <c r="D104" s="148">
        <f>IF(B104="","",'KG1-4'!$B$2)</f>
        <v/>
      </c>
      <c r="E104" s="148">
        <f>IF(B104="","",MID(D104,FIND("-",D104&amp;"-")+1,10))</f>
        <v/>
      </c>
      <c r="F104" s="148">
        <f>IF(B104="","","نشط")</f>
        <v/>
      </c>
      <c r="G104" s="157">
        <f>IF(B104="","","")</f>
        <v/>
      </c>
      <c r="H104" s="146">
        <f>IF('KG1-4'!$K18="","",'KG1-4'!$K18)</f>
        <v/>
      </c>
      <c r="I104" s="148">
        <f>IF('KG1-4'!$J18="","",'KG1-4'!$J18)</f>
        <v/>
      </c>
      <c r="J104" s="148">
        <f>IF('KG1-4'!$M18="","",'KG1-4'!$M18)</f>
        <v/>
      </c>
      <c r="K104" s="148">
        <f>IF('KG1-4'!$N18="","",'KG1-4'!$N18)</f>
        <v/>
      </c>
      <c r="L104" s="148">
        <f>IF('KG1-4'!$D18="","",'KG1-4'!$D18)</f>
        <v/>
      </c>
      <c r="M104" s="148">
        <f>IF('KG1-4'!$E18="","",'KG1-4'!$E18)</f>
        <v/>
      </c>
      <c r="N104" s="148">
        <f>IF('KG1-4'!$F18="","",'KG1-4'!$F18)</f>
        <v/>
      </c>
      <c r="O104" s="158">
        <f>IF('KG1-4'!$G18="","",'KG1-4'!$G18)</f>
        <v/>
      </c>
      <c r="P104" s="158">
        <f>IF('KG1-4'!$O18="","",'KG1-4'!$O18)</f>
        <v/>
      </c>
      <c r="Q104" s="148">
        <f>IF('KG1-4'!$T18="","",'KG1-4'!$T18)</f>
        <v/>
      </c>
      <c r="R104" s="146">
        <f>IF('KG1-4'!$H18="","",'KG1-4'!$H18)</f>
        <v/>
      </c>
      <c r="S104" s="157">
        <f>IF('KG1-4'!$P18="","",'KG1-4'!$P18)</f>
        <v/>
      </c>
      <c r="T104" s="157">
        <f>IF('KG1-4'!$V18="","",'KG1-4'!$V18)</f>
        <v/>
      </c>
      <c r="U104" s="157">
        <f>IF('KG1-4'!$W18="","",'KG1-4'!$W18)</f>
        <v/>
      </c>
      <c r="V104" s="157">
        <f>IF('KG1-4'!$X18="","",'KG1-4'!$X18)</f>
        <v/>
      </c>
      <c r="W104" s="157">
        <f>IF('KG1-4'!$Y18="","",'KG1-4'!$Y18)</f>
        <v/>
      </c>
      <c r="X104" s="157">
        <f>IF('KG1-4'!$R18="","",'KG1-4'!$R18)</f>
        <v/>
      </c>
      <c r="Y104" s="148">
        <f>IF('KG1-4'!$S18="","",'KG1-4'!$S18)</f>
        <v/>
      </c>
      <c r="Z104" s="148">
        <f>IF('KG1-4'!$Q18="","",'KG1-4'!$Q18)</f>
        <v/>
      </c>
      <c r="AA104" s="148">
        <f>IF('KG1-4'!$I18="","",'KG1-4'!$I18)</f>
        <v/>
      </c>
      <c r="AB104" s="146">
        <f>IF(Q104="","",INDEX(LevelActions,MATCH(Q104,LevelValues,0)))</f>
        <v/>
      </c>
      <c r="AC104" s="148">
        <f>IF(J104="","",IF(J104=0,"—",IF(AND(L104=0,M104=0),Cat_L1,IF(O104&gt;=Cat_95,Cat_L2,IF(O104&gt;=Cat_90,Cat_L3,Cat_L4)))))</f>
        <v/>
      </c>
      <c r="AD104" s="146">
        <f>IF('KG1-4'!$L18="","",'KG1-4'!$L18)</f>
        <v/>
      </c>
      <c r="AE104" s="148">
        <f>IF(B104="","",IF(COUNTIF($B$5:$B$214,B104)&gt;1,"مكرر!",""))</f>
        <v/>
      </c>
      <c r="AF104" s="148">
        <f>IF(AND(B104&lt;&gt;"",F104="نشط",OR(Dash_Class="الكل",D104=Dash_Class)),1,0)</f>
        <v/>
      </c>
      <c r="AG104" s="40">
        <f>IF(OR(AF104=0,Dash_DayIdx=0),"",IF(INDEX('KG1-4'!$AD$7:$IM$7,Dash_DayIdx)&lt;&gt;"✓","",IF(INDEX('KG1-4'!$AD18:$IM18,Dash_DayIdx)="","P",IFERROR(INDEX(StatusCodes,MATCH(INDEX('KG1-4'!$AD18:$IM18,Dash_DayIdx),StatusLabels,0)),""))))</f>
        <v/>
      </c>
      <c r="AH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IF(LateAsPresent="نعم",COUNTIFS('KG1-4'!$AD18:$IM18,"متأخر",'KG1-4'!$AD$7:$IM$7,"✓",'KG1-4'!$AD$6:$IM$6,1,'KG1-4'!$AD$5:$IM$5,"&gt;="&amp;MAX('KG1-4'!$U18,Dash_PStart),'KG1-4'!$AD$5:$IM$5,"&lt;="&amp;Dash_PEnd),0))</f>
        <v/>
      </c>
      <c r="AI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COUNTIFS('KG1-4'!$AD18:$IM18,"غياب بدون عذر",'KG1-4'!$AD$7:$IM$7,"✓",'KG1-4'!$AD$6:$IM$6,1,'KG1-4'!$AD$5:$IM$5,"&gt;="&amp;MAX('KG1-4'!$U18,Dash_PStart),'KG1-4'!$AD$5:$IM$5,"&lt;="&amp;Dash_PEnd)+COUNTIFS('KG1-4'!$AD18:$IM18,"غياب بعذر",'KG1-4'!$AD$7:$IM$7,"✓",'KG1-4'!$AD$6:$IM$6,1,'KG1-4'!$AD$5:$IM$5,"&gt;="&amp;MAX('KG1-4'!$U18,Dash_PStart),'KG1-4'!$AD$5:$IM$5,"&lt;="&amp;Dash_PEnd)+COUNTIFS('KG1-4'!$AD18:$IM18,"متأخر",'KG1-4'!$AD$7:$IM$7,"✓",'KG1-4'!$AD$6:$IM$6,1,'KG1-4'!$AD$5:$IM$5,"&gt;="&amp;MAX('KG1-4'!$U18,Dash_PStart),'KG1-4'!$AD$5:$IM$5,"&lt;="&amp;Dash_PEnd))</f>
        <v/>
      </c>
      <c r="AJ104" s="40">
        <f>IF(AF104=0,0,IF(W104=Dash_Date,Thr_Critical,IF(V104=Dash_Date,Thr_High,IF(U104=Dash_Date,Thr_Repeated,IF(T104=Dash_Date,Thr_FollowUp,0)))))</f>
        <v/>
      </c>
      <c r="AK104" s="40">
        <f>IF(AJ104&gt;0,COUNTIF($AJ$5:AJ104,"&gt;0"),"")</f>
        <v/>
      </c>
      <c r="AL104" s="40">
        <f>IF(AND(B104&lt;&gt;"",F104="نشط",Q104&lt;&gt;"",Q104&gt;0),L104*1000+(999-ROW()),"")</f>
        <v/>
      </c>
      <c r="AM104" s="40">
        <f>IF(AND(AF104=1,J104&lt;&gt;"",J104&gt;0),ROUND(O104*10000,0)*1000000+K104*1000+(999-ROW()),"")</f>
        <v/>
      </c>
      <c r="AN104" s="40">
        <f>IF(AND(AF104=1,J104&lt;&gt;"",J104&gt;0),(L104+M104)*10000000+ROUND((1-O104)*10000,0)*1000+(999-ROW()),"")</f>
        <v/>
      </c>
      <c r="AO104" s="40">
        <f>IF(AND(AF104=1,Q104&lt;&gt;"",Q104&gt;=Thr_Critical),L104*1000+(999-ROW()),"")</f>
        <v/>
      </c>
      <c r="AP104" s="40">
        <f>IF(AND(B104&lt;&gt;"",F104="نشط",OR(Rpt_Class="الكل",D104=Rpt_Class)),1,0)</f>
        <v/>
      </c>
      <c r="AQ104" s="40">
        <f>IF(AND(AP104=1,Q104&lt;&gt;"",Q104&gt;0),L104*1000+(999-ROW()),"")</f>
        <v/>
      </c>
      <c r="AR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IF(LateAsPresent="نعم",COUNTIFS('KG1-4'!$AD18:$IM18,"متأخر",'KG1-4'!$AD$7:$IM$7,"✓",'KG1-4'!$AD$6:$IM$6,1,'KG1-4'!$AD$5:$IM$5,"&gt;="&amp;MAX('KG1-4'!$U18,Rpt_PStart),'KG1-4'!$AD$5:$IM$5,"&lt;="&amp;Rpt_PEnd),0))</f>
        <v/>
      </c>
      <c r="AS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COUNTIFS('KG1-4'!$AD18:$IM18,"غياب بدون عذر",'KG1-4'!$AD$7:$IM$7,"✓",'KG1-4'!$AD$6:$IM$6,1,'KG1-4'!$AD$5:$IM$5,"&gt;="&amp;MAX('KG1-4'!$U18,Rpt_PStart),'KG1-4'!$AD$5:$IM$5,"&lt;="&amp;Rpt_PEnd)+COUNTIFS('KG1-4'!$AD18:$IM18,"غياب بعذر",'KG1-4'!$AD$7:$IM$7,"✓",'KG1-4'!$AD$6:$IM$6,1,'KG1-4'!$AD$5:$IM$5,"&gt;="&amp;MAX('KG1-4'!$U18,Rpt_PStart),'KG1-4'!$AD$5:$IM$5,"&lt;="&amp;Rpt_PEnd)+COUNTIFS('KG1-4'!$AD18:$IM18,"متأخر",'KG1-4'!$AD$7:$IM$7,"✓",'KG1-4'!$AD$6:$IM$6,1,'KG1-4'!$AD$5:$IM$5,"&gt;="&amp;MAX('KG1-4'!$U18,Rpt_PStart),'KG1-4'!$AD$5:$IM$5,"&lt;="&amp;Rpt_PEnd))</f>
        <v/>
      </c>
      <c r="AT104" s="40">
        <f>IF(AP104=0,"",COUNTIFS('KG1-4'!$AD18:$IM18,"غياب بدون عذر",'KG1-4'!$AD$7:$IM$7,"✓",'KG1-4'!$AD$6:$IM$6,1,'KG1-4'!$AD$5:$IM$5,"&gt;="&amp;MAX('KG1-4'!$U18,Rpt_PStart),'KG1-4'!$AD$5:$IM$5,"&lt;="&amp;Rpt_PEnd)+COUNTIFS('KG1-4'!$AD18:$IM18,"غياب بعذر",'KG1-4'!$AD$7:$IM$7,"✓",'KG1-4'!$AD$6:$IM$6,1,'KG1-4'!$AD$5:$IM$5,"&gt;="&amp;MAX('KG1-4'!$U18,Rpt_PStart),'KG1-4'!$AD$5:$IM$5,"&lt;="&amp;Rpt_PEnd))</f>
        <v/>
      </c>
      <c r="AU104" s="40" t="n">
        <v>4</v>
      </c>
      <c r="AV104" s="40" t="n">
        <v>10</v>
      </c>
      <c r="AW104" s="40">
        <f>IF(OR(AP104=0,Rpt_DayIdx=0),"",IF(INDEX('KG1-4'!$AD$7:$IM$7,Rpt_DayIdx)&lt;&gt;"✓","",IF(INDEX('KG1-4'!$AD18:$IM18,Rpt_DayIdx)="","P",IFERROR(INDEX(StatusCodes,MATCH(INDEX('KG1-4'!$AD18:$IM18,Rpt_DayIdx),StatusLabels,0)),""))))</f>
        <v/>
      </c>
      <c r="AX104" s="40">
        <f>IF(AND(AP104=1,OR(AW104="A",AW104="E")),COUNTIFS($AP$5:AP104,1,$AW$5:AW104,"A")+COUNTIFS($AP$5:AP104,1,$AW$5:AW104,"E"),"")</f>
        <v/>
      </c>
    </row>
    <row r="105">
      <c r="A105" s="148">
        <f>IF(B105="","",ROW()-4)</f>
        <v/>
      </c>
      <c r="B105" s="148">
        <f>IF('KG1-4'!$B19="","",'KG1-4'!$B19)</f>
        <v/>
      </c>
      <c r="C105" s="146">
        <f>IF('KG1-4'!$C19="","",'KG1-4'!$C19)</f>
        <v/>
      </c>
      <c r="D105" s="148">
        <f>IF(B105="","",'KG1-4'!$B$2)</f>
        <v/>
      </c>
      <c r="E105" s="148">
        <f>IF(B105="","",MID(D105,FIND("-",D105&amp;"-")+1,10))</f>
        <v/>
      </c>
      <c r="F105" s="148">
        <f>IF(B105="","","نشط")</f>
        <v/>
      </c>
      <c r="G105" s="157">
        <f>IF(B105="","","")</f>
        <v/>
      </c>
      <c r="H105" s="146">
        <f>IF('KG1-4'!$K19="","",'KG1-4'!$K19)</f>
        <v/>
      </c>
      <c r="I105" s="148">
        <f>IF('KG1-4'!$J19="","",'KG1-4'!$J19)</f>
        <v/>
      </c>
      <c r="J105" s="148">
        <f>IF('KG1-4'!$M19="","",'KG1-4'!$M19)</f>
        <v/>
      </c>
      <c r="K105" s="148">
        <f>IF('KG1-4'!$N19="","",'KG1-4'!$N19)</f>
        <v/>
      </c>
      <c r="L105" s="148">
        <f>IF('KG1-4'!$D19="","",'KG1-4'!$D19)</f>
        <v/>
      </c>
      <c r="M105" s="148">
        <f>IF('KG1-4'!$E19="","",'KG1-4'!$E19)</f>
        <v/>
      </c>
      <c r="N105" s="148">
        <f>IF('KG1-4'!$F19="","",'KG1-4'!$F19)</f>
        <v/>
      </c>
      <c r="O105" s="158">
        <f>IF('KG1-4'!$G19="","",'KG1-4'!$G19)</f>
        <v/>
      </c>
      <c r="P105" s="158">
        <f>IF('KG1-4'!$O19="","",'KG1-4'!$O19)</f>
        <v/>
      </c>
      <c r="Q105" s="148">
        <f>IF('KG1-4'!$T19="","",'KG1-4'!$T19)</f>
        <v/>
      </c>
      <c r="R105" s="146">
        <f>IF('KG1-4'!$H19="","",'KG1-4'!$H19)</f>
        <v/>
      </c>
      <c r="S105" s="157">
        <f>IF('KG1-4'!$P19="","",'KG1-4'!$P19)</f>
        <v/>
      </c>
      <c r="T105" s="157">
        <f>IF('KG1-4'!$V19="","",'KG1-4'!$V19)</f>
        <v/>
      </c>
      <c r="U105" s="157">
        <f>IF('KG1-4'!$W19="","",'KG1-4'!$W19)</f>
        <v/>
      </c>
      <c r="V105" s="157">
        <f>IF('KG1-4'!$X19="","",'KG1-4'!$X19)</f>
        <v/>
      </c>
      <c r="W105" s="157">
        <f>IF('KG1-4'!$Y19="","",'KG1-4'!$Y19)</f>
        <v/>
      </c>
      <c r="X105" s="157">
        <f>IF('KG1-4'!$R19="","",'KG1-4'!$R19)</f>
        <v/>
      </c>
      <c r="Y105" s="148">
        <f>IF('KG1-4'!$S19="","",'KG1-4'!$S19)</f>
        <v/>
      </c>
      <c r="Z105" s="148">
        <f>IF('KG1-4'!$Q19="","",'KG1-4'!$Q19)</f>
        <v/>
      </c>
      <c r="AA105" s="148">
        <f>IF('KG1-4'!$I19="","",'KG1-4'!$I19)</f>
        <v/>
      </c>
      <c r="AB105" s="146">
        <f>IF(Q105="","",INDEX(LevelActions,MATCH(Q105,LevelValues,0)))</f>
        <v/>
      </c>
      <c r="AC105" s="148">
        <f>IF(J105="","",IF(J105=0,"—",IF(AND(L105=0,M105=0),Cat_L1,IF(O105&gt;=Cat_95,Cat_L2,IF(O105&gt;=Cat_90,Cat_L3,Cat_L4)))))</f>
        <v/>
      </c>
      <c r="AD105" s="146">
        <f>IF('KG1-4'!$L19="","",'KG1-4'!$L19)</f>
        <v/>
      </c>
      <c r="AE105" s="148">
        <f>IF(B105="","",IF(COUNTIF($B$5:$B$214,B105)&gt;1,"مكرر!",""))</f>
        <v/>
      </c>
      <c r="AF105" s="148">
        <f>IF(AND(B105&lt;&gt;"",F105="نشط",OR(Dash_Class="الكل",D105=Dash_Class)),1,0)</f>
        <v/>
      </c>
      <c r="AG105" s="40">
        <f>IF(OR(AF105=0,Dash_DayIdx=0),"",IF(INDEX('KG1-4'!$AD$7:$IM$7,Dash_DayIdx)&lt;&gt;"✓","",IF(INDEX('KG1-4'!$AD19:$IM19,Dash_DayIdx)="","P",IFERROR(INDEX(StatusCodes,MATCH(INDEX('KG1-4'!$AD19:$IM19,Dash_DayIdx),StatusLabels,0)),""))))</f>
        <v/>
      </c>
      <c r="AH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IF(LateAsPresent="نعم",COUNTIFS('KG1-4'!$AD19:$IM19,"متأخر",'KG1-4'!$AD$7:$IM$7,"✓",'KG1-4'!$AD$6:$IM$6,1,'KG1-4'!$AD$5:$IM$5,"&gt;="&amp;MAX('KG1-4'!$U19,Dash_PStart),'KG1-4'!$AD$5:$IM$5,"&lt;="&amp;Dash_PEnd),0))</f>
        <v/>
      </c>
      <c r="AI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COUNTIFS('KG1-4'!$AD19:$IM19,"غياب بدون عذر",'KG1-4'!$AD$7:$IM$7,"✓",'KG1-4'!$AD$6:$IM$6,1,'KG1-4'!$AD$5:$IM$5,"&gt;="&amp;MAX('KG1-4'!$U19,Dash_PStart),'KG1-4'!$AD$5:$IM$5,"&lt;="&amp;Dash_PEnd)+COUNTIFS('KG1-4'!$AD19:$IM19,"غياب بعذر",'KG1-4'!$AD$7:$IM$7,"✓",'KG1-4'!$AD$6:$IM$6,1,'KG1-4'!$AD$5:$IM$5,"&gt;="&amp;MAX('KG1-4'!$U19,Dash_PStart),'KG1-4'!$AD$5:$IM$5,"&lt;="&amp;Dash_PEnd)+COUNTIFS('KG1-4'!$AD19:$IM19,"متأخر",'KG1-4'!$AD$7:$IM$7,"✓",'KG1-4'!$AD$6:$IM$6,1,'KG1-4'!$AD$5:$IM$5,"&gt;="&amp;MAX('KG1-4'!$U19,Dash_PStart),'KG1-4'!$AD$5:$IM$5,"&lt;="&amp;Dash_PEnd))</f>
        <v/>
      </c>
      <c r="AJ105" s="40">
        <f>IF(AF105=0,0,IF(W105=Dash_Date,Thr_Critical,IF(V105=Dash_Date,Thr_High,IF(U105=Dash_Date,Thr_Repeated,IF(T105=Dash_Date,Thr_FollowUp,0)))))</f>
        <v/>
      </c>
      <c r="AK105" s="40">
        <f>IF(AJ105&gt;0,COUNTIF($AJ$5:AJ105,"&gt;0"),"")</f>
        <v/>
      </c>
      <c r="AL105" s="40">
        <f>IF(AND(B105&lt;&gt;"",F105="نشط",Q105&lt;&gt;"",Q105&gt;0),L105*1000+(999-ROW()),"")</f>
        <v/>
      </c>
      <c r="AM105" s="40">
        <f>IF(AND(AF105=1,J105&lt;&gt;"",J105&gt;0),ROUND(O105*10000,0)*1000000+K105*1000+(999-ROW()),"")</f>
        <v/>
      </c>
      <c r="AN105" s="40">
        <f>IF(AND(AF105=1,J105&lt;&gt;"",J105&gt;0),(L105+M105)*10000000+ROUND((1-O105)*10000,0)*1000+(999-ROW()),"")</f>
        <v/>
      </c>
      <c r="AO105" s="40">
        <f>IF(AND(AF105=1,Q105&lt;&gt;"",Q105&gt;=Thr_Critical),L105*1000+(999-ROW()),"")</f>
        <v/>
      </c>
      <c r="AP105" s="40">
        <f>IF(AND(B105&lt;&gt;"",F105="نشط",OR(Rpt_Class="الكل",D105=Rpt_Class)),1,0)</f>
        <v/>
      </c>
      <c r="AQ105" s="40">
        <f>IF(AND(AP105=1,Q105&lt;&gt;"",Q105&gt;0),L105*1000+(999-ROW()),"")</f>
        <v/>
      </c>
      <c r="AR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IF(LateAsPresent="نعم",COUNTIFS('KG1-4'!$AD19:$IM19,"متأخر",'KG1-4'!$AD$7:$IM$7,"✓",'KG1-4'!$AD$6:$IM$6,1,'KG1-4'!$AD$5:$IM$5,"&gt;="&amp;MAX('KG1-4'!$U19,Rpt_PStart),'KG1-4'!$AD$5:$IM$5,"&lt;="&amp;Rpt_PEnd),0))</f>
        <v/>
      </c>
      <c r="AS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COUNTIFS('KG1-4'!$AD19:$IM19,"غياب بدون عذر",'KG1-4'!$AD$7:$IM$7,"✓",'KG1-4'!$AD$6:$IM$6,1,'KG1-4'!$AD$5:$IM$5,"&gt;="&amp;MAX('KG1-4'!$U19,Rpt_PStart),'KG1-4'!$AD$5:$IM$5,"&lt;="&amp;Rpt_PEnd)+COUNTIFS('KG1-4'!$AD19:$IM19,"غياب بعذر",'KG1-4'!$AD$7:$IM$7,"✓",'KG1-4'!$AD$6:$IM$6,1,'KG1-4'!$AD$5:$IM$5,"&gt;="&amp;MAX('KG1-4'!$U19,Rpt_PStart),'KG1-4'!$AD$5:$IM$5,"&lt;="&amp;Rpt_PEnd)+COUNTIFS('KG1-4'!$AD19:$IM19,"متأخر",'KG1-4'!$AD$7:$IM$7,"✓",'KG1-4'!$AD$6:$IM$6,1,'KG1-4'!$AD$5:$IM$5,"&gt;="&amp;MAX('KG1-4'!$U19,Rpt_PStart),'KG1-4'!$AD$5:$IM$5,"&lt;="&amp;Rpt_PEnd))</f>
        <v/>
      </c>
      <c r="AT105" s="40">
        <f>IF(AP105=0,"",COUNTIFS('KG1-4'!$AD19:$IM19,"غياب بدون عذر",'KG1-4'!$AD$7:$IM$7,"✓",'KG1-4'!$AD$6:$IM$6,1,'KG1-4'!$AD$5:$IM$5,"&gt;="&amp;MAX('KG1-4'!$U19,Rpt_PStart),'KG1-4'!$AD$5:$IM$5,"&lt;="&amp;Rpt_PEnd)+COUNTIFS('KG1-4'!$AD19:$IM19,"غياب بعذر",'KG1-4'!$AD$7:$IM$7,"✓",'KG1-4'!$AD$6:$IM$6,1,'KG1-4'!$AD$5:$IM$5,"&gt;="&amp;MAX('KG1-4'!$U19,Rpt_PStart),'KG1-4'!$AD$5:$IM$5,"&lt;="&amp;Rpt_PEnd))</f>
        <v/>
      </c>
      <c r="AU105" s="40" t="n">
        <v>4</v>
      </c>
      <c r="AV105" s="40" t="n">
        <v>11</v>
      </c>
      <c r="AW105" s="40">
        <f>IF(OR(AP105=0,Rpt_DayIdx=0),"",IF(INDEX('KG1-4'!$AD$7:$IM$7,Rpt_DayIdx)&lt;&gt;"✓","",IF(INDEX('KG1-4'!$AD19:$IM19,Rpt_DayIdx)="","P",IFERROR(INDEX(StatusCodes,MATCH(INDEX('KG1-4'!$AD19:$IM19,Rpt_DayIdx),StatusLabels,0)),""))))</f>
        <v/>
      </c>
      <c r="AX105" s="40">
        <f>IF(AND(AP105=1,OR(AW105="A",AW105="E")),COUNTIFS($AP$5:AP105,1,$AW$5:AW105,"A")+COUNTIFS($AP$5:AP105,1,$AW$5:AW105,"E"),"")</f>
        <v/>
      </c>
    </row>
    <row r="106">
      <c r="A106" s="148">
        <f>IF(B106="","",ROW()-4)</f>
        <v/>
      </c>
      <c r="B106" s="148">
        <f>IF('KG1-4'!$B20="","",'KG1-4'!$B20)</f>
        <v/>
      </c>
      <c r="C106" s="146">
        <f>IF('KG1-4'!$C20="","",'KG1-4'!$C20)</f>
        <v/>
      </c>
      <c r="D106" s="148">
        <f>IF(B106="","",'KG1-4'!$B$2)</f>
        <v/>
      </c>
      <c r="E106" s="148">
        <f>IF(B106="","",MID(D106,FIND("-",D106&amp;"-")+1,10))</f>
        <v/>
      </c>
      <c r="F106" s="148">
        <f>IF(B106="","","نشط")</f>
        <v/>
      </c>
      <c r="G106" s="157">
        <f>IF(B106="","","")</f>
        <v/>
      </c>
      <c r="H106" s="146">
        <f>IF('KG1-4'!$K20="","",'KG1-4'!$K20)</f>
        <v/>
      </c>
      <c r="I106" s="148">
        <f>IF('KG1-4'!$J20="","",'KG1-4'!$J20)</f>
        <v/>
      </c>
      <c r="J106" s="148">
        <f>IF('KG1-4'!$M20="","",'KG1-4'!$M20)</f>
        <v/>
      </c>
      <c r="K106" s="148">
        <f>IF('KG1-4'!$N20="","",'KG1-4'!$N20)</f>
        <v/>
      </c>
      <c r="L106" s="148">
        <f>IF('KG1-4'!$D20="","",'KG1-4'!$D20)</f>
        <v/>
      </c>
      <c r="M106" s="148">
        <f>IF('KG1-4'!$E20="","",'KG1-4'!$E20)</f>
        <v/>
      </c>
      <c r="N106" s="148">
        <f>IF('KG1-4'!$F20="","",'KG1-4'!$F20)</f>
        <v/>
      </c>
      <c r="O106" s="158">
        <f>IF('KG1-4'!$G20="","",'KG1-4'!$G20)</f>
        <v/>
      </c>
      <c r="P106" s="158">
        <f>IF('KG1-4'!$O20="","",'KG1-4'!$O20)</f>
        <v/>
      </c>
      <c r="Q106" s="148">
        <f>IF('KG1-4'!$T20="","",'KG1-4'!$T20)</f>
        <v/>
      </c>
      <c r="R106" s="146">
        <f>IF('KG1-4'!$H20="","",'KG1-4'!$H20)</f>
        <v/>
      </c>
      <c r="S106" s="157">
        <f>IF('KG1-4'!$P20="","",'KG1-4'!$P20)</f>
        <v/>
      </c>
      <c r="T106" s="157">
        <f>IF('KG1-4'!$V20="","",'KG1-4'!$V20)</f>
        <v/>
      </c>
      <c r="U106" s="157">
        <f>IF('KG1-4'!$W20="","",'KG1-4'!$W20)</f>
        <v/>
      </c>
      <c r="V106" s="157">
        <f>IF('KG1-4'!$X20="","",'KG1-4'!$X20)</f>
        <v/>
      </c>
      <c r="W106" s="157">
        <f>IF('KG1-4'!$Y20="","",'KG1-4'!$Y20)</f>
        <v/>
      </c>
      <c r="X106" s="157">
        <f>IF('KG1-4'!$R20="","",'KG1-4'!$R20)</f>
        <v/>
      </c>
      <c r="Y106" s="148">
        <f>IF('KG1-4'!$S20="","",'KG1-4'!$S20)</f>
        <v/>
      </c>
      <c r="Z106" s="148">
        <f>IF('KG1-4'!$Q20="","",'KG1-4'!$Q20)</f>
        <v/>
      </c>
      <c r="AA106" s="148">
        <f>IF('KG1-4'!$I20="","",'KG1-4'!$I20)</f>
        <v/>
      </c>
      <c r="AB106" s="146">
        <f>IF(Q106="","",INDEX(LevelActions,MATCH(Q106,LevelValues,0)))</f>
        <v/>
      </c>
      <c r="AC106" s="148">
        <f>IF(J106="","",IF(J106=0,"—",IF(AND(L106=0,M106=0),Cat_L1,IF(O106&gt;=Cat_95,Cat_L2,IF(O106&gt;=Cat_90,Cat_L3,Cat_L4)))))</f>
        <v/>
      </c>
      <c r="AD106" s="146">
        <f>IF('KG1-4'!$L20="","",'KG1-4'!$L20)</f>
        <v/>
      </c>
      <c r="AE106" s="148">
        <f>IF(B106="","",IF(COUNTIF($B$5:$B$214,B106)&gt;1,"مكرر!",""))</f>
        <v/>
      </c>
      <c r="AF106" s="148">
        <f>IF(AND(B106&lt;&gt;"",F106="نشط",OR(Dash_Class="الكل",D106=Dash_Class)),1,0)</f>
        <v/>
      </c>
      <c r="AG106" s="40">
        <f>IF(OR(AF106=0,Dash_DayIdx=0),"",IF(INDEX('KG1-4'!$AD$7:$IM$7,Dash_DayIdx)&lt;&gt;"✓","",IF(INDEX('KG1-4'!$AD20:$IM20,Dash_DayIdx)="","P",IFERROR(INDEX(StatusCodes,MATCH(INDEX('KG1-4'!$AD20:$IM20,Dash_DayIdx),StatusLabels,0)),""))))</f>
        <v/>
      </c>
      <c r="AH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IF(LateAsPresent="نعم",COUNTIFS('KG1-4'!$AD20:$IM20,"متأخر",'KG1-4'!$AD$7:$IM$7,"✓",'KG1-4'!$AD$6:$IM$6,1,'KG1-4'!$AD$5:$IM$5,"&gt;="&amp;MAX('KG1-4'!$U20,Dash_PStart),'KG1-4'!$AD$5:$IM$5,"&lt;="&amp;Dash_PEnd),0))</f>
        <v/>
      </c>
      <c r="AI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COUNTIFS('KG1-4'!$AD20:$IM20,"غياب بدون عذر",'KG1-4'!$AD$7:$IM$7,"✓",'KG1-4'!$AD$6:$IM$6,1,'KG1-4'!$AD$5:$IM$5,"&gt;="&amp;MAX('KG1-4'!$U20,Dash_PStart),'KG1-4'!$AD$5:$IM$5,"&lt;="&amp;Dash_PEnd)+COUNTIFS('KG1-4'!$AD20:$IM20,"غياب بعذر",'KG1-4'!$AD$7:$IM$7,"✓",'KG1-4'!$AD$6:$IM$6,1,'KG1-4'!$AD$5:$IM$5,"&gt;="&amp;MAX('KG1-4'!$U20,Dash_PStart),'KG1-4'!$AD$5:$IM$5,"&lt;="&amp;Dash_PEnd)+COUNTIFS('KG1-4'!$AD20:$IM20,"متأخر",'KG1-4'!$AD$7:$IM$7,"✓",'KG1-4'!$AD$6:$IM$6,1,'KG1-4'!$AD$5:$IM$5,"&gt;="&amp;MAX('KG1-4'!$U20,Dash_PStart),'KG1-4'!$AD$5:$IM$5,"&lt;="&amp;Dash_PEnd))</f>
        <v/>
      </c>
      <c r="AJ106" s="40">
        <f>IF(AF106=0,0,IF(W106=Dash_Date,Thr_Critical,IF(V106=Dash_Date,Thr_High,IF(U106=Dash_Date,Thr_Repeated,IF(T106=Dash_Date,Thr_FollowUp,0)))))</f>
        <v/>
      </c>
      <c r="AK106" s="40">
        <f>IF(AJ106&gt;0,COUNTIF($AJ$5:AJ106,"&gt;0"),"")</f>
        <v/>
      </c>
      <c r="AL106" s="40">
        <f>IF(AND(B106&lt;&gt;"",F106="نشط",Q106&lt;&gt;"",Q106&gt;0),L106*1000+(999-ROW()),"")</f>
        <v/>
      </c>
      <c r="AM106" s="40">
        <f>IF(AND(AF106=1,J106&lt;&gt;"",J106&gt;0),ROUND(O106*10000,0)*1000000+K106*1000+(999-ROW()),"")</f>
        <v/>
      </c>
      <c r="AN106" s="40">
        <f>IF(AND(AF106=1,J106&lt;&gt;"",J106&gt;0),(L106+M106)*10000000+ROUND((1-O106)*10000,0)*1000+(999-ROW()),"")</f>
        <v/>
      </c>
      <c r="AO106" s="40">
        <f>IF(AND(AF106=1,Q106&lt;&gt;"",Q106&gt;=Thr_Critical),L106*1000+(999-ROW()),"")</f>
        <v/>
      </c>
      <c r="AP106" s="40">
        <f>IF(AND(B106&lt;&gt;"",F106="نشط",OR(Rpt_Class="الكل",D106=Rpt_Class)),1,0)</f>
        <v/>
      </c>
      <c r="AQ106" s="40">
        <f>IF(AND(AP106=1,Q106&lt;&gt;"",Q106&gt;0),L106*1000+(999-ROW()),"")</f>
        <v/>
      </c>
      <c r="AR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IF(LateAsPresent="نعم",COUNTIFS('KG1-4'!$AD20:$IM20,"متأخر",'KG1-4'!$AD$7:$IM$7,"✓",'KG1-4'!$AD$6:$IM$6,1,'KG1-4'!$AD$5:$IM$5,"&gt;="&amp;MAX('KG1-4'!$U20,Rpt_PStart),'KG1-4'!$AD$5:$IM$5,"&lt;="&amp;Rpt_PEnd),0))</f>
        <v/>
      </c>
      <c r="AS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COUNTIFS('KG1-4'!$AD20:$IM20,"غياب بدون عذر",'KG1-4'!$AD$7:$IM$7,"✓",'KG1-4'!$AD$6:$IM$6,1,'KG1-4'!$AD$5:$IM$5,"&gt;="&amp;MAX('KG1-4'!$U20,Rpt_PStart),'KG1-4'!$AD$5:$IM$5,"&lt;="&amp;Rpt_PEnd)+COUNTIFS('KG1-4'!$AD20:$IM20,"غياب بعذر",'KG1-4'!$AD$7:$IM$7,"✓",'KG1-4'!$AD$6:$IM$6,1,'KG1-4'!$AD$5:$IM$5,"&gt;="&amp;MAX('KG1-4'!$U20,Rpt_PStart),'KG1-4'!$AD$5:$IM$5,"&lt;="&amp;Rpt_PEnd)+COUNTIFS('KG1-4'!$AD20:$IM20,"متأخر",'KG1-4'!$AD$7:$IM$7,"✓",'KG1-4'!$AD$6:$IM$6,1,'KG1-4'!$AD$5:$IM$5,"&gt;="&amp;MAX('KG1-4'!$U20,Rpt_PStart),'KG1-4'!$AD$5:$IM$5,"&lt;="&amp;Rpt_PEnd))</f>
        <v/>
      </c>
      <c r="AT106" s="40">
        <f>IF(AP106=0,"",COUNTIFS('KG1-4'!$AD20:$IM20,"غياب بدون عذر",'KG1-4'!$AD$7:$IM$7,"✓",'KG1-4'!$AD$6:$IM$6,1,'KG1-4'!$AD$5:$IM$5,"&gt;="&amp;MAX('KG1-4'!$U20,Rpt_PStart),'KG1-4'!$AD$5:$IM$5,"&lt;="&amp;Rpt_PEnd)+COUNTIFS('KG1-4'!$AD20:$IM20,"غياب بعذر",'KG1-4'!$AD$7:$IM$7,"✓",'KG1-4'!$AD$6:$IM$6,1,'KG1-4'!$AD$5:$IM$5,"&gt;="&amp;MAX('KG1-4'!$U20,Rpt_PStart),'KG1-4'!$AD$5:$IM$5,"&lt;="&amp;Rpt_PEnd))</f>
        <v/>
      </c>
      <c r="AU106" s="40" t="n">
        <v>4</v>
      </c>
      <c r="AV106" s="40" t="n">
        <v>12</v>
      </c>
      <c r="AW106" s="40">
        <f>IF(OR(AP106=0,Rpt_DayIdx=0),"",IF(INDEX('KG1-4'!$AD$7:$IM$7,Rpt_DayIdx)&lt;&gt;"✓","",IF(INDEX('KG1-4'!$AD20:$IM20,Rpt_DayIdx)="","P",IFERROR(INDEX(StatusCodes,MATCH(INDEX('KG1-4'!$AD20:$IM20,Rpt_DayIdx),StatusLabels,0)),""))))</f>
        <v/>
      </c>
      <c r="AX106" s="40">
        <f>IF(AND(AP106=1,OR(AW106="A",AW106="E")),COUNTIFS($AP$5:AP106,1,$AW$5:AW106,"A")+COUNTIFS($AP$5:AP106,1,$AW$5:AW106,"E"),"")</f>
        <v/>
      </c>
    </row>
    <row r="107">
      <c r="A107" s="148">
        <f>IF(B107="","",ROW()-4)</f>
        <v/>
      </c>
      <c r="B107" s="148">
        <f>IF('KG1-4'!$B21="","",'KG1-4'!$B21)</f>
        <v/>
      </c>
      <c r="C107" s="146">
        <f>IF('KG1-4'!$C21="","",'KG1-4'!$C21)</f>
        <v/>
      </c>
      <c r="D107" s="148">
        <f>IF(B107="","",'KG1-4'!$B$2)</f>
        <v/>
      </c>
      <c r="E107" s="148">
        <f>IF(B107="","",MID(D107,FIND("-",D107&amp;"-")+1,10))</f>
        <v/>
      </c>
      <c r="F107" s="148">
        <f>IF(B107="","","نشط")</f>
        <v/>
      </c>
      <c r="G107" s="157">
        <f>IF(B107="","","")</f>
        <v/>
      </c>
      <c r="H107" s="146">
        <f>IF('KG1-4'!$K21="","",'KG1-4'!$K21)</f>
        <v/>
      </c>
      <c r="I107" s="148">
        <f>IF('KG1-4'!$J21="","",'KG1-4'!$J21)</f>
        <v/>
      </c>
      <c r="J107" s="148">
        <f>IF('KG1-4'!$M21="","",'KG1-4'!$M21)</f>
        <v/>
      </c>
      <c r="K107" s="148">
        <f>IF('KG1-4'!$N21="","",'KG1-4'!$N21)</f>
        <v/>
      </c>
      <c r="L107" s="148">
        <f>IF('KG1-4'!$D21="","",'KG1-4'!$D21)</f>
        <v/>
      </c>
      <c r="M107" s="148">
        <f>IF('KG1-4'!$E21="","",'KG1-4'!$E21)</f>
        <v/>
      </c>
      <c r="N107" s="148">
        <f>IF('KG1-4'!$F21="","",'KG1-4'!$F21)</f>
        <v/>
      </c>
      <c r="O107" s="158">
        <f>IF('KG1-4'!$G21="","",'KG1-4'!$G21)</f>
        <v/>
      </c>
      <c r="P107" s="158">
        <f>IF('KG1-4'!$O21="","",'KG1-4'!$O21)</f>
        <v/>
      </c>
      <c r="Q107" s="148">
        <f>IF('KG1-4'!$T21="","",'KG1-4'!$T21)</f>
        <v/>
      </c>
      <c r="R107" s="146">
        <f>IF('KG1-4'!$H21="","",'KG1-4'!$H21)</f>
        <v/>
      </c>
      <c r="S107" s="157">
        <f>IF('KG1-4'!$P21="","",'KG1-4'!$P21)</f>
        <v/>
      </c>
      <c r="T107" s="157">
        <f>IF('KG1-4'!$V21="","",'KG1-4'!$V21)</f>
        <v/>
      </c>
      <c r="U107" s="157">
        <f>IF('KG1-4'!$W21="","",'KG1-4'!$W21)</f>
        <v/>
      </c>
      <c r="V107" s="157">
        <f>IF('KG1-4'!$X21="","",'KG1-4'!$X21)</f>
        <v/>
      </c>
      <c r="W107" s="157">
        <f>IF('KG1-4'!$Y21="","",'KG1-4'!$Y21)</f>
        <v/>
      </c>
      <c r="X107" s="157">
        <f>IF('KG1-4'!$R21="","",'KG1-4'!$R21)</f>
        <v/>
      </c>
      <c r="Y107" s="148">
        <f>IF('KG1-4'!$S21="","",'KG1-4'!$S21)</f>
        <v/>
      </c>
      <c r="Z107" s="148">
        <f>IF('KG1-4'!$Q21="","",'KG1-4'!$Q21)</f>
        <v/>
      </c>
      <c r="AA107" s="148">
        <f>IF('KG1-4'!$I21="","",'KG1-4'!$I21)</f>
        <v/>
      </c>
      <c r="AB107" s="146">
        <f>IF(Q107="","",INDEX(LevelActions,MATCH(Q107,LevelValues,0)))</f>
        <v/>
      </c>
      <c r="AC107" s="148">
        <f>IF(J107="","",IF(J107=0,"—",IF(AND(L107=0,M107=0),Cat_L1,IF(O107&gt;=Cat_95,Cat_L2,IF(O107&gt;=Cat_90,Cat_L3,Cat_L4)))))</f>
        <v/>
      </c>
      <c r="AD107" s="146">
        <f>IF('KG1-4'!$L21="","",'KG1-4'!$L21)</f>
        <v/>
      </c>
      <c r="AE107" s="148">
        <f>IF(B107="","",IF(COUNTIF($B$5:$B$214,B107)&gt;1,"مكرر!",""))</f>
        <v/>
      </c>
      <c r="AF107" s="148">
        <f>IF(AND(B107&lt;&gt;"",F107="نشط",OR(Dash_Class="الكل",D107=Dash_Class)),1,0)</f>
        <v/>
      </c>
      <c r="AG107" s="40">
        <f>IF(OR(AF107=0,Dash_DayIdx=0),"",IF(INDEX('KG1-4'!$AD$7:$IM$7,Dash_DayIdx)&lt;&gt;"✓","",IF(INDEX('KG1-4'!$AD21:$IM21,Dash_DayIdx)="","P",IFERROR(INDEX(StatusCodes,MATCH(INDEX('KG1-4'!$AD21:$IM21,Dash_DayIdx),StatusLabels,0)),""))))</f>
        <v/>
      </c>
      <c r="AH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IF(LateAsPresent="نعم",COUNTIFS('KG1-4'!$AD21:$IM21,"متأخر",'KG1-4'!$AD$7:$IM$7,"✓",'KG1-4'!$AD$6:$IM$6,1,'KG1-4'!$AD$5:$IM$5,"&gt;="&amp;MAX('KG1-4'!$U21,Dash_PStart),'KG1-4'!$AD$5:$IM$5,"&lt;="&amp;Dash_PEnd),0))</f>
        <v/>
      </c>
      <c r="AI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COUNTIFS('KG1-4'!$AD21:$IM21,"غياب بدون عذر",'KG1-4'!$AD$7:$IM$7,"✓",'KG1-4'!$AD$6:$IM$6,1,'KG1-4'!$AD$5:$IM$5,"&gt;="&amp;MAX('KG1-4'!$U21,Dash_PStart),'KG1-4'!$AD$5:$IM$5,"&lt;="&amp;Dash_PEnd)+COUNTIFS('KG1-4'!$AD21:$IM21,"غياب بعذر",'KG1-4'!$AD$7:$IM$7,"✓",'KG1-4'!$AD$6:$IM$6,1,'KG1-4'!$AD$5:$IM$5,"&gt;="&amp;MAX('KG1-4'!$U21,Dash_PStart),'KG1-4'!$AD$5:$IM$5,"&lt;="&amp;Dash_PEnd)+COUNTIFS('KG1-4'!$AD21:$IM21,"متأخر",'KG1-4'!$AD$7:$IM$7,"✓",'KG1-4'!$AD$6:$IM$6,1,'KG1-4'!$AD$5:$IM$5,"&gt;="&amp;MAX('KG1-4'!$U21,Dash_PStart),'KG1-4'!$AD$5:$IM$5,"&lt;="&amp;Dash_PEnd))</f>
        <v/>
      </c>
      <c r="AJ107" s="40">
        <f>IF(AF107=0,0,IF(W107=Dash_Date,Thr_Critical,IF(V107=Dash_Date,Thr_High,IF(U107=Dash_Date,Thr_Repeated,IF(T107=Dash_Date,Thr_FollowUp,0)))))</f>
        <v/>
      </c>
      <c r="AK107" s="40">
        <f>IF(AJ107&gt;0,COUNTIF($AJ$5:AJ107,"&gt;0"),"")</f>
        <v/>
      </c>
      <c r="AL107" s="40">
        <f>IF(AND(B107&lt;&gt;"",F107="نشط",Q107&lt;&gt;"",Q107&gt;0),L107*1000+(999-ROW()),"")</f>
        <v/>
      </c>
      <c r="AM107" s="40">
        <f>IF(AND(AF107=1,J107&lt;&gt;"",J107&gt;0),ROUND(O107*10000,0)*1000000+K107*1000+(999-ROW()),"")</f>
        <v/>
      </c>
      <c r="AN107" s="40">
        <f>IF(AND(AF107=1,J107&lt;&gt;"",J107&gt;0),(L107+M107)*10000000+ROUND((1-O107)*10000,0)*1000+(999-ROW()),"")</f>
        <v/>
      </c>
      <c r="AO107" s="40">
        <f>IF(AND(AF107=1,Q107&lt;&gt;"",Q107&gt;=Thr_Critical),L107*1000+(999-ROW()),"")</f>
        <v/>
      </c>
      <c r="AP107" s="40">
        <f>IF(AND(B107&lt;&gt;"",F107="نشط",OR(Rpt_Class="الكل",D107=Rpt_Class)),1,0)</f>
        <v/>
      </c>
      <c r="AQ107" s="40">
        <f>IF(AND(AP107=1,Q107&lt;&gt;"",Q107&gt;0),L107*1000+(999-ROW()),"")</f>
        <v/>
      </c>
      <c r="AR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IF(LateAsPresent="نعم",COUNTIFS('KG1-4'!$AD21:$IM21,"متأخر",'KG1-4'!$AD$7:$IM$7,"✓",'KG1-4'!$AD$6:$IM$6,1,'KG1-4'!$AD$5:$IM$5,"&gt;="&amp;MAX('KG1-4'!$U21,Rpt_PStart),'KG1-4'!$AD$5:$IM$5,"&lt;="&amp;Rpt_PEnd),0))</f>
        <v/>
      </c>
      <c r="AS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COUNTIFS('KG1-4'!$AD21:$IM21,"غياب بدون عذر",'KG1-4'!$AD$7:$IM$7,"✓",'KG1-4'!$AD$6:$IM$6,1,'KG1-4'!$AD$5:$IM$5,"&gt;="&amp;MAX('KG1-4'!$U21,Rpt_PStart),'KG1-4'!$AD$5:$IM$5,"&lt;="&amp;Rpt_PEnd)+COUNTIFS('KG1-4'!$AD21:$IM21,"غياب بعذر",'KG1-4'!$AD$7:$IM$7,"✓",'KG1-4'!$AD$6:$IM$6,1,'KG1-4'!$AD$5:$IM$5,"&gt;="&amp;MAX('KG1-4'!$U21,Rpt_PStart),'KG1-4'!$AD$5:$IM$5,"&lt;="&amp;Rpt_PEnd)+COUNTIFS('KG1-4'!$AD21:$IM21,"متأخر",'KG1-4'!$AD$7:$IM$7,"✓",'KG1-4'!$AD$6:$IM$6,1,'KG1-4'!$AD$5:$IM$5,"&gt;="&amp;MAX('KG1-4'!$U21,Rpt_PStart),'KG1-4'!$AD$5:$IM$5,"&lt;="&amp;Rpt_PEnd))</f>
        <v/>
      </c>
      <c r="AT107" s="40">
        <f>IF(AP107=0,"",COUNTIFS('KG1-4'!$AD21:$IM21,"غياب بدون عذر",'KG1-4'!$AD$7:$IM$7,"✓",'KG1-4'!$AD$6:$IM$6,1,'KG1-4'!$AD$5:$IM$5,"&gt;="&amp;MAX('KG1-4'!$U21,Rpt_PStart),'KG1-4'!$AD$5:$IM$5,"&lt;="&amp;Rpt_PEnd)+COUNTIFS('KG1-4'!$AD21:$IM21,"غياب بعذر",'KG1-4'!$AD$7:$IM$7,"✓",'KG1-4'!$AD$6:$IM$6,1,'KG1-4'!$AD$5:$IM$5,"&gt;="&amp;MAX('KG1-4'!$U21,Rpt_PStart),'KG1-4'!$AD$5:$IM$5,"&lt;="&amp;Rpt_PEnd))</f>
        <v/>
      </c>
      <c r="AU107" s="40" t="n">
        <v>4</v>
      </c>
      <c r="AV107" s="40" t="n">
        <v>13</v>
      </c>
      <c r="AW107" s="40">
        <f>IF(OR(AP107=0,Rpt_DayIdx=0),"",IF(INDEX('KG1-4'!$AD$7:$IM$7,Rpt_DayIdx)&lt;&gt;"✓","",IF(INDEX('KG1-4'!$AD21:$IM21,Rpt_DayIdx)="","P",IFERROR(INDEX(StatusCodes,MATCH(INDEX('KG1-4'!$AD21:$IM21,Rpt_DayIdx),StatusLabels,0)),""))))</f>
        <v/>
      </c>
      <c r="AX107" s="40">
        <f>IF(AND(AP107=1,OR(AW107="A",AW107="E")),COUNTIFS($AP$5:AP107,1,$AW$5:AW107,"A")+COUNTIFS($AP$5:AP107,1,$AW$5:AW107,"E"),"")</f>
        <v/>
      </c>
    </row>
    <row r="108">
      <c r="A108" s="148">
        <f>IF(B108="","",ROW()-4)</f>
        <v/>
      </c>
      <c r="B108" s="148">
        <f>IF('KG1-4'!$B22="","",'KG1-4'!$B22)</f>
        <v/>
      </c>
      <c r="C108" s="146">
        <f>IF('KG1-4'!$C22="","",'KG1-4'!$C22)</f>
        <v/>
      </c>
      <c r="D108" s="148">
        <f>IF(B108="","",'KG1-4'!$B$2)</f>
        <v/>
      </c>
      <c r="E108" s="148">
        <f>IF(B108="","",MID(D108,FIND("-",D108&amp;"-")+1,10))</f>
        <v/>
      </c>
      <c r="F108" s="148">
        <f>IF(B108="","","نشط")</f>
        <v/>
      </c>
      <c r="G108" s="157">
        <f>IF(B108="","","")</f>
        <v/>
      </c>
      <c r="H108" s="146">
        <f>IF('KG1-4'!$K22="","",'KG1-4'!$K22)</f>
        <v/>
      </c>
      <c r="I108" s="148">
        <f>IF('KG1-4'!$J22="","",'KG1-4'!$J22)</f>
        <v/>
      </c>
      <c r="J108" s="148">
        <f>IF('KG1-4'!$M22="","",'KG1-4'!$M22)</f>
        <v/>
      </c>
      <c r="K108" s="148">
        <f>IF('KG1-4'!$N22="","",'KG1-4'!$N22)</f>
        <v/>
      </c>
      <c r="L108" s="148">
        <f>IF('KG1-4'!$D22="","",'KG1-4'!$D22)</f>
        <v/>
      </c>
      <c r="M108" s="148">
        <f>IF('KG1-4'!$E22="","",'KG1-4'!$E22)</f>
        <v/>
      </c>
      <c r="N108" s="148">
        <f>IF('KG1-4'!$F22="","",'KG1-4'!$F22)</f>
        <v/>
      </c>
      <c r="O108" s="158">
        <f>IF('KG1-4'!$G22="","",'KG1-4'!$G22)</f>
        <v/>
      </c>
      <c r="P108" s="158">
        <f>IF('KG1-4'!$O22="","",'KG1-4'!$O22)</f>
        <v/>
      </c>
      <c r="Q108" s="148">
        <f>IF('KG1-4'!$T22="","",'KG1-4'!$T22)</f>
        <v/>
      </c>
      <c r="R108" s="146">
        <f>IF('KG1-4'!$H22="","",'KG1-4'!$H22)</f>
        <v/>
      </c>
      <c r="S108" s="157">
        <f>IF('KG1-4'!$P22="","",'KG1-4'!$P22)</f>
        <v/>
      </c>
      <c r="T108" s="157">
        <f>IF('KG1-4'!$V22="","",'KG1-4'!$V22)</f>
        <v/>
      </c>
      <c r="U108" s="157">
        <f>IF('KG1-4'!$W22="","",'KG1-4'!$W22)</f>
        <v/>
      </c>
      <c r="V108" s="157">
        <f>IF('KG1-4'!$X22="","",'KG1-4'!$X22)</f>
        <v/>
      </c>
      <c r="W108" s="157">
        <f>IF('KG1-4'!$Y22="","",'KG1-4'!$Y22)</f>
        <v/>
      </c>
      <c r="X108" s="157">
        <f>IF('KG1-4'!$R22="","",'KG1-4'!$R22)</f>
        <v/>
      </c>
      <c r="Y108" s="148">
        <f>IF('KG1-4'!$S22="","",'KG1-4'!$S22)</f>
        <v/>
      </c>
      <c r="Z108" s="148">
        <f>IF('KG1-4'!$Q22="","",'KG1-4'!$Q22)</f>
        <v/>
      </c>
      <c r="AA108" s="148">
        <f>IF('KG1-4'!$I22="","",'KG1-4'!$I22)</f>
        <v/>
      </c>
      <c r="AB108" s="146">
        <f>IF(Q108="","",INDEX(LevelActions,MATCH(Q108,LevelValues,0)))</f>
        <v/>
      </c>
      <c r="AC108" s="148">
        <f>IF(J108="","",IF(J108=0,"—",IF(AND(L108=0,M108=0),Cat_L1,IF(O108&gt;=Cat_95,Cat_L2,IF(O108&gt;=Cat_90,Cat_L3,Cat_L4)))))</f>
        <v/>
      </c>
      <c r="AD108" s="146">
        <f>IF('KG1-4'!$L22="","",'KG1-4'!$L22)</f>
        <v/>
      </c>
      <c r="AE108" s="148">
        <f>IF(B108="","",IF(COUNTIF($B$5:$B$214,B108)&gt;1,"مكرر!",""))</f>
        <v/>
      </c>
      <c r="AF108" s="148">
        <f>IF(AND(B108&lt;&gt;"",F108="نشط",OR(Dash_Class="الكل",D108=Dash_Class)),1,0)</f>
        <v/>
      </c>
      <c r="AG108" s="40">
        <f>IF(OR(AF108=0,Dash_DayIdx=0),"",IF(INDEX('KG1-4'!$AD$7:$IM$7,Dash_DayIdx)&lt;&gt;"✓","",IF(INDEX('KG1-4'!$AD22:$IM22,Dash_DayIdx)="","P",IFERROR(INDEX(StatusCodes,MATCH(INDEX('KG1-4'!$AD22:$IM22,Dash_DayIdx),StatusLabels,0)),""))))</f>
        <v/>
      </c>
      <c r="AH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IF(LateAsPresent="نعم",COUNTIFS('KG1-4'!$AD22:$IM22,"متأخر",'KG1-4'!$AD$7:$IM$7,"✓",'KG1-4'!$AD$6:$IM$6,1,'KG1-4'!$AD$5:$IM$5,"&gt;="&amp;MAX('KG1-4'!$U22,Dash_PStart),'KG1-4'!$AD$5:$IM$5,"&lt;="&amp;Dash_PEnd),0))</f>
        <v/>
      </c>
      <c r="AI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COUNTIFS('KG1-4'!$AD22:$IM22,"غياب بدون عذر",'KG1-4'!$AD$7:$IM$7,"✓",'KG1-4'!$AD$6:$IM$6,1,'KG1-4'!$AD$5:$IM$5,"&gt;="&amp;MAX('KG1-4'!$U22,Dash_PStart),'KG1-4'!$AD$5:$IM$5,"&lt;="&amp;Dash_PEnd)+COUNTIFS('KG1-4'!$AD22:$IM22,"غياب بعذر",'KG1-4'!$AD$7:$IM$7,"✓",'KG1-4'!$AD$6:$IM$6,1,'KG1-4'!$AD$5:$IM$5,"&gt;="&amp;MAX('KG1-4'!$U22,Dash_PStart),'KG1-4'!$AD$5:$IM$5,"&lt;="&amp;Dash_PEnd)+COUNTIFS('KG1-4'!$AD22:$IM22,"متأخر",'KG1-4'!$AD$7:$IM$7,"✓",'KG1-4'!$AD$6:$IM$6,1,'KG1-4'!$AD$5:$IM$5,"&gt;="&amp;MAX('KG1-4'!$U22,Dash_PStart),'KG1-4'!$AD$5:$IM$5,"&lt;="&amp;Dash_PEnd))</f>
        <v/>
      </c>
      <c r="AJ108" s="40">
        <f>IF(AF108=0,0,IF(W108=Dash_Date,Thr_Critical,IF(V108=Dash_Date,Thr_High,IF(U108=Dash_Date,Thr_Repeated,IF(T108=Dash_Date,Thr_FollowUp,0)))))</f>
        <v/>
      </c>
      <c r="AK108" s="40">
        <f>IF(AJ108&gt;0,COUNTIF($AJ$5:AJ108,"&gt;0"),"")</f>
        <v/>
      </c>
      <c r="AL108" s="40">
        <f>IF(AND(B108&lt;&gt;"",F108="نشط",Q108&lt;&gt;"",Q108&gt;0),L108*1000+(999-ROW()),"")</f>
        <v/>
      </c>
      <c r="AM108" s="40">
        <f>IF(AND(AF108=1,J108&lt;&gt;"",J108&gt;0),ROUND(O108*10000,0)*1000000+K108*1000+(999-ROW()),"")</f>
        <v/>
      </c>
      <c r="AN108" s="40">
        <f>IF(AND(AF108=1,J108&lt;&gt;"",J108&gt;0),(L108+M108)*10000000+ROUND((1-O108)*10000,0)*1000+(999-ROW()),"")</f>
        <v/>
      </c>
      <c r="AO108" s="40">
        <f>IF(AND(AF108=1,Q108&lt;&gt;"",Q108&gt;=Thr_Critical),L108*1000+(999-ROW()),"")</f>
        <v/>
      </c>
      <c r="AP108" s="40">
        <f>IF(AND(B108&lt;&gt;"",F108="نشط",OR(Rpt_Class="الكل",D108=Rpt_Class)),1,0)</f>
        <v/>
      </c>
      <c r="AQ108" s="40">
        <f>IF(AND(AP108=1,Q108&lt;&gt;"",Q108&gt;0),L108*1000+(999-ROW()),"")</f>
        <v/>
      </c>
      <c r="AR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IF(LateAsPresent="نعم",COUNTIFS('KG1-4'!$AD22:$IM22,"متأخر",'KG1-4'!$AD$7:$IM$7,"✓",'KG1-4'!$AD$6:$IM$6,1,'KG1-4'!$AD$5:$IM$5,"&gt;="&amp;MAX('KG1-4'!$U22,Rpt_PStart),'KG1-4'!$AD$5:$IM$5,"&lt;="&amp;Rpt_PEnd),0))</f>
        <v/>
      </c>
      <c r="AS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COUNTIFS('KG1-4'!$AD22:$IM22,"غياب بدون عذر",'KG1-4'!$AD$7:$IM$7,"✓",'KG1-4'!$AD$6:$IM$6,1,'KG1-4'!$AD$5:$IM$5,"&gt;="&amp;MAX('KG1-4'!$U22,Rpt_PStart),'KG1-4'!$AD$5:$IM$5,"&lt;="&amp;Rpt_PEnd)+COUNTIFS('KG1-4'!$AD22:$IM22,"غياب بعذر",'KG1-4'!$AD$7:$IM$7,"✓",'KG1-4'!$AD$6:$IM$6,1,'KG1-4'!$AD$5:$IM$5,"&gt;="&amp;MAX('KG1-4'!$U22,Rpt_PStart),'KG1-4'!$AD$5:$IM$5,"&lt;="&amp;Rpt_PEnd)+COUNTIFS('KG1-4'!$AD22:$IM22,"متأخر",'KG1-4'!$AD$7:$IM$7,"✓",'KG1-4'!$AD$6:$IM$6,1,'KG1-4'!$AD$5:$IM$5,"&gt;="&amp;MAX('KG1-4'!$U22,Rpt_PStart),'KG1-4'!$AD$5:$IM$5,"&lt;="&amp;Rpt_PEnd))</f>
        <v/>
      </c>
      <c r="AT108" s="40">
        <f>IF(AP108=0,"",COUNTIFS('KG1-4'!$AD22:$IM22,"غياب بدون عذر",'KG1-4'!$AD$7:$IM$7,"✓",'KG1-4'!$AD$6:$IM$6,1,'KG1-4'!$AD$5:$IM$5,"&gt;="&amp;MAX('KG1-4'!$U22,Rpt_PStart),'KG1-4'!$AD$5:$IM$5,"&lt;="&amp;Rpt_PEnd)+COUNTIFS('KG1-4'!$AD22:$IM22,"غياب بعذر",'KG1-4'!$AD$7:$IM$7,"✓",'KG1-4'!$AD$6:$IM$6,1,'KG1-4'!$AD$5:$IM$5,"&gt;="&amp;MAX('KG1-4'!$U22,Rpt_PStart),'KG1-4'!$AD$5:$IM$5,"&lt;="&amp;Rpt_PEnd))</f>
        <v/>
      </c>
      <c r="AU108" s="40" t="n">
        <v>4</v>
      </c>
      <c r="AV108" s="40" t="n">
        <v>14</v>
      </c>
      <c r="AW108" s="40">
        <f>IF(OR(AP108=0,Rpt_DayIdx=0),"",IF(INDEX('KG1-4'!$AD$7:$IM$7,Rpt_DayIdx)&lt;&gt;"✓","",IF(INDEX('KG1-4'!$AD22:$IM22,Rpt_DayIdx)="","P",IFERROR(INDEX(StatusCodes,MATCH(INDEX('KG1-4'!$AD22:$IM22,Rpt_DayIdx),StatusLabels,0)),""))))</f>
        <v/>
      </c>
      <c r="AX108" s="40">
        <f>IF(AND(AP108=1,OR(AW108="A",AW108="E")),COUNTIFS($AP$5:AP108,1,$AW$5:AW108,"A")+COUNTIFS($AP$5:AP108,1,$AW$5:AW108,"E"),"")</f>
        <v/>
      </c>
    </row>
    <row r="109">
      <c r="A109" s="148">
        <f>IF(B109="","",ROW()-4)</f>
        <v/>
      </c>
      <c r="B109" s="148">
        <f>IF('KG1-4'!$B23="","",'KG1-4'!$B23)</f>
        <v/>
      </c>
      <c r="C109" s="146">
        <f>IF('KG1-4'!$C23="","",'KG1-4'!$C23)</f>
        <v/>
      </c>
      <c r="D109" s="148">
        <f>IF(B109="","",'KG1-4'!$B$2)</f>
        <v/>
      </c>
      <c r="E109" s="148">
        <f>IF(B109="","",MID(D109,FIND("-",D109&amp;"-")+1,10))</f>
        <v/>
      </c>
      <c r="F109" s="148">
        <f>IF(B109="","","نشط")</f>
        <v/>
      </c>
      <c r="G109" s="157">
        <f>IF(B109="","","")</f>
        <v/>
      </c>
      <c r="H109" s="146">
        <f>IF('KG1-4'!$K23="","",'KG1-4'!$K23)</f>
        <v/>
      </c>
      <c r="I109" s="148">
        <f>IF('KG1-4'!$J23="","",'KG1-4'!$J23)</f>
        <v/>
      </c>
      <c r="J109" s="148">
        <f>IF('KG1-4'!$M23="","",'KG1-4'!$M23)</f>
        <v/>
      </c>
      <c r="K109" s="148">
        <f>IF('KG1-4'!$N23="","",'KG1-4'!$N23)</f>
        <v/>
      </c>
      <c r="L109" s="148">
        <f>IF('KG1-4'!$D23="","",'KG1-4'!$D23)</f>
        <v/>
      </c>
      <c r="M109" s="148">
        <f>IF('KG1-4'!$E23="","",'KG1-4'!$E23)</f>
        <v/>
      </c>
      <c r="N109" s="148">
        <f>IF('KG1-4'!$F23="","",'KG1-4'!$F23)</f>
        <v/>
      </c>
      <c r="O109" s="158">
        <f>IF('KG1-4'!$G23="","",'KG1-4'!$G23)</f>
        <v/>
      </c>
      <c r="P109" s="158">
        <f>IF('KG1-4'!$O23="","",'KG1-4'!$O23)</f>
        <v/>
      </c>
      <c r="Q109" s="148">
        <f>IF('KG1-4'!$T23="","",'KG1-4'!$T23)</f>
        <v/>
      </c>
      <c r="R109" s="146">
        <f>IF('KG1-4'!$H23="","",'KG1-4'!$H23)</f>
        <v/>
      </c>
      <c r="S109" s="157">
        <f>IF('KG1-4'!$P23="","",'KG1-4'!$P23)</f>
        <v/>
      </c>
      <c r="T109" s="157">
        <f>IF('KG1-4'!$V23="","",'KG1-4'!$V23)</f>
        <v/>
      </c>
      <c r="U109" s="157">
        <f>IF('KG1-4'!$W23="","",'KG1-4'!$W23)</f>
        <v/>
      </c>
      <c r="V109" s="157">
        <f>IF('KG1-4'!$X23="","",'KG1-4'!$X23)</f>
        <v/>
      </c>
      <c r="W109" s="157">
        <f>IF('KG1-4'!$Y23="","",'KG1-4'!$Y23)</f>
        <v/>
      </c>
      <c r="X109" s="157">
        <f>IF('KG1-4'!$R23="","",'KG1-4'!$R23)</f>
        <v/>
      </c>
      <c r="Y109" s="148">
        <f>IF('KG1-4'!$S23="","",'KG1-4'!$S23)</f>
        <v/>
      </c>
      <c r="Z109" s="148">
        <f>IF('KG1-4'!$Q23="","",'KG1-4'!$Q23)</f>
        <v/>
      </c>
      <c r="AA109" s="148">
        <f>IF('KG1-4'!$I23="","",'KG1-4'!$I23)</f>
        <v/>
      </c>
      <c r="AB109" s="146">
        <f>IF(Q109="","",INDEX(LevelActions,MATCH(Q109,LevelValues,0)))</f>
        <v/>
      </c>
      <c r="AC109" s="148">
        <f>IF(J109="","",IF(J109=0,"—",IF(AND(L109=0,M109=0),Cat_L1,IF(O109&gt;=Cat_95,Cat_L2,IF(O109&gt;=Cat_90,Cat_L3,Cat_L4)))))</f>
        <v/>
      </c>
      <c r="AD109" s="146">
        <f>IF('KG1-4'!$L23="","",'KG1-4'!$L23)</f>
        <v/>
      </c>
      <c r="AE109" s="148">
        <f>IF(B109="","",IF(COUNTIF($B$5:$B$214,B109)&gt;1,"مكرر!",""))</f>
        <v/>
      </c>
      <c r="AF109" s="148">
        <f>IF(AND(B109&lt;&gt;"",F109="نشط",OR(Dash_Class="الكل",D109=Dash_Class)),1,0)</f>
        <v/>
      </c>
      <c r="AG109" s="40">
        <f>IF(OR(AF109=0,Dash_DayIdx=0),"",IF(INDEX('KG1-4'!$AD$7:$IM$7,Dash_DayIdx)&lt;&gt;"✓","",IF(INDEX('KG1-4'!$AD23:$IM23,Dash_DayIdx)="","P",IFERROR(INDEX(StatusCodes,MATCH(INDEX('KG1-4'!$AD23:$IM23,Dash_DayIdx),StatusLabels,0)),""))))</f>
        <v/>
      </c>
      <c r="AH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IF(LateAsPresent="نعم",COUNTIFS('KG1-4'!$AD23:$IM23,"متأخر",'KG1-4'!$AD$7:$IM$7,"✓",'KG1-4'!$AD$6:$IM$6,1,'KG1-4'!$AD$5:$IM$5,"&gt;="&amp;MAX('KG1-4'!$U23,Dash_PStart),'KG1-4'!$AD$5:$IM$5,"&lt;="&amp;Dash_PEnd),0))</f>
        <v/>
      </c>
      <c r="AI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COUNTIFS('KG1-4'!$AD23:$IM23,"غياب بدون عذر",'KG1-4'!$AD$7:$IM$7,"✓",'KG1-4'!$AD$6:$IM$6,1,'KG1-4'!$AD$5:$IM$5,"&gt;="&amp;MAX('KG1-4'!$U23,Dash_PStart),'KG1-4'!$AD$5:$IM$5,"&lt;="&amp;Dash_PEnd)+COUNTIFS('KG1-4'!$AD23:$IM23,"غياب بعذر",'KG1-4'!$AD$7:$IM$7,"✓",'KG1-4'!$AD$6:$IM$6,1,'KG1-4'!$AD$5:$IM$5,"&gt;="&amp;MAX('KG1-4'!$U23,Dash_PStart),'KG1-4'!$AD$5:$IM$5,"&lt;="&amp;Dash_PEnd)+COUNTIFS('KG1-4'!$AD23:$IM23,"متأخر",'KG1-4'!$AD$7:$IM$7,"✓",'KG1-4'!$AD$6:$IM$6,1,'KG1-4'!$AD$5:$IM$5,"&gt;="&amp;MAX('KG1-4'!$U23,Dash_PStart),'KG1-4'!$AD$5:$IM$5,"&lt;="&amp;Dash_PEnd))</f>
        <v/>
      </c>
      <c r="AJ109" s="40">
        <f>IF(AF109=0,0,IF(W109=Dash_Date,Thr_Critical,IF(V109=Dash_Date,Thr_High,IF(U109=Dash_Date,Thr_Repeated,IF(T109=Dash_Date,Thr_FollowUp,0)))))</f>
        <v/>
      </c>
      <c r="AK109" s="40">
        <f>IF(AJ109&gt;0,COUNTIF($AJ$5:AJ109,"&gt;0"),"")</f>
        <v/>
      </c>
      <c r="AL109" s="40">
        <f>IF(AND(B109&lt;&gt;"",F109="نشط",Q109&lt;&gt;"",Q109&gt;0),L109*1000+(999-ROW()),"")</f>
        <v/>
      </c>
      <c r="AM109" s="40">
        <f>IF(AND(AF109=1,J109&lt;&gt;"",J109&gt;0),ROUND(O109*10000,0)*1000000+K109*1000+(999-ROW()),"")</f>
        <v/>
      </c>
      <c r="AN109" s="40">
        <f>IF(AND(AF109=1,J109&lt;&gt;"",J109&gt;0),(L109+M109)*10000000+ROUND((1-O109)*10000,0)*1000+(999-ROW()),"")</f>
        <v/>
      </c>
      <c r="AO109" s="40">
        <f>IF(AND(AF109=1,Q109&lt;&gt;"",Q109&gt;=Thr_Critical),L109*1000+(999-ROW()),"")</f>
        <v/>
      </c>
      <c r="AP109" s="40">
        <f>IF(AND(B109&lt;&gt;"",F109="نشط",OR(Rpt_Class="الكل",D109=Rpt_Class)),1,0)</f>
        <v/>
      </c>
      <c r="AQ109" s="40">
        <f>IF(AND(AP109=1,Q109&lt;&gt;"",Q109&gt;0),L109*1000+(999-ROW()),"")</f>
        <v/>
      </c>
      <c r="AR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IF(LateAsPresent="نعم",COUNTIFS('KG1-4'!$AD23:$IM23,"متأخر",'KG1-4'!$AD$7:$IM$7,"✓",'KG1-4'!$AD$6:$IM$6,1,'KG1-4'!$AD$5:$IM$5,"&gt;="&amp;MAX('KG1-4'!$U23,Rpt_PStart),'KG1-4'!$AD$5:$IM$5,"&lt;="&amp;Rpt_PEnd),0))</f>
        <v/>
      </c>
      <c r="AS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COUNTIFS('KG1-4'!$AD23:$IM23,"غياب بدون عذر",'KG1-4'!$AD$7:$IM$7,"✓",'KG1-4'!$AD$6:$IM$6,1,'KG1-4'!$AD$5:$IM$5,"&gt;="&amp;MAX('KG1-4'!$U23,Rpt_PStart),'KG1-4'!$AD$5:$IM$5,"&lt;="&amp;Rpt_PEnd)+COUNTIFS('KG1-4'!$AD23:$IM23,"غياب بعذر",'KG1-4'!$AD$7:$IM$7,"✓",'KG1-4'!$AD$6:$IM$6,1,'KG1-4'!$AD$5:$IM$5,"&gt;="&amp;MAX('KG1-4'!$U23,Rpt_PStart),'KG1-4'!$AD$5:$IM$5,"&lt;="&amp;Rpt_PEnd)+COUNTIFS('KG1-4'!$AD23:$IM23,"متأخر",'KG1-4'!$AD$7:$IM$7,"✓",'KG1-4'!$AD$6:$IM$6,1,'KG1-4'!$AD$5:$IM$5,"&gt;="&amp;MAX('KG1-4'!$U23,Rpt_PStart),'KG1-4'!$AD$5:$IM$5,"&lt;="&amp;Rpt_PEnd))</f>
        <v/>
      </c>
      <c r="AT109" s="40">
        <f>IF(AP109=0,"",COUNTIFS('KG1-4'!$AD23:$IM23,"غياب بدون عذر",'KG1-4'!$AD$7:$IM$7,"✓",'KG1-4'!$AD$6:$IM$6,1,'KG1-4'!$AD$5:$IM$5,"&gt;="&amp;MAX('KG1-4'!$U23,Rpt_PStart),'KG1-4'!$AD$5:$IM$5,"&lt;="&amp;Rpt_PEnd)+COUNTIFS('KG1-4'!$AD23:$IM23,"غياب بعذر",'KG1-4'!$AD$7:$IM$7,"✓",'KG1-4'!$AD$6:$IM$6,1,'KG1-4'!$AD$5:$IM$5,"&gt;="&amp;MAX('KG1-4'!$U23,Rpt_PStart),'KG1-4'!$AD$5:$IM$5,"&lt;="&amp;Rpt_PEnd))</f>
        <v/>
      </c>
      <c r="AU109" s="40" t="n">
        <v>4</v>
      </c>
      <c r="AV109" s="40" t="n">
        <v>15</v>
      </c>
      <c r="AW109" s="40">
        <f>IF(OR(AP109=0,Rpt_DayIdx=0),"",IF(INDEX('KG1-4'!$AD$7:$IM$7,Rpt_DayIdx)&lt;&gt;"✓","",IF(INDEX('KG1-4'!$AD23:$IM23,Rpt_DayIdx)="","P",IFERROR(INDEX(StatusCodes,MATCH(INDEX('KG1-4'!$AD23:$IM23,Rpt_DayIdx),StatusLabels,0)),""))))</f>
        <v/>
      </c>
      <c r="AX109" s="40">
        <f>IF(AND(AP109=1,OR(AW109="A",AW109="E")),COUNTIFS($AP$5:AP109,1,$AW$5:AW109,"A")+COUNTIFS($AP$5:AP109,1,$AW$5:AW109,"E"),"")</f>
        <v/>
      </c>
    </row>
    <row r="110">
      <c r="A110" s="148">
        <f>IF(B110="","",ROW()-4)</f>
        <v/>
      </c>
      <c r="B110" s="148">
        <f>IF('KG1-4'!$B24="","",'KG1-4'!$B24)</f>
        <v/>
      </c>
      <c r="C110" s="146">
        <f>IF('KG1-4'!$C24="","",'KG1-4'!$C24)</f>
        <v/>
      </c>
      <c r="D110" s="148">
        <f>IF(B110="","",'KG1-4'!$B$2)</f>
        <v/>
      </c>
      <c r="E110" s="148">
        <f>IF(B110="","",MID(D110,FIND("-",D110&amp;"-")+1,10))</f>
        <v/>
      </c>
      <c r="F110" s="148">
        <f>IF(B110="","","نشط")</f>
        <v/>
      </c>
      <c r="G110" s="157">
        <f>IF(B110="","","")</f>
        <v/>
      </c>
      <c r="H110" s="146">
        <f>IF('KG1-4'!$K24="","",'KG1-4'!$K24)</f>
        <v/>
      </c>
      <c r="I110" s="148">
        <f>IF('KG1-4'!$J24="","",'KG1-4'!$J24)</f>
        <v/>
      </c>
      <c r="J110" s="148">
        <f>IF('KG1-4'!$M24="","",'KG1-4'!$M24)</f>
        <v/>
      </c>
      <c r="K110" s="148">
        <f>IF('KG1-4'!$N24="","",'KG1-4'!$N24)</f>
        <v/>
      </c>
      <c r="L110" s="148">
        <f>IF('KG1-4'!$D24="","",'KG1-4'!$D24)</f>
        <v/>
      </c>
      <c r="M110" s="148">
        <f>IF('KG1-4'!$E24="","",'KG1-4'!$E24)</f>
        <v/>
      </c>
      <c r="N110" s="148">
        <f>IF('KG1-4'!$F24="","",'KG1-4'!$F24)</f>
        <v/>
      </c>
      <c r="O110" s="158">
        <f>IF('KG1-4'!$G24="","",'KG1-4'!$G24)</f>
        <v/>
      </c>
      <c r="P110" s="158">
        <f>IF('KG1-4'!$O24="","",'KG1-4'!$O24)</f>
        <v/>
      </c>
      <c r="Q110" s="148">
        <f>IF('KG1-4'!$T24="","",'KG1-4'!$T24)</f>
        <v/>
      </c>
      <c r="R110" s="146">
        <f>IF('KG1-4'!$H24="","",'KG1-4'!$H24)</f>
        <v/>
      </c>
      <c r="S110" s="157">
        <f>IF('KG1-4'!$P24="","",'KG1-4'!$P24)</f>
        <v/>
      </c>
      <c r="T110" s="157">
        <f>IF('KG1-4'!$V24="","",'KG1-4'!$V24)</f>
        <v/>
      </c>
      <c r="U110" s="157">
        <f>IF('KG1-4'!$W24="","",'KG1-4'!$W24)</f>
        <v/>
      </c>
      <c r="V110" s="157">
        <f>IF('KG1-4'!$X24="","",'KG1-4'!$X24)</f>
        <v/>
      </c>
      <c r="W110" s="157">
        <f>IF('KG1-4'!$Y24="","",'KG1-4'!$Y24)</f>
        <v/>
      </c>
      <c r="X110" s="157">
        <f>IF('KG1-4'!$R24="","",'KG1-4'!$R24)</f>
        <v/>
      </c>
      <c r="Y110" s="148">
        <f>IF('KG1-4'!$S24="","",'KG1-4'!$S24)</f>
        <v/>
      </c>
      <c r="Z110" s="148">
        <f>IF('KG1-4'!$Q24="","",'KG1-4'!$Q24)</f>
        <v/>
      </c>
      <c r="AA110" s="148">
        <f>IF('KG1-4'!$I24="","",'KG1-4'!$I24)</f>
        <v/>
      </c>
      <c r="AB110" s="146">
        <f>IF(Q110="","",INDEX(LevelActions,MATCH(Q110,LevelValues,0)))</f>
        <v/>
      </c>
      <c r="AC110" s="148">
        <f>IF(J110="","",IF(J110=0,"—",IF(AND(L110=0,M110=0),Cat_L1,IF(O110&gt;=Cat_95,Cat_L2,IF(O110&gt;=Cat_90,Cat_L3,Cat_L4)))))</f>
        <v/>
      </c>
      <c r="AD110" s="146">
        <f>IF('KG1-4'!$L24="","",'KG1-4'!$L24)</f>
        <v/>
      </c>
      <c r="AE110" s="148">
        <f>IF(B110="","",IF(COUNTIF($B$5:$B$214,B110)&gt;1,"مكرر!",""))</f>
        <v/>
      </c>
      <c r="AF110" s="148">
        <f>IF(AND(B110&lt;&gt;"",F110="نشط",OR(Dash_Class="الكل",D110=Dash_Class)),1,0)</f>
        <v/>
      </c>
      <c r="AG110" s="40">
        <f>IF(OR(AF110=0,Dash_DayIdx=0),"",IF(INDEX('KG1-4'!$AD$7:$IM$7,Dash_DayIdx)&lt;&gt;"✓","",IF(INDEX('KG1-4'!$AD24:$IM24,Dash_DayIdx)="","P",IFERROR(INDEX(StatusCodes,MATCH(INDEX('KG1-4'!$AD24:$IM24,Dash_DayIdx),StatusLabels,0)),""))))</f>
        <v/>
      </c>
      <c r="AH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IF(LateAsPresent="نعم",COUNTIFS('KG1-4'!$AD24:$IM24,"متأخر",'KG1-4'!$AD$7:$IM$7,"✓",'KG1-4'!$AD$6:$IM$6,1,'KG1-4'!$AD$5:$IM$5,"&gt;="&amp;MAX('KG1-4'!$U24,Dash_PStart),'KG1-4'!$AD$5:$IM$5,"&lt;="&amp;Dash_PEnd),0))</f>
        <v/>
      </c>
      <c r="AI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COUNTIFS('KG1-4'!$AD24:$IM24,"غياب بدون عذر",'KG1-4'!$AD$7:$IM$7,"✓",'KG1-4'!$AD$6:$IM$6,1,'KG1-4'!$AD$5:$IM$5,"&gt;="&amp;MAX('KG1-4'!$U24,Dash_PStart),'KG1-4'!$AD$5:$IM$5,"&lt;="&amp;Dash_PEnd)+COUNTIFS('KG1-4'!$AD24:$IM24,"غياب بعذر",'KG1-4'!$AD$7:$IM$7,"✓",'KG1-4'!$AD$6:$IM$6,1,'KG1-4'!$AD$5:$IM$5,"&gt;="&amp;MAX('KG1-4'!$U24,Dash_PStart),'KG1-4'!$AD$5:$IM$5,"&lt;="&amp;Dash_PEnd)+COUNTIFS('KG1-4'!$AD24:$IM24,"متأخر",'KG1-4'!$AD$7:$IM$7,"✓",'KG1-4'!$AD$6:$IM$6,1,'KG1-4'!$AD$5:$IM$5,"&gt;="&amp;MAX('KG1-4'!$U24,Dash_PStart),'KG1-4'!$AD$5:$IM$5,"&lt;="&amp;Dash_PEnd))</f>
        <v/>
      </c>
      <c r="AJ110" s="40">
        <f>IF(AF110=0,0,IF(W110=Dash_Date,Thr_Critical,IF(V110=Dash_Date,Thr_High,IF(U110=Dash_Date,Thr_Repeated,IF(T110=Dash_Date,Thr_FollowUp,0)))))</f>
        <v/>
      </c>
      <c r="AK110" s="40">
        <f>IF(AJ110&gt;0,COUNTIF($AJ$5:AJ110,"&gt;0"),"")</f>
        <v/>
      </c>
      <c r="AL110" s="40">
        <f>IF(AND(B110&lt;&gt;"",F110="نشط",Q110&lt;&gt;"",Q110&gt;0),L110*1000+(999-ROW()),"")</f>
        <v/>
      </c>
      <c r="AM110" s="40">
        <f>IF(AND(AF110=1,J110&lt;&gt;"",J110&gt;0),ROUND(O110*10000,0)*1000000+K110*1000+(999-ROW()),"")</f>
        <v/>
      </c>
      <c r="AN110" s="40">
        <f>IF(AND(AF110=1,J110&lt;&gt;"",J110&gt;0),(L110+M110)*10000000+ROUND((1-O110)*10000,0)*1000+(999-ROW()),"")</f>
        <v/>
      </c>
      <c r="AO110" s="40">
        <f>IF(AND(AF110=1,Q110&lt;&gt;"",Q110&gt;=Thr_Critical),L110*1000+(999-ROW()),"")</f>
        <v/>
      </c>
      <c r="AP110" s="40">
        <f>IF(AND(B110&lt;&gt;"",F110="نشط",OR(Rpt_Class="الكل",D110=Rpt_Class)),1,0)</f>
        <v/>
      </c>
      <c r="AQ110" s="40">
        <f>IF(AND(AP110=1,Q110&lt;&gt;"",Q110&gt;0),L110*1000+(999-ROW()),"")</f>
        <v/>
      </c>
      <c r="AR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IF(LateAsPresent="نعم",COUNTIFS('KG1-4'!$AD24:$IM24,"متأخر",'KG1-4'!$AD$7:$IM$7,"✓",'KG1-4'!$AD$6:$IM$6,1,'KG1-4'!$AD$5:$IM$5,"&gt;="&amp;MAX('KG1-4'!$U24,Rpt_PStart),'KG1-4'!$AD$5:$IM$5,"&lt;="&amp;Rpt_PEnd),0))</f>
        <v/>
      </c>
      <c r="AS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COUNTIFS('KG1-4'!$AD24:$IM24,"غياب بدون عذر",'KG1-4'!$AD$7:$IM$7,"✓",'KG1-4'!$AD$6:$IM$6,1,'KG1-4'!$AD$5:$IM$5,"&gt;="&amp;MAX('KG1-4'!$U24,Rpt_PStart),'KG1-4'!$AD$5:$IM$5,"&lt;="&amp;Rpt_PEnd)+COUNTIFS('KG1-4'!$AD24:$IM24,"غياب بعذر",'KG1-4'!$AD$7:$IM$7,"✓",'KG1-4'!$AD$6:$IM$6,1,'KG1-4'!$AD$5:$IM$5,"&gt;="&amp;MAX('KG1-4'!$U24,Rpt_PStart),'KG1-4'!$AD$5:$IM$5,"&lt;="&amp;Rpt_PEnd)+COUNTIFS('KG1-4'!$AD24:$IM24,"متأخر",'KG1-4'!$AD$7:$IM$7,"✓",'KG1-4'!$AD$6:$IM$6,1,'KG1-4'!$AD$5:$IM$5,"&gt;="&amp;MAX('KG1-4'!$U24,Rpt_PStart),'KG1-4'!$AD$5:$IM$5,"&lt;="&amp;Rpt_PEnd))</f>
        <v/>
      </c>
      <c r="AT110" s="40">
        <f>IF(AP110=0,"",COUNTIFS('KG1-4'!$AD24:$IM24,"غياب بدون عذر",'KG1-4'!$AD$7:$IM$7,"✓",'KG1-4'!$AD$6:$IM$6,1,'KG1-4'!$AD$5:$IM$5,"&gt;="&amp;MAX('KG1-4'!$U24,Rpt_PStart),'KG1-4'!$AD$5:$IM$5,"&lt;="&amp;Rpt_PEnd)+COUNTIFS('KG1-4'!$AD24:$IM24,"غياب بعذر",'KG1-4'!$AD$7:$IM$7,"✓",'KG1-4'!$AD$6:$IM$6,1,'KG1-4'!$AD$5:$IM$5,"&gt;="&amp;MAX('KG1-4'!$U24,Rpt_PStart),'KG1-4'!$AD$5:$IM$5,"&lt;="&amp;Rpt_PEnd))</f>
        <v/>
      </c>
      <c r="AU110" s="40" t="n">
        <v>4</v>
      </c>
      <c r="AV110" s="40" t="n">
        <v>16</v>
      </c>
      <c r="AW110" s="40">
        <f>IF(OR(AP110=0,Rpt_DayIdx=0),"",IF(INDEX('KG1-4'!$AD$7:$IM$7,Rpt_DayIdx)&lt;&gt;"✓","",IF(INDEX('KG1-4'!$AD24:$IM24,Rpt_DayIdx)="","P",IFERROR(INDEX(StatusCodes,MATCH(INDEX('KG1-4'!$AD24:$IM24,Rpt_DayIdx),StatusLabels,0)),""))))</f>
        <v/>
      </c>
      <c r="AX110" s="40">
        <f>IF(AND(AP110=1,OR(AW110="A",AW110="E")),COUNTIFS($AP$5:AP110,1,$AW$5:AW110,"A")+COUNTIFS($AP$5:AP110,1,$AW$5:AW110,"E"),"")</f>
        <v/>
      </c>
    </row>
    <row r="111">
      <c r="A111" s="148">
        <f>IF(B111="","",ROW()-4)</f>
        <v/>
      </c>
      <c r="B111" s="148">
        <f>IF('KG1-4'!$B25="","",'KG1-4'!$B25)</f>
        <v/>
      </c>
      <c r="C111" s="146">
        <f>IF('KG1-4'!$C25="","",'KG1-4'!$C25)</f>
        <v/>
      </c>
      <c r="D111" s="148">
        <f>IF(B111="","",'KG1-4'!$B$2)</f>
        <v/>
      </c>
      <c r="E111" s="148">
        <f>IF(B111="","",MID(D111,FIND("-",D111&amp;"-")+1,10))</f>
        <v/>
      </c>
      <c r="F111" s="148">
        <f>IF(B111="","","نشط")</f>
        <v/>
      </c>
      <c r="G111" s="157">
        <f>IF(B111="","","")</f>
        <v/>
      </c>
      <c r="H111" s="146">
        <f>IF('KG1-4'!$K25="","",'KG1-4'!$K25)</f>
        <v/>
      </c>
      <c r="I111" s="148">
        <f>IF('KG1-4'!$J25="","",'KG1-4'!$J25)</f>
        <v/>
      </c>
      <c r="J111" s="148">
        <f>IF('KG1-4'!$M25="","",'KG1-4'!$M25)</f>
        <v/>
      </c>
      <c r="K111" s="148">
        <f>IF('KG1-4'!$N25="","",'KG1-4'!$N25)</f>
        <v/>
      </c>
      <c r="L111" s="148">
        <f>IF('KG1-4'!$D25="","",'KG1-4'!$D25)</f>
        <v/>
      </c>
      <c r="M111" s="148">
        <f>IF('KG1-4'!$E25="","",'KG1-4'!$E25)</f>
        <v/>
      </c>
      <c r="N111" s="148">
        <f>IF('KG1-4'!$F25="","",'KG1-4'!$F25)</f>
        <v/>
      </c>
      <c r="O111" s="158">
        <f>IF('KG1-4'!$G25="","",'KG1-4'!$G25)</f>
        <v/>
      </c>
      <c r="P111" s="158">
        <f>IF('KG1-4'!$O25="","",'KG1-4'!$O25)</f>
        <v/>
      </c>
      <c r="Q111" s="148">
        <f>IF('KG1-4'!$T25="","",'KG1-4'!$T25)</f>
        <v/>
      </c>
      <c r="R111" s="146">
        <f>IF('KG1-4'!$H25="","",'KG1-4'!$H25)</f>
        <v/>
      </c>
      <c r="S111" s="157">
        <f>IF('KG1-4'!$P25="","",'KG1-4'!$P25)</f>
        <v/>
      </c>
      <c r="T111" s="157">
        <f>IF('KG1-4'!$V25="","",'KG1-4'!$V25)</f>
        <v/>
      </c>
      <c r="U111" s="157">
        <f>IF('KG1-4'!$W25="","",'KG1-4'!$W25)</f>
        <v/>
      </c>
      <c r="V111" s="157">
        <f>IF('KG1-4'!$X25="","",'KG1-4'!$X25)</f>
        <v/>
      </c>
      <c r="W111" s="157">
        <f>IF('KG1-4'!$Y25="","",'KG1-4'!$Y25)</f>
        <v/>
      </c>
      <c r="X111" s="157">
        <f>IF('KG1-4'!$R25="","",'KG1-4'!$R25)</f>
        <v/>
      </c>
      <c r="Y111" s="148">
        <f>IF('KG1-4'!$S25="","",'KG1-4'!$S25)</f>
        <v/>
      </c>
      <c r="Z111" s="148">
        <f>IF('KG1-4'!$Q25="","",'KG1-4'!$Q25)</f>
        <v/>
      </c>
      <c r="AA111" s="148">
        <f>IF('KG1-4'!$I25="","",'KG1-4'!$I25)</f>
        <v/>
      </c>
      <c r="AB111" s="146">
        <f>IF(Q111="","",INDEX(LevelActions,MATCH(Q111,LevelValues,0)))</f>
        <v/>
      </c>
      <c r="AC111" s="148">
        <f>IF(J111="","",IF(J111=0,"—",IF(AND(L111=0,M111=0),Cat_L1,IF(O111&gt;=Cat_95,Cat_L2,IF(O111&gt;=Cat_90,Cat_L3,Cat_L4)))))</f>
        <v/>
      </c>
      <c r="AD111" s="146">
        <f>IF('KG1-4'!$L25="","",'KG1-4'!$L25)</f>
        <v/>
      </c>
      <c r="AE111" s="148">
        <f>IF(B111="","",IF(COUNTIF($B$5:$B$214,B111)&gt;1,"مكرر!",""))</f>
        <v/>
      </c>
      <c r="AF111" s="148">
        <f>IF(AND(B111&lt;&gt;"",F111="نشط",OR(Dash_Class="الكل",D111=Dash_Class)),1,0)</f>
        <v/>
      </c>
      <c r="AG111" s="40">
        <f>IF(OR(AF111=0,Dash_DayIdx=0),"",IF(INDEX('KG1-4'!$AD$7:$IM$7,Dash_DayIdx)&lt;&gt;"✓","",IF(INDEX('KG1-4'!$AD25:$IM25,Dash_DayIdx)="","P",IFERROR(INDEX(StatusCodes,MATCH(INDEX('KG1-4'!$AD25:$IM25,Dash_DayIdx),StatusLabels,0)),""))))</f>
        <v/>
      </c>
      <c r="AH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IF(LateAsPresent="نعم",COUNTIFS('KG1-4'!$AD25:$IM25,"متأخر",'KG1-4'!$AD$7:$IM$7,"✓",'KG1-4'!$AD$6:$IM$6,1,'KG1-4'!$AD$5:$IM$5,"&gt;="&amp;MAX('KG1-4'!$U25,Dash_PStart),'KG1-4'!$AD$5:$IM$5,"&lt;="&amp;Dash_PEnd),0))</f>
        <v/>
      </c>
      <c r="AI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COUNTIFS('KG1-4'!$AD25:$IM25,"غياب بدون عذر",'KG1-4'!$AD$7:$IM$7,"✓",'KG1-4'!$AD$6:$IM$6,1,'KG1-4'!$AD$5:$IM$5,"&gt;="&amp;MAX('KG1-4'!$U25,Dash_PStart),'KG1-4'!$AD$5:$IM$5,"&lt;="&amp;Dash_PEnd)+COUNTIFS('KG1-4'!$AD25:$IM25,"غياب بعذر",'KG1-4'!$AD$7:$IM$7,"✓",'KG1-4'!$AD$6:$IM$6,1,'KG1-4'!$AD$5:$IM$5,"&gt;="&amp;MAX('KG1-4'!$U25,Dash_PStart),'KG1-4'!$AD$5:$IM$5,"&lt;="&amp;Dash_PEnd)+COUNTIFS('KG1-4'!$AD25:$IM25,"متأخر",'KG1-4'!$AD$7:$IM$7,"✓",'KG1-4'!$AD$6:$IM$6,1,'KG1-4'!$AD$5:$IM$5,"&gt;="&amp;MAX('KG1-4'!$U25,Dash_PStart),'KG1-4'!$AD$5:$IM$5,"&lt;="&amp;Dash_PEnd))</f>
        <v/>
      </c>
      <c r="AJ111" s="40">
        <f>IF(AF111=0,0,IF(W111=Dash_Date,Thr_Critical,IF(V111=Dash_Date,Thr_High,IF(U111=Dash_Date,Thr_Repeated,IF(T111=Dash_Date,Thr_FollowUp,0)))))</f>
        <v/>
      </c>
      <c r="AK111" s="40">
        <f>IF(AJ111&gt;0,COUNTIF($AJ$5:AJ111,"&gt;0"),"")</f>
        <v/>
      </c>
      <c r="AL111" s="40">
        <f>IF(AND(B111&lt;&gt;"",F111="نشط",Q111&lt;&gt;"",Q111&gt;0),L111*1000+(999-ROW()),"")</f>
        <v/>
      </c>
      <c r="AM111" s="40">
        <f>IF(AND(AF111=1,J111&lt;&gt;"",J111&gt;0),ROUND(O111*10000,0)*1000000+K111*1000+(999-ROW()),"")</f>
        <v/>
      </c>
      <c r="AN111" s="40">
        <f>IF(AND(AF111=1,J111&lt;&gt;"",J111&gt;0),(L111+M111)*10000000+ROUND((1-O111)*10000,0)*1000+(999-ROW()),"")</f>
        <v/>
      </c>
      <c r="AO111" s="40">
        <f>IF(AND(AF111=1,Q111&lt;&gt;"",Q111&gt;=Thr_Critical),L111*1000+(999-ROW()),"")</f>
        <v/>
      </c>
      <c r="AP111" s="40">
        <f>IF(AND(B111&lt;&gt;"",F111="نشط",OR(Rpt_Class="الكل",D111=Rpt_Class)),1,0)</f>
        <v/>
      </c>
      <c r="AQ111" s="40">
        <f>IF(AND(AP111=1,Q111&lt;&gt;"",Q111&gt;0),L111*1000+(999-ROW()),"")</f>
        <v/>
      </c>
      <c r="AR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IF(LateAsPresent="نعم",COUNTIFS('KG1-4'!$AD25:$IM25,"متأخر",'KG1-4'!$AD$7:$IM$7,"✓",'KG1-4'!$AD$6:$IM$6,1,'KG1-4'!$AD$5:$IM$5,"&gt;="&amp;MAX('KG1-4'!$U25,Rpt_PStart),'KG1-4'!$AD$5:$IM$5,"&lt;="&amp;Rpt_PEnd),0))</f>
        <v/>
      </c>
      <c r="AS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COUNTIFS('KG1-4'!$AD25:$IM25,"غياب بدون عذر",'KG1-4'!$AD$7:$IM$7,"✓",'KG1-4'!$AD$6:$IM$6,1,'KG1-4'!$AD$5:$IM$5,"&gt;="&amp;MAX('KG1-4'!$U25,Rpt_PStart),'KG1-4'!$AD$5:$IM$5,"&lt;="&amp;Rpt_PEnd)+COUNTIFS('KG1-4'!$AD25:$IM25,"غياب بعذر",'KG1-4'!$AD$7:$IM$7,"✓",'KG1-4'!$AD$6:$IM$6,1,'KG1-4'!$AD$5:$IM$5,"&gt;="&amp;MAX('KG1-4'!$U25,Rpt_PStart),'KG1-4'!$AD$5:$IM$5,"&lt;="&amp;Rpt_PEnd)+COUNTIFS('KG1-4'!$AD25:$IM25,"متأخر",'KG1-4'!$AD$7:$IM$7,"✓",'KG1-4'!$AD$6:$IM$6,1,'KG1-4'!$AD$5:$IM$5,"&gt;="&amp;MAX('KG1-4'!$U25,Rpt_PStart),'KG1-4'!$AD$5:$IM$5,"&lt;="&amp;Rpt_PEnd))</f>
        <v/>
      </c>
      <c r="AT111" s="40">
        <f>IF(AP111=0,"",COUNTIFS('KG1-4'!$AD25:$IM25,"غياب بدون عذر",'KG1-4'!$AD$7:$IM$7,"✓",'KG1-4'!$AD$6:$IM$6,1,'KG1-4'!$AD$5:$IM$5,"&gt;="&amp;MAX('KG1-4'!$U25,Rpt_PStart),'KG1-4'!$AD$5:$IM$5,"&lt;="&amp;Rpt_PEnd)+COUNTIFS('KG1-4'!$AD25:$IM25,"غياب بعذر",'KG1-4'!$AD$7:$IM$7,"✓",'KG1-4'!$AD$6:$IM$6,1,'KG1-4'!$AD$5:$IM$5,"&gt;="&amp;MAX('KG1-4'!$U25,Rpt_PStart),'KG1-4'!$AD$5:$IM$5,"&lt;="&amp;Rpt_PEnd))</f>
        <v/>
      </c>
      <c r="AU111" s="40" t="n">
        <v>4</v>
      </c>
      <c r="AV111" s="40" t="n">
        <v>17</v>
      </c>
      <c r="AW111" s="40">
        <f>IF(OR(AP111=0,Rpt_DayIdx=0),"",IF(INDEX('KG1-4'!$AD$7:$IM$7,Rpt_DayIdx)&lt;&gt;"✓","",IF(INDEX('KG1-4'!$AD25:$IM25,Rpt_DayIdx)="","P",IFERROR(INDEX(StatusCodes,MATCH(INDEX('KG1-4'!$AD25:$IM25,Rpt_DayIdx),StatusLabels,0)),""))))</f>
        <v/>
      </c>
      <c r="AX111" s="40">
        <f>IF(AND(AP111=1,OR(AW111="A",AW111="E")),COUNTIFS($AP$5:AP111,1,$AW$5:AW111,"A")+COUNTIFS($AP$5:AP111,1,$AW$5:AW111,"E"),"")</f>
        <v/>
      </c>
    </row>
    <row r="112">
      <c r="A112" s="148">
        <f>IF(B112="","",ROW()-4)</f>
        <v/>
      </c>
      <c r="B112" s="148">
        <f>IF('KG1-4'!$B26="","",'KG1-4'!$B26)</f>
        <v/>
      </c>
      <c r="C112" s="146">
        <f>IF('KG1-4'!$C26="","",'KG1-4'!$C26)</f>
        <v/>
      </c>
      <c r="D112" s="148">
        <f>IF(B112="","",'KG1-4'!$B$2)</f>
        <v/>
      </c>
      <c r="E112" s="148">
        <f>IF(B112="","",MID(D112,FIND("-",D112&amp;"-")+1,10))</f>
        <v/>
      </c>
      <c r="F112" s="148">
        <f>IF(B112="","","نشط")</f>
        <v/>
      </c>
      <c r="G112" s="157">
        <f>IF(B112="","","")</f>
        <v/>
      </c>
      <c r="H112" s="146">
        <f>IF('KG1-4'!$K26="","",'KG1-4'!$K26)</f>
        <v/>
      </c>
      <c r="I112" s="148">
        <f>IF('KG1-4'!$J26="","",'KG1-4'!$J26)</f>
        <v/>
      </c>
      <c r="J112" s="148">
        <f>IF('KG1-4'!$M26="","",'KG1-4'!$M26)</f>
        <v/>
      </c>
      <c r="K112" s="148">
        <f>IF('KG1-4'!$N26="","",'KG1-4'!$N26)</f>
        <v/>
      </c>
      <c r="L112" s="148">
        <f>IF('KG1-4'!$D26="","",'KG1-4'!$D26)</f>
        <v/>
      </c>
      <c r="M112" s="148">
        <f>IF('KG1-4'!$E26="","",'KG1-4'!$E26)</f>
        <v/>
      </c>
      <c r="N112" s="148">
        <f>IF('KG1-4'!$F26="","",'KG1-4'!$F26)</f>
        <v/>
      </c>
      <c r="O112" s="158">
        <f>IF('KG1-4'!$G26="","",'KG1-4'!$G26)</f>
        <v/>
      </c>
      <c r="P112" s="158">
        <f>IF('KG1-4'!$O26="","",'KG1-4'!$O26)</f>
        <v/>
      </c>
      <c r="Q112" s="148">
        <f>IF('KG1-4'!$T26="","",'KG1-4'!$T26)</f>
        <v/>
      </c>
      <c r="R112" s="146">
        <f>IF('KG1-4'!$H26="","",'KG1-4'!$H26)</f>
        <v/>
      </c>
      <c r="S112" s="157">
        <f>IF('KG1-4'!$P26="","",'KG1-4'!$P26)</f>
        <v/>
      </c>
      <c r="T112" s="157">
        <f>IF('KG1-4'!$V26="","",'KG1-4'!$V26)</f>
        <v/>
      </c>
      <c r="U112" s="157">
        <f>IF('KG1-4'!$W26="","",'KG1-4'!$W26)</f>
        <v/>
      </c>
      <c r="V112" s="157">
        <f>IF('KG1-4'!$X26="","",'KG1-4'!$X26)</f>
        <v/>
      </c>
      <c r="W112" s="157">
        <f>IF('KG1-4'!$Y26="","",'KG1-4'!$Y26)</f>
        <v/>
      </c>
      <c r="X112" s="157">
        <f>IF('KG1-4'!$R26="","",'KG1-4'!$R26)</f>
        <v/>
      </c>
      <c r="Y112" s="148">
        <f>IF('KG1-4'!$S26="","",'KG1-4'!$S26)</f>
        <v/>
      </c>
      <c r="Z112" s="148">
        <f>IF('KG1-4'!$Q26="","",'KG1-4'!$Q26)</f>
        <v/>
      </c>
      <c r="AA112" s="148">
        <f>IF('KG1-4'!$I26="","",'KG1-4'!$I26)</f>
        <v/>
      </c>
      <c r="AB112" s="146">
        <f>IF(Q112="","",INDEX(LevelActions,MATCH(Q112,LevelValues,0)))</f>
        <v/>
      </c>
      <c r="AC112" s="148">
        <f>IF(J112="","",IF(J112=0,"—",IF(AND(L112=0,M112=0),Cat_L1,IF(O112&gt;=Cat_95,Cat_L2,IF(O112&gt;=Cat_90,Cat_L3,Cat_L4)))))</f>
        <v/>
      </c>
      <c r="AD112" s="146">
        <f>IF('KG1-4'!$L26="","",'KG1-4'!$L26)</f>
        <v/>
      </c>
      <c r="AE112" s="148">
        <f>IF(B112="","",IF(COUNTIF($B$5:$B$214,B112)&gt;1,"مكرر!",""))</f>
        <v/>
      </c>
      <c r="AF112" s="148">
        <f>IF(AND(B112&lt;&gt;"",F112="نشط",OR(Dash_Class="الكل",D112=Dash_Class)),1,0)</f>
        <v/>
      </c>
      <c r="AG112" s="40">
        <f>IF(OR(AF112=0,Dash_DayIdx=0),"",IF(INDEX('KG1-4'!$AD$7:$IM$7,Dash_DayIdx)&lt;&gt;"✓","",IF(INDEX('KG1-4'!$AD26:$IM26,Dash_DayIdx)="","P",IFERROR(INDEX(StatusCodes,MATCH(INDEX('KG1-4'!$AD26:$IM26,Dash_DayIdx),StatusLabels,0)),""))))</f>
        <v/>
      </c>
      <c r="AH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IF(LateAsPresent="نعم",COUNTIFS('KG1-4'!$AD26:$IM26,"متأخر",'KG1-4'!$AD$7:$IM$7,"✓",'KG1-4'!$AD$6:$IM$6,1,'KG1-4'!$AD$5:$IM$5,"&gt;="&amp;MAX('KG1-4'!$U26,Dash_PStart),'KG1-4'!$AD$5:$IM$5,"&lt;="&amp;Dash_PEnd),0))</f>
        <v/>
      </c>
      <c r="AI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COUNTIFS('KG1-4'!$AD26:$IM26,"غياب بدون عذر",'KG1-4'!$AD$7:$IM$7,"✓",'KG1-4'!$AD$6:$IM$6,1,'KG1-4'!$AD$5:$IM$5,"&gt;="&amp;MAX('KG1-4'!$U26,Dash_PStart),'KG1-4'!$AD$5:$IM$5,"&lt;="&amp;Dash_PEnd)+COUNTIFS('KG1-4'!$AD26:$IM26,"غياب بعذر",'KG1-4'!$AD$7:$IM$7,"✓",'KG1-4'!$AD$6:$IM$6,1,'KG1-4'!$AD$5:$IM$5,"&gt;="&amp;MAX('KG1-4'!$U26,Dash_PStart),'KG1-4'!$AD$5:$IM$5,"&lt;="&amp;Dash_PEnd)+COUNTIFS('KG1-4'!$AD26:$IM26,"متأخر",'KG1-4'!$AD$7:$IM$7,"✓",'KG1-4'!$AD$6:$IM$6,1,'KG1-4'!$AD$5:$IM$5,"&gt;="&amp;MAX('KG1-4'!$U26,Dash_PStart),'KG1-4'!$AD$5:$IM$5,"&lt;="&amp;Dash_PEnd))</f>
        <v/>
      </c>
      <c r="AJ112" s="40">
        <f>IF(AF112=0,0,IF(W112=Dash_Date,Thr_Critical,IF(V112=Dash_Date,Thr_High,IF(U112=Dash_Date,Thr_Repeated,IF(T112=Dash_Date,Thr_FollowUp,0)))))</f>
        <v/>
      </c>
      <c r="AK112" s="40">
        <f>IF(AJ112&gt;0,COUNTIF($AJ$5:AJ112,"&gt;0"),"")</f>
        <v/>
      </c>
      <c r="AL112" s="40">
        <f>IF(AND(B112&lt;&gt;"",F112="نشط",Q112&lt;&gt;"",Q112&gt;0),L112*1000+(999-ROW()),"")</f>
        <v/>
      </c>
      <c r="AM112" s="40">
        <f>IF(AND(AF112=1,J112&lt;&gt;"",J112&gt;0),ROUND(O112*10000,0)*1000000+K112*1000+(999-ROW()),"")</f>
        <v/>
      </c>
      <c r="AN112" s="40">
        <f>IF(AND(AF112=1,J112&lt;&gt;"",J112&gt;0),(L112+M112)*10000000+ROUND((1-O112)*10000,0)*1000+(999-ROW()),"")</f>
        <v/>
      </c>
      <c r="AO112" s="40">
        <f>IF(AND(AF112=1,Q112&lt;&gt;"",Q112&gt;=Thr_Critical),L112*1000+(999-ROW()),"")</f>
        <v/>
      </c>
      <c r="AP112" s="40">
        <f>IF(AND(B112&lt;&gt;"",F112="نشط",OR(Rpt_Class="الكل",D112=Rpt_Class)),1,0)</f>
        <v/>
      </c>
      <c r="AQ112" s="40">
        <f>IF(AND(AP112=1,Q112&lt;&gt;"",Q112&gt;0),L112*1000+(999-ROW()),"")</f>
        <v/>
      </c>
      <c r="AR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IF(LateAsPresent="نعم",COUNTIFS('KG1-4'!$AD26:$IM26,"متأخر",'KG1-4'!$AD$7:$IM$7,"✓",'KG1-4'!$AD$6:$IM$6,1,'KG1-4'!$AD$5:$IM$5,"&gt;="&amp;MAX('KG1-4'!$U26,Rpt_PStart),'KG1-4'!$AD$5:$IM$5,"&lt;="&amp;Rpt_PEnd),0))</f>
        <v/>
      </c>
      <c r="AS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COUNTIFS('KG1-4'!$AD26:$IM26,"غياب بدون عذر",'KG1-4'!$AD$7:$IM$7,"✓",'KG1-4'!$AD$6:$IM$6,1,'KG1-4'!$AD$5:$IM$5,"&gt;="&amp;MAX('KG1-4'!$U26,Rpt_PStart),'KG1-4'!$AD$5:$IM$5,"&lt;="&amp;Rpt_PEnd)+COUNTIFS('KG1-4'!$AD26:$IM26,"غياب بعذر",'KG1-4'!$AD$7:$IM$7,"✓",'KG1-4'!$AD$6:$IM$6,1,'KG1-4'!$AD$5:$IM$5,"&gt;="&amp;MAX('KG1-4'!$U26,Rpt_PStart),'KG1-4'!$AD$5:$IM$5,"&lt;="&amp;Rpt_PEnd)+COUNTIFS('KG1-4'!$AD26:$IM26,"متأخر",'KG1-4'!$AD$7:$IM$7,"✓",'KG1-4'!$AD$6:$IM$6,1,'KG1-4'!$AD$5:$IM$5,"&gt;="&amp;MAX('KG1-4'!$U26,Rpt_PStart),'KG1-4'!$AD$5:$IM$5,"&lt;="&amp;Rpt_PEnd))</f>
        <v/>
      </c>
      <c r="AT112" s="40">
        <f>IF(AP112=0,"",COUNTIFS('KG1-4'!$AD26:$IM26,"غياب بدون عذر",'KG1-4'!$AD$7:$IM$7,"✓",'KG1-4'!$AD$6:$IM$6,1,'KG1-4'!$AD$5:$IM$5,"&gt;="&amp;MAX('KG1-4'!$U26,Rpt_PStart),'KG1-4'!$AD$5:$IM$5,"&lt;="&amp;Rpt_PEnd)+COUNTIFS('KG1-4'!$AD26:$IM26,"غياب بعذر",'KG1-4'!$AD$7:$IM$7,"✓",'KG1-4'!$AD$6:$IM$6,1,'KG1-4'!$AD$5:$IM$5,"&gt;="&amp;MAX('KG1-4'!$U26,Rpt_PStart),'KG1-4'!$AD$5:$IM$5,"&lt;="&amp;Rpt_PEnd))</f>
        <v/>
      </c>
      <c r="AU112" s="40" t="n">
        <v>4</v>
      </c>
      <c r="AV112" s="40" t="n">
        <v>18</v>
      </c>
      <c r="AW112" s="40">
        <f>IF(OR(AP112=0,Rpt_DayIdx=0),"",IF(INDEX('KG1-4'!$AD$7:$IM$7,Rpt_DayIdx)&lt;&gt;"✓","",IF(INDEX('KG1-4'!$AD26:$IM26,Rpt_DayIdx)="","P",IFERROR(INDEX(StatusCodes,MATCH(INDEX('KG1-4'!$AD26:$IM26,Rpt_DayIdx),StatusLabels,0)),""))))</f>
        <v/>
      </c>
      <c r="AX112" s="40">
        <f>IF(AND(AP112=1,OR(AW112="A",AW112="E")),COUNTIFS($AP$5:AP112,1,$AW$5:AW112,"A")+COUNTIFS($AP$5:AP112,1,$AW$5:AW112,"E"),"")</f>
        <v/>
      </c>
    </row>
    <row r="113">
      <c r="A113" s="148">
        <f>IF(B113="","",ROW()-4)</f>
        <v/>
      </c>
      <c r="B113" s="148">
        <f>IF('KG1-4'!$B27="","",'KG1-4'!$B27)</f>
        <v/>
      </c>
      <c r="C113" s="146">
        <f>IF('KG1-4'!$C27="","",'KG1-4'!$C27)</f>
        <v/>
      </c>
      <c r="D113" s="148">
        <f>IF(B113="","",'KG1-4'!$B$2)</f>
        <v/>
      </c>
      <c r="E113" s="148">
        <f>IF(B113="","",MID(D113,FIND("-",D113&amp;"-")+1,10))</f>
        <v/>
      </c>
      <c r="F113" s="148">
        <f>IF(B113="","","نشط")</f>
        <v/>
      </c>
      <c r="G113" s="157">
        <f>IF(B113="","","")</f>
        <v/>
      </c>
      <c r="H113" s="146">
        <f>IF('KG1-4'!$K27="","",'KG1-4'!$K27)</f>
        <v/>
      </c>
      <c r="I113" s="148">
        <f>IF('KG1-4'!$J27="","",'KG1-4'!$J27)</f>
        <v/>
      </c>
      <c r="J113" s="148">
        <f>IF('KG1-4'!$M27="","",'KG1-4'!$M27)</f>
        <v/>
      </c>
      <c r="K113" s="148">
        <f>IF('KG1-4'!$N27="","",'KG1-4'!$N27)</f>
        <v/>
      </c>
      <c r="L113" s="148">
        <f>IF('KG1-4'!$D27="","",'KG1-4'!$D27)</f>
        <v/>
      </c>
      <c r="M113" s="148">
        <f>IF('KG1-4'!$E27="","",'KG1-4'!$E27)</f>
        <v/>
      </c>
      <c r="N113" s="148">
        <f>IF('KG1-4'!$F27="","",'KG1-4'!$F27)</f>
        <v/>
      </c>
      <c r="O113" s="158">
        <f>IF('KG1-4'!$G27="","",'KG1-4'!$G27)</f>
        <v/>
      </c>
      <c r="P113" s="158">
        <f>IF('KG1-4'!$O27="","",'KG1-4'!$O27)</f>
        <v/>
      </c>
      <c r="Q113" s="148">
        <f>IF('KG1-4'!$T27="","",'KG1-4'!$T27)</f>
        <v/>
      </c>
      <c r="R113" s="146">
        <f>IF('KG1-4'!$H27="","",'KG1-4'!$H27)</f>
        <v/>
      </c>
      <c r="S113" s="157">
        <f>IF('KG1-4'!$P27="","",'KG1-4'!$P27)</f>
        <v/>
      </c>
      <c r="T113" s="157">
        <f>IF('KG1-4'!$V27="","",'KG1-4'!$V27)</f>
        <v/>
      </c>
      <c r="U113" s="157">
        <f>IF('KG1-4'!$W27="","",'KG1-4'!$W27)</f>
        <v/>
      </c>
      <c r="V113" s="157">
        <f>IF('KG1-4'!$X27="","",'KG1-4'!$X27)</f>
        <v/>
      </c>
      <c r="W113" s="157">
        <f>IF('KG1-4'!$Y27="","",'KG1-4'!$Y27)</f>
        <v/>
      </c>
      <c r="X113" s="157">
        <f>IF('KG1-4'!$R27="","",'KG1-4'!$R27)</f>
        <v/>
      </c>
      <c r="Y113" s="148">
        <f>IF('KG1-4'!$S27="","",'KG1-4'!$S27)</f>
        <v/>
      </c>
      <c r="Z113" s="148">
        <f>IF('KG1-4'!$Q27="","",'KG1-4'!$Q27)</f>
        <v/>
      </c>
      <c r="AA113" s="148">
        <f>IF('KG1-4'!$I27="","",'KG1-4'!$I27)</f>
        <v/>
      </c>
      <c r="AB113" s="146">
        <f>IF(Q113="","",INDEX(LevelActions,MATCH(Q113,LevelValues,0)))</f>
        <v/>
      </c>
      <c r="AC113" s="148">
        <f>IF(J113="","",IF(J113=0,"—",IF(AND(L113=0,M113=0),Cat_L1,IF(O113&gt;=Cat_95,Cat_L2,IF(O113&gt;=Cat_90,Cat_L3,Cat_L4)))))</f>
        <v/>
      </c>
      <c r="AD113" s="146">
        <f>IF('KG1-4'!$L27="","",'KG1-4'!$L27)</f>
        <v/>
      </c>
      <c r="AE113" s="148">
        <f>IF(B113="","",IF(COUNTIF($B$5:$B$214,B113)&gt;1,"مكرر!",""))</f>
        <v/>
      </c>
      <c r="AF113" s="148">
        <f>IF(AND(B113&lt;&gt;"",F113="نشط",OR(Dash_Class="الكل",D113=Dash_Class)),1,0)</f>
        <v/>
      </c>
      <c r="AG113" s="40">
        <f>IF(OR(AF113=0,Dash_DayIdx=0),"",IF(INDEX('KG1-4'!$AD$7:$IM$7,Dash_DayIdx)&lt;&gt;"✓","",IF(INDEX('KG1-4'!$AD27:$IM27,Dash_DayIdx)="","P",IFERROR(INDEX(StatusCodes,MATCH(INDEX('KG1-4'!$AD27:$IM27,Dash_DayIdx),StatusLabels,0)),""))))</f>
        <v/>
      </c>
      <c r="AH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IF(LateAsPresent="نعم",COUNTIFS('KG1-4'!$AD27:$IM27,"متأخر",'KG1-4'!$AD$7:$IM$7,"✓",'KG1-4'!$AD$6:$IM$6,1,'KG1-4'!$AD$5:$IM$5,"&gt;="&amp;MAX('KG1-4'!$U27,Dash_PStart),'KG1-4'!$AD$5:$IM$5,"&lt;="&amp;Dash_PEnd),0))</f>
        <v/>
      </c>
      <c r="AI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COUNTIFS('KG1-4'!$AD27:$IM27,"غياب بدون عذر",'KG1-4'!$AD$7:$IM$7,"✓",'KG1-4'!$AD$6:$IM$6,1,'KG1-4'!$AD$5:$IM$5,"&gt;="&amp;MAX('KG1-4'!$U27,Dash_PStart),'KG1-4'!$AD$5:$IM$5,"&lt;="&amp;Dash_PEnd)+COUNTIFS('KG1-4'!$AD27:$IM27,"غياب بعذر",'KG1-4'!$AD$7:$IM$7,"✓",'KG1-4'!$AD$6:$IM$6,1,'KG1-4'!$AD$5:$IM$5,"&gt;="&amp;MAX('KG1-4'!$U27,Dash_PStart),'KG1-4'!$AD$5:$IM$5,"&lt;="&amp;Dash_PEnd)+COUNTIFS('KG1-4'!$AD27:$IM27,"متأخر",'KG1-4'!$AD$7:$IM$7,"✓",'KG1-4'!$AD$6:$IM$6,1,'KG1-4'!$AD$5:$IM$5,"&gt;="&amp;MAX('KG1-4'!$U27,Dash_PStart),'KG1-4'!$AD$5:$IM$5,"&lt;="&amp;Dash_PEnd))</f>
        <v/>
      </c>
      <c r="AJ113" s="40">
        <f>IF(AF113=0,0,IF(W113=Dash_Date,Thr_Critical,IF(V113=Dash_Date,Thr_High,IF(U113=Dash_Date,Thr_Repeated,IF(T113=Dash_Date,Thr_FollowUp,0)))))</f>
        <v/>
      </c>
      <c r="AK113" s="40">
        <f>IF(AJ113&gt;0,COUNTIF($AJ$5:AJ113,"&gt;0"),"")</f>
        <v/>
      </c>
      <c r="AL113" s="40">
        <f>IF(AND(B113&lt;&gt;"",F113="نشط",Q113&lt;&gt;"",Q113&gt;0),L113*1000+(999-ROW()),"")</f>
        <v/>
      </c>
      <c r="AM113" s="40">
        <f>IF(AND(AF113=1,J113&lt;&gt;"",J113&gt;0),ROUND(O113*10000,0)*1000000+K113*1000+(999-ROW()),"")</f>
        <v/>
      </c>
      <c r="AN113" s="40">
        <f>IF(AND(AF113=1,J113&lt;&gt;"",J113&gt;0),(L113+M113)*10000000+ROUND((1-O113)*10000,0)*1000+(999-ROW()),"")</f>
        <v/>
      </c>
      <c r="AO113" s="40">
        <f>IF(AND(AF113=1,Q113&lt;&gt;"",Q113&gt;=Thr_Critical),L113*1000+(999-ROW()),"")</f>
        <v/>
      </c>
      <c r="AP113" s="40">
        <f>IF(AND(B113&lt;&gt;"",F113="نشط",OR(Rpt_Class="الكل",D113=Rpt_Class)),1,0)</f>
        <v/>
      </c>
      <c r="AQ113" s="40">
        <f>IF(AND(AP113=1,Q113&lt;&gt;"",Q113&gt;0),L113*1000+(999-ROW()),"")</f>
        <v/>
      </c>
      <c r="AR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IF(LateAsPresent="نعم",COUNTIFS('KG1-4'!$AD27:$IM27,"متأخر",'KG1-4'!$AD$7:$IM$7,"✓",'KG1-4'!$AD$6:$IM$6,1,'KG1-4'!$AD$5:$IM$5,"&gt;="&amp;MAX('KG1-4'!$U27,Rpt_PStart),'KG1-4'!$AD$5:$IM$5,"&lt;="&amp;Rpt_PEnd),0))</f>
        <v/>
      </c>
      <c r="AS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COUNTIFS('KG1-4'!$AD27:$IM27,"غياب بدون عذر",'KG1-4'!$AD$7:$IM$7,"✓",'KG1-4'!$AD$6:$IM$6,1,'KG1-4'!$AD$5:$IM$5,"&gt;="&amp;MAX('KG1-4'!$U27,Rpt_PStart),'KG1-4'!$AD$5:$IM$5,"&lt;="&amp;Rpt_PEnd)+COUNTIFS('KG1-4'!$AD27:$IM27,"غياب بعذر",'KG1-4'!$AD$7:$IM$7,"✓",'KG1-4'!$AD$6:$IM$6,1,'KG1-4'!$AD$5:$IM$5,"&gt;="&amp;MAX('KG1-4'!$U27,Rpt_PStart),'KG1-4'!$AD$5:$IM$5,"&lt;="&amp;Rpt_PEnd)+COUNTIFS('KG1-4'!$AD27:$IM27,"متأخر",'KG1-4'!$AD$7:$IM$7,"✓",'KG1-4'!$AD$6:$IM$6,1,'KG1-4'!$AD$5:$IM$5,"&gt;="&amp;MAX('KG1-4'!$U27,Rpt_PStart),'KG1-4'!$AD$5:$IM$5,"&lt;="&amp;Rpt_PEnd))</f>
        <v/>
      </c>
      <c r="AT113" s="40">
        <f>IF(AP113=0,"",COUNTIFS('KG1-4'!$AD27:$IM27,"غياب بدون عذر",'KG1-4'!$AD$7:$IM$7,"✓",'KG1-4'!$AD$6:$IM$6,1,'KG1-4'!$AD$5:$IM$5,"&gt;="&amp;MAX('KG1-4'!$U27,Rpt_PStart),'KG1-4'!$AD$5:$IM$5,"&lt;="&amp;Rpt_PEnd)+COUNTIFS('KG1-4'!$AD27:$IM27,"غياب بعذر",'KG1-4'!$AD$7:$IM$7,"✓",'KG1-4'!$AD$6:$IM$6,1,'KG1-4'!$AD$5:$IM$5,"&gt;="&amp;MAX('KG1-4'!$U27,Rpt_PStart),'KG1-4'!$AD$5:$IM$5,"&lt;="&amp;Rpt_PEnd))</f>
        <v/>
      </c>
      <c r="AU113" s="40" t="n">
        <v>4</v>
      </c>
      <c r="AV113" s="40" t="n">
        <v>19</v>
      </c>
      <c r="AW113" s="40">
        <f>IF(OR(AP113=0,Rpt_DayIdx=0),"",IF(INDEX('KG1-4'!$AD$7:$IM$7,Rpt_DayIdx)&lt;&gt;"✓","",IF(INDEX('KG1-4'!$AD27:$IM27,Rpt_DayIdx)="","P",IFERROR(INDEX(StatusCodes,MATCH(INDEX('KG1-4'!$AD27:$IM27,Rpt_DayIdx),StatusLabels,0)),""))))</f>
        <v/>
      </c>
      <c r="AX113" s="40">
        <f>IF(AND(AP113=1,OR(AW113="A",AW113="E")),COUNTIFS($AP$5:AP113,1,$AW$5:AW113,"A")+COUNTIFS($AP$5:AP113,1,$AW$5:AW113,"E"),"")</f>
        <v/>
      </c>
    </row>
    <row r="114">
      <c r="A114" s="148">
        <f>IF(B114="","",ROW()-4)</f>
        <v/>
      </c>
      <c r="B114" s="148">
        <f>IF('KG1-4'!$B28="","",'KG1-4'!$B28)</f>
        <v/>
      </c>
      <c r="C114" s="146">
        <f>IF('KG1-4'!$C28="","",'KG1-4'!$C28)</f>
        <v/>
      </c>
      <c r="D114" s="148">
        <f>IF(B114="","",'KG1-4'!$B$2)</f>
        <v/>
      </c>
      <c r="E114" s="148">
        <f>IF(B114="","",MID(D114,FIND("-",D114&amp;"-")+1,10))</f>
        <v/>
      </c>
      <c r="F114" s="148">
        <f>IF(B114="","","نشط")</f>
        <v/>
      </c>
      <c r="G114" s="157">
        <f>IF(B114="","","")</f>
        <v/>
      </c>
      <c r="H114" s="146">
        <f>IF('KG1-4'!$K28="","",'KG1-4'!$K28)</f>
        <v/>
      </c>
      <c r="I114" s="148">
        <f>IF('KG1-4'!$J28="","",'KG1-4'!$J28)</f>
        <v/>
      </c>
      <c r="J114" s="148">
        <f>IF('KG1-4'!$M28="","",'KG1-4'!$M28)</f>
        <v/>
      </c>
      <c r="K114" s="148">
        <f>IF('KG1-4'!$N28="","",'KG1-4'!$N28)</f>
        <v/>
      </c>
      <c r="L114" s="148">
        <f>IF('KG1-4'!$D28="","",'KG1-4'!$D28)</f>
        <v/>
      </c>
      <c r="M114" s="148">
        <f>IF('KG1-4'!$E28="","",'KG1-4'!$E28)</f>
        <v/>
      </c>
      <c r="N114" s="148">
        <f>IF('KG1-4'!$F28="","",'KG1-4'!$F28)</f>
        <v/>
      </c>
      <c r="O114" s="158">
        <f>IF('KG1-4'!$G28="","",'KG1-4'!$G28)</f>
        <v/>
      </c>
      <c r="P114" s="158">
        <f>IF('KG1-4'!$O28="","",'KG1-4'!$O28)</f>
        <v/>
      </c>
      <c r="Q114" s="148">
        <f>IF('KG1-4'!$T28="","",'KG1-4'!$T28)</f>
        <v/>
      </c>
      <c r="R114" s="146">
        <f>IF('KG1-4'!$H28="","",'KG1-4'!$H28)</f>
        <v/>
      </c>
      <c r="S114" s="157">
        <f>IF('KG1-4'!$P28="","",'KG1-4'!$P28)</f>
        <v/>
      </c>
      <c r="T114" s="157">
        <f>IF('KG1-4'!$V28="","",'KG1-4'!$V28)</f>
        <v/>
      </c>
      <c r="U114" s="157">
        <f>IF('KG1-4'!$W28="","",'KG1-4'!$W28)</f>
        <v/>
      </c>
      <c r="V114" s="157">
        <f>IF('KG1-4'!$X28="","",'KG1-4'!$X28)</f>
        <v/>
      </c>
      <c r="W114" s="157">
        <f>IF('KG1-4'!$Y28="","",'KG1-4'!$Y28)</f>
        <v/>
      </c>
      <c r="X114" s="157">
        <f>IF('KG1-4'!$R28="","",'KG1-4'!$R28)</f>
        <v/>
      </c>
      <c r="Y114" s="148">
        <f>IF('KG1-4'!$S28="","",'KG1-4'!$S28)</f>
        <v/>
      </c>
      <c r="Z114" s="148">
        <f>IF('KG1-4'!$Q28="","",'KG1-4'!$Q28)</f>
        <v/>
      </c>
      <c r="AA114" s="148">
        <f>IF('KG1-4'!$I28="","",'KG1-4'!$I28)</f>
        <v/>
      </c>
      <c r="AB114" s="146">
        <f>IF(Q114="","",INDEX(LevelActions,MATCH(Q114,LevelValues,0)))</f>
        <v/>
      </c>
      <c r="AC114" s="148">
        <f>IF(J114="","",IF(J114=0,"—",IF(AND(L114=0,M114=0),Cat_L1,IF(O114&gt;=Cat_95,Cat_L2,IF(O114&gt;=Cat_90,Cat_L3,Cat_L4)))))</f>
        <v/>
      </c>
      <c r="AD114" s="146">
        <f>IF('KG1-4'!$L28="","",'KG1-4'!$L28)</f>
        <v/>
      </c>
      <c r="AE114" s="148">
        <f>IF(B114="","",IF(COUNTIF($B$5:$B$214,B114)&gt;1,"مكرر!",""))</f>
        <v/>
      </c>
      <c r="AF114" s="148">
        <f>IF(AND(B114&lt;&gt;"",F114="نشط",OR(Dash_Class="الكل",D114=Dash_Class)),1,0)</f>
        <v/>
      </c>
      <c r="AG114" s="40">
        <f>IF(OR(AF114=0,Dash_DayIdx=0),"",IF(INDEX('KG1-4'!$AD$7:$IM$7,Dash_DayIdx)&lt;&gt;"✓","",IF(INDEX('KG1-4'!$AD28:$IM28,Dash_DayIdx)="","P",IFERROR(INDEX(StatusCodes,MATCH(INDEX('KG1-4'!$AD28:$IM28,Dash_DayIdx),StatusLabels,0)),""))))</f>
        <v/>
      </c>
      <c r="AH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IF(LateAsPresent="نعم",COUNTIFS('KG1-4'!$AD28:$IM28,"متأخر",'KG1-4'!$AD$7:$IM$7,"✓",'KG1-4'!$AD$6:$IM$6,1,'KG1-4'!$AD$5:$IM$5,"&gt;="&amp;MAX('KG1-4'!$U28,Dash_PStart),'KG1-4'!$AD$5:$IM$5,"&lt;="&amp;Dash_PEnd),0))</f>
        <v/>
      </c>
      <c r="AI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COUNTIFS('KG1-4'!$AD28:$IM28,"غياب بدون عذر",'KG1-4'!$AD$7:$IM$7,"✓",'KG1-4'!$AD$6:$IM$6,1,'KG1-4'!$AD$5:$IM$5,"&gt;="&amp;MAX('KG1-4'!$U28,Dash_PStart),'KG1-4'!$AD$5:$IM$5,"&lt;="&amp;Dash_PEnd)+COUNTIFS('KG1-4'!$AD28:$IM28,"غياب بعذر",'KG1-4'!$AD$7:$IM$7,"✓",'KG1-4'!$AD$6:$IM$6,1,'KG1-4'!$AD$5:$IM$5,"&gt;="&amp;MAX('KG1-4'!$U28,Dash_PStart),'KG1-4'!$AD$5:$IM$5,"&lt;="&amp;Dash_PEnd)+COUNTIFS('KG1-4'!$AD28:$IM28,"متأخر",'KG1-4'!$AD$7:$IM$7,"✓",'KG1-4'!$AD$6:$IM$6,1,'KG1-4'!$AD$5:$IM$5,"&gt;="&amp;MAX('KG1-4'!$U28,Dash_PStart),'KG1-4'!$AD$5:$IM$5,"&lt;="&amp;Dash_PEnd))</f>
        <v/>
      </c>
      <c r="AJ114" s="40">
        <f>IF(AF114=0,0,IF(W114=Dash_Date,Thr_Critical,IF(V114=Dash_Date,Thr_High,IF(U114=Dash_Date,Thr_Repeated,IF(T114=Dash_Date,Thr_FollowUp,0)))))</f>
        <v/>
      </c>
      <c r="AK114" s="40">
        <f>IF(AJ114&gt;0,COUNTIF($AJ$5:AJ114,"&gt;0"),"")</f>
        <v/>
      </c>
      <c r="AL114" s="40">
        <f>IF(AND(B114&lt;&gt;"",F114="نشط",Q114&lt;&gt;"",Q114&gt;0),L114*1000+(999-ROW()),"")</f>
        <v/>
      </c>
      <c r="AM114" s="40">
        <f>IF(AND(AF114=1,J114&lt;&gt;"",J114&gt;0),ROUND(O114*10000,0)*1000000+K114*1000+(999-ROW()),"")</f>
        <v/>
      </c>
      <c r="AN114" s="40">
        <f>IF(AND(AF114=1,J114&lt;&gt;"",J114&gt;0),(L114+M114)*10000000+ROUND((1-O114)*10000,0)*1000+(999-ROW()),"")</f>
        <v/>
      </c>
      <c r="AO114" s="40">
        <f>IF(AND(AF114=1,Q114&lt;&gt;"",Q114&gt;=Thr_Critical),L114*1000+(999-ROW()),"")</f>
        <v/>
      </c>
      <c r="AP114" s="40">
        <f>IF(AND(B114&lt;&gt;"",F114="نشط",OR(Rpt_Class="الكل",D114=Rpt_Class)),1,0)</f>
        <v/>
      </c>
      <c r="AQ114" s="40">
        <f>IF(AND(AP114=1,Q114&lt;&gt;"",Q114&gt;0),L114*1000+(999-ROW()),"")</f>
        <v/>
      </c>
      <c r="AR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IF(LateAsPresent="نعم",COUNTIFS('KG1-4'!$AD28:$IM28,"متأخر",'KG1-4'!$AD$7:$IM$7,"✓",'KG1-4'!$AD$6:$IM$6,1,'KG1-4'!$AD$5:$IM$5,"&gt;="&amp;MAX('KG1-4'!$U28,Rpt_PStart),'KG1-4'!$AD$5:$IM$5,"&lt;="&amp;Rpt_PEnd),0))</f>
        <v/>
      </c>
      <c r="AS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COUNTIFS('KG1-4'!$AD28:$IM28,"غياب بدون عذر",'KG1-4'!$AD$7:$IM$7,"✓",'KG1-4'!$AD$6:$IM$6,1,'KG1-4'!$AD$5:$IM$5,"&gt;="&amp;MAX('KG1-4'!$U28,Rpt_PStart),'KG1-4'!$AD$5:$IM$5,"&lt;="&amp;Rpt_PEnd)+COUNTIFS('KG1-4'!$AD28:$IM28,"غياب بعذر",'KG1-4'!$AD$7:$IM$7,"✓",'KG1-4'!$AD$6:$IM$6,1,'KG1-4'!$AD$5:$IM$5,"&gt;="&amp;MAX('KG1-4'!$U28,Rpt_PStart),'KG1-4'!$AD$5:$IM$5,"&lt;="&amp;Rpt_PEnd)+COUNTIFS('KG1-4'!$AD28:$IM28,"متأخر",'KG1-4'!$AD$7:$IM$7,"✓",'KG1-4'!$AD$6:$IM$6,1,'KG1-4'!$AD$5:$IM$5,"&gt;="&amp;MAX('KG1-4'!$U28,Rpt_PStart),'KG1-4'!$AD$5:$IM$5,"&lt;="&amp;Rpt_PEnd))</f>
        <v/>
      </c>
      <c r="AT114" s="40">
        <f>IF(AP114=0,"",COUNTIFS('KG1-4'!$AD28:$IM28,"غياب بدون عذر",'KG1-4'!$AD$7:$IM$7,"✓",'KG1-4'!$AD$6:$IM$6,1,'KG1-4'!$AD$5:$IM$5,"&gt;="&amp;MAX('KG1-4'!$U28,Rpt_PStart),'KG1-4'!$AD$5:$IM$5,"&lt;="&amp;Rpt_PEnd)+COUNTIFS('KG1-4'!$AD28:$IM28,"غياب بعذر",'KG1-4'!$AD$7:$IM$7,"✓",'KG1-4'!$AD$6:$IM$6,1,'KG1-4'!$AD$5:$IM$5,"&gt;="&amp;MAX('KG1-4'!$U28,Rpt_PStart),'KG1-4'!$AD$5:$IM$5,"&lt;="&amp;Rpt_PEnd))</f>
        <v/>
      </c>
      <c r="AU114" s="40" t="n">
        <v>4</v>
      </c>
      <c r="AV114" s="40" t="n">
        <v>20</v>
      </c>
      <c r="AW114" s="40">
        <f>IF(OR(AP114=0,Rpt_DayIdx=0),"",IF(INDEX('KG1-4'!$AD$7:$IM$7,Rpt_DayIdx)&lt;&gt;"✓","",IF(INDEX('KG1-4'!$AD28:$IM28,Rpt_DayIdx)="","P",IFERROR(INDEX(StatusCodes,MATCH(INDEX('KG1-4'!$AD28:$IM28,Rpt_DayIdx),StatusLabels,0)),""))))</f>
        <v/>
      </c>
      <c r="AX114" s="40">
        <f>IF(AND(AP114=1,OR(AW114="A",AW114="E")),COUNTIFS($AP$5:AP114,1,$AW$5:AW114,"A")+COUNTIFS($AP$5:AP114,1,$AW$5:AW114,"E"),"")</f>
        <v/>
      </c>
    </row>
    <row r="115">
      <c r="A115" s="148">
        <f>IF(B115="","",ROW()-4)</f>
        <v/>
      </c>
      <c r="B115" s="148">
        <f>IF('KG1-4'!$B29="","",'KG1-4'!$B29)</f>
        <v/>
      </c>
      <c r="C115" s="146">
        <f>IF('KG1-4'!$C29="","",'KG1-4'!$C29)</f>
        <v/>
      </c>
      <c r="D115" s="148">
        <f>IF(B115="","",'KG1-4'!$B$2)</f>
        <v/>
      </c>
      <c r="E115" s="148">
        <f>IF(B115="","",MID(D115,FIND("-",D115&amp;"-")+1,10))</f>
        <v/>
      </c>
      <c r="F115" s="148">
        <f>IF(B115="","","نشط")</f>
        <v/>
      </c>
      <c r="G115" s="157">
        <f>IF(B115="","","")</f>
        <v/>
      </c>
      <c r="H115" s="146">
        <f>IF('KG1-4'!$K29="","",'KG1-4'!$K29)</f>
        <v/>
      </c>
      <c r="I115" s="148">
        <f>IF('KG1-4'!$J29="","",'KG1-4'!$J29)</f>
        <v/>
      </c>
      <c r="J115" s="148">
        <f>IF('KG1-4'!$M29="","",'KG1-4'!$M29)</f>
        <v/>
      </c>
      <c r="K115" s="148">
        <f>IF('KG1-4'!$N29="","",'KG1-4'!$N29)</f>
        <v/>
      </c>
      <c r="L115" s="148">
        <f>IF('KG1-4'!$D29="","",'KG1-4'!$D29)</f>
        <v/>
      </c>
      <c r="M115" s="148">
        <f>IF('KG1-4'!$E29="","",'KG1-4'!$E29)</f>
        <v/>
      </c>
      <c r="N115" s="148">
        <f>IF('KG1-4'!$F29="","",'KG1-4'!$F29)</f>
        <v/>
      </c>
      <c r="O115" s="158">
        <f>IF('KG1-4'!$G29="","",'KG1-4'!$G29)</f>
        <v/>
      </c>
      <c r="P115" s="158">
        <f>IF('KG1-4'!$O29="","",'KG1-4'!$O29)</f>
        <v/>
      </c>
      <c r="Q115" s="148">
        <f>IF('KG1-4'!$T29="","",'KG1-4'!$T29)</f>
        <v/>
      </c>
      <c r="R115" s="146">
        <f>IF('KG1-4'!$H29="","",'KG1-4'!$H29)</f>
        <v/>
      </c>
      <c r="S115" s="157">
        <f>IF('KG1-4'!$P29="","",'KG1-4'!$P29)</f>
        <v/>
      </c>
      <c r="T115" s="157">
        <f>IF('KG1-4'!$V29="","",'KG1-4'!$V29)</f>
        <v/>
      </c>
      <c r="U115" s="157">
        <f>IF('KG1-4'!$W29="","",'KG1-4'!$W29)</f>
        <v/>
      </c>
      <c r="V115" s="157">
        <f>IF('KG1-4'!$X29="","",'KG1-4'!$X29)</f>
        <v/>
      </c>
      <c r="W115" s="157">
        <f>IF('KG1-4'!$Y29="","",'KG1-4'!$Y29)</f>
        <v/>
      </c>
      <c r="X115" s="157">
        <f>IF('KG1-4'!$R29="","",'KG1-4'!$R29)</f>
        <v/>
      </c>
      <c r="Y115" s="148">
        <f>IF('KG1-4'!$S29="","",'KG1-4'!$S29)</f>
        <v/>
      </c>
      <c r="Z115" s="148">
        <f>IF('KG1-4'!$Q29="","",'KG1-4'!$Q29)</f>
        <v/>
      </c>
      <c r="AA115" s="148">
        <f>IF('KG1-4'!$I29="","",'KG1-4'!$I29)</f>
        <v/>
      </c>
      <c r="AB115" s="146">
        <f>IF(Q115="","",INDEX(LevelActions,MATCH(Q115,LevelValues,0)))</f>
        <v/>
      </c>
      <c r="AC115" s="148">
        <f>IF(J115="","",IF(J115=0,"—",IF(AND(L115=0,M115=0),Cat_L1,IF(O115&gt;=Cat_95,Cat_L2,IF(O115&gt;=Cat_90,Cat_L3,Cat_L4)))))</f>
        <v/>
      </c>
      <c r="AD115" s="146">
        <f>IF('KG1-4'!$L29="","",'KG1-4'!$L29)</f>
        <v/>
      </c>
      <c r="AE115" s="148">
        <f>IF(B115="","",IF(COUNTIF($B$5:$B$214,B115)&gt;1,"مكرر!",""))</f>
        <v/>
      </c>
      <c r="AF115" s="148">
        <f>IF(AND(B115&lt;&gt;"",F115="نشط",OR(Dash_Class="الكل",D115=Dash_Class)),1,0)</f>
        <v/>
      </c>
      <c r="AG115" s="40">
        <f>IF(OR(AF115=0,Dash_DayIdx=0),"",IF(INDEX('KG1-4'!$AD$7:$IM$7,Dash_DayIdx)&lt;&gt;"✓","",IF(INDEX('KG1-4'!$AD29:$IM29,Dash_DayIdx)="","P",IFERROR(INDEX(StatusCodes,MATCH(INDEX('KG1-4'!$AD29:$IM29,Dash_DayIdx),StatusLabels,0)),""))))</f>
        <v/>
      </c>
      <c r="AH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IF(LateAsPresent="نعم",COUNTIFS('KG1-4'!$AD29:$IM29,"متأخر",'KG1-4'!$AD$7:$IM$7,"✓",'KG1-4'!$AD$6:$IM$6,1,'KG1-4'!$AD$5:$IM$5,"&gt;="&amp;MAX('KG1-4'!$U29,Dash_PStart),'KG1-4'!$AD$5:$IM$5,"&lt;="&amp;Dash_PEnd),0))</f>
        <v/>
      </c>
      <c r="AI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COUNTIFS('KG1-4'!$AD29:$IM29,"غياب بدون عذر",'KG1-4'!$AD$7:$IM$7,"✓",'KG1-4'!$AD$6:$IM$6,1,'KG1-4'!$AD$5:$IM$5,"&gt;="&amp;MAX('KG1-4'!$U29,Dash_PStart),'KG1-4'!$AD$5:$IM$5,"&lt;="&amp;Dash_PEnd)+COUNTIFS('KG1-4'!$AD29:$IM29,"غياب بعذر",'KG1-4'!$AD$7:$IM$7,"✓",'KG1-4'!$AD$6:$IM$6,1,'KG1-4'!$AD$5:$IM$5,"&gt;="&amp;MAX('KG1-4'!$U29,Dash_PStart),'KG1-4'!$AD$5:$IM$5,"&lt;="&amp;Dash_PEnd)+COUNTIFS('KG1-4'!$AD29:$IM29,"متأخر",'KG1-4'!$AD$7:$IM$7,"✓",'KG1-4'!$AD$6:$IM$6,1,'KG1-4'!$AD$5:$IM$5,"&gt;="&amp;MAX('KG1-4'!$U29,Dash_PStart),'KG1-4'!$AD$5:$IM$5,"&lt;="&amp;Dash_PEnd))</f>
        <v/>
      </c>
      <c r="AJ115" s="40">
        <f>IF(AF115=0,0,IF(W115=Dash_Date,Thr_Critical,IF(V115=Dash_Date,Thr_High,IF(U115=Dash_Date,Thr_Repeated,IF(T115=Dash_Date,Thr_FollowUp,0)))))</f>
        <v/>
      </c>
      <c r="AK115" s="40">
        <f>IF(AJ115&gt;0,COUNTIF($AJ$5:AJ115,"&gt;0"),"")</f>
        <v/>
      </c>
      <c r="AL115" s="40">
        <f>IF(AND(B115&lt;&gt;"",F115="نشط",Q115&lt;&gt;"",Q115&gt;0),L115*1000+(999-ROW()),"")</f>
        <v/>
      </c>
      <c r="AM115" s="40">
        <f>IF(AND(AF115=1,J115&lt;&gt;"",J115&gt;0),ROUND(O115*10000,0)*1000000+K115*1000+(999-ROW()),"")</f>
        <v/>
      </c>
      <c r="AN115" s="40">
        <f>IF(AND(AF115=1,J115&lt;&gt;"",J115&gt;0),(L115+M115)*10000000+ROUND((1-O115)*10000,0)*1000+(999-ROW()),"")</f>
        <v/>
      </c>
      <c r="AO115" s="40">
        <f>IF(AND(AF115=1,Q115&lt;&gt;"",Q115&gt;=Thr_Critical),L115*1000+(999-ROW()),"")</f>
        <v/>
      </c>
      <c r="AP115" s="40">
        <f>IF(AND(B115&lt;&gt;"",F115="نشط",OR(Rpt_Class="الكل",D115=Rpt_Class)),1,0)</f>
        <v/>
      </c>
      <c r="AQ115" s="40">
        <f>IF(AND(AP115=1,Q115&lt;&gt;"",Q115&gt;0),L115*1000+(999-ROW()),"")</f>
        <v/>
      </c>
      <c r="AR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IF(LateAsPresent="نعم",COUNTIFS('KG1-4'!$AD29:$IM29,"متأخر",'KG1-4'!$AD$7:$IM$7,"✓",'KG1-4'!$AD$6:$IM$6,1,'KG1-4'!$AD$5:$IM$5,"&gt;="&amp;MAX('KG1-4'!$U29,Rpt_PStart),'KG1-4'!$AD$5:$IM$5,"&lt;="&amp;Rpt_PEnd),0))</f>
        <v/>
      </c>
      <c r="AS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COUNTIFS('KG1-4'!$AD29:$IM29,"غياب بدون عذر",'KG1-4'!$AD$7:$IM$7,"✓",'KG1-4'!$AD$6:$IM$6,1,'KG1-4'!$AD$5:$IM$5,"&gt;="&amp;MAX('KG1-4'!$U29,Rpt_PStart),'KG1-4'!$AD$5:$IM$5,"&lt;="&amp;Rpt_PEnd)+COUNTIFS('KG1-4'!$AD29:$IM29,"غياب بعذر",'KG1-4'!$AD$7:$IM$7,"✓",'KG1-4'!$AD$6:$IM$6,1,'KG1-4'!$AD$5:$IM$5,"&gt;="&amp;MAX('KG1-4'!$U29,Rpt_PStart),'KG1-4'!$AD$5:$IM$5,"&lt;="&amp;Rpt_PEnd)+COUNTIFS('KG1-4'!$AD29:$IM29,"متأخر",'KG1-4'!$AD$7:$IM$7,"✓",'KG1-4'!$AD$6:$IM$6,1,'KG1-4'!$AD$5:$IM$5,"&gt;="&amp;MAX('KG1-4'!$U29,Rpt_PStart),'KG1-4'!$AD$5:$IM$5,"&lt;="&amp;Rpt_PEnd))</f>
        <v/>
      </c>
      <c r="AT115" s="40">
        <f>IF(AP115=0,"",COUNTIFS('KG1-4'!$AD29:$IM29,"غياب بدون عذر",'KG1-4'!$AD$7:$IM$7,"✓",'KG1-4'!$AD$6:$IM$6,1,'KG1-4'!$AD$5:$IM$5,"&gt;="&amp;MAX('KG1-4'!$U29,Rpt_PStart),'KG1-4'!$AD$5:$IM$5,"&lt;="&amp;Rpt_PEnd)+COUNTIFS('KG1-4'!$AD29:$IM29,"غياب بعذر",'KG1-4'!$AD$7:$IM$7,"✓",'KG1-4'!$AD$6:$IM$6,1,'KG1-4'!$AD$5:$IM$5,"&gt;="&amp;MAX('KG1-4'!$U29,Rpt_PStart),'KG1-4'!$AD$5:$IM$5,"&lt;="&amp;Rpt_PEnd))</f>
        <v/>
      </c>
      <c r="AU115" s="40" t="n">
        <v>4</v>
      </c>
      <c r="AV115" s="40" t="n">
        <v>21</v>
      </c>
      <c r="AW115" s="40">
        <f>IF(OR(AP115=0,Rpt_DayIdx=0),"",IF(INDEX('KG1-4'!$AD$7:$IM$7,Rpt_DayIdx)&lt;&gt;"✓","",IF(INDEX('KG1-4'!$AD29:$IM29,Rpt_DayIdx)="","P",IFERROR(INDEX(StatusCodes,MATCH(INDEX('KG1-4'!$AD29:$IM29,Rpt_DayIdx),StatusLabels,0)),""))))</f>
        <v/>
      </c>
      <c r="AX115" s="40">
        <f>IF(AND(AP115=1,OR(AW115="A",AW115="E")),COUNTIFS($AP$5:AP115,1,$AW$5:AW115,"A")+COUNTIFS($AP$5:AP115,1,$AW$5:AW115,"E"),"")</f>
        <v/>
      </c>
    </row>
    <row r="116">
      <c r="A116" s="148">
        <f>IF(B116="","",ROW()-4)</f>
        <v/>
      </c>
      <c r="B116" s="148">
        <f>IF('KG1-4'!$B30="","",'KG1-4'!$B30)</f>
        <v/>
      </c>
      <c r="C116" s="146">
        <f>IF('KG1-4'!$C30="","",'KG1-4'!$C30)</f>
        <v/>
      </c>
      <c r="D116" s="148">
        <f>IF(B116="","",'KG1-4'!$B$2)</f>
        <v/>
      </c>
      <c r="E116" s="148">
        <f>IF(B116="","",MID(D116,FIND("-",D116&amp;"-")+1,10))</f>
        <v/>
      </c>
      <c r="F116" s="148">
        <f>IF(B116="","","نشط")</f>
        <v/>
      </c>
      <c r="G116" s="157">
        <f>IF(B116="","","")</f>
        <v/>
      </c>
      <c r="H116" s="146">
        <f>IF('KG1-4'!$K30="","",'KG1-4'!$K30)</f>
        <v/>
      </c>
      <c r="I116" s="148">
        <f>IF('KG1-4'!$J30="","",'KG1-4'!$J30)</f>
        <v/>
      </c>
      <c r="J116" s="148">
        <f>IF('KG1-4'!$M30="","",'KG1-4'!$M30)</f>
        <v/>
      </c>
      <c r="K116" s="148">
        <f>IF('KG1-4'!$N30="","",'KG1-4'!$N30)</f>
        <v/>
      </c>
      <c r="L116" s="148">
        <f>IF('KG1-4'!$D30="","",'KG1-4'!$D30)</f>
        <v/>
      </c>
      <c r="M116" s="148">
        <f>IF('KG1-4'!$E30="","",'KG1-4'!$E30)</f>
        <v/>
      </c>
      <c r="N116" s="148">
        <f>IF('KG1-4'!$F30="","",'KG1-4'!$F30)</f>
        <v/>
      </c>
      <c r="O116" s="158">
        <f>IF('KG1-4'!$G30="","",'KG1-4'!$G30)</f>
        <v/>
      </c>
      <c r="P116" s="158">
        <f>IF('KG1-4'!$O30="","",'KG1-4'!$O30)</f>
        <v/>
      </c>
      <c r="Q116" s="148">
        <f>IF('KG1-4'!$T30="","",'KG1-4'!$T30)</f>
        <v/>
      </c>
      <c r="R116" s="146">
        <f>IF('KG1-4'!$H30="","",'KG1-4'!$H30)</f>
        <v/>
      </c>
      <c r="S116" s="157">
        <f>IF('KG1-4'!$P30="","",'KG1-4'!$P30)</f>
        <v/>
      </c>
      <c r="T116" s="157">
        <f>IF('KG1-4'!$V30="","",'KG1-4'!$V30)</f>
        <v/>
      </c>
      <c r="U116" s="157">
        <f>IF('KG1-4'!$W30="","",'KG1-4'!$W30)</f>
        <v/>
      </c>
      <c r="V116" s="157">
        <f>IF('KG1-4'!$X30="","",'KG1-4'!$X30)</f>
        <v/>
      </c>
      <c r="W116" s="157">
        <f>IF('KG1-4'!$Y30="","",'KG1-4'!$Y30)</f>
        <v/>
      </c>
      <c r="X116" s="157">
        <f>IF('KG1-4'!$R30="","",'KG1-4'!$R30)</f>
        <v/>
      </c>
      <c r="Y116" s="148">
        <f>IF('KG1-4'!$S30="","",'KG1-4'!$S30)</f>
        <v/>
      </c>
      <c r="Z116" s="148">
        <f>IF('KG1-4'!$Q30="","",'KG1-4'!$Q30)</f>
        <v/>
      </c>
      <c r="AA116" s="148">
        <f>IF('KG1-4'!$I30="","",'KG1-4'!$I30)</f>
        <v/>
      </c>
      <c r="AB116" s="146">
        <f>IF(Q116="","",INDEX(LevelActions,MATCH(Q116,LevelValues,0)))</f>
        <v/>
      </c>
      <c r="AC116" s="148">
        <f>IF(J116="","",IF(J116=0,"—",IF(AND(L116=0,M116=0),Cat_L1,IF(O116&gt;=Cat_95,Cat_L2,IF(O116&gt;=Cat_90,Cat_L3,Cat_L4)))))</f>
        <v/>
      </c>
      <c r="AD116" s="146">
        <f>IF('KG1-4'!$L30="","",'KG1-4'!$L30)</f>
        <v/>
      </c>
      <c r="AE116" s="148">
        <f>IF(B116="","",IF(COUNTIF($B$5:$B$214,B116)&gt;1,"مكرر!",""))</f>
        <v/>
      </c>
      <c r="AF116" s="148">
        <f>IF(AND(B116&lt;&gt;"",F116="نشط",OR(Dash_Class="الكل",D116=Dash_Class)),1,0)</f>
        <v/>
      </c>
      <c r="AG116" s="40">
        <f>IF(OR(AF116=0,Dash_DayIdx=0),"",IF(INDEX('KG1-4'!$AD$7:$IM$7,Dash_DayIdx)&lt;&gt;"✓","",IF(INDEX('KG1-4'!$AD30:$IM30,Dash_DayIdx)="","P",IFERROR(INDEX(StatusCodes,MATCH(INDEX('KG1-4'!$AD30:$IM30,Dash_DayIdx),StatusLabels,0)),""))))</f>
        <v/>
      </c>
      <c r="AH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IF(LateAsPresent="نعم",COUNTIFS('KG1-4'!$AD30:$IM30,"متأخر",'KG1-4'!$AD$7:$IM$7,"✓",'KG1-4'!$AD$6:$IM$6,1,'KG1-4'!$AD$5:$IM$5,"&gt;="&amp;MAX('KG1-4'!$U30,Dash_PStart),'KG1-4'!$AD$5:$IM$5,"&lt;="&amp;Dash_PEnd),0))</f>
        <v/>
      </c>
      <c r="AI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COUNTIFS('KG1-4'!$AD30:$IM30,"غياب بدون عذر",'KG1-4'!$AD$7:$IM$7,"✓",'KG1-4'!$AD$6:$IM$6,1,'KG1-4'!$AD$5:$IM$5,"&gt;="&amp;MAX('KG1-4'!$U30,Dash_PStart),'KG1-4'!$AD$5:$IM$5,"&lt;="&amp;Dash_PEnd)+COUNTIFS('KG1-4'!$AD30:$IM30,"غياب بعذر",'KG1-4'!$AD$7:$IM$7,"✓",'KG1-4'!$AD$6:$IM$6,1,'KG1-4'!$AD$5:$IM$5,"&gt;="&amp;MAX('KG1-4'!$U30,Dash_PStart),'KG1-4'!$AD$5:$IM$5,"&lt;="&amp;Dash_PEnd)+COUNTIFS('KG1-4'!$AD30:$IM30,"متأخر",'KG1-4'!$AD$7:$IM$7,"✓",'KG1-4'!$AD$6:$IM$6,1,'KG1-4'!$AD$5:$IM$5,"&gt;="&amp;MAX('KG1-4'!$U30,Dash_PStart),'KG1-4'!$AD$5:$IM$5,"&lt;="&amp;Dash_PEnd))</f>
        <v/>
      </c>
      <c r="AJ116" s="40">
        <f>IF(AF116=0,0,IF(W116=Dash_Date,Thr_Critical,IF(V116=Dash_Date,Thr_High,IF(U116=Dash_Date,Thr_Repeated,IF(T116=Dash_Date,Thr_FollowUp,0)))))</f>
        <v/>
      </c>
      <c r="AK116" s="40">
        <f>IF(AJ116&gt;0,COUNTIF($AJ$5:AJ116,"&gt;0"),"")</f>
        <v/>
      </c>
      <c r="AL116" s="40">
        <f>IF(AND(B116&lt;&gt;"",F116="نشط",Q116&lt;&gt;"",Q116&gt;0),L116*1000+(999-ROW()),"")</f>
        <v/>
      </c>
      <c r="AM116" s="40">
        <f>IF(AND(AF116=1,J116&lt;&gt;"",J116&gt;0),ROUND(O116*10000,0)*1000000+K116*1000+(999-ROW()),"")</f>
        <v/>
      </c>
      <c r="AN116" s="40">
        <f>IF(AND(AF116=1,J116&lt;&gt;"",J116&gt;0),(L116+M116)*10000000+ROUND((1-O116)*10000,0)*1000+(999-ROW()),"")</f>
        <v/>
      </c>
      <c r="AO116" s="40">
        <f>IF(AND(AF116=1,Q116&lt;&gt;"",Q116&gt;=Thr_Critical),L116*1000+(999-ROW()),"")</f>
        <v/>
      </c>
      <c r="AP116" s="40">
        <f>IF(AND(B116&lt;&gt;"",F116="نشط",OR(Rpt_Class="الكل",D116=Rpt_Class)),1,0)</f>
        <v/>
      </c>
      <c r="AQ116" s="40">
        <f>IF(AND(AP116=1,Q116&lt;&gt;"",Q116&gt;0),L116*1000+(999-ROW()),"")</f>
        <v/>
      </c>
      <c r="AR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IF(LateAsPresent="نعم",COUNTIFS('KG1-4'!$AD30:$IM30,"متأخر",'KG1-4'!$AD$7:$IM$7,"✓",'KG1-4'!$AD$6:$IM$6,1,'KG1-4'!$AD$5:$IM$5,"&gt;="&amp;MAX('KG1-4'!$U30,Rpt_PStart),'KG1-4'!$AD$5:$IM$5,"&lt;="&amp;Rpt_PEnd),0))</f>
        <v/>
      </c>
      <c r="AS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COUNTIFS('KG1-4'!$AD30:$IM30,"غياب بدون عذر",'KG1-4'!$AD$7:$IM$7,"✓",'KG1-4'!$AD$6:$IM$6,1,'KG1-4'!$AD$5:$IM$5,"&gt;="&amp;MAX('KG1-4'!$U30,Rpt_PStart),'KG1-4'!$AD$5:$IM$5,"&lt;="&amp;Rpt_PEnd)+COUNTIFS('KG1-4'!$AD30:$IM30,"غياب بعذر",'KG1-4'!$AD$7:$IM$7,"✓",'KG1-4'!$AD$6:$IM$6,1,'KG1-4'!$AD$5:$IM$5,"&gt;="&amp;MAX('KG1-4'!$U30,Rpt_PStart),'KG1-4'!$AD$5:$IM$5,"&lt;="&amp;Rpt_PEnd)+COUNTIFS('KG1-4'!$AD30:$IM30,"متأخر",'KG1-4'!$AD$7:$IM$7,"✓",'KG1-4'!$AD$6:$IM$6,1,'KG1-4'!$AD$5:$IM$5,"&gt;="&amp;MAX('KG1-4'!$U30,Rpt_PStart),'KG1-4'!$AD$5:$IM$5,"&lt;="&amp;Rpt_PEnd))</f>
        <v/>
      </c>
      <c r="AT116" s="40">
        <f>IF(AP116=0,"",COUNTIFS('KG1-4'!$AD30:$IM30,"غياب بدون عذر",'KG1-4'!$AD$7:$IM$7,"✓",'KG1-4'!$AD$6:$IM$6,1,'KG1-4'!$AD$5:$IM$5,"&gt;="&amp;MAX('KG1-4'!$U30,Rpt_PStart),'KG1-4'!$AD$5:$IM$5,"&lt;="&amp;Rpt_PEnd)+COUNTIFS('KG1-4'!$AD30:$IM30,"غياب بعذر",'KG1-4'!$AD$7:$IM$7,"✓",'KG1-4'!$AD$6:$IM$6,1,'KG1-4'!$AD$5:$IM$5,"&gt;="&amp;MAX('KG1-4'!$U30,Rpt_PStart),'KG1-4'!$AD$5:$IM$5,"&lt;="&amp;Rpt_PEnd))</f>
        <v/>
      </c>
      <c r="AU116" s="40" t="n">
        <v>4</v>
      </c>
      <c r="AV116" s="40" t="n">
        <v>22</v>
      </c>
      <c r="AW116" s="40">
        <f>IF(OR(AP116=0,Rpt_DayIdx=0),"",IF(INDEX('KG1-4'!$AD$7:$IM$7,Rpt_DayIdx)&lt;&gt;"✓","",IF(INDEX('KG1-4'!$AD30:$IM30,Rpt_DayIdx)="","P",IFERROR(INDEX(StatusCodes,MATCH(INDEX('KG1-4'!$AD30:$IM30,Rpt_DayIdx),StatusLabels,0)),""))))</f>
        <v/>
      </c>
      <c r="AX116" s="40">
        <f>IF(AND(AP116=1,OR(AW116="A",AW116="E")),COUNTIFS($AP$5:AP116,1,$AW$5:AW116,"A")+COUNTIFS($AP$5:AP116,1,$AW$5:AW116,"E"),"")</f>
        <v/>
      </c>
    </row>
    <row r="117">
      <c r="A117" s="148">
        <f>IF(B117="","",ROW()-4)</f>
        <v/>
      </c>
      <c r="B117" s="148">
        <f>IF('KG1-4'!$B31="","",'KG1-4'!$B31)</f>
        <v/>
      </c>
      <c r="C117" s="146">
        <f>IF('KG1-4'!$C31="","",'KG1-4'!$C31)</f>
        <v/>
      </c>
      <c r="D117" s="148">
        <f>IF(B117="","",'KG1-4'!$B$2)</f>
        <v/>
      </c>
      <c r="E117" s="148">
        <f>IF(B117="","",MID(D117,FIND("-",D117&amp;"-")+1,10))</f>
        <v/>
      </c>
      <c r="F117" s="148">
        <f>IF(B117="","","نشط")</f>
        <v/>
      </c>
      <c r="G117" s="157">
        <f>IF(B117="","","")</f>
        <v/>
      </c>
      <c r="H117" s="146">
        <f>IF('KG1-4'!$K31="","",'KG1-4'!$K31)</f>
        <v/>
      </c>
      <c r="I117" s="148">
        <f>IF('KG1-4'!$J31="","",'KG1-4'!$J31)</f>
        <v/>
      </c>
      <c r="J117" s="148">
        <f>IF('KG1-4'!$M31="","",'KG1-4'!$M31)</f>
        <v/>
      </c>
      <c r="K117" s="148">
        <f>IF('KG1-4'!$N31="","",'KG1-4'!$N31)</f>
        <v/>
      </c>
      <c r="L117" s="148">
        <f>IF('KG1-4'!$D31="","",'KG1-4'!$D31)</f>
        <v/>
      </c>
      <c r="M117" s="148">
        <f>IF('KG1-4'!$E31="","",'KG1-4'!$E31)</f>
        <v/>
      </c>
      <c r="N117" s="148">
        <f>IF('KG1-4'!$F31="","",'KG1-4'!$F31)</f>
        <v/>
      </c>
      <c r="O117" s="158">
        <f>IF('KG1-4'!$G31="","",'KG1-4'!$G31)</f>
        <v/>
      </c>
      <c r="P117" s="158">
        <f>IF('KG1-4'!$O31="","",'KG1-4'!$O31)</f>
        <v/>
      </c>
      <c r="Q117" s="148">
        <f>IF('KG1-4'!$T31="","",'KG1-4'!$T31)</f>
        <v/>
      </c>
      <c r="R117" s="146">
        <f>IF('KG1-4'!$H31="","",'KG1-4'!$H31)</f>
        <v/>
      </c>
      <c r="S117" s="157">
        <f>IF('KG1-4'!$P31="","",'KG1-4'!$P31)</f>
        <v/>
      </c>
      <c r="T117" s="157">
        <f>IF('KG1-4'!$V31="","",'KG1-4'!$V31)</f>
        <v/>
      </c>
      <c r="U117" s="157">
        <f>IF('KG1-4'!$W31="","",'KG1-4'!$W31)</f>
        <v/>
      </c>
      <c r="V117" s="157">
        <f>IF('KG1-4'!$X31="","",'KG1-4'!$X31)</f>
        <v/>
      </c>
      <c r="W117" s="157">
        <f>IF('KG1-4'!$Y31="","",'KG1-4'!$Y31)</f>
        <v/>
      </c>
      <c r="X117" s="157">
        <f>IF('KG1-4'!$R31="","",'KG1-4'!$R31)</f>
        <v/>
      </c>
      <c r="Y117" s="148">
        <f>IF('KG1-4'!$S31="","",'KG1-4'!$S31)</f>
        <v/>
      </c>
      <c r="Z117" s="148">
        <f>IF('KG1-4'!$Q31="","",'KG1-4'!$Q31)</f>
        <v/>
      </c>
      <c r="AA117" s="148">
        <f>IF('KG1-4'!$I31="","",'KG1-4'!$I31)</f>
        <v/>
      </c>
      <c r="AB117" s="146">
        <f>IF(Q117="","",INDEX(LevelActions,MATCH(Q117,LevelValues,0)))</f>
        <v/>
      </c>
      <c r="AC117" s="148">
        <f>IF(J117="","",IF(J117=0,"—",IF(AND(L117=0,M117=0),Cat_L1,IF(O117&gt;=Cat_95,Cat_L2,IF(O117&gt;=Cat_90,Cat_L3,Cat_L4)))))</f>
        <v/>
      </c>
      <c r="AD117" s="146">
        <f>IF('KG1-4'!$L31="","",'KG1-4'!$L31)</f>
        <v/>
      </c>
      <c r="AE117" s="148">
        <f>IF(B117="","",IF(COUNTIF($B$5:$B$214,B117)&gt;1,"مكرر!",""))</f>
        <v/>
      </c>
      <c r="AF117" s="148">
        <f>IF(AND(B117&lt;&gt;"",F117="نشط",OR(Dash_Class="الكل",D117=Dash_Class)),1,0)</f>
        <v/>
      </c>
      <c r="AG117" s="40">
        <f>IF(OR(AF117=0,Dash_DayIdx=0),"",IF(INDEX('KG1-4'!$AD$7:$IM$7,Dash_DayIdx)&lt;&gt;"✓","",IF(INDEX('KG1-4'!$AD31:$IM31,Dash_DayIdx)="","P",IFERROR(INDEX(StatusCodes,MATCH(INDEX('KG1-4'!$AD31:$IM31,Dash_DayIdx),StatusLabels,0)),""))))</f>
        <v/>
      </c>
      <c r="AH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IF(LateAsPresent="نعم",COUNTIFS('KG1-4'!$AD31:$IM31,"متأخر",'KG1-4'!$AD$7:$IM$7,"✓",'KG1-4'!$AD$6:$IM$6,1,'KG1-4'!$AD$5:$IM$5,"&gt;="&amp;MAX('KG1-4'!$U31,Dash_PStart),'KG1-4'!$AD$5:$IM$5,"&lt;="&amp;Dash_PEnd),0))</f>
        <v/>
      </c>
      <c r="AI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COUNTIFS('KG1-4'!$AD31:$IM31,"غياب بدون عذر",'KG1-4'!$AD$7:$IM$7,"✓",'KG1-4'!$AD$6:$IM$6,1,'KG1-4'!$AD$5:$IM$5,"&gt;="&amp;MAX('KG1-4'!$U31,Dash_PStart),'KG1-4'!$AD$5:$IM$5,"&lt;="&amp;Dash_PEnd)+COUNTIFS('KG1-4'!$AD31:$IM31,"غياب بعذر",'KG1-4'!$AD$7:$IM$7,"✓",'KG1-4'!$AD$6:$IM$6,1,'KG1-4'!$AD$5:$IM$5,"&gt;="&amp;MAX('KG1-4'!$U31,Dash_PStart),'KG1-4'!$AD$5:$IM$5,"&lt;="&amp;Dash_PEnd)+COUNTIFS('KG1-4'!$AD31:$IM31,"متأخر",'KG1-4'!$AD$7:$IM$7,"✓",'KG1-4'!$AD$6:$IM$6,1,'KG1-4'!$AD$5:$IM$5,"&gt;="&amp;MAX('KG1-4'!$U31,Dash_PStart),'KG1-4'!$AD$5:$IM$5,"&lt;="&amp;Dash_PEnd))</f>
        <v/>
      </c>
      <c r="AJ117" s="40">
        <f>IF(AF117=0,0,IF(W117=Dash_Date,Thr_Critical,IF(V117=Dash_Date,Thr_High,IF(U117=Dash_Date,Thr_Repeated,IF(T117=Dash_Date,Thr_FollowUp,0)))))</f>
        <v/>
      </c>
      <c r="AK117" s="40">
        <f>IF(AJ117&gt;0,COUNTIF($AJ$5:AJ117,"&gt;0"),"")</f>
        <v/>
      </c>
      <c r="AL117" s="40">
        <f>IF(AND(B117&lt;&gt;"",F117="نشط",Q117&lt;&gt;"",Q117&gt;0),L117*1000+(999-ROW()),"")</f>
        <v/>
      </c>
      <c r="AM117" s="40">
        <f>IF(AND(AF117=1,J117&lt;&gt;"",J117&gt;0),ROUND(O117*10000,0)*1000000+K117*1000+(999-ROW()),"")</f>
        <v/>
      </c>
      <c r="AN117" s="40">
        <f>IF(AND(AF117=1,J117&lt;&gt;"",J117&gt;0),(L117+M117)*10000000+ROUND((1-O117)*10000,0)*1000+(999-ROW()),"")</f>
        <v/>
      </c>
      <c r="AO117" s="40">
        <f>IF(AND(AF117=1,Q117&lt;&gt;"",Q117&gt;=Thr_Critical),L117*1000+(999-ROW()),"")</f>
        <v/>
      </c>
      <c r="AP117" s="40">
        <f>IF(AND(B117&lt;&gt;"",F117="نشط",OR(Rpt_Class="الكل",D117=Rpt_Class)),1,0)</f>
        <v/>
      </c>
      <c r="AQ117" s="40">
        <f>IF(AND(AP117=1,Q117&lt;&gt;"",Q117&gt;0),L117*1000+(999-ROW()),"")</f>
        <v/>
      </c>
      <c r="AR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IF(LateAsPresent="نعم",COUNTIFS('KG1-4'!$AD31:$IM31,"متأخر",'KG1-4'!$AD$7:$IM$7,"✓",'KG1-4'!$AD$6:$IM$6,1,'KG1-4'!$AD$5:$IM$5,"&gt;="&amp;MAX('KG1-4'!$U31,Rpt_PStart),'KG1-4'!$AD$5:$IM$5,"&lt;="&amp;Rpt_PEnd),0))</f>
        <v/>
      </c>
      <c r="AS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COUNTIFS('KG1-4'!$AD31:$IM31,"غياب بدون عذر",'KG1-4'!$AD$7:$IM$7,"✓",'KG1-4'!$AD$6:$IM$6,1,'KG1-4'!$AD$5:$IM$5,"&gt;="&amp;MAX('KG1-4'!$U31,Rpt_PStart),'KG1-4'!$AD$5:$IM$5,"&lt;="&amp;Rpt_PEnd)+COUNTIFS('KG1-4'!$AD31:$IM31,"غياب بعذر",'KG1-4'!$AD$7:$IM$7,"✓",'KG1-4'!$AD$6:$IM$6,1,'KG1-4'!$AD$5:$IM$5,"&gt;="&amp;MAX('KG1-4'!$U31,Rpt_PStart),'KG1-4'!$AD$5:$IM$5,"&lt;="&amp;Rpt_PEnd)+COUNTIFS('KG1-4'!$AD31:$IM31,"متأخر",'KG1-4'!$AD$7:$IM$7,"✓",'KG1-4'!$AD$6:$IM$6,1,'KG1-4'!$AD$5:$IM$5,"&gt;="&amp;MAX('KG1-4'!$U31,Rpt_PStart),'KG1-4'!$AD$5:$IM$5,"&lt;="&amp;Rpt_PEnd))</f>
        <v/>
      </c>
      <c r="AT117" s="40">
        <f>IF(AP117=0,"",COUNTIFS('KG1-4'!$AD31:$IM31,"غياب بدون عذر",'KG1-4'!$AD$7:$IM$7,"✓",'KG1-4'!$AD$6:$IM$6,1,'KG1-4'!$AD$5:$IM$5,"&gt;="&amp;MAX('KG1-4'!$U31,Rpt_PStart),'KG1-4'!$AD$5:$IM$5,"&lt;="&amp;Rpt_PEnd)+COUNTIFS('KG1-4'!$AD31:$IM31,"غياب بعذر",'KG1-4'!$AD$7:$IM$7,"✓",'KG1-4'!$AD$6:$IM$6,1,'KG1-4'!$AD$5:$IM$5,"&gt;="&amp;MAX('KG1-4'!$U31,Rpt_PStart),'KG1-4'!$AD$5:$IM$5,"&lt;="&amp;Rpt_PEnd))</f>
        <v/>
      </c>
      <c r="AU117" s="40" t="n">
        <v>4</v>
      </c>
      <c r="AV117" s="40" t="n">
        <v>23</v>
      </c>
      <c r="AW117" s="40">
        <f>IF(OR(AP117=0,Rpt_DayIdx=0),"",IF(INDEX('KG1-4'!$AD$7:$IM$7,Rpt_DayIdx)&lt;&gt;"✓","",IF(INDEX('KG1-4'!$AD31:$IM31,Rpt_DayIdx)="","P",IFERROR(INDEX(StatusCodes,MATCH(INDEX('KG1-4'!$AD31:$IM31,Rpt_DayIdx),StatusLabels,0)),""))))</f>
        <v/>
      </c>
      <c r="AX117" s="40">
        <f>IF(AND(AP117=1,OR(AW117="A",AW117="E")),COUNTIFS($AP$5:AP117,1,$AW$5:AW117,"A")+COUNTIFS($AP$5:AP117,1,$AW$5:AW117,"E"),"")</f>
        <v/>
      </c>
    </row>
    <row r="118">
      <c r="A118" s="148">
        <f>IF(B118="","",ROW()-4)</f>
        <v/>
      </c>
      <c r="B118" s="148">
        <f>IF('KG1-4'!$B32="","",'KG1-4'!$B32)</f>
        <v/>
      </c>
      <c r="C118" s="146">
        <f>IF('KG1-4'!$C32="","",'KG1-4'!$C32)</f>
        <v/>
      </c>
      <c r="D118" s="148">
        <f>IF(B118="","",'KG1-4'!$B$2)</f>
        <v/>
      </c>
      <c r="E118" s="148">
        <f>IF(B118="","",MID(D118,FIND("-",D118&amp;"-")+1,10))</f>
        <v/>
      </c>
      <c r="F118" s="148">
        <f>IF(B118="","","نشط")</f>
        <v/>
      </c>
      <c r="G118" s="157">
        <f>IF(B118="","","")</f>
        <v/>
      </c>
      <c r="H118" s="146">
        <f>IF('KG1-4'!$K32="","",'KG1-4'!$K32)</f>
        <v/>
      </c>
      <c r="I118" s="148">
        <f>IF('KG1-4'!$J32="","",'KG1-4'!$J32)</f>
        <v/>
      </c>
      <c r="J118" s="148">
        <f>IF('KG1-4'!$M32="","",'KG1-4'!$M32)</f>
        <v/>
      </c>
      <c r="K118" s="148">
        <f>IF('KG1-4'!$N32="","",'KG1-4'!$N32)</f>
        <v/>
      </c>
      <c r="L118" s="148">
        <f>IF('KG1-4'!$D32="","",'KG1-4'!$D32)</f>
        <v/>
      </c>
      <c r="M118" s="148">
        <f>IF('KG1-4'!$E32="","",'KG1-4'!$E32)</f>
        <v/>
      </c>
      <c r="N118" s="148">
        <f>IF('KG1-4'!$F32="","",'KG1-4'!$F32)</f>
        <v/>
      </c>
      <c r="O118" s="158">
        <f>IF('KG1-4'!$G32="","",'KG1-4'!$G32)</f>
        <v/>
      </c>
      <c r="P118" s="158">
        <f>IF('KG1-4'!$O32="","",'KG1-4'!$O32)</f>
        <v/>
      </c>
      <c r="Q118" s="148">
        <f>IF('KG1-4'!$T32="","",'KG1-4'!$T32)</f>
        <v/>
      </c>
      <c r="R118" s="146">
        <f>IF('KG1-4'!$H32="","",'KG1-4'!$H32)</f>
        <v/>
      </c>
      <c r="S118" s="157">
        <f>IF('KG1-4'!$P32="","",'KG1-4'!$P32)</f>
        <v/>
      </c>
      <c r="T118" s="157">
        <f>IF('KG1-4'!$V32="","",'KG1-4'!$V32)</f>
        <v/>
      </c>
      <c r="U118" s="157">
        <f>IF('KG1-4'!$W32="","",'KG1-4'!$W32)</f>
        <v/>
      </c>
      <c r="V118" s="157">
        <f>IF('KG1-4'!$X32="","",'KG1-4'!$X32)</f>
        <v/>
      </c>
      <c r="W118" s="157">
        <f>IF('KG1-4'!$Y32="","",'KG1-4'!$Y32)</f>
        <v/>
      </c>
      <c r="X118" s="157">
        <f>IF('KG1-4'!$R32="","",'KG1-4'!$R32)</f>
        <v/>
      </c>
      <c r="Y118" s="148">
        <f>IF('KG1-4'!$S32="","",'KG1-4'!$S32)</f>
        <v/>
      </c>
      <c r="Z118" s="148">
        <f>IF('KG1-4'!$Q32="","",'KG1-4'!$Q32)</f>
        <v/>
      </c>
      <c r="AA118" s="148">
        <f>IF('KG1-4'!$I32="","",'KG1-4'!$I32)</f>
        <v/>
      </c>
      <c r="AB118" s="146">
        <f>IF(Q118="","",INDEX(LevelActions,MATCH(Q118,LevelValues,0)))</f>
        <v/>
      </c>
      <c r="AC118" s="148">
        <f>IF(J118="","",IF(J118=0,"—",IF(AND(L118=0,M118=0),Cat_L1,IF(O118&gt;=Cat_95,Cat_L2,IF(O118&gt;=Cat_90,Cat_L3,Cat_L4)))))</f>
        <v/>
      </c>
      <c r="AD118" s="146">
        <f>IF('KG1-4'!$L32="","",'KG1-4'!$L32)</f>
        <v/>
      </c>
      <c r="AE118" s="148">
        <f>IF(B118="","",IF(COUNTIF($B$5:$B$214,B118)&gt;1,"مكرر!",""))</f>
        <v/>
      </c>
      <c r="AF118" s="148">
        <f>IF(AND(B118&lt;&gt;"",F118="نشط",OR(Dash_Class="الكل",D118=Dash_Class)),1,0)</f>
        <v/>
      </c>
      <c r="AG118" s="40">
        <f>IF(OR(AF118=0,Dash_DayIdx=0),"",IF(INDEX('KG1-4'!$AD$7:$IM$7,Dash_DayIdx)&lt;&gt;"✓","",IF(INDEX('KG1-4'!$AD32:$IM32,Dash_DayIdx)="","P",IFERROR(INDEX(StatusCodes,MATCH(INDEX('KG1-4'!$AD32:$IM32,Dash_DayIdx),StatusLabels,0)),""))))</f>
        <v/>
      </c>
      <c r="AH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IF(LateAsPresent="نعم",COUNTIFS('KG1-4'!$AD32:$IM32,"متأخر",'KG1-4'!$AD$7:$IM$7,"✓",'KG1-4'!$AD$6:$IM$6,1,'KG1-4'!$AD$5:$IM$5,"&gt;="&amp;MAX('KG1-4'!$U32,Dash_PStart),'KG1-4'!$AD$5:$IM$5,"&lt;="&amp;Dash_PEnd),0))</f>
        <v/>
      </c>
      <c r="AI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COUNTIFS('KG1-4'!$AD32:$IM32,"غياب بدون عذر",'KG1-4'!$AD$7:$IM$7,"✓",'KG1-4'!$AD$6:$IM$6,1,'KG1-4'!$AD$5:$IM$5,"&gt;="&amp;MAX('KG1-4'!$U32,Dash_PStart),'KG1-4'!$AD$5:$IM$5,"&lt;="&amp;Dash_PEnd)+COUNTIFS('KG1-4'!$AD32:$IM32,"غياب بعذر",'KG1-4'!$AD$7:$IM$7,"✓",'KG1-4'!$AD$6:$IM$6,1,'KG1-4'!$AD$5:$IM$5,"&gt;="&amp;MAX('KG1-4'!$U32,Dash_PStart),'KG1-4'!$AD$5:$IM$5,"&lt;="&amp;Dash_PEnd)+COUNTIFS('KG1-4'!$AD32:$IM32,"متأخر",'KG1-4'!$AD$7:$IM$7,"✓",'KG1-4'!$AD$6:$IM$6,1,'KG1-4'!$AD$5:$IM$5,"&gt;="&amp;MAX('KG1-4'!$U32,Dash_PStart),'KG1-4'!$AD$5:$IM$5,"&lt;="&amp;Dash_PEnd))</f>
        <v/>
      </c>
      <c r="AJ118" s="40">
        <f>IF(AF118=0,0,IF(W118=Dash_Date,Thr_Critical,IF(V118=Dash_Date,Thr_High,IF(U118=Dash_Date,Thr_Repeated,IF(T118=Dash_Date,Thr_FollowUp,0)))))</f>
        <v/>
      </c>
      <c r="AK118" s="40">
        <f>IF(AJ118&gt;0,COUNTIF($AJ$5:AJ118,"&gt;0"),"")</f>
        <v/>
      </c>
      <c r="AL118" s="40">
        <f>IF(AND(B118&lt;&gt;"",F118="نشط",Q118&lt;&gt;"",Q118&gt;0),L118*1000+(999-ROW()),"")</f>
        <v/>
      </c>
      <c r="AM118" s="40">
        <f>IF(AND(AF118=1,J118&lt;&gt;"",J118&gt;0),ROUND(O118*10000,0)*1000000+K118*1000+(999-ROW()),"")</f>
        <v/>
      </c>
      <c r="AN118" s="40">
        <f>IF(AND(AF118=1,J118&lt;&gt;"",J118&gt;0),(L118+M118)*10000000+ROUND((1-O118)*10000,0)*1000+(999-ROW()),"")</f>
        <v/>
      </c>
      <c r="AO118" s="40">
        <f>IF(AND(AF118=1,Q118&lt;&gt;"",Q118&gt;=Thr_Critical),L118*1000+(999-ROW()),"")</f>
        <v/>
      </c>
      <c r="AP118" s="40">
        <f>IF(AND(B118&lt;&gt;"",F118="نشط",OR(Rpt_Class="الكل",D118=Rpt_Class)),1,0)</f>
        <v/>
      </c>
      <c r="AQ118" s="40">
        <f>IF(AND(AP118=1,Q118&lt;&gt;"",Q118&gt;0),L118*1000+(999-ROW()),"")</f>
        <v/>
      </c>
      <c r="AR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IF(LateAsPresent="نعم",COUNTIFS('KG1-4'!$AD32:$IM32,"متأخر",'KG1-4'!$AD$7:$IM$7,"✓",'KG1-4'!$AD$6:$IM$6,1,'KG1-4'!$AD$5:$IM$5,"&gt;="&amp;MAX('KG1-4'!$U32,Rpt_PStart),'KG1-4'!$AD$5:$IM$5,"&lt;="&amp;Rpt_PEnd),0))</f>
        <v/>
      </c>
      <c r="AS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COUNTIFS('KG1-4'!$AD32:$IM32,"غياب بدون عذر",'KG1-4'!$AD$7:$IM$7,"✓",'KG1-4'!$AD$6:$IM$6,1,'KG1-4'!$AD$5:$IM$5,"&gt;="&amp;MAX('KG1-4'!$U32,Rpt_PStart),'KG1-4'!$AD$5:$IM$5,"&lt;="&amp;Rpt_PEnd)+COUNTIFS('KG1-4'!$AD32:$IM32,"غياب بعذر",'KG1-4'!$AD$7:$IM$7,"✓",'KG1-4'!$AD$6:$IM$6,1,'KG1-4'!$AD$5:$IM$5,"&gt;="&amp;MAX('KG1-4'!$U32,Rpt_PStart),'KG1-4'!$AD$5:$IM$5,"&lt;="&amp;Rpt_PEnd)+COUNTIFS('KG1-4'!$AD32:$IM32,"متأخر",'KG1-4'!$AD$7:$IM$7,"✓",'KG1-4'!$AD$6:$IM$6,1,'KG1-4'!$AD$5:$IM$5,"&gt;="&amp;MAX('KG1-4'!$U32,Rpt_PStart),'KG1-4'!$AD$5:$IM$5,"&lt;="&amp;Rpt_PEnd))</f>
        <v/>
      </c>
      <c r="AT118" s="40">
        <f>IF(AP118=0,"",COUNTIFS('KG1-4'!$AD32:$IM32,"غياب بدون عذر",'KG1-4'!$AD$7:$IM$7,"✓",'KG1-4'!$AD$6:$IM$6,1,'KG1-4'!$AD$5:$IM$5,"&gt;="&amp;MAX('KG1-4'!$U32,Rpt_PStart),'KG1-4'!$AD$5:$IM$5,"&lt;="&amp;Rpt_PEnd)+COUNTIFS('KG1-4'!$AD32:$IM32,"غياب بعذر",'KG1-4'!$AD$7:$IM$7,"✓",'KG1-4'!$AD$6:$IM$6,1,'KG1-4'!$AD$5:$IM$5,"&gt;="&amp;MAX('KG1-4'!$U32,Rpt_PStart),'KG1-4'!$AD$5:$IM$5,"&lt;="&amp;Rpt_PEnd))</f>
        <v/>
      </c>
      <c r="AU118" s="40" t="n">
        <v>4</v>
      </c>
      <c r="AV118" s="40" t="n">
        <v>24</v>
      </c>
      <c r="AW118" s="40">
        <f>IF(OR(AP118=0,Rpt_DayIdx=0),"",IF(INDEX('KG1-4'!$AD$7:$IM$7,Rpt_DayIdx)&lt;&gt;"✓","",IF(INDEX('KG1-4'!$AD32:$IM32,Rpt_DayIdx)="","P",IFERROR(INDEX(StatusCodes,MATCH(INDEX('KG1-4'!$AD32:$IM32,Rpt_DayIdx),StatusLabels,0)),""))))</f>
        <v/>
      </c>
      <c r="AX118" s="40">
        <f>IF(AND(AP118=1,OR(AW118="A",AW118="E")),COUNTIFS($AP$5:AP118,1,$AW$5:AW118,"A")+COUNTIFS($AP$5:AP118,1,$AW$5:AW118,"E"),"")</f>
        <v/>
      </c>
    </row>
    <row r="119">
      <c r="A119" s="148">
        <f>IF(B119="","",ROW()-4)</f>
        <v/>
      </c>
      <c r="B119" s="148">
        <f>IF('KG1-4'!$B33="","",'KG1-4'!$B33)</f>
        <v/>
      </c>
      <c r="C119" s="146">
        <f>IF('KG1-4'!$C33="","",'KG1-4'!$C33)</f>
        <v/>
      </c>
      <c r="D119" s="148">
        <f>IF(B119="","",'KG1-4'!$B$2)</f>
        <v/>
      </c>
      <c r="E119" s="148">
        <f>IF(B119="","",MID(D119,FIND("-",D119&amp;"-")+1,10))</f>
        <v/>
      </c>
      <c r="F119" s="148">
        <f>IF(B119="","","نشط")</f>
        <v/>
      </c>
      <c r="G119" s="157">
        <f>IF(B119="","","")</f>
        <v/>
      </c>
      <c r="H119" s="146">
        <f>IF('KG1-4'!$K33="","",'KG1-4'!$K33)</f>
        <v/>
      </c>
      <c r="I119" s="148">
        <f>IF('KG1-4'!$J33="","",'KG1-4'!$J33)</f>
        <v/>
      </c>
      <c r="J119" s="148">
        <f>IF('KG1-4'!$M33="","",'KG1-4'!$M33)</f>
        <v/>
      </c>
      <c r="K119" s="148">
        <f>IF('KG1-4'!$N33="","",'KG1-4'!$N33)</f>
        <v/>
      </c>
      <c r="L119" s="148">
        <f>IF('KG1-4'!$D33="","",'KG1-4'!$D33)</f>
        <v/>
      </c>
      <c r="M119" s="148">
        <f>IF('KG1-4'!$E33="","",'KG1-4'!$E33)</f>
        <v/>
      </c>
      <c r="N119" s="148">
        <f>IF('KG1-4'!$F33="","",'KG1-4'!$F33)</f>
        <v/>
      </c>
      <c r="O119" s="158">
        <f>IF('KG1-4'!$G33="","",'KG1-4'!$G33)</f>
        <v/>
      </c>
      <c r="P119" s="158">
        <f>IF('KG1-4'!$O33="","",'KG1-4'!$O33)</f>
        <v/>
      </c>
      <c r="Q119" s="148">
        <f>IF('KG1-4'!$T33="","",'KG1-4'!$T33)</f>
        <v/>
      </c>
      <c r="R119" s="146">
        <f>IF('KG1-4'!$H33="","",'KG1-4'!$H33)</f>
        <v/>
      </c>
      <c r="S119" s="157">
        <f>IF('KG1-4'!$P33="","",'KG1-4'!$P33)</f>
        <v/>
      </c>
      <c r="T119" s="157">
        <f>IF('KG1-4'!$V33="","",'KG1-4'!$V33)</f>
        <v/>
      </c>
      <c r="U119" s="157">
        <f>IF('KG1-4'!$W33="","",'KG1-4'!$W33)</f>
        <v/>
      </c>
      <c r="V119" s="157">
        <f>IF('KG1-4'!$X33="","",'KG1-4'!$X33)</f>
        <v/>
      </c>
      <c r="W119" s="157">
        <f>IF('KG1-4'!$Y33="","",'KG1-4'!$Y33)</f>
        <v/>
      </c>
      <c r="X119" s="157">
        <f>IF('KG1-4'!$R33="","",'KG1-4'!$R33)</f>
        <v/>
      </c>
      <c r="Y119" s="148">
        <f>IF('KG1-4'!$S33="","",'KG1-4'!$S33)</f>
        <v/>
      </c>
      <c r="Z119" s="148">
        <f>IF('KG1-4'!$Q33="","",'KG1-4'!$Q33)</f>
        <v/>
      </c>
      <c r="AA119" s="148">
        <f>IF('KG1-4'!$I33="","",'KG1-4'!$I33)</f>
        <v/>
      </c>
      <c r="AB119" s="146">
        <f>IF(Q119="","",INDEX(LevelActions,MATCH(Q119,LevelValues,0)))</f>
        <v/>
      </c>
      <c r="AC119" s="148">
        <f>IF(J119="","",IF(J119=0,"—",IF(AND(L119=0,M119=0),Cat_L1,IF(O119&gt;=Cat_95,Cat_L2,IF(O119&gt;=Cat_90,Cat_L3,Cat_L4)))))</f>
        <v/>
      </c>
      <c r="AD119" s="146">
        <f>IF('KG1-4'!$L33="","",'KG1-4'!$L33)</f>
        <v/>
      </c>
      <c r="AE119" s="148">
        <f>IF(B119="","",IF(COUNTIF($B$5:$B$214,B119)&gt;1,"مكرر!",""))</f>
        <v/>
      </c>
      <c r="AF119" s="148">
        <f>IF(AND(B119&lt;&gt;"",F119="نشط",OR(Dash_Class="الكل",D119=Dash_Class)),1,0)</f>
        <v/>
      </c>
      <c r="AG119" s="40">
        <f>IF(OR(AF119=0,Dash_DayIdx=0),"",IF(INDEX('KG1-4'!$AD$7:$IM$7,Dash_DayIdx)&lt;&gt;"✓","",IF(INDEX('KG1-4'!$AD33:$IM33,Dash_DayIdx)="","P",IFERROR(INDEX(StatusCodes,MATCH(INDEX('KG1-4'!$AD33:$IM33,Dash_DayIdx),StatusLabels,0)),""))))</f>
        <v/>
      </c>
      <c r="AH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IF(LateAsPresent="نعم",COUNTIFS('KG1-4'!$AD33:$IM33,"متأخر",'KG1-4'!$AD$7:$IM$7,"✓",'KG1-4'!$AD$6:$IM$6,1,'KG1-4'!$AD$5:$IM$5,"&gt;="&amp;MAX('KG1-4'!$U33,Dash_PStart),'KG1-4'!$AD$5:$IM$5,"&lt;="&amp;Dash_PEnd),0))</f>
        <v/>
      </c>
      <c r="AI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COUNTIFS('KG1-4'!$AD33:$IM33,"غياب بدون عذر",'KG1-4'!$AD$7:$IM$7,"✓",'KG1-4'!$AD$6:$IM$6,1,'KG1-4'!$AD$5:$IM$5,"&gt;="&amp;MAX('KG1-4'!$U33,Dash_PStart),'KG1-4'!$AD$5:$IM$5,"&lt;="&amp;Dash_PEnd)+COUNTIFS('KG1-4'!$AD33:$IM33,"غياب بعذر",'KG1-4'!$AD$7:$IM$7,"✓",'KG1-4'!$AD$6:$IM$6,1,'KG1-4'!$AD$5:$IM$5,"&gt;="&amp;MAX('KG1-4'!$U33,Dash_PStart),'KG1-4'!$AD$5:$IM$5,"&lt;="&amp;Dash_PEnd)+COUNTIFS('KG1-4'!$AD33:$IM33,"متأخر",'KG1-4'!$AD$7:$IM$7,"✓",'KG1-4'!$AD$6:$IM$6,1,'KG1-4'!$AD$5:$IM$5,"&gt;="&amp;MAX('KG1-4'!$U33,Dash_PStart),'KG1-4'!$AD$5:$IM$5,"&lt;="&amp;Dash_PEnd))</f>
        <v/>
      </c>
      <c r="AJ119" s="40">
        <f>IF(AF119=0,0,IF(W119=Dash_Date,Thr_Critical,IF(V119=Dash_Date,Thr_High,IF(U119=Dash_Date,Thr_Repeated,IF(T119=Dash_Date,Thr_FollowUp,0)))))</f>
        <v/>
      </c>
      <c r="AK119" s="40">
        <f>IF(AJ119&gt;0,COUNTIF($AJ$5:AJ119,"&gt;0"),"")</f>
        <v/>
      </c>
      <c r="AL119" s="40">
        <f>IF(AND(B119&lt;&gt;"",F119="نشط",Q119&lt;&gt;"",Q119&gt;0),L119*1000+(999-ROW()),"")</f>
        <v/>
      </c>
      <c r="AM119" s="40">
        <f>IF(AND(AF119=1,J119&lt;&gt;"",J119&gt;0),ROUND(O119*10000,0)*1000000+K119*1000+(999-ROW()),"")</f>
        <v/>
      </c>
      <c r="AN119" s="40">
        <f>IF(AND(AF119=1,J119&lt;&gt;"",J119&gt;0),(L119+M119)*10000000+ROUND((1-O119)*10000,0)*1000+(999-ROW()),"")</f>
        <v/>
      </c>
      <c r="AO119" s="40">
        <f>IF(AND(AF119=1,Q119&lt;&gt;"",Q119&gt;=Thr_Critical),L119*1000+(999-ROW()),"")</f>
        <v/>
      </c>
      <c r="AP119" s="40">
        <f>IF(AND(B119&lt;&gt;"",F119="نشط",OR(Rpt_Class="الكل",D119=Rpt_Class)),1,0)</f>
        <v/>
      </c>
      <c r="AQ119" s="40">
        <f>IF(AND(AP119=1,Q119&lt;&gt;"",Q119&gt;0),L119*1000+(999-ROW()),"")</f>
        <v/>
      </c>
      <c r="AR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IF(LateAsPresent="نعم",COUNTIFS('KG1-4'!$AD33:$IM33,"متأخر",'KG1-4'!$AD$7:$IM$7,"✓",'KG1-4'!$AD$6:$IM$6,1,'KG1-4'!$AD$5:$IM$5,"&gt;="&amp;MAX('KG1-4'!$U33,Rpt_PStart),'KG1-4'!$AD$5:$IM$5,"&lt;="&amp;Rpt_PEnd),0))</f>
        <v/>
      </c>
      <c r="AS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COUNTIFS('KG1-4'!$AD33:$IM33,"غياب بدون عذر",'KG1-4'!$AD$7:$IM$7,"✓",'KG1-4'!$AD$6:$IM$6,1,'KG1-4'!$AD$5:$IM$5,"&gt;="&amp;MAX('KG1-4'!$U33,Rpt_PStart),'KG1-4'!$AD$5:$IM$5,"&lt;="&amp;Rpt_PEnd)+COUNTIFS('KG1-4'!$AD33:$IM33,"غياب بعذر",'KG1-4'!$AD$7:$IM$7,"✓",'KG1-4'!$AD$6:$IM$6,1,'KG1-4'!$AD$5:$IM$5,"&gt;="&amp;MAX('KG1-4'!$U33,Rpt_PStart),'KG1-4'!$AD$5:$IM$5,"&lt;="&amp;Rpt_PEnd)+COUNTIFS('KG1-4'!$AD33:$IM33,"متأخر",'KG1-4'!$AD$7:$IM$7,"✓",'KG1-4'!$AD$6:$IM$6,1,'KG1-4'!$AD$5:$IM$5,"&gt;="&amp;MAX('KG1-4'!$U33,Rpt_PStart),'KG1-4'!$AD$5:$IM$5,"&lt;="&amp;Rpt_PEnd))</f>
        <v/>
      </c>
      <c r="AT119" s="40">
        <f>IF(AP119=0,"",COUNTIFS('KG1-4'!$AD33:$IM33,"غياب بدون عذر",'KG1-4'!$AD$7:$IM$7,"✓",'KG1-4'!$AD$6:$IM$6,1,'KG1-4'!$AD$5:$IM$5,"&gt;="&amp;MAX('KG1-4'!$U33,Rpt_PStart),'KG1-4'!$AD$5:$IM$5,"&lt;="&amp;Rpt_PEnd)+COUNTIFS('KG1-4'!$AD33:$IM33,"غياب بعذر",'KG1-4'!$AD$7:$IM$7,"✓",'KG1-4'!$AD$6:$IM$6,1,'KG1-4'!$AD$5:$IM$5,"&gt;="&amp;MAX('KG1-4'!$U33,Rpt_PStart),'KG1-4'!$AD$5:$IM$5,"&lt;="&amp;Rpt_PEnd))</f>
        <v/>
      </c>
      <c r="AU119" s="40" t="n">
        <v>4</v>
      </c>
      <c r="AV119" s="40" t="n">
        <v>25</v>
      </c>
      <c r="AW119" s="40">
        <f>IF(OR(AP119=0,Rpt_DayIdx=0),"",IF(INDEX('KG1-4'!$AD$7:$IM$7,Rpt_DayIdx)&lt;&gt;"✓","",IF(INDEX('KG1-4'!$AD33:$IM33,Rpt_DayIdx)="","P",IFERROR(INDEX(StatusCodes,MATCH(INDEX('KG1-4'!$AD33:$IM33,Rpt_DayIdx),StatusLabels,0)),""))))</f>
        <v/>
      </c>
      <c r="AX119" s="40">
        <f>IF(AND(AP119=1,OR(AW119="A",AW119="E")),COUNTIFS($AP$5:AP119,1,$AW$5:AW119,"A")+COUNTIFS($AP$5:AP119,1,$AW$5:AW119,"E"),"")</f>
        <v/>
      </c>
    </row>
    <row r="120">
      <c r="A120" s="148">
        <f>IF(B120="","",ROW()-4)</f>
        <v/>
      </c>
      <c r="B120" s="148">
        <f>IF('KG1-4'!$B34="","",'KG1-4'!$B34)</f>
        <v/>
      </c>
      <c r="C120" s="146">
        <f>IF('KG1-4'!$C34="","",'KG1-4'!$C34)</f>
        <v/>
      </c>
      <c r="D120" s="148">
        <f>IF(B120="","",'KG1-4'!$B$2)</f>
        <v/>
      </c>
      <c r="E120" s="148">
        <f>IF(B120="","",MID(D120,FIND("-",D120&amp;"-")+1,10))</f>
        <v/>
      </c>
      <c r="F120" s="148">
        <f>IF(B120="","","نشط")</f>
        <v/>
      </c>
      <c r="G120" s="157">
        <f>IF(B120="","","")</f>
        <v/>
      </c>
      <c r="H120" s="146">
        <f>IF('KG1-4'!$K34="","",'KG1-4'!$K34)</f>
        <v/>
      </c>
      <c r="I120" s="148">
        <f>IF('KG1-4'!$J34="","",'KG1-4'!$J34)</f>
        <v/>
      </c>
      <c r="J120" s="148">
        <f>IF('KG1-4'!$M34="","",'KG1-4'!$M34)</f>
        <v/>
      </c>
      <c r="K120" s="148">
        <f>IF('KG1-4'!$N34="","",'KG1-4'!$N34)</f>
        <v/>
      </c>
      <c r="L120" s="148">
        <f>IF('KG1-4'!$D34="","",'KG1-4'!$D34)</f>
        <v/>
      </c>
      <c r="M120" s="148">
        <f>IF('KG1-4'!$E34="","",'KG1-4'!$E34)</f>
        <v/>
      </c>
      <c r="N120" s="148">
        <f>IF('KG1-4'!$F34="","",'KG1-4'!$F34)</f>
        <v/>
      </c>
      <c r="O120" s="158">
        <f>IF('KG1-4'!$G34="","",'KG1-4'!$G34)</f>
        <v/>
      </c>
      <c r="P120" s="158">
        <f>IF('KG1-4'!$O34="","",'KG1-4'!$O34)</f>
        <v/>
      </c>
      <c r="Q120" s="148">
        <f>IF('KG1-4'!$T34="","",'KG1-4'!$T34)</f>
        <v/>
      </c>
      <c r="R120" s="146">
        <f>IF('KG1-4'!$H34="","",'KG1-4'!$H34)</f>
        <v/>
      </c>
      <c r="S120" s="157">
        <f>IF('KG1-4'!$P34="","",'KG1-4'!$P34)</f>
        <v/>
      </c>
      <c r="T120" s="157">
        <f>IF('KG1-4'!$V34="","",'KG1-4'!$V34)</f>
        <v/>
      </c>
      <c r="U120" s="157">
        <f>IF('KG1-4'!$W34="","",'KG1-4'!$W34)</f>
        <v/>
      </c>
      <c r="V120" s="157">
        <f>IF('KG1-4'!$X34="","",'KG1-4'!$X34)</f>
        <v/>
      </c>
      <c r="W120" s="157">
        <f>IF('KG1-4'!$Y34="","",'KG1-4'!$Y34)</f>
        <v/>
      </c>
      <c r="X120" s="157">
        <f>IF('KG1-4'!$R34="","",'KG1-4'!$R34)</f>
        <v/>
      </c>
      <c r="Y120" s="148">
        <f>IF('KG1-4'!$S34="","",'KG1-4'!$S34)</f>
        <v/>
      </c>
      <c r="Z120" s="148">
        <f>IF('KG1-4'!$Q34="","",'KG1-4'!$Q34)</f>
        <v/>
      </c>
      <c r="AA120" s="148">
        <f>IF('KG1-4'!$I34="","",'KG1-4'!$I34)</f>
        <v/>
      </c>
      <c r="AB120" s="146">
        <f>IF(Q120="","",INDEX(LevelActions,MATCH(Q120,LevelValues,0)))</f>
        <v/>
      </c>
      <c r="AC120" s="148">
        <f>IF(J120="","",IF(J120=0,"—",IF(AND(L120=0,M120=0),Cat_L1,IF(O120&gt;=Cat_95,Cat_L2,IF(O120&gt;=Cat_90,Cat_L3,Cat_L4)))))</f>
        <v/>
      </c>
      <c r="AD120" s="146">
        <f>IF('KG1-4'!$L34="","",'KG1-4'!$L34)</f>
        <v/>
      </c>
      <c r="AE120" s="148">
        <f>IF(B120="","",IF(COUNTIF($B$5:$B$214,B120)&gt;1,"مكرر!",""))</f>
        <v/>
      </c>
      <c r="AF120" s="148">
        <f>IF(AND(B120&lt;&gt;"",F120="نشط",OR(Dash_Class="الكل",D120=Dash_Class)),1,0)</f>
        <v/>
      </c>
      <c r="AG120" s="40">
        <f>IF(OR(AF120=0,Dash_DayIdx=0),"",IF(INDEX('KG1-4'!$AD$7:$IM$7,Dash_DayIdx)&lt;&gt;"✓","",IF(INDEX('KG1-4'!$AD34:$IM34,Dash_DayIdx)="","P",IFERROR(INDEX(StatusCodes,MATCH(INDEX('KG1-4'!$AD34:$IM34,Dash_DayIdx),StatusLabels,0)),""))))</f>
        <v/>
      </c>
      <c r="AH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IF(LateAsPresent="نعم",COUNTIFS('KG1-4'!$AD34:$IM34,"متأخر",'KG1-4'!$AD$7:$IM$7,"✓",'KG1-4'!$AD$6:$IM$6,1,'KG1-4'!$AD$5:$IM$5,"&gt;="&amp;MAX('KG1-4'!$U34,Dash_PStart),'KG1-4'!$AD$5:$IM$5,"&lt;="&amp;Dash_PEnd),0))</f>
        <v/>
      </c>
      <c r="AI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COUNTIFS('KG1-4'!$AD34:$IM34,"غياب بدون عذر",'KG1-4'!$AD$7:$IM$7,"✓",'KG1-4'!$AD$6:$IM$6,1,'KG1-4'!$AD$5:$IM$5,"&gt;="&amp;MAX('KG1-4'!$U34,Dash_PStart),'KG1-4'!$AD$5:$IM$5,"&lt;="&amp;Dash_PEnd)+COUNTIFS('KG1-4'!$AD34:$IM34,"غياب بعذر",'KG1-4'!$AD$7:$IM$7,"✓",'KG1-4'!$AD$6:$IM$6,1,'KG1-4'!$AD$5:$IM$5,"&gt;="&amp;MAX('KG1-4'!$U34,Dash_PStart),'KG1-4'!$AD$5:$IM$5,"&lt;="&amp;Dash_PEnd)+COUNTIFS('KG1-4'!$AD34:$IM34,"متأخر",'KG1-4'!$AD$7:$IM$7,"✓",'KG1-4'!$AD$6:$IM$6,1,'KG1-4'!$AD$5:$IM$5,"&gt;="&amp;MAX('KG1-4'!$U34,Dash_PStart),'KG1-4'!$AD$5:$IM$5,"&lt;="&amp;Dash_PEnd))</f>
        <v/>
      </c>
      <c r="AJ120" s="40">
        <f>IF(AF120=0,0,IF(W120=Dash_Date,Thr_Critical,IF(V120=Dash_Date,Thr_High,IF(U120=Dash_Date,Thr_Repeated,IF(T120=Dash_Date,Thr_FollowUp,0)))))</f>
        <v/>
      </c>
      <c r="AK120" s="40">
        <f>IF(AJ120&gt;0,COUNTIF($AJ$5:AJ120,"&gt;0"),"")</f>
        <v/>
      </c>
      <c r="AL120" s="40">
        <f>IF(AND(B120&lt;&gt;"",F120="نشط",Q120&lt;&gt;"",Q120&gt;0),L120*1000+(999-ROW()),"")</f>
        <v/>
      </c>
      <c r="AM120" s="40">
        <f>IF(AND(AF120=1,J120&lt;&gt;"",J120&gt;0),ROUND(O120*10000,0)*1000000+K120*1000+(999-ROW()),"")</f>
        <v/>
      </c>
      <c r="AN120" s="40">
        <f>IF(AND(AF120=1,J120&lt;&gt;"",J120&gt;0),(L120+M120)*10000000+ROUND((1-O120)*10000,0)*1000+(999-ROW()),"")</f>
        <v/>
      </c>
      <c r="AO120" s="40">
        <f>IF(AND(AF120=1,Q120&lt;&gt;"",Q120&gt;=Thr_Critical),L120*1000+(999-ROW()),"")</f>
        <v/>
      </c>
      <c r="AP120" s="40">
        <f>IF(AND(B120&lt;&gt;"",F120="نشط",OR(Rpt_Class="الكل",D120=Rpt_Class)),1,0)</f>
        <v/>
      </c>
      <c r="AQ120" s="40">
        <f>IF(AND(AP120=1,Q120&lt;&gt;"",Q120&gt;0),L120*1000+(999-ROW()),"")</f>
        <v/>
      </c>
      <c r="AR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IF(LateAsPresent="نعم",COUNTIFS('KG1-4'!$AD34:$IM34,"متأخر",'KG1-4'!$AD$7:$IM$7,"✓",'KG1-4'!$AD$6:$IM$6,1,'KG1-4'!$AD$5:$IM$5,"&gt;="&amp;MAX('KG1-4'!$U34,Rpt_PStart),'KG1-4'!$AD$5:$IM$5,"&lt;="&amp;Rpt_PEnd),0))</f>
        <v/>
      </c>
      <c r="AS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COUNTIFS('KG1-4'!$AD34:$IM34,"غياب بدون عذر",'KG1-4'!$AD$7:$IM$7,"✓",'KG1-4'!$AD$6:$IM$6,1,'KG1-4'!$AD$5:$IM$5,"&gt;="&amp;MAX('KG1-4'!$U34,Rpt_PStart),'KG1-4'!$AD$5:$IM$5,"&lt;="&amp;Rpt_PEnd)+COUNTIFS('KG1-4'!$AD34:$IM34,"غياب بعذر",'KG1-4'!$AD$7:$IM$7,"✓",'KG1-4'!$AD$6:$IM$6,1,'KG1-4'!$AD$5:$IM$5,"&gt;="&amp;MAX('KG1-4'!$U34,Rpt_PStart),'KG1-4'!$AD$5:$IM$5,"&lt;="&amp;Rpt_PEnd)+COUNTIFS('KG1-4'!$AD34:$IM34,"متأخر",'KG1-4'!$AD$7:$IM$7,"✓",'KG1-4'!$AD$6:$IM$6,1,'KG1-4'!$AD$5:$IM$5,"&gt;="&amp;MAX('KG1-4'!$U34,Rpt_PStart),'KG1-4'!$AD$5:$IM$5,"&lt;="&amp;Rpt_PEnd))</f>
        <v/>
      </c>
      <c r="AT120" s="40">
        <f>IF(AP120=0,"",COUNTIFS('KG1-4'!$AD34:$IM34,"غياب بدون عذر",'KG1-4'!$AD$7:$IM$7,"✓",'KG1-4'!$AD$6:$IM$6,1,'KG1-4'!$AD$5:$IM$5,"&gt;="&amp;MAX('KG1-4'!$U34,Rpt_PStart),'KG1-4'!$AD$5:$IM$5,"&lt;="&amp;Rpt_PEnd)+COUNTIFS('KG1-4'!$AD34:$IM34,"غياب بعذر",'KG1-4'!$AD$7:$IM$7,"✓",'KG1-4'!$AD$6:$IM$6,1,'KG1-4'!$AD$5:$IM$5,"&gt;="&amp;MAX('KG1-4'!$U34,Rpt_PStart),'KG1-4'!$AD$5:$IM$5,"&lt;="&amp;Rpt_PEnd))</f>
        <v/>
      </c>
      <c r="AU120" s="40" t="n">
        <v>4</v>
      </c>
      <c r="AV120" s="40" t="n">
        <v>26</v>
      </c>
      <c r="AW120" s="40">
        <f>IF(OR(AP120=0,Rpt_DayIdx=0),"",IF(INDEX('KG1-4'!$AD$7:$IM$7,Rpt_DayIdx)&lt;&gt;"✓","",IF(INDEX('KG1-4'!$AD34:$IM34,Rpt_DayIdx)="","P",IFERROR(INDEX(StatusCodes,MATCH(INDEX('KG1-4'!$AD34:$IM34,Rpt_DayIdx),StatusLabels,0)),""))))</f>
        <v/>
      </c>
      <c r="AX120" s="40">
        <f>IF(AND(AP120=1,OR(AW120="A",AW120="E")),COUNTIFS($AP$5:AP120,1,$AW$5:AW120,"A")+COUNTIFS($AP$5:AP120,1,$AW$5:AW120,"E"),"")</f>
        <v/>
      </c>
    </row>
    <row r="121">
      <c r="A121" s="148">
        <f>IF(B121="","",ROW()-4)</f>
        <v/>
      </c>
      <c r="B121" s="148">
        <f>IF('KG1-4'!$B35="","",'KG1-4'!$B35)</f>
        <v/>
      </c>
      <c r="C121" s="146">
        <f>IF('KG1-4'!$C35="","",'KG1-4'!$C35)</f>
        <v/>
      </c>
      <c r="D121" s="148">
        <f>IF(B121="","",'KG1-4'!$B$2)</f>
        <v/>
      </c>
      <c r="E121" s="148">
        <f>IF(B121="","",MID(D121,FIND("-",D121&amp;"-")+1,10))</f>
        <v/>
      </c>
      <c r="F121" s="148">
        <f>IF(B121="","","نشط")</f>
        <v/>
      </c>
      <c r="G121" s="157">
        <f>IF(B121="","","")</f>
        <v/>
      </c>
      <c r="H121" s="146">
        <f>IF('KG1-4'!$K35="","",'KG1-4'!$K35)</f>
        <v/>
      </c>
      <c r="I121" s="148">
        <f>IF('KG1-4'!$J35="","",'KG1-4'!$J35)</f>
        <v/>
      </c>
      <c r="J121" s="148">
        <f>IF('KG1-4'!$M35="","",'KG1-4'!$M35)</f>
        <v/>
      </c>
      <c r="K121" s="148">
        <f>IF('KG1-4'!$N35="","",'KG1-4'!$N35)</f>
        <v/>
      </c>
      <c r="L121" s="148">
        <f>IF('KG1-4'!$D35="","",'KG1-4'!$D35)</f>
        <v/>
      </c>
      <c r="M121" s="148">
        <f>IF('KG1-4'!$E35="","",'KG1-4'!$E35)</f>
        <v/>
      </c>
      <c r="N121" s="148">
        <f>IF('KG1-4'!$F35="","",'KG1-4'!$F35)</f>
        <v/>
      </c>
      <c r="O121" s="158">
        <f>IF('KG1-4'!$G35="","",'KG1-4'!$G35)</f>
        <v/>
      </c>
      <c r="P121" s="158">
        <f>IF('KG1-4'!$O35="","",'KG1-4'!$O35)</f>
        <v/>
      </c>
      <c r="Q121" s="148">
        <f>IF('KG1-4'!$T35="","",'KG1-4'!$T35)</f>
        <v/>
      </c>
      <c r="R121" s="146">
        <f>IF('KG1-4'!$H35="","",'KG1-4'!$H35)</f>
        <v/>
      </c>
      <c r="S121" s="157">
        <f>IF('KG1-4'!$P35="","",'KG1-4'!$P35)</f>
        <v/>
      </c>
      <c r="T121" s="157">
        <f>IF('KG1-4'!$V35="","",'KG1-4'!$V35)</f>
        <v/>
      </c>
      <c r="U121" s="157">
        <f>IF('KG1-4'!$W35="","",'KG1-4'!$W35)</f>
        <v/>
      </c>
      <c r="V121" s="157">
        <f>IF('KG1-4'!$X35="","",'KG1-4'!$X35)</f>
        <v/>
      </c>
      <c r="W121" s="157">
        <f>IF('KG1-4'!$Y35="","",'KG1-4'!$Y35)</f>
        <v/>
      </c>
      <c r="X121" s="157">
        <f>IF('KG1-4'!$R35="","",'KG1-4'!$R35)</f>
        <v/>
      </c>
      <c r="Y121" s="148">
        <f>IF('KG1-4'!$S35="","",'KG1-4'!$S35)</f>
        <v/>
      </c>
      <c r="Z121" s="148">
        <f>IF('KG1-4'!$Q35="","",'KG1-4'!$Q35)</f>
        <v/>
      </c>
      <c r="AA121" s="148">
        <f>IF('KG1-4'!$I35="","",'KG1-4'!$I35)</f>
        <v/>
      </c>
      <c r="AB121" s="146">
        <f>IF(Q121="","",INDEX(LevelActions,MATCH(Q121,LevelValues,0)))</f>
        <v/>
      </c>
      <c r="AC121" s="148">
        <f>IF(J121="","",IF(J121=0,"—",IF(AND(L121=0,M121=0),Cat_L1,IF(O121&gt;=Cat_95,Cat_L2,IF(O121&gt;=Cat_90,Cat_L3,Cat_L4)))))</f>
        <v/>
      </c>
      <c r="AD121" s="146">
        <f>IF('KG1-4'!$L35="","",'KG1-4'!$L35)</f>
        <v/>
      </c>
      <c r="AE121" s="148">
        <f>IF(B121="","",IF(COUNTIF($B$5:$B$214,B121)&gt;1,"مكرر!",""))</f>
        <v/>
      </c>
      <c r="AF121" s="148">
        <f>IF(AND(B121&lt;&gt;"",F121="نشط",OR(Dash_Class="الكل",D121=Dash_Class)),1,0)</f>
        <v/>
      </c>
      <c r="AG121" s="40">
        <f>IF(OR(AF121=0,Dash_DayIdx=0),"",IF(INDEX('KG1-4'!$AD$7:$IM$7,Dash_DayIdx)&lt;&gt;"✓","",IF(INDEX('KG1-4'!$AD35:$IM35,Dash_DayIdx)="","P",IFERROR(INDEX(StatusCodes,MATCH(INDEX('KG1-4'!$AD35:$IM35,Dash_DayIdx),StatusLabels,0)),""))))</f>
        <v/>
      </c>
      <c r="AH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IF(LateAsPresent="نعم",COUNTIFS('KG1-4'!$AD35:$IM35,"متأخر",'KG1-4'!$AD$7:$IM$7,"✓",'KG1-4'!$AD$6:$IM$6,1,'KG1-4'!$AD$5:$IM$5,"&gt;="&amp;MAX('KG1-4'!$U35,Dash_PStart),'KG1-4'!$AD$5:$IM$5,"&lt;="&amp;Dash_PEnd),0))</f>
        <v/>
      </c>
      <c r="AI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COUNTIFS('KG1-4'!$AD35:$IM35,"غياب بدون عذر",'KG1-4'!$AD$7:$IM$7,"✓",'KG1-4'!$AD$6:$IM$6,1,'KG1-4'!$AD$5:$IM$5,"&gt;="&amp;MAX('KG1-4'!$U35,Dash_PStart),'KG1-4'!$AD$5:$IM$5,"&lt;="&amp;Dash_PEnd)+COUNTIFS('KG1-4'!$AD35:$IM35,"غياب بعذر",'KG1-4'!$AD$7:$IM$7,"✓",'KG1-4'!$AD$6:$IM$6,1,'KG1-4'!$AD$5:$IM$5,"&gt;="&amp;MAX('KG1-4'!$U35,Dash_PStart),'KG1-4'!$AD$5:$IM$5,"&lt;="&amp;Dash_PEnd)+COUNTIFS('KG1-4'!$AD35:$IM35,"متأخر",'KG1-4'!$AD$7:$IM$7,"✓",'KG1-4'!$AD$6:$IM$6,1,'KG1-4'!$AD$5:$IM$5,"&gt;="&amp;MAX('KG1-4'!$U35,Dash_PStart),'KG1-4'!$AD$5:$IM$5,"&lt;="&amp;Dash_PEnd))</f>
        <v/>
      </c>
      <c r="AJ121" s="40">
        <f>IF(AF121=0,0,IF(W121=Dash_Date,Thr_Critical,IF(V121=Dash_Date,Thr_High,IF(U121=Dash_Date,Thr_Repeated,IF(T121=Dash_Date,Thr_FollowUp,0)))))</f>
        <v/>
      </c>
      <c r="AK121" s="40">
        <f>IF(AJ121&gt;0,COUNTIF($AJ$5:AJ121,"&gt;0"),"")</f>
        <v/>
      </c>
      <c r="AL121" s="40">
        <f>IF(AND(B121&lt;&gt;"",F121="نشط",Q121&lt;&gt;"",Q121&gt;0),L121*1000+(999-ROW()),"")</f>
        <v/>
      </c>
      <c r="AM121" s="40">
        <f>IF(AND(AF121=1,J121&lt;&gt;"",J121&gt;0),ROUND(O121*10000,0)*1000000+K121*1000+(999-ROW()),"")</f>
        <v/>
      </c>
      <c r="AN121" s="40">
        <f>IF(AND(AF121=1,J121&lt;&gt;"",J121&gt;0),(L121+M121)*10000000+ROUND((1-O121)*10000,0)*1000+(999-ROW()),"")</f>
        <v/>
      </c>
      <c r="AO121" s="40">
        <f>IF(AND(AF121=1,Q121&lt;&gt;"",Q121&gt;=Thr_Critical),L121*1000+(999-ROW()),"")</f>
        <v/>
      </c>
      <c r="AP121" s="40">
        <f>IF(AND(B121&lt;&gt;"",F121="نشط",OR(Rpt_Class="الكل",D121=Rpt_Class)),1,0)</f>
        <v/>
      </c>
      <c r="AQ121" s="40">
        <f>IF(AND(AP121=1,Q121&lt;&gt;"",Q121&gt;0),L121*1000+(999-ROW()),"")</f>
        <v/>
      </c>
      <c r="AR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IF(LateAsPresent="نعم",COUNTIFS('KG1-4'!$AD35:$IM35,"متأخر",'KG1-4'!$AD$7:$IM$7,"✓",'KG1-4'!$AD$6:$IM$6,1,'KG1-4'!$AD$5:$IM$5,"&gt;="&amp;MAX('KG1-4'!$U35,Rpt_PStart),'KG1-4'!$AD$5:$IM$5,"&lt;="&amp;Rpt_PEnd),0))</f>
        <v/>
      </c>
      <c r="AS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COUNTIFS('KG1-4'!$AD35:$IM35,"غياب بدون عذر",'KG1-4'!$AD$7:$IM$7,"✓",'KG1-4'!$AD$6:$IM$6,1,'KG1-4'!$AD$5:$IM$5,"&gt;="&amp;MAX('KG1-4'!$U35,Rpt_PStart),'KG1-4'!$AD$5:$IM$5,"&lt;="&amp;Rpt_PEnd)+COUNTIFS('KG1-4'!$AD35:$IM35,"غياب بعذر",'KG1-4'!$AD$7:$IM$7,"✓",'KG1-4'!$AD$6:$IM$6,1,'KG1-4'!$AD$5:$IM$5,"&gt;="&amp;MAX('KG1-4'!$U35,Rpt_PStart),'KG1-4'!$AD$5:$IM$5,"&lt;="&amp;Rpt_PEnd)+COUNTIFS('KG1-4'!$AD35:$IM35,"متأخر",'KG1-4'!$AD$7:$IM$7,"✓",'KG1-4'!$AD$6:$IM$6,1,'KG1-4'!$AD$5:$IM$5,"&gt;="&amp;MAX('KG1-4'!$U35,Rpt_PStart),'KG1-4'!$AD$5:$IM$5,"&lt;="&amp;Rpt_PEnd))</f>
        <v/>
      </c>
      <c r="AT121" s="40">
        <f>IF(AP121=0,"",COUNTIFS('KG1-4'!$AD35:$IM35,"غياب بدون عذر",'KG1-4'!$AD$7:$IM$7,"✓",'KG1-4'!$AD$6:$IM$6,1,'KG1-4'!$AD$5:$IM$5,"&gt;="&amp;MAX('KG1-4'!$U35,Rpt_PStart),'KG1-4'!$AD$5:$IM$5,"&lt;="&amp;Rpt_PEnd)+COUNTIFS('KG1-4'!$AD35:$IM35,"غياب بعذر",'KG1-4'!$AD$7:$IM$7,"✓",'KG1-4'!$AD$6:$IM$6,1,'KG1-4'!$AD$5:$IM$5,"&gt;="&amp;MAX('KG1-4'!$U35,Rpt_PStart),'KG1-4'!$AD$5:$IM$5,"&lt;="&amp;Rpt_PEnd))</f>
        <v/>
      </c>
      <c r="AU121" s="40" t="n">
        <v>4</v>
      </c>
      <c r="AV121" s="40" t="n">
        <v>27</v>
      </c>
      <c r="AW121" s="40">
        <f>IF(OR(AP121=0,Rpt_DayIdx=0),"",IF(INDEX('KG1-4'!$AD$7:$IM$7,Rpt_DayIdx)&lt;&gt;"✓","",IF(INDEX('KG1-4'!$AD35:$IM35,Rpt_DayIdx)="","P",IFERROR(INDEX(StatusCodes,MATCH(INDEX('KG1-4'!$AD35:$IM35,Rpt_DayIdx),StatusLabels,0)),""))))</f>
        <v/>
      </c>
      <c r="AX121" s="40">
        <f>IF(AND(AP121=1,OR(AW121="A",AW121="E")),COUNTIFS($AP$5:AP121,1,$AW$5:AW121,"A")+COUNTIFS($AP$5:AP121,1,$AW$5:AW121,"E"),"")</f>
        <v/>
      </c>
    </row>
    <row r="122">
      <c r="A122" s="148">
        <f>IF(B122="","",ROW()-4)</f>
        <v/>
      </c>
      <c r="B122" s="148">
        <f>IF('KG1-4'!$B36="","",'KG1-4'!$B36)</f>
        <v/>
      </c>
      <c r="C122" s="146">
        <f>IF('KG1-4'!$C36="","",'KG1-4'!$C36)</f>
        <v/>
      </c>
      <c r="D122" s="148">
        <f>IF(B122="","",'KG1-4'!$B$2)</f>
        <v/>
      </c>
      <c r="E122" s="148">
        <f>IF(B122="","",MID(D122,FIND("-",D122&amp;"-")+1,10))</f>
        <v/>
      </c>
      <c r="F122" s="148">
        <f>IF(B122="","","نشط")</f>
        <v/>
      </c>
      <c r="G122" s="157">
        <f>IF(B122="","","")</f>
        <v/>
      </c>
      <c r="H122" s="146">
        <f>IF('KG1-4'!$K36="","",'KG1-4'!$K36)</f>
        <v/>
      </c>
      <c r="I122" s="148">
        <f>IF('KG1-4'!$J36="","",'KG1-4'!$J36)</f>
        <v/>
      </c>
      <c r="J122" s="148">
        <f>IF('KG1-4'!$M36="","",'KG1-4'!$M36)</f>
        <v/>
      </c>
      <c r="K122" s="148">
        <f>IF('KG1-4'!$N36="","",'KG1-4'!$N36)</f>
        <v/>
      </c>
      <c r="L122" s="148">
        <f>IF('KG1-4'!$D36="","",'KG1-4'!$D36)</f>
        <v/>
      </c>
      <c r="M122" s="148">
        <f>IF('KG1-4'!$E36="","",'KG1-4'!$E36)</f>
        <v/>
      </c>
      <c r="N122" s="148">
        <f>IF('KG1-4'!$F36="","",'KG1-4'!$F36)</f>
        <v/>
      </c>
      <c r="O122" s="158">
        <f>IF('KG1-4'!$G36="","",'KG1-4'!$G36)</f>
        <v/>
      </c>
      <c r="P122" s="158">
        <f>IF('KG1-4'!$O36="","",'KG1-4'!$O36)</f>
        <v/>
      </c>
      <c r="Q122" s="148">
        <f>IF('KG1-4'!$T36="","",'KG1-4'!$T36)</f>
        <v/>
      </c>
      <c r="R122" s="146">
        <f>IF('KG1-4'!$H36="","",'KG1-4'!$H36)</f>
        <v/>
      </c>
      <c r="S122" s="157">
        <f>IF('KG1-4'!$P36="","",'KG1-4'!$P36)</f>
        <v/>
      </c>
      <c r="T122" s="157">
        <f>IF('KG1-4'!$V36="","",'KG1-4'!$V36)</f>
        <v/>
      </c>
      <c r="U122" s="157">
        <f>IF('KG1-4'!$W36="","",'KG1-4'!$W36)</f>
        <v/>
      </c>
      <c r="V122" s="157">
        <f>IF('KG1-4'!$X36="","",'KG1-4'!$X36)</f>
        <v/>
      </c>
      <c r="W122" s="157">
        <f>IF('KG1-4'!$Y36="","",'KG1-4'!$Y36)</f>
        <v/>
      </c>
      <c r="X122" s="157">
        <f>IF('KG1-4'!$R36="","",'KG1-4'!$R36)</f>
        <v/>
      </c>
      <c r="Y122" s="148">
        <f>IF('KG1-4'!$S36="","",'KG1-4'!$S36)</f>
        <v/>
      </c>
      <c r="Z122" s="148">
        <f>IF('KG1-4'!$Q36="","",'KG1-4'!$Q36)</f>
        <v/>
      </c>
      <c r="AA122" s="148">
        <f>IF('KG1-4'!$I36="","",'KG1-4'!$I36)</f>
        <v/>
      </c>
      <c r="AB122" s="146">
        <f>IF(Q122="","",INDEX(LevelActions,MATCH(Q122,LevelValues,0)))</f>
        <v/>
      </c>
      <c r="AC122" s="148">
        <f>IF(J122="","",IF(J122=0,"—",IF(AND(L122=0,M122=0),Cat_L1,IF(O122&gt;=Cat_95,Cat_L2,IF(O122&gt;=Cat_90,Cat_L3,Cat_L4)))))</f>
        <v/>
      </c>
      <c r="AD122" s="146">
        <f>IF('KG1-4'!$L36="","",'KG1-4'!$L36)</f>
        <v/>
      </c>
      <c r="AE122" s="148">
        <f>IF(B122="","",IF(COUNTIF($B$5:$B$214,B122)&gt;1,"مكرر!",""))</f>
        <v/>
      </c>
      <c r="AF122" s="148">
        <f>IF(AND(B122&lt;&gt;"",F122="نشط",OR(Dash_Class="الكل",D122=Dash_Class)),1,0)</f>
        <v/>
      </c>
      <c r="AG122" s="40">
        <f>IF(OR(AF122=0,Dash_DayIdx=0),"",IF(INDEX('KG1-4'!$AD$7:$IM$7,Dash_DayIdx)&lt;&gt;"✓","",IF(INDEX('KG1-4'!$AD36:$IM36,Dash_DayIdx)="","P",IFERROR(INDEX(StatusCodes,MATCH(INDEX('KG1-4'!$AD36:$IM36,Dash_DayIdx),StatusLabels,0)),""))))</f>
        <v/>
      </c>
      <c r="AH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IF(LateAsPresent="نعم",COUNTIFS('KG1-4'!$AD36:$IM36,"متأخر",'KG1-4'!$AD$7:$IM$7,"✓",'KG1-4'!$AD$6:$IM$6,1,'KG1-4'!$AD$5:$IM$5,"&gt;="&amp;MAX('KG1-4'!$U36,Dash_PStart),'KG1-4'!$AD$5:$IM$5,"&lt;="&amp;Dash_PEnd),0))</f>
        <v/>
      </c>
      <c r="AI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COUNTIFS('KG1-4'!$AD36:$IM36,"غياب بدون عذر",'KG1-4'!$AD$7:$IM$7,"✓",'KG1-4'!$AD$6:$IM$6,1,'KG1-4'!$AD$5:$IM$5,"&gt;="&amp;MAX('KG1-4'!$U36,Dash_PStart),'KG1-4'!$AD$5:$IM$5,"&lt;="&amp;Dash_PEnd)+COUNTIFS('KG1-4'!$AD36:$IM36,"غياب بعذر",'KG1-4'!$AD$7:$IM$7,"✓",'KG1-4'!$AD$6:$IM$6,1,'KG1-4'!$AD$5:$IM$5,"&gt;="&amp;MAX('KG1-4'!$U36,Dash_PStart),'KG1-4'!$AD$5:$IM$5,"&lt;="&amp;Dash_PEnd)+COUNTIFS('KG1-4'!$AD36:$IM36,"متأخر",'KG1-4'!$AD$7:$IM$7,"✓",'KG1-4'!$AD$6:$IM$6,1,'KG1-4'!$AD$5:$IM$5,"&gt;="&amp;MAX('KG1-4'!$U36,Dash_PStart),'KG1-4'!$AD$5:$IM$5,"&lt;="&amp;Dash_PEnd))</f>
        <v/>
      </c>
      <c r="AJ122" s="40">
        <f>IF(AF122=0,0,IF(W122=Dash_Date,Thr_Critical,IF(V122=Dash_Date,Thr_High,IF(U122=Dash_Date,Thr_Repeated,IF(T122=Dash_Date,Thr_FollowUp,0)))))</f>
        <v/>
      </c>
      <c r="AK122" s="40">
        <f>IF(AJ122&gt;0,COUNTIF($AJ$5:AJ122,"&gt;0"),"")</f>
        <v/>
      </c>
      <c r="AL122" s="40">
        <f>IF(AND(B122&lt;&gt;"",F122="نشط",Q122&lt;&gt;"",Q122&gt;0),L122*1000+(999-ROW()),"")</f>
        <v/>
      </c>
      <c r="AM122" s="40">
        <f>IF(AND(AF122=1,J122&lt;&gt;"",J122&gt;0),ROUND(O122*10000,0)*1000000+K122*1000+(999-ROW()),"")</f>
        <v/>
      </c>
      <c r="AN122" s="40">
        <f>IF(AND(AF122=1,J122&lt;&gt;"",J122&gt;0),(L122+M122)*10000000+ROUND((1-O122)*10000,0)*1000+(999-ROW()),"")</f>
        <v/>
      </c>
      <c r="AO122" s="40">
        <f>IF(AND(AF122=1,Q122&lt;&gt;"",Q122&gt;=Thr_Critical),L122*1000+(999-ROW()),"")</f>
        <v/>
      </c>
      <c r="AP122" s="40">
        <f>IF(AND(B122&lt;&gt;"",F122="نشط",OR(Rpt_Class="الكل",D122=Rpt_Class)),1,0)</f>
        <v/>
      </c>
      <c r="AQ122" s="40">
        <f>IF(AND(AP122=1,Q122&lt;&gt;"",Q122&gt;0),L122*1000+(999-ROW()),"")</f>
        <v/>
      </c>
      <c r="AR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IF(LateAsPresent="نعم",COUNTIFS('KG1-4'!$AD36:$IM36,"متأخر",'KG1-4'!$AD$7:$IM$7,"✓",'KG1-4'!$AD$6:$IM$6,1,'KG1-4'!$AD$5:$IM$5,"&gt;="&amp;MAX('KG1-4'!$U36,Rpt_PStart),'KG1-4'!$AD$5:$IM$5,"&lt;="&amp;Rpt_PEnd),0))</f>
        <v/>
      </c>
      <c r="AS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COUNTIFS('KG1-4'!$AD36:$IM36,"غياب بدون عذر",'KG1-4'!$AD$7:$IM$7,"✓",'KG1-4'!$AD$6:$IM$6,1,'KG1-4'!$AD$5:$IM$5,"&gt;="&amp;MAX('KG1-4'!$U36,Rpt_PStart),'KG1-4'!$AD$5:$IM$5,"&lt;="&amp;Rpt_PEnd)+COUNTIFS('KG1-4'!$AD36:$IM36,"غياب بعذر",'KG1-4'!$AD$7:$IM$7,"✓",'KG1-4'!$AD$6:$IM$6,1,'KG1-4'!$AD$5:$IM$5,"&gt;="&amp;MAX('KG1-4'!$U36,Rpt_PStart),'KG1-4'!$AD$5:$IM$5,"&lt;="&amp;Rpt_PEnd)+COUNTIFS('KG1-4'!$AD36:$IM36,"متأخر",'KG1-4'!$AD$7:$IM$7,"✓",'KG1-4'!$AD$6:$IM$6,1,'KG1-4'!$AD$5:$IM$5,"&gt;="&amp;MAX('KG1-4'!$U36,Rpt_PStart),'KG1-4'!$AD$5:$IM$5,"&lt;="&amp;Rpt_PEnd))</f>
        <v/>
      </c>
      <c r="AT122" s="40">
        <f>IF(AP122=0,"",COUNTIFS('KG1-4'!$AD36:$IM36,"غياب بدون عذر",'KG1-4'!$AD$7:$IM$7,"✓",'KG1-4'!$AD$6:$IM$6,1,'KG1-4'!$AD$5:$IM$5,"&gt;="&amp;MAX('KG1-4'!$U36,Rpt_PStart),'KG1-4'!$AD$5:$IM$5,"&lt;="&amp;Rpt_PEnd)+COUNTIFS('KG1-4'!$AD36:$IM36,"غياب بعذر",'KG1-4'!$AD$7:$IM$7,"✓",'KG1-4'!$AD$6:$IM$6,1,'KG1-4'!$AD$5:$IM$5,"&gt;="&amp;MAX('KG1-4'!$U36,Rpt_PStart),'KG1-4'!$AD$5:$IM$5,"&lt;="&amp;Rpt_PEnd))</f>
        <v/>
      </c>
      <c r="AU122" s="40" t="n">
        <v>4</v>
      </c>
      <c r="AV122" s="40" t="n">
        <v>28</v>
      </c>
      <c r="AW122" s="40">
        <f>IF(OR(AP122=0,Rpt_DayIdx=0),"",IF(INDEX('KG1-4'!$AD$7:$IM$7,Rpt_DayIdx)&lt;&gt;"✓","",IF(INDEX('KG1-4'!$AD36:$IM36,Rpt_DayIdx)="","P",IFERROR(INDEX(StatusCodes,MATCH(INDEX('KG1-4'!$AD36:$IM36,Rpt_DayIdx),StatusLabels,0)),""))))</f>
        <v/>
      </c>
      <c r="AX122" s="40">
        <f>IF(AND(AP122=1,OR(AW122="A",AW122="E")),COUNTIFS($AP$5:AP122,1,$AW$5:AW122,"A")+COUNTIFS($AP$5:AP122,1,$AW$5:AW122,"E"),"")</f>
        <v/>
      </c>
    </row>
    <row r="123">
      <c r="A123" s="148">
        <f>IF(B123="","",ROW()-4)</f>
        <v/>
      </c>
      <c r="B123" s="148">
        <f>IF('KG1-4'!$B37="","",'KG1-4'!$B37)</f>
        <v/>
      </c>
      <c r="C123" s="146">
        <f>IF('KG1-4'!$C37="","",'KG1-4'!$C37)</f>
        <v/>
      </c>
      <c r="D123" s="148">
        <f>IF(B123="","",'KG1-4'!$B$2)</f>
        <v/>
      </c>
      <c r="E123" s="148">
        <f>IF(B123="","",MID(D123,FIND("-",D123&amp;"-")+1,10))</f>
        <v/>
      </c>
      <c r="F123" s="148">
        <f>IF(B123="","","نشط")</f>
        <v/>
      </c>
      <c r="G123" s="157">
        <f>IF(B123="","","")</f>
        <v/>
      </c>
      <c r="H123" s="146">
        <f>IF('KG1-4'!$K37="","",'KG1-4'!$K37)</f>
        <v/>
      </c>
      <c r="I123" s="148">
        <f>IF('KG1-4'!$J37="","",'KG1-4'!$J37)</f>
        <v/>
      </c>
      <c r="J123" s="148">
        <f>IF('KG1-4'!$M37="","",'KG1-4'!$M37)</f>
        <v/>
      </c>
      <c r="K123" s="148">
        <f>IF('KG1-4'!$N37="","",'KG1-4'!$N37)</f>
        <v/>
      </c>
      <c r="L123" s="148">
        <f>IF('KG1-4'!$D37="","",'KG1-4'!$D37)</f>
        <v/>
      </c>
      <c r="M123" s="148">
        <f>IF('KG1-4'!$E37="","",'KG1-4'!$E37)</f>
        <v/>
      </c>
      <c r="N123" s="148">
        <f>IF('KG1-4'!$F37="","",'KG1-4'!$F37)</f>
        <v/>
      </c>
      <c r="O123" s="158">
        <f>IF('KG1-4'!$G37="","",'KG1-4'!$G37)</f>
        <v/>
      </c>
      <c r="P123" s="158">
        <f>IF('KG1-4'!$O37="","",'KG1-4'!$O37)</f>
        <v/>
      </c>
      <c r="Q123" s="148">
        <f>IF('KG1-4'!$T37="","",'KG1-4'!$T37)</f>
        <v/>
      </c>
      <c r="R123" s="146">
        <f>IF('KG1-4'!$H37="","",'KG1-4'!$H37)</f>
        <v/>
      </c>
      <c r="S123" s="157">
        <f>IF('KG1-4'!$P37="","",'KG1-4'!$P37)</f>
        <v/>
      </c>
      <c r="T123" s="157">
        <f>IF('KG1-4'!$V37="","",'KG1-4'!$V37)</f>
        <v/>
      </c>
      <c r="U123" s="157">
        <f>IF('KG1-4'!$W37="","",'KG1-4'!$W37)</f>
        <v/>
      </c>
      <c r="V123" s="157">
        <f>IF('KG1-4'!$X37="","",'KG1-4'!$X37)</f>
        <v/>
      </c>
      <c r="W123" s="157">
        <f>IF('KG1-4'!$Y37="","",'KG1-4'!$Y37)</f>
        <v/>
      </c>
      <c r="X123" s="157">
        <f>IF('KG1-4'!$R37="","",'KG1-4'!$R37)</f>
        <v/>
      </c>
      <c r="Y123" s="148">
        <f>IF('KG1-4'!$S37="","",'KG1-4'!$S37)</f>
        <v/>
      </c>
      <c r="Z123" s="148">
        <f>IF('KG1-4'!$Q37="","",'KG1-4'!$Q37)</f>
        <v/>
      </c>
      <c r="AA123" s="148">
        <f>IF('KG1-4'!$I37="","",'KG1-4'!$I37)</f>
        <v/>
      </c>
      <c r="AB123" s="146">
        <f>IF(Q123="","",INDEX(LevelActions,MATCH(Q123,LevelValues,0)))</f>
        <v/>
      </c>
      <c r="AC123" s="148">
        <f>IF(J123="","",IF(J123=0,"—",IF(AND(L123=0,M123=0),Cat_L1,IF(O123&gt;=Cat_95,Cat_L2,IF(O123&gt;=Cat_90,Cat_L3,Cat_L4)))))</f>
        <v/>
      </c>
      <c r="AD123" s="146">
        <f>IF('KG1-4'!$L37="","",'KG1-4'!$L37)</f>
        <v/>
      </c>
      <c r="AE123" s="148">
        <f>IF(B123="","",IF(COUNTIF($B$5:$B$214,B123)&gt;1,"مكرر!",""))</f>
        <v/>
      </c>
      <c r="AF123" s="148">
        <f>IF(AND(B123&lt;&gt;"",F123="نشط",OR(Dash_Class="الكل",D123=Dash_Class)),1,0)</f>
        <v/>
      </c>
      <c r="AG123" s="40">
        <f>IF(OR(AF123=0,Dash_DayIdx=0),"",IF(INDEX('KG1-4'!$AD$7:$IM$7,Dash_DayIdx)&lt;&gt;"✓","",IF(INDEX('KG1-4'!$AD37:$IM37,Dash_DayIdx)="","P",IFERROR(INDEX(StatusCodes,MATCH(INDEX('KG1-4'!$AD37:$IM37,Dash_DayIdx),StatusLabels,0)),""))))</f>
        <v/>
      </c>
      <c r="AH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IF(LateAsPresent="نعم",COUNTIFS('KG1-4'!$AD37:$IM37,"متأخر",'KG1-4'!$AD$7:$IM$7,"✓",'KG1-4'!$AD$6:$IM$6,1,'KG1-4'!$AD$5:$IM$5,"&gt;="&amp;MAX('KG1-4'!$U37,Dash_PStart),'KG1-4'!$AD$5:$IM$5,"&lt;="&amp;Dash_PEnd),0))</f>
        <v/>
      </c>
      <c r="AI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COUNTIFS('KG1-4'!$AD37:$IM37,"غياب بدون عذر",'KG1-4'!$AD$7:$IM$7,"✓",'KG1-4'!$AD$6:$IM$6,1,'KG1-4'!$AD$5:$IM$5,"&gt;="&amp;MAX('KG1-4'!$U37,Dash_PStart),'KG1-4'!$AD$5:$IM$5,"&lt;="&amp;Dash_PEnd)+COUNTIFS('KG1-4'!$AD37:$IM37,"غياب بعذر",'KG1-4'!$AD$7:$IM$7,"✓",'KG1-4'!$AD$6:$IM$6,1,'KG1-4'!$AD$5:$IM$5,"&gt;="&amp;MAX('KG1-4'!$U37,Dash_PStart),'KG1-4'!$AD$5:$IM$5,"&lt;="&amp;Dash_PEnd)+COUNTIFS('KG1-4'!$AD37:$IM37,"متأخر",'KG1-4'!$AD$7:$IM$7,"✓",'KG1-4'!$AD$6:$IM$6,1,'KG1-4'!$AD$5:$IM$5,"&gt;="&amp;MAX('KG1-4'!$U37,Dash_PStart),'KG1-4'!$AD$5:$IM$5,"&lt;="&amp;Dash_PEnd))</f>
        <v/>
      </c>
      <c r="AJ123" s="40">
        <f>IF(AF123=0,0,IF(W123=Dash_Date,Thr_Critical,IF(V123=Dash_Date,Thr_High,IF(U123=Dash_Date,Thr_Repeated,IF(T123=Dash_Date,Thr_FollowUp,0)))))</f>
        <v/>
      </c>
      <c r="AK123" s="40">
        <f>IF(AJ123&gt;0,COUNTIF($AJ$5:AJ123,"&gt;0"),"")</f>
        <v/>
      </c>
      <c r="AL123" s="40">
        <f>IF(AND(B123&lt;&gt;"",F123="نشط",Q123&lt;&gt;"",Q123&gt;0),L123*1000+(999-ROW()),"")</f>
        <v/>
      </c>
      <c r="AM123" s="40">
        <f>IF(AND(AF123=1,J123&lt;&gt;"",J123&gt;0),ROUND(O123*10000,0)*1000000+K123*1000+(999-ROW()),"")</f>
        <v/>
      </c>
      <c r="AN123" s="40">
        <f>IF(AND(AF123=1,J123&lt;&gt;"",J123&gt;0),(L123+M123)*10000000+ROUND((1-O123)*10000,0)*1000+(999-ROW()),"")</f>
        <v/>
      </c>
      <c r="AO123" s="40">
        <f>IF(AND(AF123=1,Q123&lt;&gt;"",Q123&gt;=Thr_Critical),L123*1000+(999-ROW()),"")</f>
        <v/>
      </c>
      <c r="AP123" s="40">
        <f>IF(AND(B123&lt;&gt;"",F123="نشط",OR(Rpt_Class="الكل",D123=Rpt_Class)),1,0)</f>
        <v/>
      </c>
      <c r="AQ123" s="40">
        <f>IF(AND(AP123=1,Q123&lt;&gt;"",Q123&gt;0),L123*1000+(999-ROW()),"")</f>
        <v/>
      </c>
      <c r="AR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IF(LateAsPresent="نعم",COUNTIFS('KG1-4'!$AD37:$IM37,"متأخر",'KG1-4'!$AD$7:$IM$7,"✓",'KG1-4'!$AD$6:$IM$6,1,'KG1-4'!$AD$5:$IM$5,"&gt;="&amp;MAX('KG1-4'!$U37,Rpt_PStart),'KG1-4'!$AD$5:$IM$5,"&lt;="&amp;Rpt_PEnd),0))</f>
        <v/>
      </c>
      <c r="AS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COUNTIFS('KG1-4'!$AD37:$IM37,"غياب بدون عذر",'KG1-4'!$AD$7:$IM$7,"✓",'KG1-4'!$AD$6:$IM$6,1,'KG1-4'!$AD$5:$IM$5,"&gt;="&amp;MAX('KG1-4'!$U37,Rpt_PStart),'KG1-4'!$AD$5:$IM$5,"&lt;="&amp;Rpt_PEnd)+COUNTIFS('KG1-4'!$AD37:$IM37,"غياب بعذر",'KG1-4'!$AD$7:$IM$7,"✓",'KG1-4'!$AD$6:$IM$6,1,'KG1-4'!$AD$5:$IM$5,"&gt;="&amp;MAX('KG1-4'!$U37,Rpt_PStart),'KG1-4'!$AD$5:$IM$5,"&lt;="&amp;Rpt_PEnd)+COUNTIFS('KG1-4'!$AD37:$IM37,"متأخر",'KG1-4'!$AD$7:$IM$7,"✓",'KG1-4'!$AD$6:$IM$6,1,'KG1-4'!$AD$5:$IM$5,"&gt;="&amp;MAX('KG1-4'!$U37,Rpt_PStart),'KG1-4'!$AD$5:$IM$5,"&lt;="&amp;Rpt_PEnd))</f>
        <v/>
      </c>
      <c r="AT123" s="40">
        <f>IF(AP123=0,"",COUNTIFS('KG1-4'!$AD37:$IM37,"غياب بدون عذر",'KG1-4'!$AD$7:$IM$7,"✓",'KG1-4'!$AD$6:$IM$6,1,'KG1-4'!$AD$5:$IM$5,"&gt;="&amp;MAX('KG1-4'!$U37,Rpt_PStart),'KG1-4'!$AD$5:$IM$5,"&lt;="&amp;Rpt_PEnd)+COUNTIFS('KG1-4'!$AD37:$IM37,"غياب بعذر",'KG1-4'!$AD$7:$IM$7,"✓",'KG1-4'!$AD$6:$IM$6,1,'KG1-4'!$AD$5:$IM$5,"&gt;="&amp;MAX('KG1-4'!$U37,Rpt_PStart),'KG1-4'!$AD$5:$IM$5,"&lt;="&amp;Rpt_PEnd))</f>
        <v/>
      </c>
      <c r="AU123" s="40" t="n">
        <v>4</v>
      </c>
      <c r="AV123" s="40" t="n">
        <v>29</v>
      </c>
      <c r="AW123" s="40">
        <f>IF(OR(AP123=0,Rpt_DayIdx=0),"",IF(INDEX('KG1-4'!$AD$7:$IM$7,Rpt_DayIdx)&lt;&gt;"✓","",IF(INDEX('KG1-4'!$AD37:$IM37,Rpt_DayIdx)="","P",IFERROR(INDEX(StatusCodes,MATCH(INDEX('KG1-4'!$AD37:$IM37,Rpt_DayIdx),StatusLabels,0)),""))))</f>
        <v/>
      </c>
      <c r="AX123" s="40">
        <f>IF(AND(AP123=1,OR(AW123="A",AW123="E")),COUNTIFS($AP$5:AP123,1,$AW$5:AW123,"A")+COUNTIFS($AP$5:AP123,1,$AW$5:AW123,"E"),"")</f>
        <v/>
      </c>
    </row>
    <row r="124">
      <c r="A124" s="148">
        <f>IF(B124="","",ROW()-4)</f>
        <v/>
      </c>
      <c r="B124" s="148">
        <f>IF('KG1-4'!$B38="","",'KG1-4'!$B38)</f>
        <v/>
      </c>
      <c r="C124" s="146">
        <f>IF('KG1-4'!$C38="","",'KG1-4'!$C38)</f>
        <v/>
      </c>
      <c r="D124" s="148">
        <f>IF(B124="","",'KG1-4'!$B$2)</f>
        <v/>
      </c>
      <c r="E124" s="148">
        <f>IF(B124="","",MID(D124,FIND("-",D124&amp;"-")+1,10))</f>
        <v/>
      </c>
      <c r="F124" s="148">
        <f>IF(B124="","","نشط")</f>
        <v/>
      </c>
      <c r="G124" s="157">
        <f>IF(B124="","","")</f>
        <v/>
      </c>
      <c r="H124" s="146">
        <f>IF('KG1-4'!$K38="","",'KG1-4'!$K38)</f>
        <v/>
      </c>
      <c r="I124" s="148">
        <f>IF('KG1-4'!$J38="","",'KG1-4'!$J38)</f>
        <v/>
      </c>
      <c r="J124" s="148">
        <f>IF('KG1-4'!$M38="","",'KG1-4'!$M38)</f>
        <v/>
      </c>
      <c r="K124" s="148">
        <f>IF('KG1-4'!$N38="","",'KG1-4'!$N38)</f>
        <v/>
      </c>
      <c r="L124" s="148">
        <f>IF('KG1-4'!$D38="","",'KG1-4'!$D38)</f>
        <v/>
      </c>
      <c r="M124" s="148">
        <f>IF('KG1-4'!$E38="","",'KG1-4'!$E38)</f>
        <v/>
      </c>
      <c r="N124" s="148">
        <f>IF('KG1-4'!$F38="","",'KG1-4'!$F38)</f>
        <v/>
      </c>
      <c r="O124" s="158">
        <f>IF('KG1-4'!$G38="","",'KG1-4'!$G38)</f>
        <v/>
      </c>
      <c r="P124" s="158">
        <f>IF('KG1-4'!$O38="","",'KG1-4'!$O38)</f>
        <v/>
      </c>
      <c r="Q124" s="148">
        <f>IF('KG1-4'!$T38="","",'KG1-4'!$T38)</f>
        <v/>
      </c>
      <c r="R124" s="146">
        <f>IF('KG1-4'!$H38="","",'KG1-4'!$H38)</f>
        <v/>
      </c>
      <c r="S124" s="157">
        <f>IF('KG1-4'!$P38="","",'KG1-4'!$P38)</f>
        <v/>
      </c>
      <c r="T124" s="157">
        <f>IF('KG1-4'!$V38="","",'KG1-4'!$V38)</f>
        <v/>
      </c>
      <c r="U124" s="157">
        <f>IF('KG1-4'!$W38="","",'KG1-4'!$W38)</f>
        <v/>
      </c>
      <c r="V124" s="157">
        <f>IF('KG1-4'!$X38="","",'KG1-4'!$X38)</f>
        <v/>
      </c>
      <c r="W124" s="157">
        <f>IF('KG1-4'!$Y38="","",'KG1-4'!$Y38)</f>
        <v/>
      </c>
      <c r="X124" s="157">
        <f>IF('KG1-4'!$R38="","",'KG1-4'!$R38)</f>
        <v/>
      </c>
      <c r="Y124" s="148">
        <f>IF('KG1-4'!$S38="","",'KG1-4'!$S38)</f>
        <v/>
      </c>
      <c r="Z124" s="148">
        <f>IF('KG1-4'!$Q38="","",'KG1-4'!$Q38)</f>
        <v/>
      </c>
      <c r="AA124" s="148">
        <f>IF('KG1-4'!$I38="","",'KG1-4'!$I38)</f>
        <v/>
      </c>
      <c r="AB124" s="146">
        <f>IF(Q124="","",INDEX(LevelActions,MATCH(Q124,LevelValues,0)))</f>
        <v/>
      </c>
      <c r="AC124" s="148">
        <f>IF(J124="","",IF(J124=0,"—",IF(AND(L124=0,M124=0),Cat_L1,IF(O124&gt;=Cat_95,Cat_L2,IF(O124&gt;=Cat_90,Cat_L3,Cat_L4)))))</f>
        <v/>
      </c>
      <c r="AD124" s="146">
        <f>IF('KG1-4'!$L38="","",'KG1-4'!$L38)</f>
        <v/>
      </c>
      <c r="AE124" s="148">
        <f>IF(B124="","",IF(COUNTIF($B$5:$B$214,B124)&gt;1,"مكرر!",""))</f>
        <v/>
      </c>
      <c r="AF124" s="148">
        <f>IF(AND(B124&lt;&gt;"",F124="نشط",OR(Dash_Class="الكل",D124=Dash_Class)),1,0)</f>
        <v/>
      </c>
      <c r="AG124" s="40">
        <f>IF(OR(AF124=0,Dash_DayIdx=0),"",IF(INDEX('KG1-4'!$AD$7:$IM$7,Dash_DayIdx)&lt;&gt;"✓","",IF(INDEX('KG1-4'!$AD38:$IM38,Dash_DayIdx)="","P",IFERROR(INDEX(StatusCodes,MATCH(INDEX('KG1-4'!$AD38:$IM38,Dash_DayIdx),StatusLabels,0)),""))))</f>
        <v/>
      </c>
      <c r="AH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IF(LateAsPresent="نعم",COUNTIFS('KG1-4'!$AD38:$IM38,"متأخر",'KG1-4'!$AD$7:$IM$7,"✓",'KG1-4'!$AD$6:$IM$6,1,'KG1-4'!$AD$5:$IM$5,"&gt;="&amp;MAX('KG1-4'!$U38,Dash_PStart),'KG1-4'!$AD$5:$IM$5,"&lt;="&amp;Dash_PEnd),0))</f>
        <v/>
      </c>
      <c r="AI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COUNTIFS('KG1-4'!$AD38:$IM38,"غياب بدون عذر",'KG1-4'!$AD$7:$IM$7,"✓",'KG1-4'!$AD$6:$IM$6,1,'KG1-4'!$AD$5:$IM$5,"&gt;="&amp;MAX('KG1-4'!$U38,Dash_PStart),'KG1-4'!$AD$5:$IM$5,"&lt;="&amp;Dash_PEnd)+COUNTIFS('KG1-4'!$AD38:$IM38,"غياب بعذر",'KG1-4'!$AD$7:$IM$7,"✓",'KG1-4'!$AD$6:$IM$6,1,'KG1-4'!$AD$5:$IM$5,"&gt;="&amp;MAX('KG1-4'!$U38,Dash_PStart),'KG1-4'!$AD$5:$IM$5,"&lt;="&amp;Dash_PEnd)+COUNTIFS('KG1-4'!$AD38:$IM38,"متأخر",'KG1-4'!$AD$7:$IM$7,"✓",'KG1-4'!$AD$6:$IM$6,1,'KG1-4'!$AD$5:$IM$5,"&gt;="&amp;MAX('KG1-4'!$U38,Dash_PStart),'KG1-4'!$AD$5:$IM$5,"&lt;="&amp;Dash_PEnd))</f>
        <v/>
      </c>
      <c r="AJ124" s="40">
        <f>IF(AF124=0,0,IF(W124=Dash_Date,Thr_Critical,IF(V124=Dash_Date,Thr_High,IF(U124=Dash_Date,Thr_Repeated,IF(T124=Dash_Date,Thr_FollowUp,0)))))</f>
        <v/>
      </c>
      <c r="AK124" s="40">
        <f>IF(AJ124&gt;0,COUNTIF($AJ$5:AJ124,"&gt;0"),"")</f>
        <v/>
      </c>
      <c r="AL124" s="40">
        <f>IF(AND(B124&lt;&gt;"",F124="نشط",Q124&lt;&gt;"",Q124&gt;0),L124*1000+(999-ROW()),"")</f>
        <v/>
      </c>
      <c r="AM124" s="40">
        <f>IF(AND(AF124=1,J124&lt;&gt;"",J124&gt;0),ROUND(O124*10000,0)*1000000+K124*1000+(999-ROW()),"")</f>
        <v/>
      </c>
      <c r="AN124" s="40">
        <f>IF(AND(AF124=1,J124&lt;&gt;"",J124&gt;0),(L124+M124)*10000000+ROUND((1-O124)*10000,0)*1000+(999-ROW()),"")</f>
        <v/>
      </c>
      <c r="AO124" s="40">
        <f>IF(AND(AF124=1,Q124&lt;&gt;"",Q124&gt;=Thr_Critical),L124*1000+(999-ROW()),"")</f>
        <v/>
      </c>
      <c r="AP124" s="40">
        <f>IF(AND(B124&lt;&gt;"",F124="نشط",OR(Rpt_Class="الكل",D124=Rpt_Class)),1,0)</f>
        <v/>
      </c>
      <c r="AQ124" s="40">
        <f>IF(AND(AP124=1,Q124&lt;&gt;"",Q124&gt;0),L124*1000+(999-ROW()),"")</f>
        <v/>
      </c>
      <c r="AR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IF(LateAsPresent="نعم",COUNTIFS('KG1-4'!$AD38:$IM38,"متأخر",'KG1-4'!$AD$7:$IM$7,"✓",'KG1-4'!$AD$6:$IM$6,1,'KG1-4'!$AD$5:$IM$5,"&gt;="&amp;MAX('KG1-4'!$U38,Rpt_PStart),'KG1-4'!$AD$5:$IM$5,"&lt;="&amp;Rpt_PEnd),0))</f>
        <v/>
      </c>
      <c r="AS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COUNTIFS('KG1-4'!$AD38:$IM38,"غياب بدون عذر",'KG1-4'!$AD$7:$IM$7,"✓",'KG1-4'!$AD$6:$IM$6,1,'KG1-4'!$AD$5:$IM$5,"&gt;="&amp;MAX('KG1-4'!$U38,Rpt_PStart),'KG1-4'!$AD$5:$IM$5,"&lt;="&amp;Rpt_PEnd)+COUNTIFS('KG1-4'!$AD38:$IM38,"غياب بعذر",'KG1-4'!$AD$7:$IM$7,"✓",'KG1-4'!$AD$6:$IM$6,1,'KG1-4'!$AD$5:$IM$5,"&gt;="&amp;MAX('KG1-4'!$U38,Rpt_PStart),'KG1-4'!$AD$5:$IM$5,"&lt;="&amp;Rpt_PEnd)+COUNTIFS('KG1-4'!$AD38:$IM38,"متأخر",'KG1-4'!$AD$7:$IM$7,"✓",'KG1-4'!$AD$6:$IM$6,1,'KG1-4'!$AD$5:$IM$5,"&gt;="&amp;MAX('KG1-4'!$U38,Rpt_PStart),'KG1-4'!$AD$5:$IM$5,"&lt;="&amp;Rpt_PEnd))</f>
        <v/>
      </c>
      <c r="AT124" s="40">
        <f>IF(AP124=0,"",COUNTIFS('KG1-4'!$AD38:$IM38,"غياب بدون عذر",'KG1-4'!$AD$7:$IM$7,"✓",'KG1-4'!$AD$6:$IM$6,1,'KG1-4'!$AD$5:$IM$5,"&gt;="&amp;MAX('KG1-4'!$U38,Rpt_PStart),'KG1-4'!$AD$5:$IM$5,"&lt;="&amp;Rpt_PEnd)+COUNTIFS('KG1-4'!$AD38:$IM38,"غياب بعذر",'KG1-4'!$AD$7:$IM$7,"✓",'KG1-4'!$AD$6:$IM$6,1,'KG1-4'!$AD$5:$IM$5,"&gt;="&amp;MAX('KG1-4'!$U38,Rpt_PStart),'KG1-4'!$AD$5:$IM$5,"&lt;="&amp;Rpt_PEnd))</f>
        <v/>
      </c>
      <c r="AU124" s="40" t="n">
        <v>4</v>
      </c>
      <c r="AV124" s="40" t="n">
        <v>30</v>
      </c>
      <c r="AW124" s="40">
        <f>IF(OR(AP124=0,Rpt_DayIdx=0),"",IF(INDEX('KG1-4'!$AD$7:$IM$7,Rpt_DayIdx)&lt;&gt;"✓","",IF(INDEX('KG1-4'!$AD38:$IM38,Rpt_DayIdx)="","P",IFERROR(INDEX(StatusCodes,MATCH(INDEX('KG1-4'!$AD38:$IM38,Rpt_DayIdx),StatusLabels,0)),""))))</f>
        <v/>
      </c>
      <c r="AX124" s="40">
        <f>IF(AND(AP124=1,OR(AW124="A",AW124="E")),COUNTIFS($AP$5:AP124,1,$AW$5:AW124,"A")+COUNTIFS($AP$5:AP124,1,$AW$5:AW124,"E"),"")</f>
        <v/>
      </c>
    </row>
    <row r="125">
      <c r="A125" s="148">
        <f>IF(B125="","",ROW()-4)</f>
        <v/>
      </c>
      <c r="B125" s="148">
        <f>IF('KG1-5'!$B9="","",'KG1-5'!$B9)</f>
        <v/>
      </c>
      <c r="C125" s="146">
        <f>IF('KG1-5'!$C9="","",'KG1-5'!$C9)</f>
        <v/>
      </c>
      <c r="D125" s="148">
        <f>IF(B125="","",'KG1-5'!$B$2)</f>
        <v/>
      </c>
      <c r="E125" s="148">
        <f>IF(B125="","",MID(D125,FIND("-",D125&amp;"-")+1,10))</f>
        <v/>
      </c>
      <c r="F125" s="148">
        <f>IF(B125="","","نشط")</f>
        <v/>
      </c>
      <c r="G125" s="157">
        <f>IF(B125="","","")</f>
        <v/>
      </c>
      <c r="H125" s="146">
        <f>IF('KG1-5'!$K9="","",'KG1-5'!$K9)</f>
        <v/>
      </c>
      <c r="I125" s="148">
        <f>IF('KG1-5'!$J9="","",'KG1-5'!$J9)</f>
        <v/>
      </c>
      <c r="J125" s="148">
        <f>IF('KG1-5'!$M9="","",'KG1-5'!$M9)</f>
        <v/>
      </c>
      <c r="K125" s="148">
        <f>IF('KG1-5'!$N9="","",'KG1-5'!$N9)</f>
        <v/>
      </c>
      <c r="L125" s="148">
        <f>IF('KG1-5'!$D9="","",'KG1-5'!$D9)</f>
        <v/>
      </c>
      <c r="M125" s="148">
        <f>IF('KG1-5'!$E9="","",'KG1-5'!$E9)</f>
        <v/>
      </c>
      <c r="N125" s="148">
        <f>IF('KG1-5'!$F9="","",'KG1-5'!$F9)</f>
        <v/>
      </c>
      <c r="O125" s="158">
        <f>IF('KG1-5'!$G9="","",'KG1-5'!$G9)</f>
        <v/>
      </c>
      <c r="P125" s="158">
        <f>IF('KG1-5'!$O9="","",'KG1-5'!$O9)</f>
        <v/>
      </c>
      <c r="Q125" s="148">
        <f>IF('KG1-5'!$T9="","",'KG1-5'!$T9)</f>
        <v/>
      </c>
      <c r="R125" s="146">
        <f>IF('KG1-5'!$H9="","",'KG1-5'!$H9)</f>
        <v/>
      </c>
      <c r="S125" s="157">
        <f>IF('KG1-5'!$P9="","",'KG1-5'!$P9)</f>
        <v/>
      </c>
      <c r="T125" s="157">
        <f>IF('KG1-5'!$V9="","",'KG1-5'!$V9)</f>
        <v/>
      </c>
      <c r="U125" s="157">
        <f>IF('KG1-5'!$W9="","",'KG1-5'!$W9)</f>
        <v/>
      </c>
      <c r="V125" s="157">
        <f>IF('KG1-5'!$X9="","",'KG1-5'!$X9)</f>
        <v/>
      </c>
      <c r="W125" s="157">
        <f>IF('KG1-5'!$Y9="","",'KG1-5'!$Y9)</f>
        <v/>
      </c>
      <c r="X125" s="157">
        <f>IF('KG1-5'!$R9="","",'KG1-5'!$R9)</f>
        <v/>
      </c>
      <c r="Y125" s="148">
        <f>IF('KG1-5'!$S9="","",'KG1-5'!$S9)</f>
        <v/>
      </c>
      <c r="Z125" s="148">
        <f>IF('KG1-5'!$Q9="","",'KG1-5'!$Q9)</f>
        <v/>
      </c>
      <c r="AA125" s="148">
        <f>IF('KG1-5'!$I9="","",'KG1-5'!$I9)</f>
        <v/>
      </c>
      <c r="AB125" s="146">
        <f>IF(Q125="","",INDEX(LevelActions,MATCH(Q125,LevelValues,0)))</f>
        <v/>
      </c>
      <c r="AC125" s="148">
        <f>IF(J125="","",IF(J125=0,"—",IF(AND(L125=0,M125=0),Cat_L1,IF(O125&gt;=Cat_95,Cat_L2,IF(O125&gt;=Cat_90,Cat_L3,Cat_L4)))))</f>
        <v/>
      </c>
      <c r="AD125" s="146">
        <f>IF('KG1-5'!$L9="","",'KG1-5'!$L9)</f>
        <v/>
      </c>
      <c r="AE125" s="148">
        <f>IF(B125="","",IF(COUNTIF($B$5:$B$214,B125)&gt;1,"مكرر!",""))</f>
        <v/>
      </c>
      <c r="AF125" s="148">
        <f>IF(AND(B125&lt;&gt;"",F125="نشط",OR(Dash_Class="الكل",D125=Dash_Class)),1,0)</f>
        <v/>
      </c>
      <c r="AG125" s="40">
        <f>IF(OR(AF125=0,Dash_DayIdx=0),"",IF(INDEX('KG1-5'!$AD$7:$IM$7,Dash_DayIdx)&lt;&gt;"✓","",IF(INDEX('KG1-5'!$AD9:$IM9,Dash_DayIdx)="","P",IFERROR(INDEX(StatusCodes,MATCH(INDEX('KG1-5'!$AD9:$IM9,Dash_DayIdx),StatusLabels,0)),""))))</f>
        <v/>
      </c>
      <c r="AH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IF(LateAsPresent="نعم",COUNTIFS('KG1-5'!$AD9:$IM9,"متأخر",'KG1-5'!$AD$7:$IM$7,"✓",'KG1-5'!$AD$6:$IM$6,1,'KG1-5'!$AD$5:$IM$5,"&gt;="&amp;MAX('KG1-5'!$U9,Dash_PStart),'KG1-5'!$AD$5:$IM$5,"&lt;="&amp;Dash_PEnd),0))</f>
        <v/>
      </c>
      <c r="AI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COUNTIFS('KG1-5'!$AD9:$IM9,"غياب بدون عذر",'KG1-5'!$AD$7:$IM$7,"✓",'KG1-5'!$AD$6:$IM$6,1,'KG1-5'!$AD$5:$IM$5,"&gt;="&amp;MAX('KG1-5'!$U9,Dash_PStart),'KG1-5'!$AD$5:$IM$5,"&lt;="&amp;Dash_PEnd)+COUNTIFS('KG1-5'!$AD9:$IM9,"غياب بعذر",'KG1-5'!$AD$7:$IM$7,"✓",'KG1-5'!$AD$6:$IM$6,1,'KG1-5'!$AD$5:$IM$5,"&gt;="&amp;MAX('KG1-5'!$U9,Dash_PStart),'KG1-5'!$AD$5:$IM$5,"&lt;="&amp;Dash_PEnd)+COUNTIFS('KG1-5'!$AD9:$IM9,"متأخر",'KG1-5'!$AD$7:$IM$7,"✓",'KG1-5'!$AD$6:$IM$6,1,'KG1-5'!$AD$5:$IM$5,"&gt;="&amp;MAX('KG1-5'!$U9,Dash_PStart),'KG1-5'!$AD$5:$IM$5,"&lt;="&amp;Dash_PEnd))</f>
        <v/>
      </c>
      <c r="AJ125" s="40">
        <f>IF(AF125=0,0,IF(W125=Dash_Date,Thr_Critical,IF(V125=Dash_Date,Thr_High,IF(U125=Dash_Date,Thr_Repeated,IF(T125=Dash_Date,Thr_FollowUp,0)))))</f>
        <v/>
      </c>
      <c r="AK125" s="40">
        <f>IF(AJ125&gt;0,COUNTIF($AJ$5:AJ125,"&gt;0"),"")</f>
        <v/>
      </c>
      <c r="AL125" s="40">
        <f>IF(AND(B125&lt;&gt;"",F125="نشط",Q125&lt;&gt;"",Q125&gt;0),L125*1000+(999-ROW()),"")</f>
        <v/>
      </c>
      <c r="AM125" s="40">
        <f>IF(AND(AF125=1,J125&lt;&gt;"",J125&gt;0),ROUND(O125*10000,0)*1000000+K125*1000+(999-ROW()),"")</f>
        <v/>
      </c>
      <c r="AN125" s="40">
        <f>IF(AND(AF125=1,J125&lt;&gt;"",J125&gt;0),(L125+M125)*10000000+ROUND((1-O125)*10000,0)*1000+(999-ROW()),"")</f>
        <v/>
      </c>
      <c r="AO125" s="40">
        <f>IF(AND(AF125=1,Q125&lt;&gt;"",Q125&gt;=Thr_Critical),L125*1000+(999-ROW()),"")</f>
        <v/>
      </c>
      <c r="AP125" s="40">
        <f>IF(AND(B125&lt;&gt;"",F125="نشط",OR(Rpt_Class="الكل",D125=Rpt_Class)),1,0)</f>
        <v/>
      </c>
      <c r="AQ125" s="40">
        <f>IF(AND(AP125=1,Q125&lt;&gt;"",Q125&gt;0),L125*1000+(999-ROW()),"")</f>
        <v/>
      </c>
      <c r="AR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IF(LateAsPresent="نعم",COUNTIFS('KG1-5'!$AD9:$IM9,"متأخر",'KG1-5'!$AD$7:$IM$7,"✓",'KG1-5'!$AD$6:$IM$6,1,'KG1-5'!$AD$5:$IM$5,"&gt;="&amp;MAX('KG1-5'!$U9,Rpt_PStart),'KG1-5'!$AD$5:$IM$5,"&lt;="&amp;Rpt_PEnd),0))</f>
        <v/>
      </c>
      <c r="AS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COUNTIFS('KG1-5'!$AD9:$IM9,"غياب بدون عذر",'KG1-5'!$AD$7:$IM$7,"✓",'KG1-5'!$AD$6:$IM$6,1,'KG1-5'!$AD$5:$IM$5,"&gt;="&amp;MAX('KG1-5'!$U9,Rpt_PStart),'KG1-5'!$AD$5:$IM$5,"&lt;="&amp;Rpt_PEnd)+COUNTIFS('KG1-5'!$AD9:$IM9,"غياب بعذر",'KG1-5'!$AD$7:$IM$7,"✓",'KG1-5'!$AD$6:$IM$6,1,'KG1-5'!$AD$5:$IM$5,"&gt;="&amp;MAX('KG1-5'!$U9,Rpt_PStart),'KG1-5'!$AD$5:$IM$5,"&lt;="&amp;Rpt_PEnd)+COUNTIFS('KG1-5'!$AD9:$IM9,"متأخر",'KG1-5'!$AD$7:$IM$7,"✓",'KG1-5'!$AD$6:$IM$6,1,'KG1-5'!$AD$5:$IM$5,"&gt;="&amp;MAX('KG1-5'!$U9,Rpt_PStart),'KG1-5'!$AD$5:$IM$5,"&lt;="&amp;Rpt_PEnd))</f>
        <v/>
      </c>
      <c r="AT125" s="40">
        <f>IF(AP125=0,"",COUNTIFS('KG1-5'!$AD9:$IM9,"غياب بدون عذر",'KG1-5'!$AD$7:$IM$7,"✓",'KG1-5'!$AD$6:$IM$6,1,'KG1-5'!$AD$5:$IM$5,"&gt;="&amp;MAX('KG1-5'!$U9,Rpt_PStart),'KG1-5'!$AD$5:$IM$5,"&lt;="&amp;Rpt_PEnd)+COUNTIFS('KG1-5'!$AD9:$IM9,"غياب بعذر",'KG1-5'!$AD$7:$IM$7,"✓",'KG1-5'!$AD$6:$IM$6,1,'KG1-5'!$AD$5:$IM$5,"&gt;="&amp;MAX('KG1-5'!$U9,Rpt_PStart),'KG1-5'!$AD$5:$IM$5,"&lt;="&amp;Rpt_PEnd))</f>
        <v/>
      </c>
      <c r="AU125" s="40" t="n">
        <v>5</v>
      </c>
      <c r="AV125" s="40" t="n">
        <v>1</v>
      </c>
      <c r="AW125" s="40">
        <f>IF(OR(AP125=0,Rpt_DayIdx=0),"",IF(INDEX('KG1-5'!$AD$7:$IM$7,Rpt_DayIdx)&lt;&gt;"✓","",IF(INDEX('KG1-5'!$AD9:$IM9,Rpt_DayIdx)="","P",IFERROR(INDEX(StatusCodes,MATCH(INDEX('KG1-5'!$AD9:$IM9,Rpt_DayIdx),StatusLabels,0)),""))))</f>
        <v/>
      </c>
      <c r="AX125" s="40">
        <f>IF(AND(AP125=1,OR(AW125="A",AW125="E")),COUNTIFS($AP$5:AP125,1,$AW$5:AW125,"A")+COUNTIFS($AP$5:AP125,1,$AW$5:AW125,"E"),"")</f>
        <v/>
      </c>
    </row>
    <row r="126">
      <c r="A126" s="148">
        <f>IF(B126="","",ROW()-4)</f>
        <v/>
      </c>
      <c r="B126" s="148">
        <f>IF('KG1-5'!$B10="","",'KG1-5'!$B10)</f>
        <v/>
      </c>
      <c r="C126" s="146">
        <f>IF('KG1-5'!$C10="","",'KG1-5'!$C10)</f>
        <v/>
      </c>
      <c r="D126" s="148">
        <f>IF(B126="","",'KG1-5'!$B$2)</f>
        <v/>
      </c>
      <c r="E126" s="148">
        <f>IF(B126="","",MID(D126,FIND("-",D126&amp;"-")+1,10))</f>
        <v/>
      </c>
      <c r="F126" s="148">
        <f>IF(B126="","","نشط")</f>
        <v/>
      </c>
      <c r="G126" s="157">
        <f>IF(B126="","","")</f>
        <v/>
      </c>
      <c r="H126" s="146">
        <f>IF('KG1-5'!$K10="","",'KG1-5'!$K10)</f>
        <v/>
      </c>
      <c r="I126" s="148">
        <f>IF('KG1-5'!$J10="","",'KG1-5'!$J10)</f>
        <v/>
      </c>
      <c r="J126" s="148">
        <f>IF('KG1-5'!$M10="","",'KG1-5'!$M10)</f>
        <v/>
      </c>
      <c r="K126" s="148">
        <f>IF('KG1-5'!$N10="","",'KG1-5'!$N10)</f>
        <v/>
      </c>
      <c r="L126" s="148">
        <f>IF('KG1-5'!$D10="","",'KG1-5'!$D10)</f>
        <v/>
      </c>
      <c r="M126" s="148">
        <f>IF('KG1-5'!$E10="","",'KG1-5'!$E10)</f>
        <v/>
      </c>
      <c r="N126" s="148">
        <f>IF('KG1-5'!$F10="","",'KG1-5'!$F10)</f>
        <v/>
      </c>
      <c r="O126" s="158">
        <f>IF('KG1-5'!$G10="","",'KG1-5'!$G10)</f>
        <v/>
      </c>
      <c r="P126" s="158">
        <f>IF('KG1-5'!$O10="","",'KG1-5'!$O10)</f>
        <v/>
      </c>
      <c r="Q126" s="148">
        <f>IF('KG1-5'!$T10="","",'KG1-5'!$T10)</f>
        <v/>
      </c>
      <c r="R126" s="146">
        <f>IF('KG1-5'!$H10="","",'KG1-5'!$H10)</f>
        <v/>
      </c>
      <c r="S126" s="157">
        <f>IF('KG1-5'!$P10="","",'KG1-5'!$P10)</f>
        <v/>
      </c>
      <c r="T126" s="157">
        <f>IF('KG1-5'!$V10="","",'KG1-5'!$V10)</f>
        <v/>
      </c>
      <c r="U126" s="157">
        <f>IF('KG1-5'!$W10="","",'KG1-5'!$W10)</f>
        <v/>
      </c>
      <c r="V126" s="157">
        <f>IF('KG1-5'!$X10="","",'KG1-5'!$X10)</f>
        <v/>
      </c>
      <c r="W126" s="157">
        <f>IF('KG1-5'!$Y10="","",'KG1-5'!$Y10)</f>
        <v/>
      </c>
      <c r="X126" s="157">
        <f>IF('KG1-5'!$R10="","",'KG1-5'!$R10)</f>
        <v/>
      </c>
      <c r="Y126" s="148">
        <f>IF('KG1-5'!$S10="","",'KG1-5'!$S10)</f>
        <v/>
      </c>
      <c r="Z126" s="148">
        <f>IF('KG1-5'!$Q10="","",'KG1-5'!$Q10)</f>
        <v/>
      </c>
      <c r="AA126" s="148">
        <f>IF('KG1-5'!$I10="","",'KG1-5'!$I10)</f>
        <v/>
      </c>
      <c r="AB126" s="146">
        <f>IF(Q126="","",INDEX(LevelActions,MATCH(Q126,LevelValues,0)))</f>
        <v/>
      </c>
      <c r="AC126" s="148">
        <f>IF(J126="","",IF(J126=0,"—",IF(AND(L126=0,M126=0),Cat_L1,IF(O126&gt;=Cat_95,Cat_L2,IF(O126&gt;=Cat_90,Cat_L3,Cat_L4)))))</f>
        <v/>
      </c>
      <c r="AD126" s="146">
        <f>IF('KG1-5'!$L10="","",'KG1-5'!$L10)</f>
        <v/>
      </c>
      <c r="AE126" s="148">
        <f>IF(B126="","",IF(COUNTIF($B$5:$B$214,B126)&gt;1,"مكرر!",""))</f>
        <v/>
      </c>
      <c r="AF126" s="148">
        <f>IF(AND(B126&lt;&gt;"",F126="نشط",OR(Dash_Class="الكل",D126=Dash_Class)),1,0)</f>
        <v/>
      </c>
      <c r="AG126" s="40">
        <f>IF(OR(AF126=0,Dash_DayIdx=0),"",IF(INDEX('KG1-5'!$AD$7:$IM$7,Dash_DayIdx)&lt;&gt;"✓","",IF(INDEX('KG1-5'!$AD10:$IM10,Dash_DayIdx)="","P",IFERROR(INDEX(StatusCodes,MATCH(INDEX('KG1-5'!$AD10:$IM10,Dash_DayIdx),StatusLabels,0)),""))))</f>
        <v/>
      </c>
      <c r="AH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IF(LateAsPresent="نعم",COUNTIFS('KG1-5'!$AD10:$IM10,"متأخر",'KG1-5'!$AD$7:$IM$7,"✓",'KG1-5'!$AD$6:$IM$6,1,'KG1-5'!$AD$5:$IM$5,"&gt;="&amp;MAX('KG1-5'!$U10,Dash_PStart),'KG1-5'!$AD$5:$IM$5,"&lt;="&amp;Dash_PEnd),0))</f>
        <v/>
      </c>
      <c r="AI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COUNTIFS('KG1-5'!$AD10:$IM10,"غياب بدون عذر",'KG1-5'!$AD$7:$IM$7,"✓",'KG1-5'!$AD$6:$IM$6,1,'KG1-5'!$AD$5:$IM$5,"&gt;="&amp;MAX('KG1-5'!$U10,Dash_PStart),'KG1-5'!$AD$5:$IM$5,"&lt;="&amp;Dash_PEnd)+COUNTIFS('KG1-5'!$AD10:$IM10,"غياب بعذر",'KG1-5'!$AD$7:$IM$7,"✓",'KG1-5'!$AD$6:$IM$6,1,'KG1-5'!$AD$5:$IM$5,"&gt;="&amp;MAX('KG1-5'!$U10,Dash_PStart),'KG1-5'!$AD$5:$IM$5,"&lt;="&amp;Dash_PEnd)+COUNTIFS('KG1-5'!$AD10:$IM10,"متأخر",'KG1-5'!$AD$7:$IM$7,"✓",'KG1-5'!$AD$6:$IM$6,1,'KG1-5'!$AD$5:$IM$5,"&gt;="&amp;MAX('KG1-5'!$U10,Dash_PStart),'KG1-5'!$AD$5:$IM$5,"&lt;="&amp;Dash_PEnd))</f>
        <v/>
      </c>
      <c r="AJ126" s="40">
        <f>IF(AF126=0,0,IF(W126=Dash_Date,Thr_Critical,IF(V126=Dash_Date,Thr_High,IF(U126=Dash_Date,Thr_Repeated,IF(T126=Dash_Date,Thr_FollowUp,0)))))</f>
        <v/>
      </c>
      <c r="AK126" s="40">
        <f>IF(AJ126&gt;0,COUNTIF($AJ$5:AJ126,"&gt;0"),"")</f>
        <v/>
      </c>
      <c r="AL126" s="40">
        <f>IF(AND(B126&lt;&gt;"",F126="نشط",Q126&lt;&gt;"",Q126&gt;0),L126*1000+(999-ROW()),"")</f>
        <v/>
      </c>
      <c r="AM126" s="40">
        <f>IF(AND(AF126=1,J126&lt;&gt;"",J126&gt;0),ROUND(O126*10000,0)*1000000+K126*1000+(999-ROW()),"")</f>
        <v/>
      </c>
      <c r="AN126" s="40">
        <f>IF(AND(AF126=1,J126&lt;&gt;"",J126&gt;0),(L126+M126)*10000000+ROUND((1-O126)*10000,0)*1000+(999-ROW()),"")</f>
        <v/>
      </c>
      <c r="AO126" s="40">
        <f>IF(AND(AF126=1,Q126&lt;&gt;"",Q126&gt;=Thr_Critical),L126*1000+(999-ROW()),"")</f>
        <v/>
      </c>
      <c r="AP126" s="40">
        <f>IF(AND(B126&lt;&gt;"",F126="نشط",OR(Rpt_Class="الكل",D126=Rpt_Class)),1,0)</f>
        <v/>
      </c>
      <c r="AQ126" s="40">
        <f>IF(AND(AP126=1,Q126&lt;&gt;"",Q126&gt;0),L126*1000+(999-ROW()),"")</f>
        <v/>
      </c>
      <c r="AR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IF(LateAsPresent="نعم",COUNTIFS('KG1-5'!$AD10:$IM10,"متأخر",'KG1-5'!$AD$7:$IM$7,"✓",'KG1-5'!$AD$6:$IM$6,1,'KG1-5'!$AD$5:$IM$5,"&gt;="&amp;MAX('KG1-5'!$U10,Rpt_PStart),'KG1-5'!$AD$5:$IM$5,"&lt;="&amp;Rpt_PEnd),0))</f>
        <v/>
      </c>
      <c r="AS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COUNTIFS('KG1-5'!$AD10:$IM10,"غياب بدون عذر",'KG1-5'!$AD$7:$IM$7,"✓",'KG1-5'!$AD$6:$IM$6,1,'KG1-5'!$AD$5:$IM$5,"&gt;="&amp;MAX('KG1-5'!$U10,Rpt_PStart),'KG1-5'!$AD$5:$IM$5,"&lt;="&amp;Rpt_PEnd)+COUNTIFS('KG1-5'!$AD10:$IM10,"غياب بعذر",'KG1-5'!$AD$7:$IM$7,"✓",'KG1-5'!$AD$6:$IM$6,1,'KG1-5'!$AD$5:$IM$5,"&gt;="&amp;MAX('KG1-5'!$U10,Rpt_PStart),'KG1-5'!$AD$5:$IM$5,"&lt;="&amp;Rpt_PEnd)+COUNTIFS('KG1-5'!$AD10:$IM10,"متأخر",'KG1-5'!$AD$7:$IM$7,"✓",'KG1-5'!$AD$6:$IM$6,1,'KG1-5'!$AD$5:$IM$5,"&gt;="&amp;MAX('KG1-5'!$U10,Rpt_PStart),'KG1-5'!$AD$5:$IM$5,"&lt;="&amp;Rpt_PEnd))</f>
        <v/>
      </c>
      <c r="AT126" s="40">
        <f>IF(AP126=0,"",COUNTIFS('KG1-5'!$AD10:$IM10,"غياب بدون عذر",'KG1-5'!$AD$7:$IM$7,"✓",'KG1-5'!$AD$6:$IM$6,1,'KG1-5'!$AD$5:$IM$5,"&gt;="&amp;MAX('KG1-5'!$U10,Rpt_PStart),'KG1-5'!$AD$5:$IM$5,"&lt;="&amp;Rpt_PEnd)+COUNTIFS('KG1-5'!$AD10:$IM10,"غياب بعذر",'KG1-5'!$AD$7:$IM$7,"✓",'KG1-5'!$AD$6:$IM$6,1,'KG1-5'!$AD$5:$IM$5,"&gt;="&amp;MAX('KG1-5'!$U10,Rpt_PStart),'KG1-5'!$AD$5:$IM$5,"&lt;="&amp;Rpt_PEnd))</f>
        <v/>
      </c>
      <c r="AU126" s="40" t="n">
        <v>5</v>
      </c>
      <c r="AV126" s="40" t="n">
        <v>2</v>
      </c>
      <c r="AW126" s="40">
        <f>IF(OR(AP126=0,Rpt_DayIdx=0),"",IF(INDEX('KG1-5'!$AD$7:$IM$7,Rpt_DayIdx)&lt;&gt;"✓","",IF(INDEX('KG1-5'!$AD10:$IM10,Rpt_DayIdx)="","P",IFERROR(INDEX(StatusCodes,MATCH(INDEX('KG1-5'!$AD10:$IM10,Rpt_DayIdx),StatusLabels,0)),""))))</f>
        <v/>
      </c>
      <c r="AX126" s="40">
        <f>IF(AND(AP126=1,OR(AW126="A",AW126="E")),COUNTIFS($AP$5:AP126,1,$AW$5:AW126,"A")+COUNTIFS($AP$5:AP126,1,$AW$5:AW126,"E"),"")</f>
        <v/>
      </c>
    </row>
    <row r="127">
      <c r="A127" s="148">
        <f>IF(B127="","",ROW()-4)</f>
        <v/>
      </c>
      <c r="B127" s="148">
        <f>IF('KG1-5'!$B11="","",'KG1-5'!$B11)</f>
        <v/>
      </c>
      <c r="C127" s="146">
        <f>IF('KG1-5'!$C11="","",'KG1-5'!$C11)</f>
        <v/>
      </c>
      <c r="D127" s="148">
        <f>IF(B127="","",'KG1-5'!$B$2)</f>
        <v/>
      </c>
      <c r="E127" s="148">
        <f>IF(B127="","",MID(D127,FIND("-",D127&amp;"-")+1,10))</f>
        <v/>
      </c>
      <c r="F127" s="148">
        <f>IF(B127="","","نشط")</f>
        <v/>
      </c>
      <c r="G127" s="157">
        <f>IF(B127="","","")</f>
        <v/>
      </c>
      <c r="H127" s="146">
        <f>IF('KG1-5'!$K11="","",'KG1-5'!$K11)</f>
        <v/>
      </c>
      <c r="I127" s="148">
        <f>IF('KG1-5'!$J11="","",'KG1-5'!$J11)</f>
        <v/>
      </c>
      <c r="J127" s="148">
        <f>IF('KG1-5'!$M11="","",'KG1-5'!$M11)</f>
        <v/>
      </c>
      <c r="K127" s="148">
        <f>IF('KG1-5'!$N11="","",'KG1-5'!$N11)</f>
        <v/>
      </c>
      <c r="L127" s="148">
        <f>IF('KG1-5'!$D11="","",'KG1-5'!$D11)</f>
        <v/>
      </c>
      <c r="M127" s="148">
        <f>IF('KG1-5'!$E11="","",'KG1-5'!$E11)</f>
        <v/>
      </c>
      <c r="N127" s="148">
        <f>IF('KG1-5'!$F11="","",'KG1-5'!$F11)</f>
        <v/>
      </c>
      <c r="O127" s="158">
        <f>IF('KG1-5'!$G11="","",'KG1-5'!$G11)</f>
        <v/>
      </c>
      <c r="P127" s="158">
        <f>IF('KG1-5'!$O11="","",'KG1-5'!$O11)</f>
        <v/>
      </c>
      <c r="Q127" s="148">
        <f>IF('KG1-5'!$T11="","",'KG1-5'!$T11)</f>
        <v/>
      </c>
      <c r="R127" s="146">
        <f>IF('KG1-5'!$H11="","",'KG1-5'!$H11)</f>
        <v/>
      </c>
      <c r="S127" s="157">
        <f>IF('KG1-5'!$P11="","",'KG1-5'!$P11)</f>
        <v/>
      </c>
      <c r="T127" s="157">
        <f>IF('KG1-5'!$V11="","",'KG1-5'!$V11)</f>
        <v/>
      </c>
      <c r="U127" s="157">
        <f>IF('KG1-5'!$W11="","",'KG1-5'!$W11)</f>
        <v/>
      </c>
      <c r="V127" s="157">
        <f>IF('KG1-5'!$X11="","",'KG1-5'!$X11)</f>
        <v/>
      </c>
      <c r="W127" s="157">
        <f>IF('KG1-5'!$Y11="","",'KG1-5'!$Y11)</f>
        <v/>
      </c>
      <c r="X127" s="157">
        <f>IF('KG1-5'!$R11="","",'KG1-5'!$R11)</f>
        <v/>
      </c>
      <c r="Y127" s="148">
        <f>IF('KG1-5'!$S11="","",'KG1-5'!$S11)</f>
        <v/>
      </c>
      <c r="Z127" s="148">
        <f>IF('KG1-5'!$Q11="","",'KG1-5'!$Q11)</f>
        <v/>
      </c>
      <c r="AA127" s="148">
        <f>IF('KG1-5'!$I11="","",'KG1-5'!$I11)</f>
        <v/>
      </c>
      <c r="AB127" s="146">
        <f>IF(Q127="","",INDEX(LevelActions,MATCH(Q127,LevelValues,0)))</f>
        <v/>
      </c>
      <c r="AC127" s="148">
        <f>IF(J127="","",IF(J127=0,"—",IF(AND(L127=0,M127=0),Cat_L1,IF(O127&gt;=Cat_95,Cat_L2,IF(O127&gt;=Cat_90,Cat_L3,Cat_L4)))))</f>
        <v/>
      </c>
      <c r="AD127" s="146">
        <f>IF('KG1-5'!$L11="","",'KG1-5'!$L11)</f>
        <v/>
      </c>
      <c r="AE127" s="148">
        <f>IF(B127="","",IF(COUNTIF($B$5:$B$214,B127)&gt;1,"مكرر!",""))</f>
        <v/>
      </c>
      <c r="AF127" s="148">
        <f>IF(AND(B127&lt;&gt;"",F127="نشط",OR(Dash_Class="الكل",D127=Dash_Class)),1,0)</f>
        <v/>
      </c>
      <c r="AG127" s="40">
        <f>IF(OR(AF127=0,Dash_DayIdx=0),"",IF(INDEX('KG1-5'!$AD$7:$IM$7,Dash_DayIdx)&lt;&gt;"✓","",IF(INDEX('KG1-5'!$AD11:$IM11,Dash_DayIdx)="","P",IFERROR(INDEX(StatusCodes,MATCH(INDEX('KG1-5'!$AD11:$IM11,Dash_DayIdx),StatusLabels,0)),""))))</f>
        <v/>
      </c>
      <c r="AH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IF(LateAsPresent="نعم",COUNTIFS('KG1-5'!$AD11:$IM11,"متأخر",'KG1-5'!$AD$7:$IM$7,"✓",'KG1-5'!$AD$6:$IM$6,1,'KG1-5'!$AD$5:$IM$5,"&gt;="&amp;MAX('KG1-5'!$U11,Dash_PStart),'KG1-5'!$AD$5:$IM$5,"&lt;="&amp;Dash_PEnd),0))</f>
        <v/>
      </c>
      <c r="AI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COUNTIFS('KG1-5'!$AD11:$IM11,"غياب بدون عذر",'KG1-5'!$AD$7:$IM$7,"✓",'KG1-5'!$AD$6:$IM$6,1,'KG1-5'!$AD$5:$IM$5,"&gt;="&amp;MAX('KG1-5'!$U11,Dash_PStart),'KG1-5'!$AD$5:$IM$5,"&lt;="&amp;Dash_PEnd)+COUNTIFS('KG1-5'!$AD11:$IM11,"غياب بعذر",'KG1-5'!$AD$7:$IM$7,"✓",'KG1-5'!$AD$6:$IM$6,1,'KG1-5'!$AD$5:$IM$5,"&gt;="&amp;MAX('KG1-5'!$U11,Dash_PStart),'KG1-5'!$AD$5:$IM$5,"&lt;="&amp;Dash_PEnd)+COUNTIFS('KG1-5'!$AD11:$IM11,"متأخر",'KG1-5'!$AD$7:$IM$7,"✓",'KG1-5'!$AD$6:$IM$6,1,'KG1-5'!$AD$5:$IM$5,"&gt;="&amp;MAX('KG1-5'!$U11,Dash_PStart),'KG1-5'!$AD$5:$IM$5,"&lt;="&amp;Dash_PEnd))</f>
        <v/>
      </c>
      <c r="AJ127" s="40">
        <f>IF(AF127=0,0,IF(W127=Dash_Date,Thr_Critical,IF(V127=Dash_Date,Thr_High,IF(U127=Dash_Date,Thr_Repeated,IF(T127=Dash_Date,Thr_FollowUp,0)))))</f>
        <v/>
      </c>
      <c r="AK127" s="40">
        <f>IF(AJ127&gt;0,COUNTIF($AJ$5:AJ127,"&gt;0"),"")</f>
        <v/>
      </c>
      <c r="AL127" s="40">
        <f>IF(AND(B127&lt;&gt;"",F127="نشط",Q127&lt;&gt;"",Q127&gt;0),L127*1000+(999-ROW()),"")</f>
        <v/>
      </c>
      <c r="AM127" s="40">
        <f>IF(AND(AF127=1,J127&lt;&gt;"",J127&gt;0),ROUND(O127*10000,0)*1000000+K127*1000+(999-ROW()),"")</f>
        <v/>
      </c>
      <c r="AN127" s="40">
        <f>IF(AND(AF127=1,J127&lt;&gt;"",J127&gt;0),(L127+M127)*10000000+ROUND((1-O127)*10000,0)*1000+(999-ROW()),"")</f>
        <v/>
      </c>
      <c r="AO127" s="40">
        <f>IF(AND(AF127=1,Q127&lt;&gt;"",Q127&gt;=Thr_Critical),L127*1000+(999-ROW()),"")</f>
        <v/>
      </c>
      <c r="AP127" s="40">
        <f>IF(AND(B127&lt;&gt;"",F127="نشط",OR(Rpt_Class="الكل",D127=Rpt_Class)),1,0)</f>
        <v/>
      </c>
      <c r="AQ127" s="40">
        <f>IF(AND(AP127=1,Q127&lt;&gt;"",Q127&gt;0),L127*1000+(999-ROW()),"")</f>
        <v/>
      </c>
      <c r="AR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IF(LateAsPresent="نعم",COUNTIFS('KG1-5'!$AD11:$IM11,"متأخر",'KG1-5'!$AD$7:$IM$7,"✓",'KG1-5'!$AD$6:$IM$6,1,'KG1-5'!$AD$5:$IM$5,"&gt;="&amp;MAX('KG1-5'!$U11,Rpt_PStart),'KG1-5'!$AD$5:$IM$5,"&lt;="&amp;Rpt_PEnd),0))</f>
        <v/>
      </c>
      <c r="AS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COUNTIFS('KG1-5'!$AD11:$IM11,"غياب بدون عذر",'KG1-5'!$AD$7:$IM$7,"✓",'KG1-5'!$AD$6:$IM$6,1,'KG1-5'!$AD$5:$IM$5,"&gt;="&amp;MAX('KG1-5'!$U11,Rpt_PStart),'KG1-5'!$AD$5:$IM$5,"&lt;="&amp;Rpt_PEnd)+COUNTIFS('KG1-5'!$AD11:$IM11,"غياب بعذر",'KG1-5'!$AD$7:$IM$7,"✓",'KG1-5'!$AD$6:$IM$6,1,'KG1-5'!$AD$5:$IM$5,"&gt;="&amp;MAX('KG1-5'!$U11,Rpt_PStart),'KG1-5'!$AD$5:$IM$5,"&lt;="&amp;Rpt_PEnd)+COUNTIFS('KG1-5'!$AD11:$IM11,"متأخر",'KG1-5'!$AD$7:$IM$7,"✓",'KG1-5'!$AD$6:$IM$6,1,'KG1-5'!$AD$5:$IM$5,"&gt;="&amp;MAX('KG1-5'!$U11,Rpt_PStart),'KG1-5'!$AD$5:$IM$5,"&lt;="&amp;Rpt_PEnd))</f>
        <v/>
      </c>
      <c r="AT127" s="40">
        <f>IF(AP127=0,"",COUNTIFS('KG1-5'!$AD11:$IM11,"غياب بدون عذر",'KG1-5'!$AD$7:$IM$7,"✓",'KG1-5'!$AD$6:$IM$6,1,'KG1-5'!$AD$5:$IM$5,"&gt;="&amp;MAX('KG1-5'!$U11,Rpt_PStart),'KG1-5'!$AD$5:$IM$5,"&lt;="&amp;Rpt_PEnd)+COUNTIFS('KG1-5'!$AD11:$IM11,"غياب بعذر",'KG1-5'!$AD$7:$IM$7,"✓",'KG1-5'!$AD$6:$IM$6,1,'KG1-5'!$AD$5:$IM$5,"&gt;="&amp;MAX('KG1-5'!$U11,Rpt_PStart),'KG1-5'!$AD$5:$IM$5,"&lt;="&amp;Rpt_PEnd))</f>
        <v/>
      </c>
      <c r="AU127" s="40" t="n">
        <v>5</v>
      </c>
      <c r="AV127" s="40" t="n">
        <v>3</v>
      </c>
      <c r="AW127" s="40">
        <f>IF(OR(AP127=0,Rpt_DayIdx=0),"",IF(INDEX('KG1-5'!$AD$7:$IM$7,Rpt_DayIdx)&lt;&gt;"✓","",IF(INDEX('KG1-5'!$AD11:$IM11,Rpt_DayIdx)="","P",IFERROR(INDEX(StatusCodes,MATCH(INDEX('KG1-5'!$AD11:$IM11,Rpt_DayIdx),StatusLabels,0)),""))))</f>
        <v/>
      </c>
      <c r="AX127" s="40">
        <f>IF(AND(AP127=1,OR(AW127="A",AW127="E")),COUNTIFS($AP$5:AP127,1,$AW$5:AW127,"A")+COUNTIFS($AP$5:AP127,1,$AW$5:AW127,"E"),"")</f>
        <v/>
      </c>
    </row>
    <row r="128">
      <c r="A128" s="148">
        <f>IF(B128="","",ROW()-4)</f>
        <v/>
      </c>
      <c r="B128" s="148">
        <f>IF('KG1-5'!$B12="","",'KG1-5'!$B12)</f>
        <v/>
      </c>
      <c r="C128" s="146">
        <f>IF('KG1-5'!$C12="","",'KG1-5'!$C12)</f>
        <v/>
      </c>
      <c r="D128" s="148">
        <f>IF(B128="","",'KG1-5'!$B$2)</f>
        <v/>
      </c>
      <c r="E128" s="148">
        <f>IF(B128="","",MID(D128,FIND("-",D128&amp;"-")+1,10))</f>
        <v/>
      </c>
      <c r="F128" s="148">
        <f>IF(B128="","","نشط")</f>
        <v/>
      </c>
      <c r="G128" s="157">
        <f>IF(B128="","","")</f>
        <v/>
      </c>
      <c r="H128" s="146">
        <f>IF('KG1-5'!$K12="","",'KG1-5'!$K12)</f>
        <v/>
      </c>
      <c r="I128" s="148">
        <f>IF('KG1-5'!$J12="","",'KG1-5'!$J12)</f>
        <v/>
      </c>
      <c r="J128" s="148">
        <f>IF('KG1-5'!$M12="","",'KG1-5'!$M12)</f>
        <v/>
      </c>
      <c r="K128" s="148">
        <f>IF('KG1-5'!$N12="","",'KG1-5'!$N12)</f>
        <v/>
      </c>
      <c r="L128" s="148">
        <f>IF('KG1-5'!$D12="","",'KG1-5'!$D12)</f>
        <v/>
      </c>
      <c r="M128" s="148">
        <f>IF('KG1-5'!$E12="","",'KG1-5'!$E12)</f>
        <v/>
      </c>
      <c r="N128" s="148">
        <f>IF('KG1-5'!$F12="","",'KG1-5'!$F12)</f>
        <v/>
      </c>
      <c r="O128" s="158">
        <f>IF('KG1-5'!$G12="","",'KG1-5'!$G12)</f>
        <v/>
      </c>
      <c r="P128" s="158">
        <f>IF('KG1-5'!$O12="","",'KG1-5'!$O12)</f>
        <v/>
      </c>
      <c r="Q128" s="148">
        <f>IF('KG1-5'!$T12="","",'KG1-5'!$T12)</f>
        <v/>
      </c>
      <c r="R128" s="146">
        <f>IF('KG1-5'!$H12="","",'KG1-5'!$H12)</f>
        <v/>
      </c>
      <c r="S128" s="157">
        <f>IF('KG1-5'!$P12="","",'KG1-5'!$P12)</f>
        <v/>
      </c>
      <c r="T128" s="157">
        <f>IF('KG1-5'!$V12="","",'KG1-5'!$V12)</f>
        <v/>
      </c>
      <c r="U128" s="157">
        <f>IF('KG1-5'!$W12="","",'KG1-5'!$W12)</f>
        <v/>
      </c>
      <c r="V128" s="157">
        <f>IF('KG1-5'!$X12="","",'KG1-5'!$X12)</f>
        <v/>
      </c>
      <c r="W128" s="157">
        <f>IF('KG1-5'!$Y12="","",'KG1-5'!$Y12)</f>
        <v/>
      </c>
      <c r="X128" s="157">
        <f>IF('KG1-5'!$R12="","",'KG1-5'!$R12)</f>
        <v/>
      </c>
      <c r="Y128" s="148">
        <f>IF('KG1-5'!$S12="","",'KG1-5'!$S12)</f>
        <v/>
      </c>
      <c r="Z128" s="148">
        <f>IF('KG1-5'!$Q12="","",'KG1-5'!$Q12)</f>
        <v/>
      </c>
      <c r="AA128" s="148">
        <f>IF('KG1-5'!$I12="","",'KG1-5'!$I12)</f>
        <v/>
      </c>
      <c r="AB128" s="146">
        <f>IF(Q128="","",INDEX(LevelActions,MATCH(Q128,LevelValues,0)))</f>
        <v/>
      </c>
      <c r="AC128" s="148">
        <f>IF(J128="","",IF(J128=0,"—",IF(AND(L128=0,M128=0),Cat_L1,IF(O128&gt;=Cat_95,Cat_L2,IF(O128&gt;=Cat_90,Cat_L3,Cat_L4)))))</f>
        <v/>
      </c>
      <c r="AD128" s="146">
        <f>IF('KG1-5'!$L12="","",'KG1-5'!$L12)</f>
        <v/>
      </c>
      <c r="AE128" s="148">
        <f>IF(B128="","",IF(COUNTIF($B$5:$B$214,B128)&gt;1,"مكرر!",""))</f>
        <v/>
      </c>
      <c r="AF128" s="148">
        <f>IF(AND(B128&lt;&gt;"",F128="نشط",OR(Dash_Class="الكل",D128=Dash_Class)),1,0)</f>
        <v/>
      </c>
      <c r="AG128" s="40">
        <f>IF(OR(AF128=0,Dash_DayIdx=0),"",IF(INDEX('KG1-5'!$AD$7:$IM$7,Dash_DayIdx)&lt;&gt;"✓","",IF(INDEX('KG1-5'!$AD12:$IM12,Dash_DayIdx)="","P",IFERROR(INDEX(StatusCodes,MATCH(INDEX('KG1-5'!$AD12:$IM12,Dash_DayIdx),StatusLabels,0)),""))))</f>
        <v/>
      </c>
      <c r="AH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IF(LateAsPresent="نعم",COUNTIFS('KG1-5'!$AD12:$IM12,"متأخر",'KG1-5'!$AD$7:$IM$7,"✓",'KG1-5'!$AD$6:$IM$6,1,'KG1-5'!$AD$5:$IM$5,"&gt;="&amp;MAX('KG1-5'!$U12,Dash_PStart),'KG1-5'!$AD$5:$IM$5,"&lt;="&amp;Dash_PEnd),0))</f>
        <v/>
      </c>
      <c r="AI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COUNTIFS('KG1-5'!$AD12:$IM12,"غياب بدون عذر",'KG1-5'!$AD$7:$IM$7,"✓",'KG1-5'!$AD$6:$IM$6,1,'KG1-5'!$AD$5:$IM$5,"&gt;="&amp;MAX('KG1-5'!$U12,Dash_PStart),'KG1-5'!$AD$5:$IM$5,"&lt;="&amp;Dash_PEnd)+COUNTIFS('KG1-5'!$AD12:$IM12,"غياب بعذر",'KG1-5'!$AD$7:$IM$7,"✓",'KG1-5'!$AD$6:$IM$6,1,'KG1-5'!$AD$5:$IM$5,"&gt;="&amp;MAX('KG1-5'!$U12,Dash_PStart),'KG1-5'!$AD$5:$IM$5,"&lt;="&amp;Dash_PEnd)+COUNTIFS('KG1-5'!$AD12:$IM12,"متأخر",'KG1-5'!$AD$7:$IM$7,"✓",'KG1-5'!$AD$6:$IM$6,1,'KG1-5'!$AD$5:$IM$5,"&gt;="&amp;MAX('KG1-5'!$U12,Dash_PStart),'KG1-5'!$AD$5:$IM$5,"&lt;="&amp;Dash_PEnd))</f>
        <v/>
      </c>
      <c r="AJ128" s="40">
        <f>IF(AF128=0,0,IF(W128=Dash_Date,Thr_Critical,IF(V128=Dash_Date,Thr_High,IF(U128=Dash_Date,Thr_Repeated,IF(T128=Dash_Date,Thr_FollowUp,0)))))</f>
        <v/>
      </c>
      <c r="AK128" s="40">
        <f>IF(AJ128&gt;0,COUNTIF($AJ$5:AJ128,"&gt;0"),"")</f>
        <v/>
      </c>
      <c r="AL128" s="40">
        <f>IF(AND(B128&lt;&gt;"",F128="نشط",Q128&lt;&gt;"",Q128&gt;0),L128*1000+(999-ROW()),"")</f>
        <v/>
      </c>
      <c r="AM128" s="40">
        <f>IF(AND(AF128=1,J128&lt;&gt;"",J128&gt;0),ROUND(O128*10000,0)*1000000+K128*1000+(999-ROW()),"")</f>
        <v/>
      </c>
      <c r="AN128" s="40">
        <f>IF(AND(AF128=1,J128&lt;&gt;"",J128&gt;0),(L128+M128)*10000000+ROUND((1-O128)*10000,0)*1000+(999-ROW()),"")</f>
        <v/>
      </c>
      <c r="AO128" s="40">
        <f>IF(AND(AF128=1,Q128&lt;&gt;"",Q128&gt;=Thr_Critical),L128*1000+(999-ROW()),"")</f>
        <v/>
      </c>
      <c r="AP128" s="40">
        <f>IF(AND(B128&lt;&gt;"",F128="نشط",OR(Rpt_Class="الكل",D128=Rpt_Class)),1,0)</f>
        <v/>
      </c>
      <c r="AQ128" s="40">
        <f>IF(AND(AP128=1,Q128&lt;&gt;"",Q128&gt;0),L128*1000+(999-ROW()),"")</f>
        <v/>
      </c>
      <c r="AR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IF(LateAsPresent="نعم",COUNTIFS('KG1-5'!$AD12:$IM12,"متأخر",'KG1-5'!$AD$7:$IM$7,"✓",'KG1-5'!$AD$6:$IM$6,1,'KG1-5'!$AD$5:$IM$5,"&gt;="&amp;MAX('KG1-5'!$U12,Rpt_PStart),'KG1-5'!$AD$5:$IM$5,"&lt;="&amp;Rpt_PEnd),0))</f>
        <v/>
      </c>
      <c r="AS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COUNTIFS('KG1-5'!$AD12:$IM12,"غياب بدون عذر",'KG1-5'!$AD$7:$IM$7,"✓",'KG1-5'!$AD$6:$IM$6,1,'KG1-5'!$AD$5:$IM$5,"&gt;="&amp;MAX('KG1-5'!$U12,Rpt_PStart),'KG1-5'!$AD$5:$IM$5,"&lt;="&amp;Rpt_PEnd)+COUNTIFS('KG1-5'!$AD12:$IM12,"غياب بعذر",'KG1-5'!$AD$7:$IM$7,"✓",'KG1-5'!$AD$6:$IM$6,1,'KG1-5'!$AD$5:$IM$5,"&gt;="&amp;MAX('KG1-5'!$U12,Rpt_PStart),'KG1-5'!$AD$5:$IM$5,"&lt;="&amp;Rpt_PEnd)+COUNTIFS('KG1-5'!$AD12:$IM12,"متأخر",'KG1-5'!$AD$7:$IM$7,"✓",'KG1-5'!$AD$6:$IM$6,1,'KG1-5'!$AD$5:$IM$5,"&gt;="&amp;MAX('KG1-5'!$U12,Rpt_PStart),'KG1-5'!$AD$5:$IM$5,"&lt;="&amp;Rpt_PEnd))</f>
        <v/>
      </c>
      <c r="AT128" s="40">
        <f>IF(AP128=0,"",COUNTIFS('KG1-5'!$AD12:$IM12,"غياب بدون عذر",'KG1-5'!$AD$7:$IM$7,"✓",'KG1-5'!$AD$6:$IM$6,1,'KG1-5'!$AD$5:$IM$5,"&gt;="&amp;MAX('KG1-5'!$U12,Rpt_PStart),'KG1-5'!$AD$5:$IM$5,"&lt;="&amp;Rpt_PEnd)+COUNTIFS('KG1-5'!$AD12:$IM12,"غياب بعذر",'KG1-5'!$AD$7:$IM$7,"✓",'KG1-5'!$AD$6:$IM$6,1,'KG1-5'!$AD$5:$IM$5,"&gt;="&amp;MAX('KG1-5'!$U12,Rpt_PStart),'KG1-5'!$AD$5:$IM$5,"&lt;="&amp;Rpt_PEnd))</f>
        <v/>
      </c>
      <c r="AU128" s="40" t="n">
        <v>5</v>
      </c>
      <c r="AV128" s="40" t="n">
        <v>4</v>
      </c>
      <c r="AW128" s="40">
        <f>IF(OR(AP128=0,Rpt_DayIdx=0),"",IF(INDEX('KG1-5'!$AD$7:$IM$7,Rpt_DayIdx)&lt;&gt;"✓","",IF(INDEX('KG1-5'!$AD12:$IM12,Rpt_DayIdx)="","P",IFERROR(INDEX(StatusCodes,MATCH(INDEX('KG1-5'!$AD12:$IM12,Rpt_DayIdx),StatusLabels,0)),""))))</f>
        <v/>
      </c>
      <c r="AX128" s="40">
        <f>IF(AND(AP128=1,OR(AW128="A",AW128="E")),COUNTIFS($AP$5:AP128,1,$AW$5:AW128,"A")+COUNTIFS($AP$5:AP128,1,$AW$5:AW128,"E"),"")</f>
        <v/>
      </c>
    </row>
    <row r="129">
      <c r="A129" s="148">
        <f>IF(B129="","",ROW()-4)</f>
        <v/>
      </c>
      <c r="B129" s="148">
        <f>IF('KG1-5'!$B13="","",'KG1-5'!$B13)</f>
        <v/>
      </c>
      <c r="C129" s="146">
        <f>IF('KG1-5'!$C13="","",'KG1-5'!$C13)</f>
        <v/>
      </c>
      <c r="D129" s="148">
        <f>IF(B129="","",'KG1-5'!$B$2)</f>
        <v/>
      </c>
      <c r="E129" s="148">
        <f>IF(B129="","",MID(D129,FIND("-",D129&amp;"-")+1,10))</f>
        <v/>
      </c>
      <c r="F129" s="148">
        <f>IF(B129="","","نشط")</f>
        <v/>
      </c>
      <c r="G129" s="157">
        <f>IF(B129="","","")</f>
        <v/>
      </c>
      <c r="H129" s="146">
        <f>IF('KG1-5'!$K13="","",'KG1-5'!$K13)</f>
        <v/>
      </c>
      <c r="I129" s="148">
        <f>IF('KG1-5'!$J13="","",'KG1-5'!$J13)</f>
        <v/>
      </c>
      <c r="J129" s="148">
        <f>IF('KG1-5'!$M13="","",'KG1-5'!$M13)</f>
        <v/>
      </c>
      <c r="K129" s="148">
        <f>IF('KG1-5'!$N13="","",'KG1-5'!$N13)</f>
        <v/>
      </c>
      <c r="L129" s="148">
        <f>IF('KG1-5'!$D13="","",'KG1-5'!$D13)</f>
        <v/>
      </c>
      <c r="M129" s="148">
        <f>IF('KG1-5'!$E13="","",'KG1-5'!$E13)</f>
        <v/>
      </c>
      <c r="N129" s="148">
        <f>IF('KG1-5'!$F13="","",'KG1-5'!$F13)</f>
        <v/>
      </c>
      <c r="O129" s="158">
        <f>IF('KG1-5'!$G13="","",'KG1-5'!$G13)</f>
        <v/>
      </c>
      <c r="P129" s="158">
        <f>IF('KG1-5'!$O13="","",'KG1-5'!$O13)</f>
        <v/>
      </c>
      <c r="Q129" s="148">
        <f>IF('KG1-5'!$T13="","",'KG1-5'!$T13)</f>
        <v/>
      </c>
      <c r="R129" s="146">
        <f>IF('KG1-5'!$H13="","",'KG1-5'!$H13)</f>
        <v/>
      </c>
      <c r="S129" s="157">
        <f>IF('KG1-5'!$P13="","",'KG1-5'!$P13)</f>
        <v/>
      </c>
      <c r="T129" s="157">
        <f>IF('KG1-5'!$V13="","",'KG1-5'!$V13)</f>
        <v/>
      </c>
      <c r="U129" s="157">
        <f>IF('KG1-5'!$W13="","",'KG1-5'!$W13)</f>
        <v/>
      </c>
      <c r="V129" s="157">
        <f>IF('KG1-5'!$X13="","",'KG1-5'!$X13)</f>
        <v/>
      </c>
      <c r="W129" s="157">
        <f>IF('KG1-5'!$Y13="","",'KG1-5'!$Y13)</f>
        <v/>
      </c>
      <c r="X129" s="157">
        <f>IF('KG1-5'!$R13="","",'KG1-5'!$R13)</f>
        <v/>
      </c>
      <c r="Y129" s="148">
        <f>IF('KG1-5'!$S13="","",'KG1-5'!$S13)</f>
        <v/>
      </c>
      <c r="Z129" s="148">
        <f>IF('KG1-5'!$Q13="","",'KG1-5'!$Q13)</f>
        <v/>
      </c>
      <c r="AA129" s="148">
        <f>IF('KG1-5'!$I13="","",'KG1-5'!$I13)</f>
        <v/>
      </c>
      <c r="AB129" s="146">
        <f>IF(Q129="","",INDEX(LevelActions,MATCH(Q129,LevelValues,0)))</f>
        <v/>
      </c>
      <c r="AC129" s="148">
        <f>IF(J129="","",IF(J129=0,"—",IF(AND(L129=0,M129=0),Cat_L1,IF(O129&gt;=Cat_95,Cat_L2,IF(O129&gt;=Cat_90,Cat_L3,Cat_L4)))))</f>
        <v/>
      </c>
      <c r="AD129" s="146">
        <f>IF('KG1-5'!$L13="","",'KG1-5'!$L13)</f>
        <v/>
      </c>
      <c r="AE129" s="148">
        <f>IF(B129="","",IF(COUNTIF($B$5:$B$214,B129)&gt;1,"مكرر!",""))</f>
        <v/>
      </c>
      <c r="AF129" s="148">
        <f>IF(AND(B129&lt;&gt;"",F129="نشط",OR(Dash_Class="الكل",D129=Dash_Class)),1,0)</f>
        <v/>
      </c>
      <c r="AG129" s="40">
        <f>IF(OR(AF129=0,Dash_DayIdx=0),"",IF(INDEX('KG1-5'!$AD$7:$IM$7,Dash_DayIdx)&lt;&gt;"✓","",IF(INDEX('KG1-5'!$AD13:$IM13,Dash_DayIdx)="","P",IFERROR(INDEX(StatusCodes,MATCH(INDEX('KG1-5'!$AD13:$IM13,Dash_DayIdx),StatusLabels,0)),""))))</f>
        <v/>
      </c>
      <c r="AH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IF(LateAsPresent="نعم",COUNTIFS('KG1-5'!$AD13:$IM13,"متأخر",'KG1-5'!$AD$7:$IM$7,"✓",'KG1-5'!$AD$6:$IM$6,1,'KG1-5'!$AD$5:$IM$5,"&gt;="&amp;MAX('KG1-5'!$U13,Dash_PStart),'KG1-5'!$AD$5:$IM$5,"&lt;="&amp;Dash_PEnd),0))</f>
        <v/>
      </c>
      <c r="AI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COUNTIFS('KG1-5'!$AD13:$IM13,"غياب بدون عذر",'KG1-5'!$AD$7:$IM$7,"✓",'KG1-5'!$AD$6:$IM$6,1,'KG1-5'!$AD$5:$IM$5,"&gt;="&amp;MAX('KG1-5'!$U13,Dash_PStart),'KG1-5'!$AD$5:$IM$5,"&lt;="&amp;Dash_PEnd)+COUNTIFS('KG1-5'!$AD13:$IM13,"غياب بعذر",'KG1-5'!$AD$7:$IM$7,"✓",'KG1-5'!$AD$6:$IM$6,1,'KG1-5'!$AD$5:$IM$5,"&gt;="&amp;MAX('KG1-5'!$U13,Dash_PStart),'KG1-5'!$AD$5:$IM$5,"&lt;="&amp;Dash_PEnd)+COUNTIFS('KG1-5'!$AD13:$IM13,"متأخر",'KG1-5'!$AD$7:$IM$7,"✓",'KG1-5'!$AD$6:$IM$6,1,'KG1-5'!$AD$5:$IM$5,"&gt;="&amp;MAX('KG1-5'!$U13,Dash_PStart),'KG1-5'!$AD$5:$IM$5,"&lt;="&amp;Dash_PEnd))</f>
        <v/>
      </c>
      <c r="AJ129" s="40">
        <f>IF(AF129=0,0,IF(W129=Dash_Date,Thr_Critical,IF(V129=Dash_Date,Thr_High,IF(U129=Dash_Date,Thr_Repeated,IF(T129=Dash_Date,Thr_FollowUp,0)))))</f>
        <v/>
      </c>
      <c r="AK129" s="40">
        <f>IF(AJ129&gt;0,COUNTIF($AJ$5:AJ129,"&gt;0"),"")</f>
        <v/>
      </c>
      <c r="AL129" s="40">
        <f>IF(AND(B129&lt;&gt;"",F129="نشط",Q129&lt;&gt;"",Q129&gt;0),L129*1000+(999-ROW()),"")</f>
        <v/>
      </c>
      <c r="AM129" s="40">
        <f>IF(AND(AF129=1,J129&lt;&gt;"",J129&gt;0),ROUND(O129*10000,0)*1000000+K129*1000+(999-ROW()),"")</f>
        <v/>
      </c>
      <c r="AN129" s="40">
        <f>IF(AND(AF129=1,J129&lt;&gt;"",J129&gt;0),(L129+M129)*10000000+ROUND((1-O129)*10000,0)*1000+(999-ROW()),"")</f>
        <v/>
      </c>
      <c r="AO129" s="40">
        <f>IF(AND(AF129=1,Q129&lt;&gt;"",Q129&gt;=Thr_Critical),L129*1000+(999-ROW()),"")</f>
        <v/>
      </c>
      <c r="AP129" s="40">
        <f>IF(AND(B129&lt;&gt;"",F129="نشط",OR(Rpt_Class="الكل",D129=Rpt_Class)),1,0)</f>
        <v/>
      </c>
      <c r="AQ129" s="40">
        <f>IF(AND(AP129=1,Q129&lt;&gt;"",Q129&gt;0),L129*1000+(999-ROW()),"")</f>
        <v/>
      </c>
      <c r="AR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IF(LateAsPresent="نعم",COUNTIFS('KG1-5'!$AD13:$IM13,"متأخر",'KG1-5'!$AD$7:$IM$7,"✓",'KG1-5'!$AD$6:$IM$6,1,'KG1-5'!$AD$5:$IM$5,"&gt;="&amp;MAX('KG1-5'!$U13,Rpt_PStart),'KG1-5'!$AD$5:$IM$5,"&lt;="&amp;Rpt_PEnd),0))</f>
        <v/>
      </c>
      <c r="AS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COUNTIFS('KG1-5'!$AD13:$IM13,"غياب بدون عذر",'KG1-5'!$AD$7:$IM$7,"✓",'KG1-5'!$AD$6:$IM$6,1,'KG1-5'!$AD$5:$IM$5,"&gt;="&amp;MAX('KG1-5'!$U13,Rpt_PStart),'KG1-5'!$AD$5:$IM$5,"&lt;="&amp;Rpt_PEnd)+COUNTIFS('KG1-5'!$AD13:$IM13,"غياب بعذر",'KG1-5'!$AD$7:$IM$7,"✓",'KG1-5'!$AD$6:$IM$6,1,'KG1-5'!$AD$5:$IM$5,"&gt;="&amp;MAX('KG1-5'!$U13,Rpt_PStart),'KG1-5'!$AD$5:$IM$5,"&lt;="&amp;Rpt_PEnd)+COUNTIFS('KG1-5'!$AD13:$IM13,"متأخر",'KG1-5'!$AD$7:$IM$7,"✓",'KG1-5'!$AD$6:$IM$6,1,'KG1-5'!$AD$5:$IM$5,"&gt;="&amp;MAX('KG1-5'!$U13,Rpt_PStart),'KG1-5'!$AD$5:$IM$5,"&lt;="&amp;Rpt_PEnd))</f>
        <v/>
      </c>
      <c r="AT129" s="40">
        <f>IF(AP129=0,"",COUNTIFS('KG1-5'!$AD13:$IM13,"غياب بدون عذر",'KG1-5'!$AD$7:$IM$7,"✓",'KG1-5'!$AD$6:$IM$6,1,'KG1-5'!$AD$5:$IM$5,"&gt;="&amp;MAX('KG1-5'!$U13,Rpt_PStart),'KG1-5'!$AD$5:$IM$5,"&lt;="&amp;Rpt_PEnd)+COUNTIFS('KG1-5'!$AD13:$IM13,"غياب بعذر",'KG1-5'!$AD$7:$IM$7,"✓",'KG1-5'!$AD$6:$IM$6,1,'KG1-5'!$AD$5:$IM$5,"&gt;="&amp;MAX('KG1-5'!$U13,Rpt_PStart),'KG1-5'!$AD$5:$IM$5,"&lt;="&amp;Rpt_PEnd))</f>
        <v/>
      </c>
      <c r="AU129" s="40" t="n">
        <v>5</v>
      </c>
      <c r="AV129" s="40" t="n">
        <v>5</v>
      </c>
      <c r="AW129" s="40">
        <f>IF(OR(AP129=0,Rpt_DayIdx=0),"",IF(INDEX('KG1-5'!$AD$7:$IM$7,Rpt_DayIdx)&lt;&gt;"✓","",IF(INDEX('KG1-5'!$AD13:$IM13,Rpt_DayIdx)="","P",IFERROR(INDEX(StatusCodes,MATCH(INDEX('KG1-5'!$AD13:$IM13,Rpt_DayIdx),StatusLabels,0)),""))))</f>
        <v/>
      </c>
      <c r="AX129" s="40">
        <f>IF(AND(AP129=1,OR(AW129="A",AW129="E")),COUNTIFS($AP$5:AP129,1,$AW$5:AW129,"A")+COUNTIFS($AP$5:AP129,1,$AW$5:AW129,"E"),"")</f>
        <v/>
      </c>
    </row>
    <row r="130">
      <c r="A130" s="148">
        <f>IF(B130="","",ROW()-4)</f>
        <v/>
      </c>
      <c r="B130" s="148">
        <f>IF('KG1-5'!$B14="","",'KG1-5'!$B14)</f>
        <v/>
      </c>
      <c r="C130" s="146">
        <f>IF('KG1-5'!$C14="","",'KG1-5'!$C14)</f>
        <v/>
      </c>
      <c r="D130" s="148">
        <f>IF(B130="","",'KG1-5'!$B$2)</f>
        <v/>
      </c>
      <c r="E130" s="148">
        <f>IF(B130="","",MID(D130,FIND("-",D130&amp;"-")+1,10))</f>
        <v/>
      </c>
      <c r="F130" s="148">
        <f>IF(B130="","","نشط")</f>
        <v/>
      </c>
      <c r="G130" s="157">
        <f>IF(B130="","","")</f>
        <v/>
      </c>
      <c r="H130" s="146">
        <f>IF('KG1-5'!$K14="","",'KG1-5'!$K14)</f>
        <v/>
      </c>
      <c r="I130" s="148">
        <f>IF('KG1-5'!$J14="","",'KG1-5'!$J14)</f>
        <v/>
      </c>
      <c r="J130" s="148">
        <f>IF('KG1-5'!$M14="","",'KG1-5'!$M14)</f>
        <v/>
      </c>
      <c r="K130" s="148">
        <f>IF('KG1-5'!$N14="","",'KG1-5'!$N14)</f>
        <v/>
      </c>
      <c r="L130" s="148">
        <f>IF('KG1-5'!$D14="","",'KG1-5'!$D14)</f>
        <v/>
      </c>
      <c r="M130" s="148">
        <f>IF('KG1-5'!$E14="","",'KG1-5'!$E14)</f>
        <v/>
      </c>
      <c r="N130" s="148">
        <f>IF('KG1-5'!$F14="","",'KG1-5'!$F14)</f>
        <v/>
      </c>
      <c r="O130" s="158">
        <f>IF('KG1-5'!$G14="","",'KG1-5'!$G14)</f>
        <v/>
      </c>
      <c r="P130" s="158">
        <f>IF('KG1-5'!$O14="","",'KG1-5'!$O14)</f>
        <v/>
      </c>
      <c r="Q130" s="148">
        <f>IF('KG1-5'!$T14="","",'KG1-5'!$T14)</f>
        <v/>
      </c>
      <c r="R130" s="146">
        <f>IF('KG1-5'!$H14="","",'KG1-5'!$H14)</f>
        <v/>
      </c>
      <c r="S130" s="157">
        <f>IF('KG1-5'!$P14="","",'KG1-5'!$P14)</f>
        <v/>
      </c>
      <c r="T130" s="157">
        <f>IF('KG1-5'!$V14="","",'KG1-5'!$V14)</f>
        <v/>
      </c>
      <c r="U130" s="157">
        <f>IF('KG1-5'!$W14="","",'KG1-5'!$W14)</f>
        <v/>
      </c>
      <c r="V130" s="157">
        <f>IF('KG1-5'!$X14="","",'KG1-5'!$X14)</f>
        <v/>
      </c>
      <c r="W130" s="157">
        <f>IF('KG1-5'!$Y14="","",'KG1-5'!$Y14)</f>
        <v/>
      </c>
      <c r="X130" s="157">
        <f>IF('KG1-5'!$R14="","",'KG1-5'!$R14)</f>
        <v/>
      </c>
      <c r="Y130" s="148">
        <f>IF('KG1-5'!$S14="","",'KG1-5'!$S14)</f>
        <v/>
      </c>
      <c r="Z130" s="148">
        <f>IF('KG1-5'!$Q14="","",'KG1-5'!$Q14)</f>
        <v/>
      </c>
      <c r="AA130" s="148">
        <f>IF('KG1-5'!$I14="","",'KG1-5'!$I14)</f>
        <v/>
      </c>
      <c r="AB130" s="146">
        <f>IF(Q130="","",INDEX(LevelActions,MATCH(Q130,LevelValues,0)))</f>
        <v/>
      </c>
      <c r="AC130" s="148">
        <f>IF(J130="","",IF(J130=0,"—",IF(AND(L130=0,M130=0),Cat_L1,IF(O130&gt;=Cat_95,Cat_L2,IF(O130&gt;=Cat_90,Cat_L3,Cat_L4)))))</f>
        <v/>
      </c>
      <c r="AD130" s="146">
        <f>IF('KG1-5'!$L14="","",'KG1-5'!$L14)</f>
        <v/>
      </c>
      <c r="AE130" s="148">
        <f>IF(B130="","",IF(COUNTIF($B$5:$B$214,B130)&gt;1,"مكرر!",""))</f>
        <v/>
      </c>
      <c r="AF130" s="148">
        <f>IF(AND(B130&lt;&gt;"",F130="نشط",OR(Dash_Class="الكل",D130=Dash_Class)),1,0)</f>
        <v/>
      </c>
      <c r="AG130" s="40">
        <f>IF(OR(AF130=0,Dash_DayIdx=0),"",IF(INDEX('KG1-5'!$AD$7:$IM$7,Dash_DayIdx)&lt;&gt;"✓","",IF(INDEX('KG1-5'!$AD14:$IM14,Dash_DayIdx)="","P",IFERROR(INDEX(StatusCodes,MATCH(INDEX('KG1-5'!$AD14:$IM14,Dash_DayIdx),StatusLabels,0)),""))))</f>
        <v/>
      </c>
      <c r="AH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IF(LateAsPresent="نعم",COUNTIFS('KG1-5'!$AD14:$IM14,"متأخر",'KG1-5'!$AD$7:$IM$7,"✓",'KG1-5'!$AD$6:$IM$6,1,'KG1-5'!$AD$5:$IM$5,"&gt;="&amp;MAX('KG1-5'!$U14,Dash_PStart),'KG1-5'!$AD$5:$IM$5,"&lt;="&amp;Dash_PEnd),0))</f>
        <v/>
      </c>
      <c r="AI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COUNTIFS('KG1-5'!$AD14:$IM14,"غياب بدون عذر",'KG1-5'!$AD$7:$IM$7,"✓",'KG1-5'!$AD$6:$IM$6,1,'KG1-5'!$AD$5:$IM$5,"&gt;="&amp;MAX('KG1-5'!$U14,Dash_PStart),'KG1-5'!$AD$5:$IM$5,"&lt;="&amp;Dash_PEnd)+COUNTIFS('KG1-5'!$AD14:$IM14,"غياب بعذر",'KG1-5'!$AD$7:$IM$7,"✓",'KG1-5'!$AD$6:$IM$6,1,'KG1-5'!$AD$5:$IM$5,"&gt;="&amp;MAX('KG1-5'!$U14,Dash_PStart),'KG1-5'!$AD$5:$IM$5,"&lt;="&amp;Dash_PEnd)+COUNTIFS('KG1-5'!$AD14:$IM14,"متأخر",'KG1-5'!$AD$7:$IM$7,"✓",'KG1-5'!$AD$6:$IM$6,1,'KG1-5'!$AD$5:$IM$5,"&gt;="&amp;MAX('KG1-5'!$U14,Dash_PStart),'KG1-5'!$AD$5:$IM$5,"&lt;="&amp;Dash_PEnd))</f>
        <v/>
      </c>
      <c r="AJ130" s="40">
        <f>IF(AF130=0,0,IF(W130=Dash_Date,Thr_Critical,IF(V130=Dash_Date,Thr_High,IF(U130=Dash_Date,Thr_Repeated,IF(T130=Dash_Date,Thr_FollowUp,0)))))</f>
        <v/>
      </c>
      <c r="AK130" s="40">
        <f>IF(AJ130&gt;0,COUNTIF($AJ$5:AJ130,"&gt;0"),"")</f>
        <v/>
      </c>
      <c r="AL130" s="40">
        <f>IF(AND(B130&lt;&gt;"",F130="نشط",Q130&lt;&gt;"",Q130&gt;0),L130*1000+(999-ROW()),"")</f>
        <v/>
      </c>
      <c r="AM130" s="40">
        <f>IF(AND(AF130=1,J130&lt;&gt;"",J130&gt;0),ROUND(O130*10000,0)*1000000+K130*1000+(999-ROW()),"")</f>
        <v/>
      </c>
      <c r="AN130" s="40">
        <f>IF(AND(AF130=1,J130&lt;&gt;"",J130&gt;0),(L130+M130)*10000000+ROUND((1-O130)*10000,0)*1000+(999-ROW()),"")</f>
        <v/>
      </c>
      <c r="AO130" s="40">
        <f>IF(AND(AF130=1,Q130&lt;&gt;"",Q130&gt;=Thr_Critical),L130*1000+(999-ROW()),"")</f>
        <v/>
      </c>
      <c r="AP130" s="40">
        <f>IF(AND(B130&lt;&gt;"",F130="نشط",OR(Rpt_Class="الكل",D130=Rpt_Class)),1,0)</f>
        <v/>
      </c>
      <c r="AQ130" s="40">
        <f>IF(AND(AP130=1,Q130&lt;&gt;"",Q130&gt;0),L130*1000+(999-ROW()),"")</f>
        <v/>
      </c>
      <c r="AR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IF(LateAsPresent="نعم",COUNTIFS('KG1-5'!$AD14:$IM14,"متأخر",'KG1-5'!$AD$7:$IM$7,"✓",'KG1-5'!$AD$6:$IM$6,1,'KG1-5'!$AD$5:$IM$5,"&gt;="&amp;MAX('KG1-5'!$U14,Rpt_PStart),'KG1-5'!$AD$5:$IM$5,"&lt;="&amp;Rpt_PEnd),0))</f>
        <v/>
      </c>
      <c r="AS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COUNTIFS('KG1-5'!$AD14:$IM14,"غياب بدون عذر",'KG1-5'!$AD$7:$IM$7,"✓",'KG1-5'!$AD$6:$IM$6,1,'KG1-5'!$AD$5:$IM$5,"&gt;="&amp;MAX('KG1-5'!$U14,Rpt_PStart),'KG1-5'!$AD$5:$IM$5,"&lt;="&amp;Rpt_PEnd)+COUNTIFS('KG1-5'!$AD14:$IM14,"غياب بعذر",'KG1-5'!$AD$7:$IM$7,"✓",'KG1-5'!$AD$6:$IM$6,1,'KG1-5'!$AD$5:$IM$5,"&gt;="&amp;MAX('KG1-5'!$U14,Rpt_PStart),'KG1-5'!$AD$5:$IM$5,"&lt;="&amp;Rpt_PEnd)+COUNTIFS('KG1-5'!$AD14:$IM14,"متأخر",'KG1-5'!$AD$7:$IM$7,"✓",'KG1-5'!$AD$6:$IM$6,1,'KG1-5'!$AD$5:$IM$5,"&gt;="&amp;MAX('KG1-5'!$U14,Rpt_PStart),'KG1-5'!$AD$5:$IM$5,"&lt;="&amp;Rpt_PEnd))</f>
        <v/>
      </c>
      <c r="AT130" s="40">
        <f>IF(AP130=0,"",COUNTIFS('KG1-5'!$AD14:$IM14,"غياب بدون عذر",'KG1-5'!$AD$7:$IM$7,"✓",'KG1-5'!$AD$6:$IM$6,1,'KG1-5'!$AD$5:$IM$5,"&gt;="&amp;MAX('KG1-5'!$U14,Rpt_PStart),'KG1-5'!$AD$5:$IM$5,"&lt;="&amp;Rpt_PEnd)+COUNTIFS('KG1-5'!$AD14:$IM14,"غياب بعذر",'KG1-5'!$AD$7:$IM$7,"✓",'KG1-5'!$AD$6:$IM$6,1,'KG1-5'!$AD$5:$IM$5,"&gt;="&amp;MAX('KG1-5'!$U14,Rpt_PStart),'KG1-5'!$AD$5:$IM$5,"&lt;="&amp;Rpt_PEnd))</f>
        <v/>
      </c>
      <c r="AU130" s="40" t="n">
        <v>5</v>
      </c>
      <c r="AV130" s="40" t="n">
        <v>6</v>
      </c>
      <c r="AW130" s="40">
        <f>IF(OR(AP130=0,Rpt_DayIdx=0),"",IF(INDEX('KG1-5'!$AD$7:$IM$7,Rpt_DayIdx)&lt;&gt;"✓","",IF(INDEX('KG1-5'!$AD14:$IM14,Rpt_DayIdx)="","P",IFERROR(INDEX(StatusCodes,MATCH(INDEX('KG1-5'!$AD14:$IM14,Rpt_DayIdx),StatusLabels,0)),""))))</f>
        <v/>
      </c>
      <c r="AX130" s="40">
        <f>IF(AND(AP130=1,OR(AW130="A",AW130="E")),COUNTIFS($AP$5:AP130,1,$AW$5:AW130,"A")+COUNTIFS($AP$5:AP130,1,$AW$5:AW130,"E"),"")</f>
        <v/>
      </c>
    </row>
    <row r="131">
      <c r="A131" s="148">
        <f>IF(B131="","",ROW()-4)</f>
        <v/>
      </c>
      <c r="B131" s="148">
        <f>IF('KG1-5'!$B15="","",'KG1-5'!$B15)</f>
        <v/>
      </c>
      <c r="C131" s="146">
        <f>IF('KG1-5'!$C15="","",'KG1-5'!$C15)</f>
        <v/>
      </c>
      <c r="D131" s="148">
        <f>IF(B131="","",'KG1-5'!$B$2)</f>
        <v/>
      </c>
      <c r="E131" s="148">
        <f>IF(B131="","",MID(D131,FIND("-",D131&amp;"-")+1,10))</f>
        <v/>
      </c>
      <c r="F131" s="148">
        <f>IF(B131="","","نشط")</f>
        <v/>
      </c>
      <c r="G131" s="157">
        <f>IF(B131="","","")</f>
        <v/>
      </c>
      <c r="H131" s="146">
        <f>IF('KG1-5'!$K15="","",'KG1-5'!$K15)</f>
        <v/>
      </c>
      <c r="I131" s="148">
        <f>IF('KG1-5'!$J15="","",'KG1-5'!$J15)</f>
        <v/>
      </c>
      <c r="J131" s="148">
        <f>IF('KG1-5'!$M15="","",'KG1-5'!$M15)</f>
        <v/>
      </c>
      <c r="K131" s="148">
        <f>IF('KG1-5'!$N15="","",'KG1-5'!$N15)</f>
        <v/>
      </c>
      <c r="L131" s="148">
        <f>IF('KG1-5'!$D15="","",'KG1-5'!$D15)</f>
        <v/>
      </c>
      <c r="M131" s="148">
        <f>IF('KG1-5'!$E15="","",'KG1-5'!$E15)</f>
        <v/>
      </c>
      <c r="N131" s="148">
        <f>IF('KG1-5'!$F15="","",'KG1-5'!$F15)</f>
        <v/>
      </c>
      <c r="O131" s="158">
        <f>IF('KG1-5'!$G15="","",'KG1-5'!$G15)</f>
        <v/>
      </c>
      <c r="P131" s="158">
        <f>IF('KG1-5'!$O15="","",'KG1-5'!$O15)</f>
        <v/>
      </c>
      <c r="Q131" s="148">
        <f>IF('KG1-5'!$T15="","",'KG1-5'!$T15)</f>
        <v/>
      </c>
      <c r="R131" s="146">
        <f>IF('KG1-5'!$H15="","",'KG1-5'!$H15)</f>
        <v/>
      </c>
      <c r="S131" s="157">
        <f>IF('KG1-5'!$P15="","",'KG1-5'!$P15)</f>
        <v/>
      </c>
      <c r="T131" s="157">
        <f>IF('KG1-5'!$V15="","",'KG1-5'!$V15)</f>
        <v/>
      </c>
      <c r="U131" s="157">
        <f>IF('KG1-5'!$W15="","",'KG1-5'!$W15)</f>
        <v/>
      </c>
      <c r="V131" s="157">
        <f>IF('KG1-5'!$X15="","",'KG1-5'!$X15)</f>
        <v/>
      </c>
      <c r="W131" s="157">
        <f>IF('KG1-5'!$Y15="","",'KG1-5'!$Y15)</f>
        <v/>
      </c>
      <c r="X131" s="157">
        <f>IF('KG1-5'!$R15="","",'KG1-5'!$R15)</f>
        <v/>
      </c>
      <c r="Y131" s="148">
        <f>IF('KG1-5'!$S15="","",'KG1-5'!$S15)</f>
        <v/>
      </c>
      <c r="Z131" s="148">
        <f>IF('KG1-5'!$Q15="","",'KG1-5'!$Q15)</f>
        <v/>
      </c>
      <c r="AA131" s="148">
        <f>IF('KG1-5'!$I15="","",'KG1-5'!$I15)</f>
        <v/>
      </c>
      <c r="AB131" s="146">
        <f>IF(Q131="","",INDEX(LevelActions,MATCH(Q131,LevelValues,0)))</f>
        <v/>
      </c>
      <c r="AC131" s="148">
        <f>IF(J131="","",IF(J131=0,"—",IF(AND(L131=0,M131=0),Cat_L1,IF(O131&gt;=Cat_95,Cat_L2,IF(O131&gt;=Cat_90,Cat_L3,Cat_L4)))))</f>
        <v/>
      </c>
      <c r="AD131" s="146">
        <f>IF('KG1-5'!$L15="","",'KG1-5'!$L15)</f>
        <v/>
      </c>
      <c r="AE131" s="148">
        <f>IF(B131="","",IF(COUNTIF($B$5:$B$214,B131)&gt;1,"مكرر!",""))</f>
        <v/>
      </c>
      <c r="AF131" s="148">
        <f>IF(AND(B131&lt;&gt;"",F131="نشط",OR(Dash_Class="الكل",D131=Dash_Class)),1,0)</f>
        <v/>
      </c>
      <c r="AG131" s="40">
        <f>IF(OR(AF131=0,Dash_DayIdx=0),"",IF(INDEX('KG1-5'!$AD$7:$IM$7,Dash_DayIdx)&lt;&gt;"✓","",IF(INDEX('KG1-5'!$AD15:$IM15,Dash_DayIdx)="","P",IFERROR(INDEX(StatusCodes,MATCH(INDEX('KG1-5'!$AD15:$IM15,Dash_DayIdx),StatusLabels,0)),""))))</f>
        <v/>
      </c>
      <c r="AH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IF(LateAsPresent="نعم",COUNTIFS('KG1-5'!$AD15:$IM15,"متأخر",'KG1-5'!$AD$7:$IM$7,"✓",'KG1-5'!$AD$6:$IM$6,1,'KG1-5'!$AD$5:$IM$5,"&gt;="&amp;MAX('KG1-5'!$U15,Dash_PStart),'KG1-5'!$AD$5:$IM$5,"&lt;="&amp;Dash_PEnd),0))</f>
        <v/>
      </c>
      <c r="AI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COUNTIFS('KG1-5'!$AD15:$IM15,"غياب بدون عذر",'KG1-5'!$AD$7:$IM$7,"✓",'KG1-5'!$AD$6:$IM$6,1,'KG1-5'!$AD$5:$IM$5,"&gt;="&amp;MAX('KG1-5'!$U15,Dash_PStart),'KG1-5'!$AD$5:$IM$5,"&lt;="&amp;Dash_PEnd)+COUNTIFS('KG1-5'!$AD15:$IM15,"غياب بعذر",'KG1-5'!$AD$7:$IM$7,"✓",'KG1-5'!$AD$6:$IM$6,1,'KG1-5'!$AD$5:$IM$5,"&gt;="&amp;MAX('KG1-5'!$U15,Dash_PStart),'KG1-5'!$AD$5:$IM$5,"&lt;="&amp;Dash_PEnd)+COUNTIFS('KG1-5'!$AD15:$IM15,"متأخر",'KG1-5'!$AD$7:$IM$7,"✓",'KG1-5'!$AD$6:$IM$6,1,'KG1-5'!$AD$5:$IM$5,"&gt;="&amp;MAX('KG1-5'!$U15,Dash_PStart),'KG1-5'!$AD$5:$IM$5,"&lt;="&amp;Dash_PEnd))</f>
        <v/>
      </c>
      <c r="AJ131" s="40">
        <f>IF(AF131=0,0,IF(W131=Dash_Date,Thr_Critical,IF(V131=Dash_Date,Thr_High,IF(U131=Dash_Date,Thr_Repeated,IF(T131=Dash_Date,Thr_FollowUp,0)))))</f>
        <v/>
      </c>
      <c r="AK131" s="40">
        <f>IF(AJ131&gt;0,COUNTIF($AJ$5:AJ131,"&gt;0"),"")</f>
        <v/>
      </c>
      <c r="AL131" s="40">
        <f>IF(AND(B131&lt;&gt;"",F131="نشط",Q131&lt;&gt;"",Q131&gt;0),L131*1000+(999-ROW()),"")</f>
        <v/>
      </c>
      <c r="AM131" s="40">
        <f>IF(AND(AF131=1,J131&lt;&gt;"",J131&gt;0),ROUND(O131*10000,0)*1000000+K131*1000+(999-ROW()),"")</f>
        <v/>
      </c>
      <c r="AN131" s="40">
        <f>IF(AND(AF131=1,J131&lt;&gt;"",J131&gt;0),(L131+M131)*10000000+ROUND((1-O131)*10000,0)*1000+(999-ROW()),"")</f>
        <v/>
      </c>
      <c r="AO131" s="40">
        <f>IF(AND(AF131=1,Q131&lt;&gt;"",Q131&gt;=Thr_Critical),L131*1000+(999-ROW()),"")</f>
        <v/>
      </c>
      <c r="AP131" s="40">
        <f>IF(AND(B131&lt;&gt;"",F131="نشط",OR(Rpt_Class="الكل",D131=Rpt_Class)),1,0)</f>
        <v/>
      </c>
      <c r="AQ131" s="40">
        <f>IF(AND(AP131=1,Q131&lt;&gt;"",Q131&gt;0),L131*1000+(999-ROW()),"")</f>
        <v/>
      </c>
      <c r="AR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IF(LateAsPresent="نعم",COUNTIFS('KG1-5'!$AD15:$IM15,"متأخر",'KG1-5'!$AD$7:$IM$7,"✓",'KG1-5'!$AD$6:$IM$6,1,'KG1-5'!$AD$5:$IM$5,"&gt;="&amp;MAX('KG1-5'!$U15,Rpt_PStart),'KG1-5'!$AD$5:$IM$5,"&lt;="&amp;Rpt_PEnd),0))</f>
        <v/>
      </c>
      <c r="AS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COUNTIFS('KG1-5'!$AD15:$IM15,"غياب بدون عذر",'KG1-5'!$AD$7:$IM$7,"✓",'KG1-5'!$AD$6:$IM$6,1,'KG1-5'!$AD$5:$IM$5,"&gt;="&amp;MAX('KG1-5'!$U15,Rpt_PStart),'KG1-5'!$AD$5:$IM$5,"&lt;="&amp;Rpt_PEnd)+COUNTIFS('KG1-5'!$AD15:$IM15,"غياب بعذر",'KG1-5'!$AD$7:$IM$7,"✓",'KG1-5'!$AD$6:$IM$6,1,'KG1-5'!$AD$5:$IM$5,"&gt;="&amp;MAX('KG1-5'!$U15,Rpt_PStart),'KG1-5'!$AD$5:$IM$5,"&lt;="&amp;Rpt_PEnd)+COUNTIFS('KG1-5'!$AD15:$IM15,"متأخر",'KG1-5'!$AD$7:$IM$7,"✓",'KG1-5'!$AD$6:$IM$6,1,'KG1-5'!$AD$5:$IM$5,"&gt;="&amp;MAX('KG1-5'!$U15,Rpt_PStart),'KG1-5'!$AD$5:$IM$5,"&lt;="&amp;Rpt_PEnd))</f>
        <v/>
      </c>
      <c r="AT131" s="40">
        <f>IF(AP131=0,"",COUNTIFS('KG1-5'!$AD15:$IM15,"غياب بدون عذر",'KG1-5'!$AD$7:$IM$7,"✓",'KG1-5'!$AD$6:$IM$6,1,'KG1-5'!$AD$5:$IM$5,"&gt;="&amp;MAX('KG1-5'!$U15,Rpt_PStart),'KG1-5'!$AD$5:$IM$5,"&lt;="&amp;Rpt_PEnd)+COUNTIFS('KG1-5'!$AD15:$IM15,"غياب بعذر",'KG1-5'!$AD$7:$IM$7,"✓",'KG1-5'!$AD$6:$IM$6,1,'KG1-5'!$AD$5:$IM$5,"&gt;="&amp;MAX('KG1-5'!$U15,Rpt_PStart),'KG1-5'!$AD$5:$IM$5,"&lt;="&amp;Rpt_PEnd))</f>
        <v/>
      </c>
      <c r="AU131" s="40" t="n">
        <v>5</v>
      </c>
      <c r="AV131" s="40" t="n">
        <v>7</v>
      </c>
      <c r="AW131" s="40">
        <f>IF(OR(AP131=0,Rpt_DayIdx=0),"",IF(INDEX('KG1-5'!$AD$7:$IM$7,Rpt_DayIdx)&lt;&gt;"✓","",IF(INDEX('KG1-5'!$AD15:$IM15,Rpt_DayIdx)="","P",IFERROR(INDEX(StatusCodes,MATCH(INDEX('KG1-5'!$AD15:$IM15,Rpt_DayIdx),StatusLabels,0)),""))))</f>
        <v/>
      </c>
      <c r="AX131" s="40">
        <f>IF(AND(AP131=1,OR(AW131="A",AW131="E")),COUNTIFS($AP$5:AP131,1,$AW$5:AW131,"A")+COUNTIFS($AP$5:AP131,1,$AW$5:AW131,"E"),"")</f>
        <v/>
      </c>
    </row>
    <row r="132">
      <c r="A132" s="148">
        <f>IF(B132="","",ROW()-4)</f>
        <v/>
      </c>
      <c r="B132" s="148">
        <f>IF('KG1-5'!$B16="","",'KG1-5'!$B16)</f>
        <v/>
      </c>
      <c r="C132" s="146">
        <f>IF('KG1-5'!$C16="","",'KG1-5'!$C16)</f>
        <v/>
      </c>
      <c r="D132" s="148">
        <f>IF(B132="","",'KG1-5'!$B$2)</f>
        <v/>
      </c>
      <c r="E132" s="148">
        <f>IF(B132="","",MID(D132,FIND("-",D132&amp;"-")+1,10))</f>
        <v/>
      </c>
      <c r="F132" s="148">
        <f>IF(B132="","","نشط")</f>
        <v/>
      </c>
      <c r="G132" s="157">
        <f>IF(B132="","","")</f>
        <v/>
      </c>
      <c r="H132" s="146">
        <f>IF('KG1-5'!$K16="","",'KG1-5'!$K16)</f>
        <v/>
      </c>
      <c r="I132" s="148">
        <f>IF('KG1-5'!$J16="","",'KG1-5'!$J16)</f>
        <v/>
      </c>
      <c r="J132" s="148">
        <f>IF('KG1-5'!$M16="","",'KG1-5'!$M16)</f>
        <v/>
      </c>
      <c r="K132" s="148">
        <f>IF('KG1-5'!$N16="","",'KG1-5'!$N16)</f>
        <v/>
      </c>
      <c r="L132" s="148">
        <f>IF('KG1-5'!$D16="","",'KG1-5'!$D16)</f>
        <v/>
      </c>
      <c r="M132" s="148">
        <f>IF('KG1-5'!$E16="","",'KG1-5'!$E16)</f>
        <v/>
      </c>
      <c r="N132" s="148">
        <f>IF('KG1-5'!$F16="","",'KG1-5'!$F16)</f>
        <v/>
      </c>
      <c r="O132" s="158">
        <f>IF('KG1-5'!$G16="","",'KG1-5'!$G16)</f>
        <v/>
      </c>
      <c r="P132" s="158">
        <f>IF('KG1-5'!$O16="","",'KG1-5'!$O16)</f>
        <v/>
      </c>
      <c r="Q132" s="148">
        <f>IF('KG1-5'!$T16="","",'KG1-5'!$T16)</f>
        <v/>
      </c>
      <c r="R132" s="146">
        <f>IF('KG1-5'!$H16="","",'KG1-5'!$H16)</f>
        <v/>
      </c>
      <c r="S132" s="157">
        <f>IF('KG1-5'!$P16="","",'KG1-5'!$P16)</f>
        <v/>
      </c>
      <c r="T132" s="157">
        <f>IF('KG1-5'!$V16="","",'KG1-5'!$V16)</f>
        <v/>
      </c>
      <c r="U132" s="157">
        <f>IF('KG1-5'!$W16="","",'KG1-5'!$W16)</f>
        <v/>
      </c>
      <c r="V132" s="157">
        <f>IF('KG1-5'!$X16="","",'KG1-5'!$X16)</f>
        <v/>
      </c>
      <c r="W132" s="157">
        <f>IF('KG1-5'!$Y16="","",'KG1-5'!$Y16)</f>
        <v/>
      </c>
      <c r="X132" s="157">
        <f>IF('KG1-5'!$R16="","",'KG1-5'!$R16)</f>
        <v/>
      </c>
      <c r="Y132" s="148">
        <f>IF('KG1-5'!$S16="","",'KG1-5'!$S16)</f>
        <v/>
      </c>
      <c r="Z132" s="148">
        <f>IF('KG1-5'!$Q16="","",'KG1-5'!$Q16)</f>
        <v/>
      </c>
      <c r="AA132" s="148">
        <f>IF('KG1-5'!$I16="","",'KG1-5'!$I16)</f>
        <v/>
      </c>
      <c r="AB132" s="146">
        <f>IF(Q132="","",INDEX(LevelActions,MATCH(Q132,LevelValues,0)))</f>
        <v/>
      </c>
      <c r="AC132" s="148">
        <f>IF(J132="","",IF(J132=0,"—",IF(AND(L132=0,M132=0),Cat_L1,IF(O132&gt;=Cat_95,Cat_L2,IF(O132&gt;=Cat_90,Cat_L3,Cat_L4)))))</f>
        <v/>
      </c>
      <c r="AD132" s="146">
        <f>IF('KG1-5'!$L16="","",'KG1-5'!$L16)</f>
        <v/>
      </c>
      <c r="AE132" s="148">
        <f>IF(B132="","",IF(COUNTIF($B$5:$B$214,B132)&gt;1,"مكرر!",""))</f>
        <v/>
      </c>
      <c r="AF132" s="148">
        <f>IF(AND(B132&lt;&gt;"",F132="نشط",OR(Dash_Class="الكل",D132=Dash_Class)),1,0)</f>
        <v/>
      </c>
      <c r="AG132" s="40">
        <f>IF(OR(AF132=0,Dash_DayIdx=0),"",IF(INDEX('KG1-5'!$AD$7:$IM$7,Dash_DayIdx)&lt;&gt;"✓","",IF(INDEX('KG1-5'!$AD16:$IM16,Dash_DayIdx)="","P",IFERROR(INDEX(StatusCodes,MATCH(INDEX('KG1-5'!$AD16:$IM16,Dash_DayIdx),StatusLabels,0)),""))))</f>
        <v/>
      </c>
      <c r="AH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IF(LateAsPresent="نعم",COUNTIFS('KG1-5'!$AD16:$IM16,"متأخر",'KG1-5'!$AD$7:$IM$7,"✓",'KG1-5'!$AD$6:$IM$6,1,'KG1-5'!$AD$5:$IM$5,"&gt;="&amp;MAX('KG1-5'!$U16,Dash_PStart),'KG1-5'!$AD$5:$IM$5,"&lt;="&amp;Dash_PEnd),0))</f>
        <v/>
      </c>
      <c r="AI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COUNTIFS('KG1-5'!$AD16:$IM16,"غياب بدون عذر",'KG1-5'!$AD$7:$IM$7,"✓",'KG1-5'!$AD$6:$IM$6,1,'KG1-5'!$AD$5:$IM$5,"&gt;="&amp;MAX('KG1-5'!$U16,Dash_PStart),'KG1-5'!$AD$5:$IM$5,"&lt;="&amp;Dash_PEnd)+COUNTIFS('KG1-5'!$AD16:$IM16,"غياب بعذر",'KG1-5'!$AD$7:$IM$7,"✓",'KG1-5'!$AD$6:$IM$6,1,'KG1-5'!$AD$5:$IM$5,"&gt;="&amp;MAX('KG1-5'!$U16,Dash_PStart),'KG1-5'!$AD$5:$IM$5,"&lt;="&amp;Dash_PEnd)+COUNTIFS('KG1-5'!$AD16:$IM16,"متأخر",'KG1-5'!$AD$7:$IM$7,"✓",'KG1-5'!$AD$6:$IM$6,1,'KG1-5'!$AD$5:$IM$5,"&gt;="&amp;MAX('KG1-5'!$U16,Dash_PStart),'KG1-5'!$AD$5:$IM$5,"&lt;="&amp;Dash_PEnd))</f>
        <v/>
      </c>
      <c r="AJ132" s="40">
        <f>IF(AF132=0,0,IF(W132=Dash_Date,Thr_Critical,IF(V132=Dash_Date,Thr_High,IF(U132=Dash_Date,Thr_Repeated,IF(T132=Dash_Date,Thr_FollowUp,0)))))</f>
        <v/>
      </c>
      <c r="AK132" s="40">
        <f>IF(AJ132&gt;0,COUNTIF($AJ$5:AJ132,"&gt;0"),"")</f>
        <v/>
      </c>
      <c r="AL132" s="40">
        <f>IF(AND(B132&lt;&gt;"",F132="نشط",Q132&lt;&gt;"",Q132&gt;0),L132*1000+(999-ROW()),"")</f>
        <v/>
      </c>
      <c r="AM132" s="40">
        <f>IF(AND(AF132=1,J132&lt;&gt;"",J132&gt;0),ROUND(O132*10000,0)*1000000+K132*1000+(999-ROW()),"")</f>
        <v/>
      </c>
      <c r="AN132" s="40">
        <f>IF(AND(AF132=1,J132&lt;&gt;"",J132&gt;0),(L132+M132)*10000000+ROUND((1-O132)*10000,0)*1000+(999-ROW()),"")</f>
        <v/>
      </c>
      <c r="AO132" s="40">
        <f>IF(AND(AF132=1,Q132&lt;&gt;"",Q132&gt;=Thr_Critical),L132*1000+(999-ROW()),"")</f>
        <v/>
      </c>
      <c r="AP132" s="40">
        <f>IF(AND(B132&lt;&gt;"",F132="نشط",OR(Rpt_Class="الكل",D132=Rpt_Class)),1,0)</f>
        <v/>
      </c>
      <c r="AQ132" s="40">
        <f>IF(AND(AP132=1,Q132&lt;&gt;"",Q132&gt;0),L132*1000+(999-ROW()),"")</f>
        <v/>
      </c>
      <c r="AR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IF(LateAsPresent="نعم",COUNTIFS('KG1-5'!$AD16:$IM16,"متأخر",'KG1-5'!$AD$7:$IM$7,"✓",'KG1-5'!$AD$6:$IM$6,1,'KG1-5'!$AD$5:$IM$5,"&gt;="&amp;MAX('KG1-5'!$U16,Rpt_PStart),'KG1-5'!$AD$5:$IM$5,"&lt;="&amp;Rpt_PEnd),0))</f>
        <v/>
      </c>
      <c r="AS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COUNTIFS('KG1-5'!$AD16:$IM16,"غياب بدون عذر",'KG1-5'!$AD$7:$IM$7,"✓",'KG1-5'!$AD$6:$IM$6,1,'KG1-5'!$AD$5:$IM$5,"&gt;="&amp;MAX('KG1-5'!$U16,Rpt_PStart),'KG1-5'!$AD$5:$IM$5,"&lt;="&amp;Rpt_PEnd)+COUNTIFS('KG1-5'!$AD16:$IM16,"غياب بعذر",'KG1-5'!$AD$7:$IM$7,"✓",'KG1-5'!$AD$6:$IM$6,1,'KG1-5'!$AD$5:$IM$5,"&gt;="&amp;MAX('KG1-5'!$U16,Rpt_PStart),'KG1-5'!$AD$5:$IM$5,"&lt;="&amp;Rpt_PEnd)+COUNTIFS('KG1-5'!$AD16:$IM16,"متأخر",'KG1-5'!$AD$7:$IM$7,"✓",'KG1-5'!$AD$6:$IM$6,1,'KG1-5'!$AD$5:$IM$5,"&gt;="&amp;MAX('KG1-5'!$U16,Rpt_PStart),'KG1-5'!$AD$5:$IM$5,"&lt;="&amp;Rpt_PEnd))</f>
        <v/>
      </c>
      <c r="AT132" s="40">
        <f>IF(AP132=0,"",COUNTIFS('KG1-5'!$AD16:$IM16,"غياب بدون عذر",'KG1-5'!$AD$7:$IM$7,"✓",'KG1-5'!$AD$6:$IM$6,1,'KG1-5'!$AD$5:$IM$5,"&gt;="&amp;MAX('KG1-5'!$U16,Rpt_PStart),'KG1-5'!$AD$5:$IM$5,"&lt;="&amp;Rpt_PEnd)+COUNTIFS('KG1-5'!$AD16:$IM16,"غياب بعذر",'KG1-5'!$AD$7:$IM$7,"✓",'KG1-5'!$AD$6:$IM$6,1,'KG1-5'!$AD$5:$IM$5,"&gt;="&amp;MAX('KG1-5'!$U16,Rpt_PStart),'KG1-5'!$AD$5:$IM$5,"&lt;="&amp;Rpt_PEnd))</f>
        <v/>
      </c>
      <c r="AU132" s="40" t="n">
        <v>5</v>
      </c>
      <c r="AV132" s="40" t="n">
        <v>8</v>
      </c>
      <c r="AW132" s="40">
        <f>IF(OR(AP132=0,Rpt_DayIdx=0),"",IF(INDEX('KG1-5'!$AD$7:$IM$7,Rpt_DayIdx)&lt;&gt;"✓","",IF(INDEX('KG1-5'!$AD16:$IM16,Rpt_DayIdx)="","P",IFERROR(INDEX(StatusCodes,MATCH(INDEX('KG1-5'!$AD16:$IM16,Rpt_DayIdx),StatusLabels,0)),""))))</f>
        <v/>
      </c>
      <c r="AX132" s="40">
        <f>IF(AND(AP132=1,OR(AW132="A",AW132="E")),COUNTIFS($AP$5:AP132,1,$AW$5:AW132,"A")+COUNTIFS($AP$5:AP132,1,$AW$5:AW132,"E"),"")</f>
        <v/>
      </c>
    </row>
    <row r="133">
      <c r="A133" s="148">
        <f>IF(B133="","",ROW()-4)</f>
        <v/>
      </c>
      <c r="B133" s="148">
        <f>IF('KG1-5'!$B17="","",'KG1-5'!$B17)</f>
        <v/>
      </c>
      <c r="C133" s="146">
        <f>IF('KG1-5'!$C17="","",'KG1-5'!$C17)</f>
        <v/>
      </c>
      <c r="D133" s="148">
        <f>IF(B133="","",'KG1-5'!$B$2)</f>
        <v/>
      </c>
      <c r="E133" s="148">
        <f>IF(B133="","",MID(D133,FIND("-",D133&amp;"-")+1,10))</f>
        <v/>
      </c>
      <c r="F133" s="148">
        <f>IF(B133="","","نشط")</f>
        <v/>
      </c>
      <c r="G133" s="157">
        <f>IF(B133="","","")</f>
        <v/>
      </c>
      <c r="H133" s="146">
        <f>IF('KG1-5'!$K17="","",'KG1-5'!$K17)</f>
        <v/>
      </c>
      <c r="I133" s="148">
        <f>IF('KG1-5'!$J17="","",'KG1-5'!$J17)</f>
        <v/>
      </c>
      <c r="J133" s="148">
        <f>IF('KG1-5'!$M17="","",'KG1-5'!$M17)</f>
        <v/>
      </c>
      <c r="K133" s="148">
        <f>IF('KG1-5'!$N17="","",'KG1-5'!$N17)</f>
        <v/>
      </c>
      <c r="L133" s="148">
        <f>IF('KG1-5'!$D17="","",'KG1-5'!$D17)</f>
        <v/>
      </c>
      <c r="M133" s="148">
        <f>IF('KG1-5'!$E17="","",'KG1-5'!$E17)</f>
        <v/>
      </c>
      <c r="N133" s="148">
        <f>IF('KG1-5'!$F17="","",'KG1-5'!$F17)</f>
        <v/>
      </c>
      <c r="O133" s="158">
        <f>IF('KG1-5'!$G17="","",'KG1-5'!$G17)</f>
        <v/>
      </c>
      <c r="P133" s="158">
        <f>IF('KG1-5'!$O17="","",'KG1-5'!$O17)</f>
        <v/>
      </c>
      <c r="Q133" s="148">
        <f>IF('KG1-5'!$T17="","",'KG1-5'!$T17)</f>
        <v/>
      </c>
      <c r="R133" s="146">
        <f>IF('KG1-5'!$H17="","",'KG1-5'!$H17)</f>
        <v/>
      </c>
      <c r="S133" s="157">
        <f>IF('KG1-5'!$P17="","",'KG1-5'!$P17)</f>
        <v/>
      </c>
      <c r="T133" s="157">
        <f>IF('KG1-5'!$V17="","",'KG1-5'!$V17)</f>
        <v/>
      </c>
      <c r="U133" s="157">
        <f>IF('KG1-5'!$W17="","",'KG1-5'!$W17)</f>
        <v/>
      </c>
      <c r="V133" s="157">
        <f>IF('KG1-5'!$X17="","",'KG1-5'!$X17)</f>
        <v/>
      </c>
      <c r="W133" s="157">
        <f>IF('KG1-5'!$Y17="","",'KG1-5'!$Y17)</f>
        <v/>
      </c>
      <c r="X133" s="157">
        <f>IF('KG1-5'!$R17="","",'KG1-5'!$R17)</f>
        <v/>
      </c>
      <c r="Y133" s="148">
        <f>IF('KG1-5'!$S17="","",'KG1-5'!$S17)</f>
        <v/>
      </c>
      <c r="Z133" s="148">
        <f>IF('KG1-5'!$Q17="","",'KG1-5'!$Q17)</f>
        <v/>
      </c>
      <c r="AA133" s="148">
        <f>IF('KG1-5'!$I17="","",'KG1-5'!$I17)</f>
        <v/>
      </c>
      <c r="AB133" s="146">
        <f>IF(Q133="","",INDEX(LevelActions,MATCH(Q133,LevelValues,0)))</f>
        <v/>
      </c>
      <c r="AC133" s="148">
        <f>IF(J133="","",IF(J133=0,"—",IF(AND(L133=0,M133=0),Cat_L1,IF(O133&gt;=Cat_95,Cat_L2,IF(O133&gt;=Cat_90,Cat_L3,Cat_L4)))))</f>
        <v/>
      </c>
      <c r="AD133" s="146">
        <f>IF('KG1-5'!$L17="","",'KG1-5'!$L17)</f>
        <v/>
      </c>
      <c r="AE133" s="148">
        <f>IF(B133="","",IF(COUNTIF($B$5:$B$214,B133)&gt;1,"مكرر!",""))</f>
        <v/>
      </c>
      <c r="AF133" s="148">
        <f>IF(AND(B133&lt;&gt;"",F133="نشط",OR(Dash_Class="الكل",D133=Dash_Class)),1,0)</f>
        <v/>
      </c>
      <c r="AG133" s="40">
        <f>IF(OR(AF133=0,Dash_DayIdx=0),"",IF(INDEX('KG1-5'!$AD$7:$IM$7,Dash_DayIdx)&lt;&gt;"✓","",IF(INDEX('KG1-5'!$AD17:$IM17,Dash_DayIdx)="","P",IFERROR(INDEX(StatusCodes,MATCH(INDEX('KG1-5'!$AD17:$IM17,Dash_DayIdx),StatusLabels,0)),""))))</f>
        <v/>
      </c>
      <c r="AH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IF(LateAsPresent="نعم",COUNTIFS('KG1-5'!$AD17:$IM17,"متأخر",'KG1-5'!$AD$7:$IM$7,"✓",'KG1-5'!$AD$6:$IM$6,1,'KG1-5'!$AD$5:$IM$5,"&gt;="&amp;MAX('KG1-5'!$U17,Dash_PStart),'KG1-5'!$AD$5:$IM$5,"&lt;="&amp;Dash_PEnd),0))</f>
        <v/>
      </c>
      <c r="AI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COUNTIFS('KG1-5'!$AD17:$IM17,"غياب بدون عذر",'KG1-5'!$AD$7:$IM$7,"✓",'KG1-5'!$AD$6:$IM$6,1,'KG1-5'!$AD$5:$IM$5,"&gt;="&amp;MAX('KG1-5'!$U17,Dash_PStart),'KG1-5'!$AD$5:$IM$5,"&lt;="&amp;Dash_PEnd)+COUNTIFS('KG1-5'!$AD17:$IM17,"غياب بعذر",'KG1-5'!$AD$7:$IM$7,"✓",'KG1-5'!$AD$6:$IM$6,1,'KG1-5'!$AD$5:$IM$5,"&gt;="&amp;MAX('KG1-5'!$U17,Dash_PStart),'KG1-5'!$AD$5:$IM$5,"&lt;="&amp;Dash_PEnd)+COUNTIFS('KG1-5'!$AD17:$IM17,"متأخر",'KG1-5'!$AD$7:$IM$7,"✓",'KG1-5'!$AD$6:$IM$6,1,'KG1-5'!$AD$5:$IM$5,"&gt;="&amp;MAX('KG1-5'!$U17,Dash_PStart),'KG1-5'!$AD$5:$IM$5,"&lt;="&amp;Dash_PEnd))</f>
        <v/>
      </c>
      <c r="AJ133" s="40">
        <f>IF(AF133=0,0,IF(W133=Dash_Date,Thr_Critical,IF(V133=Dash_Date,Thr_High,IF(U133=Dash_Date,Thr_Repeated,IF(T133=Dash_Date,Thr_FollowUp,0)))))</f>
        <v/>
      </c>
      <c r="AK133" s="40">
        <f>IF(AJ133&gt;0,COUNTIF($AJ$5:AJ133,"&gt;0"),"")</f>
        <v/>
      </c>
      <c r="AL133" s="40">
        <f>IF(AND(B133&lt;&gt;"",F133="نشط",Q133&lt;&gt;"",Q133&gt;0),L133*1000+(999-ROW()),"")</f>
        <v/>
      </c>
      <c r="AM133" s="40">
        <f>IF(AND(AF133=1,J133&lt;&gt;"",J133&gt;0),ROUND(O133*10000,0)*1000000+K133*1000+(999-ROW()),"")</f>
        <v/>
      </c>
      <c r="AN133" s="40">
        <f>IF(AND(AF133=1,J133&lt;&gt;"",J133&gt;0),(L133+M133)*10000000+ROUND((1-O133)*10000,0)*1000+(999-ROW()),"")</f>
        <v/>
      </c>
      <c r="AO133" s="40">
        <f>IF(AND(AF133=1,Q133&lt;&gt;"",Q133&gt;=Thr_Critical),L133*1000+(999-ROW()),"")</f>
        <v/>
      </c>
      <c r="AP133" s="40">
        <f>IF(AND(B133&lt;&gt;"",F133="نشط",OR(Rpt_Class="الكل",D133=Rpt_Class)),1,0)</f>
        <v/>
      </c>
      <c r="AQ133" s="40">
        <f>IF(AND(AP133=1,Q133&lt;&gt;"",Q133&gt;0),L133*1000+(999-ROW()),"")</f>
        <v/>
      </c>
      <c r="AR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IF(LateAsPresent="نعم",COUNTIFS('KG1-5'!$AD17:$IM17,"متأخر",'KG1-5'!$AD$7:$IM$7,"✓",'KG1-5'!$AD$6:$IM$6,1,'KG1-5'!$AD$5:$IM$5,"&gt;="&amp;MAX('KG1-5'!$U17,Rpt_PStart),'KG1-5'!$AD$5:$IM$5,"&lt;="&amp;Rpt_PEnd),0))</f>
        <v/>
      </c>
      <c r="AS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COUNTIFS('KG1-5'!$AD17:$IM17,"غياب بدون عذر",'KG1-5'!$AD$7:$IM$7,"✓",'KG1-5'!$AD$6:$IM$6,1,'KG1-5'!$AD$5:$IM$5,"&gt;="&amp;MAX('KG1-5'!$U17,Rpt_PStart),'KG1-5'!$AD$5:$IM$5,"&lt;="&amp;Rpt_PEnd)+COUNTIFS('KG1-5'!$AD17:$IM17,"غياب بعذر",'KG1-5'!$AD$7:$IM$7,"✓",'KG1-5'!$AD$6:$IM$6,1,'KG1-5'!$AD$5:$IM$5,"&gt;="&amp;MAX('KG1-5'!$U17,Rpt_PStart),'KG1-5'!$AD$5:$IM$5,"&lt;="&amp;Rpt_PEnd)+COUNTIFS('KG1-5'!$AD17:$IM17,"متأخر",'KG1-5'!$AD$7:$IM$7,"✓",'KG1-5'!$AD$6:$IM$6,1,'KG1-5'!$AD$5:$IM$5,"&gt;="&amp;MAX('KG1-5'!$U17,Rpt_PStart),'KG1-5'!$AD$5:$IM$5,"&lt;="&amp;Rpt_PEnd))</f>
        <v/>
      </c>
      <c r="AT133" s="40">
        <f>IF(AP133=0,"",COUNTIFS('KG1-5'!$AD17:$IM17,"غياب بدون عذر",'KG1-5'!$AD$7:$IM$7,"✓",'KG1-5'!$AD$6:$IM$6,1,'KG1-5'!$AD$5:$IM$5,"&gt;="&amp;MAX('KG1-5'!$U17,Rpt_PStart),'KG1-5'!$AD$5:$IM$5,"&lt;="&amp;Rpt_PEnd)+COUNTIFS('KG1-5'!$AD17:$IM17,"غياب بعذر",'KG1-5'!$AD$7:$IM$7,"✓",'KG1-5'!$AD$6:$IM$6,1,'KG1-5'!$AD$5:$IM$5,"&gt;="&amp;MAX('KG1-5'!$U17,Rpt_PStart),'KG1-5'!$AD$5:$IM$5,"&lt;="&amp;Rpt_PEnd))</f>
        <v/>
      </c>
      <c r="AU133" s="40" t="n">
        <v>5</v>
      </c>
      <c r="AV133" s="40" t="n">
        <v>9</v>
      </c>
      <c r="AW133" s="40">
        <f>IF(OR(AP133=0,Rpt_DayIdx=0),"",IF(INDEX('KG1-5'!$AD$7:$IM$7,Rpt_DayIdx)&lt;&gt;"✓","",IF(INDEX('KG1-5'!$AD17:$IM17,Rpt_DayIdx)="","P",IFERROR(INDEX(StatusCodes,MATCH(INDEX('KG1-5'!$AD17:$IM17,Rpt_DayIdx),StatusLabels,0)),""))))</f>
        <v/>
      </c>
      <c r="AX133" s="40">
        <f>IF(AND(AP133=1,OR(AW133="A",AW133="E")),COUNTIFS($AP$5:AP133,1,$AW$5:AW133,"A")+COUNTIFS($AP$5:AP133,1,$AW$5:AW133,"E"),"")</f>
        <v/>
      </c>
    </row>
    <row r="134">
      <c r="A134" s="148">
        <f>IF(B134="","",ROW()-4)</f>
        <v/>
      </c>
      <c r="B134" s="148">
        <f>IF('KG1-5'!$B18="","",'KG1-5'!$B18)</f>
        <v/>
      </c>
      <c r="C134" s="146">
        <f>IF('KG1-5'!$C18="","",'KG1-5'!$C18)</f>
        <v/>
      </c>
      <c r="D134" s="148">
        <f>IF(B134="","",'KG1-5'!$B$2)</f>
        <v/>
      </c>
      <c r="E134" s="148">
        <f>IF(B134="","",MID(D134,FIND("-",D134&amp;"-")+1,10))</f>
        <v/>
      </c>
      <c r="F134" s="148">
        <f>IF(B134="","","نشط")</f>
        <v/>
      </c>
      <c r="G134" s="157">
        <f>IF(B134="","","")</f>
        <v/>
      </c>
      <c r="H134" s="146">
        <f>IF('KG1-5'!$K18="","",'KG1-5'!$K18)</f>
        <v/>
      </c>
      <c r="I134" s="148">
        <f>IF('KG1-5'!$J18="","",'KG1-5'!$J18)</f>
        <v/>
      </c>
      <c r="J134" s="148">
        <f>IF('KG1-5'!$M18="","",'KG1-5'!$M18)</f>
        <v/>
      </c>
      <c r="K134" s="148">
        <f>IF('KG1-5'!$N18="","",'KG1-5'!$N18)</f>
        <v/>
      </c>
      <c r="L134" s="148">
        <f>IF('KG1-5'!$D18="","",'KG1-5'!$D18)</f>
        <v/>
      </c>
      <c r="M134" s="148">
        <f>IF('KG1-5'!$E18="","",'KG1-5'!$E18)</f>
        <v/>
      </c>
      <c r="N134" s="148">
        <f>IF('KG1-5'!$F18="","",'KG1-5'!$F18)</f>
        <v/>
      </c>
      <c r="O134" s="158">
        <f>IF('KG1-5'!$G18="","",'KG1-5'!$G18)</f>
        <v/>
      </c>
      <c r="P134" s="158">
        <f>IF('KG1-5'!$O18="","",'KG1-5'!$O18)</f>
        <v/>
      </c>
      <c r="Q134" s="148">
        <f>IF('KG1-5'!$T18="","",'KG1-5'!$T18)</f>
        <v/>
      </c>
      <c r="R134" s="146">
        <f>IF('KG1-5'!$H18="","",'KG1-5'!$H18)</f>
        <v/>
      </c>
      <c r="S134" s="157">
        <f>IF('KG1-5'!$P18="","",'KG1-5'!$P18)</f>
        <v/>
      </c>
      <c r="T134" s="157">
        <f>IF('KG1-5'!$V18="","",'KG1-5'!$V18)</f>
        <v/>
      </c>
      <c r="U134" s="157">
        <f>IF('KG1-5'!$W18="","",'KG1-5'!$W18)</f>
        <v/>
      </c>
      <c r="V134" s="157">
        <f>IF('KG1-5'!$X18="","",'KG1-5'!$X18)</f>
        <v/>
      </c>
      <c r="W134" s="157">
        <f>IF('KG1-5'!$Y18="","",'KG1-5'!$Y18)</f>
        <v/>
      </c>
      <c r="X134" s="157">
        <f>IF('KG1-5'!$R18="","",'KG1-5'!$R18)</f>
        <v/>
      </c>
      <c r="Y134" s="148">
        <f>IF('KG1-5'!$S18="","",'KG1-5'!$S18)</f>
        <v/>
      </c>
      <c r="Z134" s="148">
        <f>IF('KG1-5'!$Q18="","",'KG1-5'!$Q18)</f>
        <v/>
      </c>
      <c r="AA134" s="148">
        <f>IF('KG1-5'!$I18="","",'KG1-5'!$I18)</f>
        <v/>
      </c>
      <c r="AB134" s="146">
        <f>IF(Q134="","",INDEX(LevelActions,MATCH(Q134,LevelValues,0)))</f>
        <v/>
      </c>
      <c r="AC134" s="148">
        <f>IF(J134="","",IF(J134=0,"—",IF(AND(L134=0,M134=0),Cat_L1,IF(O134&gt;=Cat_95,Cat_L2,IF(O134&gt;=Cat_90,Cat_L3,Cat_L4)))))</f>
        <v/>
      </c>
      <c r="AD134" s="146">
        <f>IF('KG1-5'!$L18="","",'KG1-5'!$L18)</f>
        <v/>
      </c>
      <c r="AE134" s="148">
        <f>IF(B134="","",IF(COUNTIF($B$5:$B$214,B134)&gt;1,"مكرر!",""))</f>
        <v/>
      </c>
      <c r="AF134" s="148">
        <f>IF(AND(B134&lt;&gt;"",F134="نشط",OR(Dash_Class="الكل",D134=Dash_Class)),1,0)</f>
        <v/>
      </c>
      <c r="AG134" s="40">
        <f>IF(OR(AF134=0,Dash_DayIdx=0),"",IF(INDEX('KG1-5'!$AD$7:$IM$7,Dash_DayIdx)&lt;&gt;"✓","",IF(INDEX('KG1-5'!$AD18:$IM18,Dash_DayIdx)="","P",IFERROR(INDEX(StatusCodes,MATCH(INDEX('KG1-5'!$AD18:$IM18,Dash_DayIdx),StatusLabels,0)),""))))</f>
        <v/>
      </c>
      <c r="AH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IF(LateAsPresent="نعم",COUNTIFS('KG1-5'!$AD18:$IM18,"متأخر",'KG1-5'!$AD$7:$IM$7,"✓",'KG1-5'!$AD$6:$IM$6,1,'KG1-5'!$AD$5:$IM$5,"&gt;="&amp;MAX('KG1-5'!$U18,Dash_PStart),'KG1-5'!$AD$5:$IM$5,"&lt;="&amp;Dash_PEnd),0))</f>
        <v/>
      </c>
      <c r="AI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COUNTIFS('KG1-5'!$AD18:$IM18,"غياب بدون عذر",'KG1-5'!$AD$7:$IM$7,"✓",'KG1-5'!$AD$6:$IM$6,1,'KG1-5'!$AD$5:$IM$5,"&gt;="&amp;MAX('KG1-5'!$U18,Dash_PStart),'KG1-5'!$AD$5:$IM$5,"&lt;="&amp;Dash_PEnd)+COUNTIFS('KG1-5'!$AD18:$IM18,"غياب بعذر",'KG1-5'!$AD$7:$IM$7,"✓",'KG1-5'!$AD$6:$IM$6,1,'KG1-5'!$AD$5:$IM$5,"&gt;="&amp;MAX('KG1-5'!$U18,Dash_PStart),'KG1-5'!$AD$5:$IM$5,"&lt;="&amp;Dash_PEnd)+COUNTIFS('KG1-5'!$AD18:$IM18,"متأخر",'KG1-5'!$AD$7:$IM$7,"✓",'KG1-5'!$AD$6:$IM$6,1,'KG1-5'!$AD$5:$IM$5,"&gt;="&amp;MAX('KG1-5'!$U18,Dash_PStart),'KG1-5'!$AD$5:$IM$5,"&lt;="&amp;Dash_PEnd))</f>
        <v/>
      </c>
      <c r="AJ134" s="40">
        <f>IF(AF134=0,0,IF(W134=Dash_Date,Thr_Critical,IF(V134=Dash_Date,Thr_High,IF(U134=Dash_Date,Thr_Repeated,IF(T134=Dash_Date,Thr_FollowUp,0)))))</f>
        <v/>
      </c>
      <c r="AK134" s="40">
        <f>IF(AJ134&gt;0,COUNTIF($AJ$5:AJ134,"&gt;0"),"")</f>
        <v/>
      </c>
      <c r="AL134" s="40">
        <f>IF(AND(B134&lt;&gt;"",F134="نشط",Q134&lt;&gt;"",Q134&gt;0),L134*1000+(999-ROW()),"")</f>
        <v/>
      </c>
      <c r="AM134" s="40">
        <f>IF(AND(AF134=1,J134&lt;&gt;"",J134&gt;0),ROUND(O134*10000,0)*1000000+K134*1000+(999-ROW()),"")</f>
        <v/>
      </c>
      <c r="AN134" s="40">
        <f>IF(AND(AF134=1,J134&lt;&gt;"",J134&gt;0),(L134+M134)*10000000+ROUND((1-O134)*10000,0)*1000+(999-ROW()),"")</f>
        <v/>
      </c>
      <c r="AO134" s="40">
        <f>IF(AND(AF134=1,Q134&lt;&gt;"",Q134&gt;=Thr_Critical),L134*1000+(999-ROW()),"")</f>
        <v/>
      </c>
      <c r="AP134" s="40">
        <f>IF(AND(B134&lt;&gt;"",F134="نشط",OR(Rpt_Class="الكل",D134=Rpt_Class)),1,0)</f>
        <v/>
      </c>
      <c r="AQ134" s="40">
        <f>IF(AND(AP134=1,Q134&lt;&gt;"",Q134&gt;0),L134*1000+(999-ROW()),"")</f>
        <v/>
      </c>
      <c r="AR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IF(LateAsPresent="نعم",COUNTIFS('KG1-5'!$AD18:$IM18,"متأخر",'KG1-5'!$AD$7:$IM$7,"✓",'KG1-5'!$AD$6:$IM$6,1,'KG1-5'!$AD$5:$IM$5,"&gt;="&amp;MAX('KG1-5'!$U18,Rpt_PStart),'KG1-5'!$AD$5:$IM$5,"&lt;="&amp;Rpt_PEnd),0))</f>
        <v/>
      </c>
      <c r="AS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COUNTIFS('KG1-5'!$AD18:$IM18,"غياب بدون عذر",'KG1-5'!$AD$7:$IM$7,"✓",'KG1-5'!$AD$6:$IM$6,1,'KG1-5'!$AD$5:$IM$5,"&gt;="&amp;MAX('KG1-5'!$U18,Rpt_PStart),'KG1-5'!$AD$5:$IM$5,"&lt;="&amp;Rpt_PEnd)+COUNTIFS('KG1-5'!$AD18:$IM18,"غياب بعذر",'KG1-5'!$AD$7:$IM$7,"✓",'KG1-5'!$AD$6:$IM$6,1,'KG1-5'!$AD$5:$IM$5,"&gt;="&amp;MAX('KG1-5'!$U18,Rpt_PStart),'KG1-5'!$AD$5:$IM$5,"&lt;="&amp;Rpt_PEnd)+COUNTIFS('KG1-5'!$AD18:$IM18,"متأخر",'KG1-5'!$AD$7:$IM$7,"✓",'KG1-5'!$AD$6:$IM$6,1,'KG1-5'!$AD$5:$IM$5,"&gt;="&amp;MAX('KG1-5'!$U18,Rpt_PStart),'KG1-5'!$AD$5:$IM$5,"&lt;="&amp;Rpt_PEnd))</f>
        <v/>
      </c>
      <c r="AT134" s="40">
        <f>IF(AP134=0,"",COUNTIFS('KG1-5'!$AD18:$IM18,"غياب بدون عذر",'KG1-5'!$AD$7:$IM$7,"✓",'KG1-5'!$AD$6:$IM$6,1,'KG1-5'!$AD$5:$IM$5,"&gt;="&amp;MAX('KG1-5'!$U18,Rpt_PStart),'KG1-5'!$AD$5:$IM$5,"&lt;="&amp;Rpt_PEnd)+COUNTIFS('KG1-5'!$AD18:$IM18,"غياب بعذر",'KG1-5'!$AD$7:$IM$7,"✓",'KG1-5'!$AD$6:$IM$6,1,'KG1-5'!$AD$5:$IM$5,"&gt;="&amp;MAX('KG1-5'!$U18,Rpt_PStart),'KG1-5'!$AD$5:$IM$5,"&lt;="&amp;Rpt_PEnd))</f>
        <v/>
      </c>
      <c r="AU134" s="40" t="n">
        <v>5</v>
      </c>
      <c r="AV134" s="40" t="n">
        <v>10</v>
      </c>
      <c r="AW134" s="40">
        <f>IF(OR(AP134=0,Rpt_DayIdx=0),"",IF(INDEX('KG1-5'!$AD$7:$IM$7,Rpt_DayIdx)&lt;&gt;"✓","",IF(INDEX('KG1-5'!$AD18:$IM18,Rpt_DayIdx)="","P",IFERROR(INDEX(StatusCodes,MATCH(INDEX('KG1-5'!$AD18:$IM18,Rpt_DayIdx),StatusLabels,0)),""))))</f>
        <v/>
      </c>
      <c r="AX134" s="40">
        <f>IF(AND(AP134=1,OR(AW134="A",AW134="E")),COUNTIFS($AP$5:AP134,1,$AW$5:AW134,"A")+COUNTIFS($AP$5:AP134,1,$AW$5:AW134,"E"),"")</f>
        <v/>
      </c>
    </row>
    <row r="135">
      <c r="A135" s="148">
        <f>IF(B135="","",ROW()-4)</f>
        <v/>
      </c>
      <c r="B135" s="148">
        <f>IF('KG1-5'!$B19="","",'KG1-5'!$B19)</f>
        <v/>
      </c>
      <c r="C135" s="146">
        <f>IF('KG1-5'!$C19="","",'KG1-5'!$C19)</f>
        <v/>
      </c>
      <c r="D135" s="148">
        <f>IF(B135="","",'KG1-5'!$B$2)</f>
        <v/>
      </c>
      <c r="E135" s="148">
        <f>IF(B135="","",MID(D135,FIND("-",D135&amp;"-")+1,10))</f>
        <v/>
      </c>
      <c r="F135" s="148">
        <f>IF(B135="","","نشط")</f>
        <v/>
      </c>
      <c r="G135" s="157">
        <f>IF(B135="","","")</f>
        <v/>
      </c>
      <c r="H135" s="146">
        <f>IF('KG1-5'!$K19="","",'KG1-5'!$K19)</f>
        <v/>
      </c>
      <c r="I135" s="148">
        <f>IF('KG1-5'!$J19="","",'KG1-5'!$J19)</f>
        <v/>
      </c>
      <c r="J135" s="148">
        <f>IF('KG1-5'!$M19="","",'KG1-5'!$M19)</f>
        <v/>
      </c>
      <c r="K135" s="148">
        <f>IF('KG1-5'!$N19="","",'KG1-5'!$N19)</f>
        <v/>
      </c>
      <c r="L135" s="148">
        <f>IF('KG1-5'!$D19="","",'KG1-5'!$D19)</f>
        <v/>
      </c>
      <c r="M135" s="148">
        <f>IF('KG1-5'!$E19="","",'KG1-5'!$E19)</f>
        <v/>
      </c>
      <c r="N135" s="148">
        <f>IF('KG1-5'!$F19="","",'KG1-5'!$F19)</f>
        <v/>
      </c>
      <c r="O135" s="158">
        <f>IF('KG1-5'!$G19="","",'KG1-5'!$G19)</f>
        <v/>
      </c>
      <c r="P135" s="158">
        <f>IF('KG1-5'!$O19="","",'KG1-5'!$O19)</f>
        <v/>
      </c>
      <c r="Q135" s="148">
        <f>IF('KG1-5'!$T19="","",'KG1-5'!$T19)</f>
        <v/>
      </c>
      <c r="R135" s="146">
        <f>IF('KG1-5'!$H19="","",'KG1-5'!$H19)</f>
        <v/>
      </c>
      <c r="S135" s="157">
        <f>IF('KG1-5'!$P19="","",'KG1-5'!$P19)</f>
        <v/>
      </c>
      <c r="T135" s="157">
        <f>IF('KG1-5'!$V19="","",'KG1-5'!$V19)</f>
        <v/>
      </c>
      <c r="U135" s="157">
        <f>IF('KG1-5'!$W19="","",'KG1-5'!$W19)</f>
        <v/>
      </c>
      <c r="V135" s="157">
        <f>IF('KG1-5'!$X19="","",'KG1-5'!$X19)</f>
        <v/>
      </c>
      <c r="W135" s="157">
        <f>IF('KG1-5'!$Y19="","",'KG1-5'!$Y19)</f>
        <v/>
      </c>
      <c r="X135" s="157">
        <f>IF('KG1-5'!$R19="","",'KG1-5'!$R19)</f>
        <v/>
      </c>
      <c r="Y135" s="148">
        <f>IF('KG1-5'!$S19="","",'KG1-5'!$S19)</f>
        <v/>
      </c>
      <c r="Z135" s="148">
        <f>IF('KG1-5'!$Q19="","",'KG1-5'!$Q19)</f>
        <v/>
      </c>
      <c r="AA135" s="148">
        <f>IF('KG1-5'!$I19="","",'KG1-5'!$I19)</f>
        <v/>
      </c>
      <c r="AB135" s="146">
        <f>IF(Q135="","",INDEX(LevelActions,MATCH(Q135,LevelValues,0)))</f>
        <v/>
      </c>
      <c r="AC135" s="148">
        <f>IF(J135="","",IF(J135=0,"—",IF(AND(L135=0,M135=0),Cat_L1,IF(O135&gt;=Cat_95,Cat_L2,IF(O135&gt;=Cat_90,Cat_L3,Cat_L4)))))</f>
        <v/>
      </c>
      <c r="AD135" s="146">
        <f>IF('KG1-5'!$L19="","",'KG1-5'!$L19)</f>
        <v/>
      </c>
      <c r="AE135" s="148">
        <f>IF(B135="","",IF(COUNTIF($B$5:$B$214,B135)&gt;1,"مكرر!",""))</f>
        <v/>
      </c>
      <c r="AF135" s="148">
        <f>IF(AND(B135&lt;&gt;"",F135="نشط",OR(Dash_Class="الكل",D135=Dash_Class)),1,0)</f>
        <v/>
      </c>
      <c r="AG135" s="40">
        <f>IF(OR(AF135=0,Dash_DayIdx=0),"",IF(INDEX('KG1-5'!$AD$7:$IM$7,Dash_DayIdx)&lt;&gt;"✓","",IF(INDEX('KG1-5'!$AD19:$IM19,Dash_DayIdx)="","P",IFERROR(INDEX(StatusCodes,MATCH(INDEX('KG1-5'!$AD19:$IM19,Dash_DayIdx),StatusLabels,0)),""))))</f>
        <v/>
      </c>
      <c r="AH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IF(LateAsPresent="نعم",COUNTIFS('KG1-5'!$AD19:$IM19,"متأخر",'KG1-5'!$AD$7:$IM$7,"✓",'KG1-5'!$AD$6:$IM$6,1,'KG1-5'!$AD$5:$IM$5,"&gt;="&amp;MAX('KG1-5'!$U19,Dash_PStart),'KG1-5'!$AD$5:$IM$5,"&lt;="&amp;Dash_PEnd),0))</f>
        <v/>
      </c>
      <c r="AI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COUNTIFS('KG1-5'!$AD19:$IM19,"غياب بدون عذر",'KG1-5'!$AD$7:$IM$7,"✓",'KG1-5'!$AD$6:$IM$6,1,'KG1-5'!$AD$5:$IM$5,"&gt;="&amp;MAX('KG1-5'!$U19,Dash_PStart),'KG1-5'!$AD$5:$IM$5,"&lt;="&amp;Dash_PEnd)+COUNTIFS('KG1-5'!$AD19:$IM19,"غياب بعذر",'KG1-5'!$AD$7:$IM$7,"✓",'KG1-5'!$AD$6:$IM$6,1,'KG1-5'!$AD$5:$IM$5,"&gt;="&amp;MAX('KG1-5'!$U19,Dash_PStart),'KG1-5'!$AD$5:$IM$5,"&lt;="&amp;Dash_PEnd)+COUNTIFS('KG1-5'!$AD19:$IM19,"متأخر",'KG1-5'!$AD$7:$IM$7,"✓",'KG1-5'!$AD$6:$IM$6,1,'KG1-5'!$AD$5:$IM$5,"&gt;="&amp;MAX('KG1-5'!$U19,Dash_PStart),'KG1-5'!$AD$5:$IM$5,"&lt;="&amp;Dash_PEnd))</f>
        <v/>
      </c>
      <c r="AJ135" s="40">
        <f>IF(AF135=0,0,IF(W135=Dash_Date,Thr_Critical,IF(V135=Dash_Date,Thr_High,IF(U135=Dash_Date,Thr_Repeated,IF(T135=Dash_Date,Thr_FollowUp,0)))))</f>
        <v/>
      </c>
      <c r="AK135" s="40">
        <f>IF(AJ135&gt;0,COUNTIF($AJ$5:AJ135,"&gt;0"),"")</f>
        <v/>
      </c>
      <c r="AL135" s="40">
        <f>IF(AND(B135&lt;&gt;"",F135="نشط",Q135&lt;&gt;"",Q135&gt;0),L135*1000+(999-ROW()),"")</f>
        <v/>
      </c>
      <c r="AM135" s="40">
        <f>IF(AND(AF135=1,J135&lt;&gt;"",J135&gt;0),ROUND(O135*10000,0)*1000000+K135*1000+(999-ROW()),"")</f>
        <v/>
      </c>
      <c r="AN135" s="40">
        <f>IF(AND(AF135=1,J135&lt;&gt;"",J135&gt;0),(L135+M135)*10000000+ROUND((1-O135)*10000,0)*1000+(999-ROW()),"")</f>
        <v/>
      </c>
      <c r="AO135" s="40">
        <f>IF(AND(AF135=1,Q135&lt;&gt;"",Q135&gt;=Thr_Critical),L135*1000+(999-ROW()),"")</f>
        <v/>
      </c>
      <c r="AP135" s="40">
        <f>IF(AND(B135&lt;&gt;"",F135="نشط",OR(Rpt_Class="الكل",D135=Rpt_Class)),1,0)</f>
        <v/>
      </c>
      <c r="AQ135" s="40">
        <f>IF(AND(AP135=1,Q135&lt;&gt;"",Q135&gt;0),L135*1000+(999-ROW()),"")</f>
        <v/>
      </c>
      <c r="AR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IF(LateAsPresent="نعم",COUNTIFS('KG1-5'!$AD19:$IM19,"متأخر",'KG1-5'!$AD$7:$IM$7,"✓",'KG1-5'!$AD$6:$IM$6,1,'KG1-5'!$AD$5:$IM$5,"&gt;="&amp;MAX('KG1-5'!$U19,Rpt_PStart),'KG1-5'!$AD$5:$IM$5,"&lt;="&amp;Rpt_PEnd),0))</f>
        <v/>
      </c>
      <c r="AS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COUNTIFS('KG1-5'!$AD19:$IM19,"غياب بدون عذر",'KG1-5'!$AD$7:$IM$7,"✓",'KG1-5'!$AD$6:$IM$6,1,'KG1-5'!$AD$5:$IM$5,"&gt;="&amp;MAX('KG1-5'!$U19,Rpt_PStart),'KG1-5'!$AD$5:$IM$5,"&lt;="&amp;Rpt_PEnd)+COUNTIFS('KG1-5'!$AD19:$IM19,"غياب بعذر",'KG1-5'!$AD$7:$IM$7,"✓",'KG1-5'!$AD$6:$IM$6,1,'KG1-5'!$AD$5:$IM$5,"&gt;="&amp;MAX('KG1-5'!$U19,Rpt_PStart),'KG1-5'!$AD$5:$IM$5,"&lt;="&amp;Rpt_PEnd)+COUNTIFS('KG1-5'!$AD19:$IM19,"متأخر",'KG1-5'!$AD$7:$IM$7,"✓",'KG1-5'!$AD$6:$IM$6,1,'KG1-5'!$AD$5:$IM$5,"&gt;="&amp;MAX('KG1-5'!$U19,Rpt_PStart),'KG1-5'!$AD$5:$IM$5,"&lt;="&amp;Rpt_PEnd))</f>
        <v/>
      </c>
      <c r="AT135" s="40">
        <f>IF(AP135=0,"",COUNTIFS('KG1-5'!$AD19:$IM19,"غياب بدون عذر",'KG1-5'!$AD$7:$IM$7,"✓",'KG1-5'!$AD$6:$IM$6,1,'KG1-5'!$AD$5:$IM$5,"&gt;="&amp;MAX('KG1-5'!$U19,Rpt_PStart),'KG1-5'!$AD$5:$IM$5,"&lt;="&amp;Rpt_PEnd)+COUNTIFS('KG1-5'!$AD19:$IM19,"غياب بعذر",'KG1-5'!$AD$7:$IM$7,"✓",'KG1-5'!$AD$6:$IM$6,1,'KG1-5'!$AD$5:$IM$5,"&gt;="&amp;MAX('KG1-5'!$U19,Rpt_PStart),'KG1-5'!$AD$5:$IM$5,"&lt;="&amp;Rpt_PEnd))</f>
        <v/>
      </c>
      <c r="AU135" s="40" t="n">
        <v>5</v>
      </c>
      <c r="AV135" s="40" t="n">
        <v>11</v>
      </c>
      <c r="AW135" s="40">
        <f>IF(OR(AP135=0,Rpt_DayIdx=0),"",IF(INDEX('KG1-5'!$AD$7:$IM$7,Rpt_DayIdx)&lt;&gt;"✓","",IF(INDEX('KG1-5'!$AD19:$IM19,Rpt_DayIdx)="","P",IFERROR(INDEX(StatusCodes,MATCH(INDEX('KG1-5'!$AD19:$IM19,Rpt_DayIdx),StatusLabels,0)),""))))</f>
        <v/>
      </c>
      <c r="AX135" s="40">
        <f>IF(AND(AP135=1,OR(AW135="A",AW135="E")),COUNTIFS($AP$5:AP135,1,$AW$5:AW135,"A")+COUNTIFS($AP$5:AP135,1,$AW$5:AW135,"E"),"")</f>
        <v/>
      </c>
    </row>
    <row r="136">
      <c r="A136" s="148">
        <f>IF(B136="","",ROW()-4)</f>
        <v/>
      </c>
      <c r="B136" s="148">
        <f>IF('KG1-5'!$B20="","",'KG1-5'!$B20)</f>
        <v/>
      </c>
      <c r="C136" s="146">
        <f>IF('KG1-5'!$C20="","",'KG1-5'!$C20)</f>
        <v/>
      </c>
      <c r="D136" s="148">
        <f>IF(B136="","",'KG1-5'!$B$2)</f>
        <v/>
      </c>
      <c r="E136" s="148">
        <f>IF(B136="","",MID(D136,FIND("-",D136&amp;"-")+1,10))</f>
        <v/>
      </c>
      <c r="F136" s="148">
        <f>IF(B136="","","نشط")</f>
        <v/>
      </c>
      <c r="G136" s="157">
        <f>IF(B136="","","")</f>
        <v/>
      </c>
      <c r="H136" s="146">
        <f>IF('KG1-5'!$K20="","",'KG1-5'!$K20)</f>
        <v/>
      </c>
      <c r="I136" s="148">
        <f>IF('KG1-5'!$J20="","",'KG1-5'!$J20)</f>
        <v/>
      </c>
      <c r="J136" s="148">
        <f>IF('KG1-5'!$M20="","",'KG1-5'!$M20)</f>
        <v/>
      </c>
      <c r="K136" s="148">
        <f>IF('KG1-5'!$N20="","",'KG1-5'!$N20)</f>
        <v/>
      </c>
      <c r="L136" s="148">
        <f>IF('KG1-5'!$D20="","",'KG1-5'!$D20)</f>
        <v/>
      </c>
      <c r="M136" s="148">
        <f>IF('KG1-5'!$E20="","",'KG1-5'!$E20)</f>
        <v/>
      </c>
      <c r="N136" s="148">
        <f>IF('KG1-5'!$F20="","",'KG1-5'!$F20)</f>
        <v/>
      </c>
      <c r="O136" s="158">
        <f>IF('KG1-5'!$G20="","",'KG1-5'!$G20)</f>
        <v/>
      </c>
      <c r="P136" s="158">
        <f>IF('KG1-5'!$O20="","",'KG1-5'!$O20)</f>
        <v/>
      </c>
      <c r="Q136" s="148">
        <f>IF('KG1-5'!$T20="","",'KG1-5'!$T20)</f>
        <v/>
      </c>
      <c r="R136" s="146">
        <f>IF('KG1-5'!$H20="","",'KG1-5'!$H20)</f>
        <v/>
      </c>
      <c r="S136" s="157">
        <f>IF('KG1-5'!$P20="","",'KG1-5'!$P20)</f>
        <v/>
      </c>
      <c r="T136" s="157">
        <f>IF('KG1-5'!$V20="","",'KG1-5'!$V20)</f>
        <v/>
      </c>
      <c r="U136" s="157">
        <f>IF('KG1-5'!$W20="","",'KG1-5'!$W20)</f>
        <v/>
      </c>
      <c r="V136" s="157">
        <f>IF('KG1-5'!$X20="","",'KG1-5'!$X20)</f>
        <v/>
      </c>
      <c r="W136" s="157">
        <f>IF('KG1-5'!$Y20="","",'KG1-5'!$Y20)</f>
        <v/>
      </c>
      <c r="X136" s="157">
        <f>IF('KG1-5'!$R20="","",'KG1-5'!$R20)</f>
        <v/>
      </c>
      <c r="Y136" s="148">
        <f>IF('KG1-5'!$S20="","",'KG1-5'!$S20)</f>
        <v/>
      </c>
      <c r="Z136" s="148">
        <f>IF('KG1-5'!$Q20="","",'KG1-5'!$Q20)</f>
        <v/>
      </c>
      <c r="AA136" s="148">
        <f>IF('KG1-5'!$I20="","",'KG1-5'!$I20)</f>
        <v/>
      </c>
      <c r="AB136" s="146">
        <f>IF(Q136="","",INDEX(LevelActions,MATCH(Q136,LevelValues,0)))</f>
        <v/>
      </c>
      <c r="AC136" s="148">
        <f>IF(J136="","",IF(J136=0,"—",IF(AND(L136=0,M136=0),Cat_L1,IF(O136&gt;=Cat_95,Cat_L2,IF(O136&gt;=Cat_90,Cat_L3,Cat_L4)))))</f>
        <v/>
      </c>
      <c r="AD136" s="146">
        <f>IF('KG1-5'!$L20="","",'KG1-5'!$L20)</f>
        <v/>
      </c>
      <c r="AE136" s="148">
        <f>IF(B136="","",IF(COUNTIF($B$5:$B$214,B136)&gt;1,"مكرر!",""))</f>
        <v/>
      </c>
      <c r="AF136" s="148">
        <f>IF(AND(B136&lt;&gt;"",F136="نشط",OR(Dash_Class="الكل",D136=Dash_Class)),1,0)</f>
        <v/>
      </c>
      <c r="AG136" s="40">
        <f>IF(OR(AF136=0,Dash_DayIdx=0),"",IF(INDEX('KG1-5'!$AD$7:$IM$7,Dash_DayIdx)&lt;&gt;"✓","",IF(INDEX('KG1-5'!$AD20:$IM20,Dash_DayIdx)="","P",IFERROR(INDEX(StatusCodes,MATCH(INDEX('KG1-5'!$AD20:$IM20,Dash_DayIdx),StatusLabels,0)),""))))</f>
        <v/>
      </c>
      <c r="AH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IF(LateAsPresent="نعم",COUNTIFS('KG1-5'!$AD20:$IM20,"متأخر",'KG1-5'!$AD$7:$IM$7,"✓",'KG1-5'!$AD$6:$IM$6,1,'KG1-5'!$AD$5:$IM$5,"&gt;="&amp;MAX('KG1-5'!$U20,Dash_PStart),'KG1-5'!$AD$5:$IM$5,"&lt;="&amp;Dash_PEnd),0))</f>
        <v/>
      </c>
      <c r="AI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COUNTIFS('KG1-5'!$AD20:$IM20,"غياب بدون عذر",'KG1-5'!$AD$7:$IM$7,"✓",'KG1-5'!$AD$6:$IM$6,1,'KG1-5'!$AD$5:$IM$5,"&gt;="&amp;MAX('KG1-5'!$U20,Dash_PStart),'KG1-5'!$AD$5:$IM$5,"&lt;="&amp;Dash_PEnd)+COUNTIFS('KG1-5'!$AD20:$IM20,"غياب بعذر",'KG1-5'!$AD$7:$IM$7,"✓",'KG1-5'!$AD$6:$IM$6,1,'KG1-5'!$AD$5:$IM$5,"&gt;="&amp;MAX('KG1-5'!$U20,Dash_PStart),'KG1-5'!$AD$5:$IM$5,"&lt;="&amp;Dash_PEnd)+COUNTIFS('KG1-5'!$AD20:$IM20,"متأخر",'KG1-5'!$AD$7:$IM$7,"✓",'KG1-5'!$AD$6:$IM$6,1,'KG1-5'!$AD$5:$IM$5,"&gt;="&amp;MAX('KG1-5'!$U20,Dash_PStart),'KG1-5'!$AD$5:$IM$5,"&lt;="&amp;Dash_PEnd))</f>
        <v/>
      </c>
      <c r="AJ136" s="40">
        <f>IF(AF136=0,0,IF(W136=Dash_Date,Thr_Critical,IF(V136=Dash_Date,Thr_High,IF(U136=Dash_Date,Thr_Repeated,IF(T136=Dash_Date,Thr_FollowUp,0)))))</f>
        <v/>
      </c>
      <c r="AK136" s="40">
        <f>IF(AJ136&gt;0,COUNTIF($AJ$5:AJ136,"&gt;0"),"")</f>
        <v/>
      </c>
      <c r="AL136" s="40">
        <f>IF(AND(B136&lt;&gt;"",F136="نشط",Q136&lt;&gt;"",Q136&gt;0),L136*1000+(999-ROW()),"")</f>
        <v/>
      </c>
      <c r="AM136" s="40">
        <f>IF(AND(AF136=1,J136&lt;&gt;"",J136&gt;0),ROUND(O136*10000,0)*1000000+K136*1000+(999-ROW()),"")</f>
        <v/>
      </c>
      <c r="AN136" s="40">
        <f>IF(AND(AF136=1,J136&lt;&gt;"",J136&gt;0),(L136+M136)*10000000+ROUND((1-O136)*10000,0)*1000+(999-ROW()),"")</f>
        <v/>
      </c>
      <c r="AO136" s="40">
        <f>IF(AND(AF136=1,Q136&lt;&gt;"",Q136&gt;=Thr_Critical),L136*1000+(999-ROW()),"")</f>
        <v/>
      </c>
      <c r="AP136" s="40">
        <f>IF(AND(B136&lt;&gt;"",F136="نشط",OR(Rpt_Class="الكل",D136=Rpt_Class)),1,0)</f>
        <v/>
      </c>
      <c r="AQ136" s="40">
        <f>IF(AND(AP136=1,Q136&lt;&gt;"",Q136&gt;0),L136*1000+(999-ROW()),"")</f>
        <v/>
      </c>
      <c r="AR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IF(LateAsPresent="نعم",COUNTIFS('KG1-5'!$AD20:$IM20,"متأخر",'KG1-5'!$AD$7:$IM$7,"✓",'KG1-5'!$AD$6:$IM$6,1,'KG1-5'!$AD$5:$IM$5,"&gt;="&amp;MAX('KG1-5'!$U20,Rpt_PStart),'KG1-5'!$AD$5:$IM$5,"&lt;="&amp;Rpt_PEnd),0))</f>
        <v/>
      </c>
      <c r="AS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COUNTIFS('KG1-5'!$AD20:$IM20,"غياب بدون عذر",'KG1-5'!$AD$7:$IM$7,"✓",'KG1-5'!$AD$6:$IM$6,1,'KG1-5'!$AD$5:$IM$5,"&gt;="&amp;MAX('KG1-5'!$U20,Rpt_PStart),'KG1-5'!$AD$5:$IM$5,"&lt;="&amp;Rpt_PEnd)+COUNTIFS('KG1-5'!$AD20:$IM20,"غياب بعذر",'KG1-5'!$AD$7:$IM$7,"✓",'KG1-5'!$AD$6:$IM$6,1,'KG1-5'!$AD$5:$IM$5,"&gt;="&amp;MAX('KG1-5'!$U20,Rpt_PStart),'KG1-5'!$AD$5:$IM$5,"&lt;="&amp;Rpt_PEnd)+COUNTIFS('KG1-5'!$AD20:$IM20,"متأخر",'KG1-5'!$AD$7:$IM$7,"✓",'KG1-5'!$AD$6:$IM$6,1,'KG1-5'!$AD$5:$IM$5,"&gt;="&amp;MAX('KG1-5'!$U20,Rpt_PStart),'KG1-5'!$AD$5:$IM$5,"&lt;="&amp;Rpt_PEnd))</f>
        <v/>
      </c>
      <c r="AT136" s="40">
        <f>IF(AP136=0,"",COUNTIFS('KG1-5'!$AD20:$IM20,"غياب بدون عذر",'KG1-5'!$AD$7:$IM$7,"✓",'KG1-5'!$AD$6:$IM$6,1,'KG1-5'!$AD$5:$IM$5,"&gt;="&amp;MAX('KG1-5'!$U20,Rpt_PStart),'KG1-5'!$AD$5:$IM$5,"&lt;="&amp;Rpt_PEnd)+COUNTIFS('KG1-5'!$AD20:$IM20,"غياب بعذر",'KG1-5'!$AD$7:$IM$7,"✓",'KG1-5'!$AD$6:$IM$6,1,'KG1-5'!$AD$5:$IM$5,"&gt;="&amp;MAX('KG1-5'!$U20,Rpt_PStart),'KG1-5'!$AD$5:$IM$5,"&lt;="&amp;Rpt_PEnd))</f>
        <v/>
      </c>
      <c r="AU136" s="40" t="n">
        <v>5</v>
      </c>
      <c r="AV136" s="40" t="n">
        <v>12</v>
      </c>
      <c r="AW136" s="40">
        <f>IF(OR(AP136=0,Rpt_DayIdx=0),"",IF(INDEX('KG1-5'!$AD$7:$IM$7,Rpt_DayIdx)&lt;&gt;"✓","",IF(INDEX('KG1-5'!$AD20:$IM20,Rpt_DayIdx)="","P",IFERROR(INDEX(StatusCodes,MATCH(INDEX('KG1-5'!$AD20:$IM20,Rpt_DayIdx),StatusLabels,0)),""))))</f>
        <v/>
      </c>
      <c r="AX136" s="40">
        <f>IF(AND(AP136=1,OR(AW136="A",AW136="E")),COUNTIFS($AP$5:AP136,1,$AW$5:AW136,"A")+COUNTIFS($AP$5:AP136,1,$AW$5:AW136,"E"),"")</f>
        <v/>
      </c>
    </row>
    <row r="137">
      <c r="A137" s="148">
        <f>IF(B137="","",ROW()-4)</f>
        <v/>
      </c>
      <c r="B137" s="148">
        <f>IF('KG1-5'!$B21="","",'KG1-5'!$B21)</f>
        <v/>
      </c>
      <c r="C137" s="146">
        <f>IF('KG1-5'!$C21="","",'KG1-5'!$C21)</f>
        <v/>
      </c>
      <c r="D137" s="148">
        <f>IF(B137="","",'KG1-5'!$B$2)</f>
        <v/>
      </c>
      <c r="E137" s="148">
        <f>IF(B137="","",MID(D137,FIND("-",D137&amp;"-")+1,10))</f>
        <v/>
      </c>
      <c r="F137" s="148">
        <f>IF(B137="","","نشط")</f>
        <v/>
      </c>
      <c r="G137" s="157">
        <f>IF(B137="","","")</f>
        <v/>
      </c>
      <c r="H137" s="146">
        <f>IF('KG1-5'!$K21="","",'KG1-5'!$K21)</f>
        <v/>
      </c>
      <c r="I137" s="148">
        <f>IF('KG1-5'!$J21="","",'KG1-5'!$J21)</f>
        <v/>
      </c>
      <c r="J137" s="148">
        <f>IF('KG1-5'!$M21="","",'KG1-5'!$M21)</f>
        <v/>
      </c>
      <c r="K137" s="148">
        <f>IF('KG1-5'!$N21="","",'KG1-5'!$N21)</f>
        <v/>
      </c>
      <c r="L137" s="148">
        <f>IF('KG1-5'!$D21="","",'KG1-5'!$D21)</f>
        <v/>
      </c>
      <c r="M137" s="148">
        <f>IF('KG1-5'!$E21="","",'KG1-5'!$E21)</f>
        <v/>
      </c>
      <c r="N137" s="148">
        <f>IF('KG1-5'!$F21="","",'KG1-5'!$F21)</f>
        <v/>
      </c>
      <c r="O137" s="158">
        <f>IF('KG1-5'!$G21="","",'KG1-5'!$G21)</f>
        <v/>
      </c>
      <c r="P137" s="158">
        <f>IF('KG1-5'!$O21="","",'KG1-5'!$O21)</f>
        <v/>
      </c>
      <c r="Q137" s="148">
        <f>IF('KG1-5'!$T21="","",'KG1-5'!$T21)</f>
        <v/>
      </c>
      <c r="R137" s="146">
        <f>IF('KG1-5'!$H21="","",'KG1-5'!$H21)</f>
        <v/>
      </c>
      <c r="S137" s="157">
        <f>IF('KG1-5'!$P21="","",'KG1-5'!$P21)</f>
        <v/>
      </c>
      <c r="T137" s="157">
        <f>IF('KG1-5'!$V21="","",'KG1-5'!$V21)</f>
        <v/>
      </c>
      <c r="U137" s="157">
        <f>IF('KG1-5'!$W21="","",'KG1-5'!$W21)</f>
        <v/>
      </c>
      <c r="V137" s="157">
        <f>IF('KG1-5'!$X21="","",'KG1-5'!$X21)</f>
        <v/>
      </c>
      <c r="W137" s="157">
        <f>IF('KG1-5'!$Y21="","",'KG1-5'!$Y21)</f>
        <v/>
      </c>
      <c r="X137" s="157">
        <f>IF('KG1-5'!$R21="","",'KG1-5'!$R21)</f>
        <v/>
      </c>
      <c r="Y137" s="148">
        <f>IF('KG1-5'!$S21="","",'KG1-5'!$S21)</f>
        <v/>
      </c>
      <c r="Z137" s="148">
        <f>IF('KG1-5'!$Q21="","",'KG1-5'!$Q21)</f>
        <v/>
      </c>
      <c r="AA137" s="148">
        <f>IF('KG1-5'!$I21="","",'KG1-5'!$I21)</f>
        <v/>
      </c>
      <c r="AB137" s="146">
        <f>IF(Q137="","",INDEX(LevelActions,MATCH(Q137,LevelValues,0)))</f>
        <v/>
      </c>
      <c r="AC137" s="148">
        <f>IF(J137="","",IF(J137=0,"—",IF(AND(L137=0,M137=0),Cat_L1,IF(O137&gt;=Cat_95,Cat_L2,IF(O137&gt;=Cat_90,Cat_L3,Cat_L4)))))</f>
        <v/>
      </c>
      <c r="AD137" s="146">
        <f>IF('KG1-5'!$L21="","",'KG1-5'!$L21)</f>
        <v/>
      </c>
      <c r="AE137" s="148">
        <f>IF(B137="","",IF(COUNTIF($B$5:$B$214,B137)&gt;1,"مكرر!",""))</f>
        <v/>
      </c>
      <c r="AF137" s="148">
        <f>IF(AND(B137&lt;&gt;"",F137="نشط",OR(Dash_Class="الكل",D137=Dash_Class)),1,0)</f>
        <v/>
      </c>
      <c r="AG137" s="40">
        <f>IF(OR(AF137=0,Dash_DayIdx=0),"",IF(INDEX('KG1-5'!$AD$7:$IM$7,Dash_DayIdx)&lt;&gt;"✓","",IF(INDEX('KG1-5'!$AD21:$IM21,Dash_DayIdx)="","P",IFERROR(INDEX(StatusCodes,MATCH(INDEX('KG1-5'!$AD21:$IM21,Dash_DayIdx),StatusLabels,0)),""))))</f>
        <v/>
      </c>
      <c r="AH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IF(LateAsPresent="نعم",COUNTIFS('KG1-5'!$AD21:$IM21,"متأخر",'KG1-5'!$AD$7:$IM$7,"✓",'KG1-5'!$AD$6:$IM$6,1,'KG1-5'!$AD$5:$IM$5,"&gt;="&amp;MAX('KG1-5'!$U21,Dash_PStart),'KG1-5'!$AD$5:$IM$5,"&lt;="&amp;Dash_PEnd),0))</f>
        <v/>
      </c>
      <c r="AI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COUNTIFS('KG1-5'!$AD21:$IM21,"غياب بدون عذر",'KG1-5'!$AD$7:$IM$7,"✓",'KG1-5'!$AD$6:$IM$6,1,'KG1-5'!$AD$5:$IM$5,"&gt;="&amp;MAX('KG1-5'!$U21,Dash_PStart),'KG1-5'!$AD$5:$IM$5,"&lt;="&amp;Dash_PEnd)+COUNTIFS('KG1-5'!$AD21:$IM21,"غياب بعذر",'KG1-5'!$AD$7:$IM$7,"✓",'KG1-5'!$AD$6:$IM$6,1,'KG1-5'!$AD$5:$IM$5,"&gt;="&amp;MAX('KG1-5'!$U21,Dash_PStart),'KG1-5'!$AD$5:$IM$5,"&lt;="&amp;Dash_PEnd)+COUNTIFS('KG1-5'!$AD21:$IM21,"متأخر",'KG1-5'!$AD$7:$IM$7,"✓",'KG1-5'!$AD$6:$IM$6,1,'KG1-5'!$AD$5:$IM$5,"&gt;="&amp;MAX('KG1-5'!$U21,Dash_PStart),'KG1-5'!$AD$5:$IM$5,"&lt;="&amp;Dash_PEnd))</f>
        <v/>
      </c>
      <c r="AJ137" s="40">
        <f>IF(AF137=0,0,IF(W137=Dash_Date,Thr_Critical,IF(V137=Dash_Date,Thr_High,IF(U137=Dash_Date,Thr_Repeated,IF(T137=Dash_Date,Thr_FollowUp,0)))))</f>
        <v/>
      </c>
      <c r="AK137" s="40">
        <f>IF(AJ137&gt;0,COUNTIF($AJ$5:AJ137,"&gt;0"),"")</f>
        <v/>
      </c>
      <c r="AL137" s="40">
        <f>IF(AND(B137&lt;&gt;"",F137="نشط",Q137&lt;&gt;"",Q137&gt;0),L137*1000+(999-ROW()),"")</f>
        <v/>
      </c>
      <c r="AM137" s="40">
        <f>IF(AND(AF137=1,J137&lt;&gt;"",J137&gt;0),ROUND(O137*10000,0)*1000000+K137*1000+(999-ROW()),"")</f>
        <v/>
      </c>
      <c r="AN137" s="40">
        <f>IF(AND(AF137=1,J137&lt;&gt;"",J137&gt;0),(L137+M137)*10000000+ROUND((1-O137)*10000,0)*1000+(999-ROW()),"")</f>
        <v/>
      </c>
      <c r="AO137" s="40">
        <f>IF(AND(AF137=1,Q137&lt;&gt;"",Q137&gt;=Thr_Critical),L137*1000+(999-ROW()),"")</f>
        <v/>
      </c>
      <c r="AP137" s="40">
        <f>IF(AND(B137&lt;&gt;"",F137="نشط",OR(Rpt_Class="الكل",D137=Rpt_Class)),1,0)</f>
        <v/>
      </c>
      <c r="AQ137" s="40">
        <f>IF(AND(AP137=1,Q137&lt;&gt;"",Q137&gt;0),L137*1000+(999-ROW()),"")</f>
        <v/>
      </c>
      <c r="AR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IF(LateAsPresent="نعم",COUNTIFS('KG1-5'!$AD21:$IM21,"متأخر",'KG1-5'!$AD$7:$IM$7,"✓",'KG1-5'!$AD$6:$IM$6,1,'KG1-5'!$AD$5:$IM$5,"&gt;="&amp;MAX('KG1-5'!$U21,Rpt_PStart),'KG1-5'!$AD$5:$IM$5,"&lt;="&amp;Rpt_PEnd),0))</f>
        <v/>
      </c>
      <c r="AS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COUNTIFS('KG1-5'!$AD21:$IM21,"غياب بدون عذر",'KG1-5'!$AD$7:$IM$7,"✓",'KG1-5'!$AD$6:$IM$6,1,'KG1-5'!$AD$5:$IM$5,"&gt;="&amp;MAX('KG1-5'!$U21,Rpt_PStart),'KG1-5'!$AD$5:$IM$5,"&lt;="&amp;Rpt_PEnd)+COUNTIFS('KG1-5'!$AD21:$IM21,"غياب بعذر",'KG1-5'!$AD$7:$IM$7,"✓",'KG1-5'!$AD$6:$IM$6,1,'KG1-5'!$AD$5:$IM$5,"&gt;="&amp;MAX('KG1-5'!$U21,Rpt_PStart),'KG1-5'!$AD$5:$IM$5,"&lt;="&amp;Rpt_PEnd)+COUNTIFS('KG1-5'!$AD21:$IM21,"متأخر",'KG1-5'!$AD$7:$IM$7,"✓",'KG1-5'!$AD$6:$IM$6,1,'KG1-5'!$AD$5:$IM$5,"&gt;="&amp;MAX('KG1-5'!$U21,Rpt_PStart),'KG1-5'!$AD$5:$IM$5,"&lt;="&amp;Rpt_PEnd))</f>
        <v/>
      </c>
      <c r="AT137" s="40">
        <f>IF(AP137=0,"",COUNTIFS('KG1-5'!$AD21:$IM21,"غياب بدون عذر",'KG1-5'!$AD$7:$IM$7,"✓",'KG1-5'!$AD$6:$IM$6,1,'KG1-5'!$AD$5:$IM$5,"&gt;="&amp;MAX('KG1-5'!$U21,Rpt_PStart),'KG1-5'!$AD$5:$IM$5,"&lt;="&amp;Rpt_PEnd)+COUNTIFS('KG1-5'!$AD21:$IM21,"غياب بعذر",'KG1-5'!$AD$7:$IM$7,"✓",'KG1-5'!$AD$6:$IM$6,1,'KG1-5'!$AD$5:$IM$5,"&gt;="&amp;MAX('KG1-5'!$U21,Rpt_PStart),'KG1-5'!$AD$5:$IM$5,"&lt;="&amp;Rpt_PEnd))</f>
        <v/>
      </c>
      <c r="AU137" s="40" t="n">
        <v>5</v>
      </c>
      <c r="AV137" s="40" t="n">
        <v>13</v>
      </c>
      <c r="AW137" s="40">
        <f>IF(OR(AP137=0,Rpt_DayIdx=0),"",IF(INDEX('KG1-5'!$AD$7:$IM$7,Rpt_DayIdx)&lt;&gt;"✓","",IF(INDEX('KG1-5'!$AD21:$IM21,Rpt_DayIdx)="","P",IFERROR(INDEX(StatusCodes,MATCH(INDEX('KG1-5'!$AD21:$IM21,Rpt_DayIdx),StatusLabels,0)),""))))</f>
        <v/>
      </c>
      <c r="AX137" s="40">
        <f>IF(AND(AP137=1,OR(AW137="A",AW137="E")),COUNTIFS($AP$5:AP137,1,$AW$5:AW137,"A")+COUNTIFS($AP$5:AP137,1,$AW$5:AW137,"E"),"")</f>
        <v/>
      </c>
    </row>
    <row r="138">
      <c r="A138" s="148">
        <f>IF(B138="","",ROW()-4)</f>
        <v/>
      </c>
      <c r="B138" s="148">
        <f>IF('KG1-5'!$B22="","",'KG1-5'!$B22)</f>
        <v/>
      </c>
      <c r="C138" s="146">
        <f>IF('KG1-5'!$C22="","",'KG1-5'!$C22)</f>
        <v/>
      </c>
      <c r="D138" s="148">
        <f>IF(B138="","",'KG1-5'!$B$2)</f>
        <v/>
      </c>
      <c r="E138" s="148">
        <f>IF(B138="","",MID(D138,FIND("-",D138&amp;"-")+1,10))</f>
        <v/>
      </c>
      <c r="F138" s="148">
        <f>IF(B138="","","نشط")</f>
        <v/>
      </c>
      <c r="G138" s="157">
        <f>IF(B138="","","")</f>
        <v/>
      </c>
      <c r="H138" s="146">
        <f>IF('KG1-5'!$K22="","",'KG1-5'!$K22)</f>
        <v/>
      </c>
      <c r="I138" s="148">
        <f>IF('KG1-5'!$J22="","",'KG1-5'!$J22)</f>
        <v/>
      </c>
      <c r="J138" s="148">
        <f>IF('KG1-5'!$M22="","",'KG1-5'!$M22)</f>
        <v/>
      </c>
      <c r="K138" s="148">
        <f>IF('KG1-5'!$N22="","",'KG1-5'!$N22)</f>
        <v/>
      </c>
      <c r="L138" s="148">
        <f>IF('KG1-5'!$D22="","",'KG1-5'!$D22)</f>
        <v/>
      </c>
      <c r="M138" s="148">
        <f>IF('KG1-5'!$E22="","",'KG1-5'!$E22)</f>
        <v/>
      </c>
      <c r="N138" s="148">
        <f>IF('KG1-5'!$F22="","",'KG1-5'!$F22)</f>
        <v/>
      </c>
      <c r="O138" s="158">
        <f>IF('KG1-5'!$G22="","",'KG1-5'!$G22)</f>
        <v/>
      </c>
      <c r="P138" s="158">
        <f>IF('KG1-5'!$O22="","",'KG1-5'!$O22)</f>
        <v/>
      </c>
      <c r="Q138" s="148">
        <f>IF('KG1-5'!$T22="","",'KG1-5'!$T22)</f>
        <v/>
      </c>
      <c r="R138" s="146">
        <f>IF('KG1-5'!$H22="","",'KG1-5'!$H22)</f>
        <v/>
      </c>
      <c r="S138" s="157">
        <f>IF('KG1-5'!$P22="","",'KG1-5'!$P22)</f>
        <v/>
      </c>
      <c r="T138" s="157">
        <f>IF('KG1-5'!$V22="","",'KG1-5'!$V22)</f>
        <v/>
      </c>
      <c r="U138" s="157">
        <f>IF('KG1-5'!$W22="","",'KG1-5'!$W22)</f>
        <v/>
      </c>
      <c r="V138" s="157">
        <f>IF('KG1-5'!$X22="","",'KG1-5'!$X22)</f>
        <v/>
      </c>
      <c r="W138" s="157">
        <f>IF('KG1-5'!$Y22="","",'KG1-5'!$Y22)</f>
        <v/>
      </c>
      <c r="X138" s="157">
        <f>IF('KG1-5'!$R22="","",'KG1-5'!$R22)</f>
        <v/>
      </c>
      <c r="Y138" s="148">
        <f>IF('KG1-5'!$S22="","",'KG1-5'!$S22)</f>
        <v/>
      </c>
      <c r="Z138" s="148">
        <f>IF('KG1-5'!$Q22="","",'KG1-5'!$Q22)</f>
        <v/>
      </c>
      <c r="AA138" s="148">
        <f>IF('KG1-5'!$I22="","",'KG1-5'!$I22)</f>
        <v/>
      </c>
      <c r="AB138" s="146">
        <f>IF(Q138="","",INDEX(LevelActions,MATCH(Q138,LevelValues,0)))</f>
        <v/>
      </c>
      <c r="AC138" s="148">
        <f>IF(J138="","",IF(J138=0,"—",IF(AND(L138=0,M138=0),Cat_L1,IF(O138&gt;=Cat_95,Cat_L2,IF(O138&gt;=Cat_90,Cat_L3,Cat_L4)))))</f>
        <v/>
      </c>
      <c r="AD138" s="146">
        <f>IF('KG1-5'!$L22="","",'KG1-5'!$L22)</f>
        <v/>
      </c>
      <c r="AE138" s="148">
        <f>IF(B138="","",IF(COUNTIF($B$5:$B$214,B138)&gt;1,"مكرر!",""))</f>
        <v/>
      </c>
      <c r="AF138" s="148">
        <f>IF(AND(B138&lt;&gt;"",F138="نشط",OR(Dash_Class="الكل",D138=Dash_Class)),1,0)</f>
        <v/>
      </c>
      <c r="AG138" s="40">
        <f>IF(OR(AF138=0,Dash_DayIdx=0),"",IF(INDEX('KG1-5'!$AD$7:$IM$7,Dash_DayIdx)&lt;&gt;"✓","",IF(INDEX('KG1-5'!$AD22:$IM22,Dash_DayIdx)="","P",IFERROR(INDEX(StatusCodes,MATCH(INDEX('KG1-5'!$AD22:$IM22,Dash_DayIdx),StatusLabels,0)),""))))</f>
        <v/>
      </c>
      <c r="AH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IF(LateAsPresent="نعم",COUNTIFS('KG1-5'!$AD22:$IM22,"متأخر",'KG1-5'!$AD$7:$IM$7,"✓",'KG1-5'!$AD$6:$IM$6,1,'KG1-5'!$AD$5:$IM$5,"&gt;="&amp;MAX('KG1-5'!$U22,Dash_PStart),'KG1-5'!$AD$5:$IM$5,"&lt;="&amp;Dash_PEnd),0))</f>
        <v/>
      </c>
      <c r="AI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COUNTIFS('KG1-5'!$AD22:$IM22,"غياب بدون عذر",'KG1-5'!$AD$7:$IM$7,"✓",'KG1-5'!$AD$6:$IM$6,1,'KG1-5'!$AD$5:$IM$5,"&gt;="&amp;MAX('KG1-5'!$U22,Dash_PStart),'KG1-5'!$AD$5:$IM$5,"&lt;="&amp;Dash_PEnd)+COUNTIFS('KG1-5'!$AD22:$IM22,"غياب بعذر",'KG1-5'!$AD$7:$IM$7,"✓",'KG1-5'!$AD$6:$IM$6,1,'KG1-5'!$AD$5:$IM$5,"&gt;="&amp;MAX('KG1-5'!$U22,Dash_PStart),'KG1-5'!$AD$5:$IM$5,"&lt;="&amp;Dash_PEnd)+COUNTIFS('KG1-5'!$AD22:$IM22,"متأخر",'KG1-5'!$AD$7:$IM$7,"✓",'KG1-5'!$AD$6:$IM$6,1,'KG1-5'!$AD$5:$IM$5,"&gt;="&amp;MAX('KG1-5'!$U22,Dash_PStart),'KG1-5'!$AD$5:$IM$5,"&lt;="&amp;Dash_PEnd))</f>
        <v/>
      </c>
      <c r="AJ138" s="40">
        <f>IF(AF138=0,0,IF(W138=Dash_Date,Thr_Critical,IF(V138=Dash_Date,Thr_High,IF(U138=Dash_Date,Thr_Repeated,IF(T138=Dash_Date,Thr_FollowUp,0)))))</f>
        <v/>
      </c>
      <c r="AK138" s="40">
        <f>IF(AJ138&gt;0,COUNTIF($AJ$5:AJ138,"&gt;0"),"")</f>
        <v/>
      </c>
      <c r="AL138" s="40">
        <f>IF(AND(B138&lt;&gt;"",F138="نشط",Q138&lt;&gt;"",Q138&gt;0),L138*1000+(999-ROW()),"")</f>
        <v/>
      </c>
      <c r="AM138" s="40">
        <f>IF(AND(AF138=1,J138&lt;&gt;"",J138&gt;0),ROUND(O138*10000,0)*1000000+K138*1000+(999-ROW()),"")</f>
        <v/>
      </c>
      <c r="AN138" s="40">
        <f>IF(AND(AF138=1,J138&lt;&gt;"",J138&gt;0),(L138+M138)*10000000+ROUND((1-O138)*10000,0)*1000+(999-ROW()),"")</f>
        <v/>
      </c>
      <c r="AO138" s="40">
        <f>IF(AND(AF138=1,Q138&lt;&gt;"",Q138&gt;=Thr_Critical),L138*1000+(999-ROW()),"")</f>
        <v/>
      </c>
      <c r="AP138" s="40">
        <f>IF(AND(B138&lt;&gt;"",F138="نشط",OR(Rpt_Class="الكل",D138=Rpt_Class)),1,0)</f>
        <v/>
      </c>
      <c r="AQ138" s="40">
        <f>IF(AND(AP138=1,Q138&lt;&gt;"",Q138&gt;0),L138*1000+(999-ROW()),"")</f>
        <v/>
      </c>
      <c r="AR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IF(LateAsPresent="نعم",COUNTIFS('KG1-5'!$AD22:$IM22,"متأخر",'KG1-5'!$AD$7:$IM$7,"✓",'KG1-5'!$AD$6:$IM$6,1,'KG1-5'!$AD$5:$IM$5,"&gt;="&amp;MAX('KG1-5'!$U22,Rpt_PStart),'KG1-5'!$AD$5:$IM$5,"&lt;="&amp;Rpt_PEnd),0))</f>
        <v/>
      </c>
      <c r="AS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COUNTIFS('KG1-5'!$AD22:$IM22,"غياب بدون عذر",'KG1-5'!$AD$7:$IM$7,"✓",'KG1-5'!$AD$6:$IM$6,1,'KG1-5'!$AD$5:$IM$5,"&gt;="&amp;MAX('KG1-5'!$U22,Rpt_PStart),'KG1-5'!$AD$5:$IM$5,"&lt;="&amp;Rpt_PEnd)+COUNTIFS('KG1-5'!$AD22:$IM22,"غياب بعذر",'KG1-5'!$AD$7:$IM$7,"✓",'KG1-5'!$AD$6:$IM$6,1,'KG1-5'!$AD$5:$IM$5,"&gt;="&amp;MAX('KG1-5'!$U22,Rpt_PStart),'KG1-5'!$AD$5:$IM$5,"&lt;="&amp;Rpt_PEnd)+COUNTIFS('KG1-5'!$AD22:$IM22,"متأخر",'KG1-5'!$AD$7:$IM$7,"✓",'KG1-5'!$AD$6:$IM$6,1,'KG1-5'!$AD$5:$IM$5,"&gt;="&amp;MAX('KG1-5'!$U22,Rpt_PStart),'KG1-5'!$AD$5:$IM$5,"&lt;="&amp;Rpt_PEnd))</f>
        <v/>
      </c>
      <c r="AT138" s="40">
        <f>IF(AP138=0,"",COUNTIFS('KG1-5'!$AD22:$IM22,"غياب بدون عذر",'KG1-5'!$AD$7:$IM$7,"✓",'KG1-5'!$AD$6:$IM$6,1,'KG1-5'!$AD$5:$IM$5,"&gt;="&amp;MAX('KG1-5'!$U22,Rpt_PStart),'KG1-5'!$AD$5:$IM$5,"&lt;="&amp;Rpt_PEnd)+COUNTIFS('KG1-5'!$AD22:$IM22,"غياب بعذر",'KG1-5'!$AD$7:$IM$7,"✓",'KG1-5'!$AD$6:$IM$6,1,'KG1-5'!$AD$5:$IM$5,"&gt;="&amp;MAX('KG1-5'!$U22,Rpt_PStart),'KG1-5'!$AD$5:$IM$5,"&lt;="&amp;Rpt_PEnd))</f>
        <v/>
      </c>
      <c r="AU138" s="40" t="n">
        <v>5</v>
      </c>
      <c r="AV138" s="40" t="n">
        <v>14</v>
      </c>
      <c r="AW138" s="40">
        <f>IF(OR(AP138=0,Rpt_DayIdx=0),"",IF(INDEX('KG1-5'!$AD$7:$IM$7,Rpt_DayIdx)&lt;&gt;"✓","",IF(INDEX('KG1-5'!$AD22:$IM22,Rpt_DayIdx)="","P",IFERROR(INDEX(StatusCodes,MATCH(INDEX('KG1-5'!$AD22:$IM22,Rpt_DayIdx),StatusLabels,0)),""))))</f>
        <v/>
      </c>
      <c r="AX138" s="40">
        <f>IF(AND(AP138=1,OR(AW138="A",AW138="E")),COUNTIFS($AP$5:AP138,1,$AW$5:AW138,"A")+COUNTIFS($AP$5:AP138,1,$AW$5:AW138,"E"),"")</f>
        <v/>
      </c>
    </row>
    <row r="139">
      <c r="A139" s="148">
        <f>IF(B139="","",ROW()-4)</f>
        <v/>
      </c>
      <c r="B139" s="148">
        <f>IF('KG1-5'!$B23="","",'KG1-5'!$B23)</f>
        <v/>
      </c>
      <c r="C139" s="146">
        <f>IF('KG1-5'!$C23="","",'KG1-5'!$C23)</f>
        <v/>
      </c>
      <c r="D139" s="148">
        <f>IF(B139="","",'KG1-5'!$B$2)</f>
        <v/>
      </c>
      <c r="E139" s="148">
        <f>IF(B139="","",MID(D139,FIND("-",D139&amp;"-")+1,10))</f>
        <v/>
      </c>
      <c r="F139" s="148">
        <f>IF(B139="","","نشط")</f>
        <v/>
      </c>
      <c r="G139" s="157">
        <f>IF(B139="","","")</f>
        <v/>
      </c>
      <c r="H139" s="146">
        <f>IF('KG1-5'!$K23="","",'KG1-5'!$K23)</f>
        <v/>
      </c>
      <c r="I139" s="148">
        <f>IF('KG1-5'!$J23="","",'KG1-5'!$J23)</f>
        <v/>
      </c>
      <c r="J139" s="148">
        <f>IF('KG1-5'!$M23="","",'KG1-5'!$M23)</f>
        <v/>
      </c>
      <c r="K139" s="148">
        <f>IF('KG1-5'!$N23="","",'KG1-5'!$N23)</f>
        <v/>
      </c>
      <c r="L139" s="148">
        <f>IF('KG1-5'!$D23="","",'KG1-5'!$D23)</f>
        <v/>
      </c>
      <c r="M139" s="148">
        <f>IF('KG1-5'!$E23="","",'KG1-5'!$E23)</f>
        <v/>
      </c>
      <c r="N139" s="148">
        <f>IF('KG1-5'!$F23="","",'KG1-5'!$F23)</f>
        <v/>
      </c>
      <c r="O139" s="158">
        <f>IF('KG1-5'!$G23="","",'KG1-5'!$G23)</f>
        <v/>
      </c>
      <c r="P139" s="158">
        <f>IF('KG1-5'!$O23="","",'KG1-5'!$O23)</f>
        <v/>
      </c>
      <c r="Q139" s="148">
        <f>IF('KG1-5'!$T23="","",'KG1-5'!$T23)</f>
        <v/>
      </c>
      <c r="R139" s="146">
        <f>IF('KG1-5'!$H23="","",'KG1-5'!$H23)</f>
        <v/>
      </c>
      <c r="S139" s="157">
        <f>IF('KG1-5'!$P23="","",'KG1-5'!$P23)</f>
        <v/>
      </c>
      <c r="T139" s="157">
        <f>IF('KG1-5'!$V23="","",'KG1-5'!$V23)</f>
        <v/>
      </c>
      <c r="U139" s="157">
        <f>IF('KG1-5'!$W23="","",'KG1-5'!$W23)</f>
        <v/>
      </c>
      <c r="V139" s="157">
        <f>IF('KG1-5'!$X23="","",'KG1-5'!$X23)</f>
        <v/>
      </c>
      <c r="W139" s="157">
        <f>IF('KG1-5'!$Y23="","",'KG1-5'!$Y23)</f>
        <v/>
      </c>
      <c r="X139" s="157">
        <f>IF('KG1-5'!$R23="","",'KG1-5'!$R23)</f>
        <v/>
      </c>
      <c r="Y139" s="148">
        <f>IF('KG1-5'!$S23="","",'KG1-5'!$S23)</f>
        <v/>
      </c>
      <c r="Z139" s="148">
        <f>IF('KG1-5'!$Q23="","",'KG1-5'!$Q23)</f>
        <v/>
      </c>
      <c r="AA139" s="148">
        <f>IF('KG1-5'!$I23="","",'KG1-5'!$I23)</f>
        <v/>
      </c>
      <c r="AB139" s="146">
        <f>IF(Q139="","",INDEX(LevelActions,MATCH(Q139,LevelValues,0)))</f>
        <v/>
      </c>
      <c r="AC139" s="148">
        <f>IF(J139="","",IF(J139=0,"—",IF(AND(L139=0,M139=0),Cat_L1,IF(O139&gt;=Cat_95,Cat_L2,IF(O139&gt;=Cat_90,Cat_L3,Cat_L4)))))</f>
        <v/>
      </c>
      <c r="AD139" s="146">
        <f>IF('KG1-5'!$L23="","",'KG1-5'!$L23)</f>
        <v/>
      </c>
      <c r="AE139" s="148">
        <f>IF(B139="","",IF(COUNTIF($B$5:$B$214,B139)&gt;1,"مكرر!",""))</f>
        <v/>
      </c>
      <c r="AF139" s="148">
        <f>IF(AND(B139&lt;&gt;"",F139="نشط",OR(Dash_Class="الكل",D139=Dash_Class)),1,0)</f>
        <v/>
      </c>
      <c r="AG139" s="40">
        <f>IF(OR(AF139=0,Dash_DayIdx=0),"",IF(INDEX('KG1-5'!$AD$7:$IM$7,Dash_DayIdx)&lt;&gt;"✓","",IF(INDEX('KG1-5'!$AD23:$IM23,Dash_DayIdx)="","P",IFERROR(INDEX(StatusCodes,MATCH(INDEX('KG1-5'!$AD23:$IM23,Dash_DayIdx),StatusLabels,0)),""))))</f>
        <v/>
      </c>
      <c r="AH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IF(LateAsPresent="نعم",COUNTIFS('KG1-5'!$AD23:$IM23,"متأخر",'KG1-5'!$AD$7:$IM$7,"✓",'KG1-5'!$AD$6:$IM$6,1,'KG1-5'!$AD$5:$IM$5,"&gt;="&amp;MAX('KG1-5'!$U23,Dash_PStart),'KG1-5'!$AD$5:$IM$5,"&lt;="&amp;Dash_PEnd),0))</f>
        <v/>
      </c>
      <c r="AI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COUNTIFS('KG1-5'!$AD23:$IM23,"غياب بدون عذر",'KG1-5'!$AD$7:$IM$7,"✓",'KG1-5'!$AD$6:$IM$6,1,'KG1-5'!$AD$5:$IM$5,"&gt;="&amp;MAX('KG1-5'!$U23,Dash_PStart),'KG1-5'!$AD$5:$IM$5,"&lt;="&amp;Dash_PEnd)+COUNTIFS('KG1-5'!$AD23:$IM23,"غياب بعذر",'KG1-5'!$AD$7:$IM$7,"✓",'KG1-5'!$AD$6:$IM$6,1,'KG1-5'!$AD$5:$IM$5,"&gt;="&amp;MAX('KG1-5'!$U23,Dash_PStart),'KG1-5'!$AD$5:$IM$5,"&lt;="&amp;Dash_PEnd)+COUNTIFS('KG1-5'!$AD23:$IM23,"متأخر",'KG1-5'!$AD$7:$IM$7,"✓",'KG1-5'!$AD$6:$IM$6,1,'KG1-5'!$AD$5:$IM$5,"&gt;="&amp;MAX('KG1-5'!$U23,Dash_PStart),'KG1-5'!$AD$5:$IM$5,"&lt;="&amp;Dash_PEnd))</f>
        <v/>
      </c>
      <c r="AJ139" s="40">
        <f>IF(AF139=0,0,IF(W139=Dash_Date,Thr_Critical,IF(V139=Dash_Date,Thr_High,IF(U139=Dash_Date,Thr_Repeated,IF(T139=Dash_Date,Thr_FollowUp,0)))))</f>
        <v/>
      </c>
      <c r="AK139" s="40">
        <f>IF(AJ139&gt;0,COUNTIF($AJ$5:AJ139,"&gt;0"),"")</f>
        <v/>
      </c>
      <c r="AL139" s="40">
        <f>IF(AND(B139&lt;&gt;"",F139="نشط",Q139&lt;&gt;"",Q139&gt;0),L139*1000+(999-ROW()),"")</f>
        <v/>
      </c>
      <c r="AM139" s="40">
        <f>IF(AND(AF139=1,J139&lt;&gt;"",J139&gt;0),ROUND(O139*10000,0)*1000000+K139*1000+(999-ROW()),"")</f>
        <v/>
      </c>
      <c r="AN139" s="40">
        <f>IF(AND(AF139=1,J139&lt;&gt;"",J139&gt;0),(L139+M139)*10000000+ROUND((1-O139)*10000,0)*1000+(999-ROW()),"")</f>
        <v/>
      </c>
      <c r="AO139" s="40">
        <f>IF(AND(AF139=1,Q139&lt;&gt;"",Q139&gt;=Thr_Critical),L139*1000+(999-ROW()),"")</f>
        <v/>
      </c>
      <c r="AP139" s="40">
        <f>IF(AND(B139&lt;&gt;"",F139="نشط",OR(Rpt_Class="الكل",D139=Rpt_Class)),1,0)</f>
        <v/>
      </c>
      <c r="AQ139" s="40">
        <f>IF(AND(AP139=1,Q139&lt;&gt;"",Q139&gt;0),L139*1000+(999-ROW()),"")</f>
        <v/>
      </c>
      <c r="AR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IF(LateAsPresent="نعم",COUNTIFS('KG1-5'!$AD23:$IM23,"متأخر",'KG1-5'!$AD$7:$IM$7,"✓",'KG1-5'!$AD$6:$IM$6,1,'KG1-5'!$AD$5:$IM$5,"&gt;="&amp;MAX('KG1-5'!$U23,Rpt_PStart),'KG1-5'!$AD$5:$IM$5,"&lt;="&amp;Rpt_PEnd),0))</f>
        <v/>
      </c>
      <c r="AS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COUNTIFS('KG1-5'!$AD23:$IM23,"غياب بدون عذر",'KG1-5'!$AD$7:$IM$7,"✓",'KG1-5'!$AD$6:$IM$6,1,'KG1-5'!$AD$5:$IM$5,"&gt;="&amp;MAX('KG1-5'!$U23,Rpt_PStart),'KG1-5'!$AD$5:$IM$5,"&lt;="&amp;Rpt_PEnd)+COUNTIFS('KG1-5'!$AD23:$IM23,"غياب بعذر",'KG1-5'!$AD$7:$IM$7,"✓",'KG1-5'!$AD$6:$IM$6,1,'KG1-5'!$AD$5:$IM$5,"&gt;="&amp;MAX('KG1-5'!$U23,Rpt_PStart),'KG1-5'!$AD$5:$IM$5,"&lt;="&amp;Rpt_PEnd)+COUNTIFS('KG1-5'!$AD23:$IM23,"متأخر",'KG1-5'!$AD$7:$IM$7,"✓",'KG1-5'!$AD$6:$IM$6,1,'KG1-5'!$AD$5:$IM$5,"&gt;="&amp;MAX('KG1-5'!$U23,Rpt_PStart),'KG1-5'!$AD$5:$IM$5,"&lt;="&amp;Rpt_PEnd))</f>
        <v/>
      </c>
      <c r="AT139" s="40">
        <f>IF(AP139=0,"",COUNTIFS('KG1-5'!$AD23:$IM23,"غياب بدون عذر",'KG1-5'!$AD$7:$IM$7,"✓",'KG1-5'!$AD$6:$IM$6,1,'KG1-5'!$AD$5:$IM$5,"&gt;="&amp;MAX('KG1-5'!$U23,Rpt_PStart),'KG1-5'!$AD$5:$IM$5,"&lt;="&amp;Rpt_PEnd)+COUNTIFS('KG1-5'!$AD23:$IM23,"غياب بعذر",'KG1-5'!$AD$7:$IM$7,"✓",'KG1-5'!$AD$6:$IM$6,1,'KG1-5'!$AD$5:$IM$5,"&gt;="&amp;MAX('KG1-5'!$U23,Rpt_PStart),'KG1-5'!$AD$5:$IM$5,"&lt;="&amp;Rpt_PEnd))</f>
        <v/>
      </c>
      <c r="AU139" s="40" t="n">
        <v>5</v>
      </c>
      <c r="AV139" s="40" t="n">
        <v>15</v>
      </c>
      <c r="AW139" s="40">
        <f>IF(OR(AP139=0,Rpt_DayIdx=0),"",IF(INDEX('KG1-5'!$AD$7:$IM$7,Rpt_DayIdx)&lt;&gt;"✓","",IF(INDEX('KG1-5'!$AD23:$IM23,Rpt_DayIdx)="","P",IFERROR(INDEX(StatusCodes,MATCH(INDEX('KG1-5'!$AD23:$IM23,Rpt_DayIdx),StatusLabels,0)),""))))</f>
        <v/>
      </c>
      <c r="AX139" s="40">
        <f>IF(AND(AP139=1,OR(AW139="A",AW139="E")),COUNTIFS($AP$5:AP139,1,$AW$5:AW139,"A")+COUNTIFS($AP$5:AP139,1,$AW$5:AW139,"E"),"")</f>
        <v/>
      </c>
    </row>
    <row r="140">
      <c r="A140" s="148">
        <f>IF(B140="","",ROW()-4)</f>
        <v/>
      </c>
      <c r="B140" s="148">
        <f>IF('KG1-5'!$B24="","",'KG1-5'!$B24)</f>
        <v/>
      </c>
      <c r="C140" s="146">
        <f>IF('KG1-5'!$C24="","",'KG1-5'!$C24)</f>
        <v/>
      </c>
      <c r="D140" s="148">
        <f>IF(B140="","",'KG1-5'!$B$2)</f>
        <v/>
      </c>
      <c r="E140" s="148">
        <f>IF(B140="","",MID(D140,FIND("-",D140&amp;"-")+1,10))</f>
        <v/>
      </c>
      <c r="F140" s="148">
        <f>IF(B140="","","نشط")</f>
        <v/>
      </c>
      <c r="G140" s="157">
        <f>IF(B140="","","")</f>
        <v/>
      </c>
      <c r="H140" s="146">
        <f>IF('KG1-5'!$K24="","",'KG1-5'!$K24)</f>
        <v/>
      </c>
      <c r="I140" s="148">
        <f>IF('KG1-5'!$J24="","",'KG1-5'!$J24)</f>
        <v/>
      </c>
      <c r="J140" s="148">
        <f>IF('KG1-5'!$M24="","",'KG1-5'!$M24)</f>
        <v/>
      </c>
      <c r="K140" s="148">
        <f>IF('KG1-5'!$N24="","",'KG1-5'!$N24)</f>
        <v/>
      </c>
      <c r="L140" s="148">
        <f>IF('KG1-5'!$D24="","",'KG1-5'!$D24)</f>
        <v/>
      </c>
      <c r="M140" s="148">
        <f>IF('KG1-5'!$E24="","",'KG1-5'!$E24)</f>
        <v/>
      </c>
      <c r="N140" s="148">
        <f>IF('KG1-5'!$F24="","",'KG1-5'!$F24)</f>
        <v/>
      </c>
      <c r="O140" s="158">
        <f>IF('KG1-5'!$G24="","",'KG1-5'!$G24)</f>
        <v/>
      </c>
      <c r="P140" s="158">
        <f>IF('KG1-5'!$O24="","",'KG1-5'!$O24)</f>
        <v/>
      </c>
      <c r="Q140" s="148">
        <f>IF('KG1-5'!$T24="","",'KG1-5'!$T24)</f>
        <v/>
      </c>
      <c r="R140" s="146">
        <f>IF('KG1-5'!$H24="","",'KG1-5'!$H24)</f>
        <v/>
      </c>
      <c r="S140" s="157">
        <f>IF('KG1-5'!$P24="","",'KG1-5'!$P24)</f>
        <v/>
      </c>
      <c r="T140" s="157">
        <f>IF('KG1-5'!$V24="","",'KG1-5'!$V24)</f>
        <v/>
      </c>
      <c r="U140" s="157">
        <f>IF('KG1-5'!$W24="","",'KG1-5'!$W24)</f>
        <v/>
      </c>
      <c r="V140" s="157">
        <f>IF('KG1-5'!$X24="","",'KG1-5'!$X24)</f>
        <v/>
      </c>
      <c r="W140" s="157">
        <f>IF('KG1-5'!$Y24="","",'KG1-5'!$Y24)</f>
        <v/>
      </c>
      <c r="X140" s="157">
        <f>IF('KG1-5'!$R24="","",'KG1-5'!$R24)</f>
        <v/>
      </c>
      <c r="Y140" s="148">
        <f>IF('KG1-5'!$S24="","",'KG1-5'!$S24)</f>
        <v/>
      </c>
      <c r="Z140" s="148">
        <f>IF('KG1-5'!$Q24="","",'KG1-5'!$Q24)</f>
        <v/>
      </c>
      <c r="AA140" s="148">
        <f>IF('KG1-5'!$I24="","",'KG1-5'!$I24)</f>
        <v/>
      </c>
      <c r="AB140" s="146">
        <f>IF(Q140="","",INDEX(LevelActions,MATCH(Q140,LevelValues,0)))</f>
        <v/>
      </c>
      <c r="AC140" s="148">
        <f>IF(J140="","",IF(J140=0,"—",IF(AND(L140=0,M140=0),Cat_L1,IF(O140&gt;=Cat_95,Cat_L2,IF(O140&gt;=Cat_90,Cat_L3,Cat_L4)))))</f>
        <v/>
      </c>
      <c r="AD140" s="146">
        <f>IF('KG1-5'!$L24="","",'KG1-5'!$L24)</f>
        <v/>
      </c>
      <c r="AE140" s="148">
        <f>IF(B140="","",IF(COUNTIF($B$5:$B$214,B140)&gt;1,"مكرر!",""))</f>
        <v/>
      </c>
      <c r="AF140" s="148">
        <f>IF(AND(B140&lt;&gt;"",F140="نشط",OR(Dash_Class="الكل",D140=Dash_Class)),1,0)</f>
        <v/>
      </c>
      <c r="AG140" s="40">
        <f>IF(OR(AF140=0,Dash_DayIdx=0),"",IF(INDEX('KG1-5'!$AD$7:$IM$7,Dash_DayIdx)&lt;&gt;"✓","",IF(INDEX('KG1-5'!$AD24:$IM24,Dash_DayIdx)="","P",IFERROR(INDEX(StatusCodes,MATCH(INDEX('KG1-5'!$AD24:$IM24,Dash_DayIdx),StatusLabels,0)),""))))</f>
        <v/>
      </c>
      <c r="AH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IF(LateAsPresent="نعم",COUNTIFS('KG1-5'!$AD24:$IM24,"متأخر",'KG1-5'!$AD$7:$IM$7,"✓",'KG1-5'!$AD$6:$IM$6,1,'KG1-5'!$AD$5:$IM$5,"&gt;="&amp;MAX('KG1-5'!$U24,Dash_PStart),'KG1-5'!$AD$5:$IM$5,"&lt;="&amp;Dash_PEnd),0))</f>
        <v/>
      </c>
      <c r="AI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COUNTIFS('KG1-5'!$AD24:$IM24,"غياب بدون عذر",'KG1-5'!$AD$7:$IM$7,"✓",'KG1-5'!$AD$6:$IM$6,1,'KG1-5'!$AD$5:$IM$5,"&gt;="&amp;MAX('KG1-5'!$U24,Dash_PStart),'KG1-5'!$AD$5:$IM$5,"&lt;="&amp;Dash_PEnd)+COUNTIFS('KG1-5'!$AD24:$IM24,"غياب بعذر",'KG1-5'!$AD$7:$IM$7,"✓",'KG1-5'!$AD$6:$IM$6,1,'KG1-5'!$AD$5:$IM$5,"&gt;="&amp;MAX('KG1-5'!$U24,Dash_PStart),'KG1-5'!$AD$5:$IM$5,"&lt;="&amp;Dash_PEnd)+COUNTIFS('KG1-5'!$AD24:$IM24,"متأخر",'KG1-5'!$AD$7:$IM$7,"✓",'KG1-5'!$AD$6:$IM$6,1,'KG1-5'!$AD$5:$IM$5,"&gt;="&amp;MAX('KG1-5'!$U24,Dash_PStart),'KG1-5'!$AD$5:$IM$5,"&lt;="&amp;Dash_PEnd))</f>
        <v/>
      </c>
      <c r="AJ140" s="40">
        <f>IF(AF140=0,0,IF(W140=Dash_Date,Thr_Critical,IF(V140=Dash_Date,Thr_High,IF(U140=Dash_Date,Thr_Repeated,IF(T140=Dash_Date,Thr_FollowUp,0)))))</f>
        <v/>
      </c>
      <c r="AK140" s="40">
        <f>IF(AJ140&gt;0,COUNTIF($AJ$5:AJ140,"&gt;0"),"")</f>
        <v/>
      </c>
      <c r="AL140" s="40">
        <f>IF(AND(B140&lt;&gt;"",F140="نشط",Q140&lt;&gt;"",Q140&gt;0),L140*1000+(999-ROW()),"")</f>
        <v/>
      </c>
      <c r="AM140" s="40">
        <f>IF(AND(AF140=1,J140&lt;&gt;"",J140&gt;0),ROUND(O140*10000,0)*1000000+K140*1000+(999-ROW()),"")</f>
        <v/>
      </c>
      <c r="AN140" s="40">
        <f>IF(AND(AF140=1,J140&lt;&gt;"",J140&gt;0),(L140+M140)*10000000+ROUND((1-O140)*10000,0)*1000+(999-ROW()),"")</f>
        <v/>
      </c>
      <c r="AO140" s="40">
        <f>IF(AND(AF140=1,Q140&lt;&gt;"",Q140&gt;=Thr_Critical),L140*1000+(999-ROW()),"")</f>
        <v/>
      </c>
      <c r="AP140" s="40">
        <f>IF(AND(B140&lt;&gt;"",F140="نشط",OR(Rpt_Class="الكل",D140=Rpt_Class)),1,0)</f>
        <v/>
      </c>
      <c r="AQ140" s="40">
        <f>IF(AND(AP140=1,Q140&lt;&gt;"",Q140&gt;0),L140*1000+(999-ROW()),"")</f>
        <v/>
      </c>
      <c r="AR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IF(LateAsPresent="نعم",COUNTIFS('KG1-5'!$AD24:$IM24,"متأخر",'KG1-5'!$AD$7:$IM$7,"✓",'KG1-5'!$AD$6:$IM$6,1,'KG1-5'!$AD$5:$IM$5,"&gt;="&amp;MAX('KG1-5'!$U24,Rpt_PStart),'KG1-5'!$AD$5:$IM$5,"&lt;="&amp;Rpt_PEnd),0))</f>
        <v/>
      </c>
      <c r="AS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COUNTIFS('KG1-5'!$AD24:$IM24,"غياب بدون عذر",'KG1-5'!$AD$7:$IM$7,"✓",'KG1-5'!$AD$6:$IM$6,1,'KG1-5'!$AD$5:$IM$5,"&gt;="&amp;MAX('KG1-5'!$U24,Rpt_PStart),'KG1-5'!$AD$5:$IM$5,"&lt;="&amp;Rpt_PEnd)+COUNTIFS('KG1-5'!$AD24:$IM24,"غياب بعذر",'KG1-5'!$AD$7:$IM$7,"✓",'KG1-5'!$AD$6:$IM$6,1,'KG1-5'!$AD$5:$IM$5,"&gt;="&amp;MAX('KG1-5'!$U24,Rpt_PStart),'KG1-5'!$AD$5:$IM$5,"&lt;="&amp;Rpt_PEnd)+COUNTIFS('KG1-5'!$AD24:$IM24,"متأخر",'KG1-5'!$AD$7:$IM$7,"✓",'KG1-5'!$AD$6:$IM$6,1,'KG1-5'!$AD$5:$IM$5,"&gt;="&amp;MAX('KG1-5'!$U24,Rpt_PStart),'KG1-5'!$AD$5:$IM$5,"&lt;="&amp;Rpt_PEnd))</f>
        <v/>
      </c>
      <c r="AT140" s="40">
        <f>IF(AP140=0,"",COUNTIFS('KG1-5'!$AD24:$IM24,"غياب بدون عذر",'KG1-5'!$AD$7:$IM$7,"✓",'KG1-5'!$AD$6:$IM$6,1,'KG1-5'!$AD$5:$IM$5,"&gt;="&amp;MAX('KG1-5'!$U24,Rpt_PStart),'KG1-5'!$AD$5:$IM$5,"&lt;="&amp;Rpt_PEnd)+COUNTIFS('KG1-5'!$AD24:$IM24,"غياب بعذر",'KG1-5'!$AD$7:$IM$7,"✓",'KG1-5'!$AD$6:$IM$6,1,'KG1-5'!$AD$5:$IM$5,"&gt;="&amp;MAX('KG1-5'!$U24,Rpt_PStart),'KG1-5'!$AD$5:$IM$5,"&lt;="&amp;Rpt_PEnd))</f>
        <v/>
      </c>
      <c r="AU140" s="40" t="n">
        <v>5</v>
      </c>
      <c r="AV140" s="40" t="n">
        <v>16</v>
      </c>
      <c r="AW140" s="40">
        <f>IF(OR(AP140=0,Rpt_DayIdx=0),"",IF(INDEX('KG1-5'!$AD$7:$IM$7,Rpt_DayIdx)&lt;&gt;"✓","",IF(INDEX('KG1-5'!$AD24:$IM24,Rpt_DayIdx)="","P",IFERROR(INDEX(StatusCodes,MATCH(INDEX('KG1-5'!$AD24:$IM24,Rpt_DayIdx),StatusLabels,0)),""))))</f>
        <v/>
      </c>
      <c r="AX140" s="40">
        <f>IF(AND(AP140=1,OR(AW140="A",AW140="E")),COUNTIFS($AP$5:AP140,1,$AW$5:AW140,"A")+COUNTIFS($AP$5:AP140,1,$AW$5:AW140,"E"),"")</f>
        <v/>
      </c>
    </row>
    <row r="141">
      <c r="A141" s="148">
        <f>IF(B141="","",ROW()-4)</f>
        <v/>
      </c>
      <c r="B141" s="148">
        <f>IF('KG1-5'!$B25="","",'KG1-5'!$B25)</f>
        <v/>
      </c>
      <c r="C141" s="146">
        <f>IF('KG1-5'!$C25="","",'KG1-5'!$C25)</f>
        <v/>
      </c>
      <c r="D141" s="148">
        <f>IF(B141="","",'KG1-5'!$B$2)</f>
        <v/>
      </c>
      <c r="E141" s="148">
        <f>IF(B141="","",MID(D141,FIND("-",D141&amp;"-")+1,10))</f>
        <v/>
      </c>
      <c r="F141" s="148">
        <f>IF(B141="","","نشط")</f>
        <v/>
      </c>
      <c r="G141" s="157">
        <f>IF(B141="","","")</f>
        <v/>
      </c>
      <c r="H141" s="146">
        <f>IF('KG1-5'!$K25="","",'KG1-5'!$K25)</f>
        <v/>
      </c>
      <c r="I141" s="148">
        <f>IF('KG1-5'!$J25="","",'KG1-5'!$J25)</f>
        <v/>
      </c>
      <c r="J141" s="148">
        <f>IF('KG1-5'!$M25="","",'KG1-5'!$M25)</f>
        <v/>
      </c>
      <c r="K141" s="148">
        <f>IF('KG1-5'!$N25="","",'KG1-5'!$N25)</f>
        <v/>
      </c>
      <c r="L141" s="148">
        <f>IF('KG1-5'!$D25="","",'KG1-5'!$D25)</f>
        <v/>
      </c>
      <c r="M141" s="148">
        <f>IF('KG1-5'!$E25="","",'KG1-5'!$E25)</f>
        <v/>
      </c>
      <c r="N141" s="148">
        <f>IF('KG1-5'!$F25="","",'KG1-5'!$F25)</f>
        <v/>
      </c>
      <c r="O141" s="158">
        <f>IF('KG1-5'!$G25="","",'KG1-5'!$G25)</f>
        <v/>
      </c>
      <c r="P141" s="158">
        <f>IF('KG1-5'!$O25="","",'KG1-5'!$O25)</f>
        <v/>
      </c>
      <c r="Q141" s="148">
        <f>IF('KG1-5'!$T25="","",'KG1-5'!$T25)</f>
        <v/>
      </c>
      <c r="R141" s="146">
        <f>IF('KG1-5'!$H25="","",'KG1-5'!$H25)</f>
        <v/>
      </c>
      <c r="S141" s="157">
        <f>IF('KG1-5'!$P25="","",'KG1-5'!$P25)</f>
        <v/>
      </c>
      <c r="T141" s="157">
        <f>IF('KG1-5'!$V25="","",'KG1-5'!$V25)</f>
        <v/>
      </c>
      <c r="U141" s="157">
        <f>IF('KG1-5'!$W25="","",'KG1-5'!$W25)</f>
        <v/>
      </c>
      <c r="V141" s="157">
        <f>IF('KG1-5'!$X25="","",'KG1-5'!$X25)</f>
        <v/>
      </c>
      <c r="W141" s="157">
        <f>IF('KG1-5'!$Y25="","",'KG1-5'!$Y25)</f>
        <v/>
      </c>
      <c r="X141" s="157">
        <f>IF('KG1-5'!$R25="","",'KG1-5'!$R25)</f>
        <v/>
      </c>
      <c r="Y141" s="148">
        <f>IF('KG1-5'!$S25="","",'KG1-5'!$S25)</f>
        <v/>
      </c>
      <c r="Z141" s="148">
        <f>IF('KG1-5'!$Q25="","",'KG1-5'!$Q25)</f>
        <v/>
      </c>
      <c r="AA141" s="148">
        <f>IF('KG1-5'!$I25="","",'KG1-5'!$I25)</f>
        <v/>
      </c>
      <c r="AB141" s="146">
        <f>IF(Q141="","",INDEX(LevelActions,MATCH(Q141,LevelValues,0)))</f>
        <v/>
      </c>
      <c r="AC141" s="148">
        <f>IF(J141="","",IF(J141=0,"—",IF(AND(L141=0,M141=0),Cat_L1,IF(O141&gt;=Cat_95,Cat_L2,IF(O141&gt;=Cat_90,Cat_L3,Cat_L4)))))</f>
        <v/>
      </c>
      <c r="AD141" s="146">
        <f>IF('KG1-5'!$L25="","",'KG1-5'!$L25)</f>
        <v/>
      </c>
      <c r="AE141" s="148">
        <f>IF(B141="","",IF(COUNTIF($B$5:$B$214,B141)&gt;1,"مكرر!",""))</f>
        <v/>
      </c>
      <c r="AF141" s="148">
        <f>IF(AND(B141&lt;&gt;"",F141="نشط",OR(Dash_Class="الكل",D141=Dash_Class)),1,0)</f>
        <v/>
      </c>
      <c r="AG141" s="40">
        <f>IF(OR(AF141=0,Dash_DayIdx=0),"",IF(INDEX('KG1-5'!$AD$7:$IM$7,Dash_DayIdx)&lt;&gt;"✓","",IF(INDEX('KG1-5'!$AD25:$IM25,Dash_DayIdx)="","P",IFERROR(INDEX(StatusCodes,MATCH(INDEX('KG1-5'!$AD25:$IM25,Dash_DayIdx),StatusLabels,0)),""))))</f>
        <v/>
      </c>
      <c r="AH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IF(LateAsPresent="نعم",COUNTIFS('KG1-5'!$AD25:$IM25,"متأخر",'KG1-5'!$AD$7:$IM$7,"✓",'KG1-5'!$AD$6:$IM$6,1,'KG1-5'!$AD$5:$IM$5,"&gt;="&amp;MAX('KG1-5'!$U25,Dash_PStart),'KG1-5'!$AD$5:$IM$5,"&lt;="&amp;Dash_PEnd),0))</f>
        <v/>
      </c>
      <c r="AI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COUNTIFS('KG1-5'!$AD25:$IM25,"غياب بدون عذر",'KG1-5'!$AD$7:$IM$7,"✓",'KG1-5'!$AD$6:$IM$6,1,'KG1-5'!$AD$5:$IM$5,"&gt;="&amp;MAX('KG1-5'!$U25,Dash_PStart),'KG1-5'!$AD$5:$IM$5,"&lt;="&amp;Dash_PEnd)+COUNTIFS('KG1-5'!$AD25:$IM25,"غياب بعذر",'KG1-5'!$AD$7:$IM$7,"✓",'KG1-5'!$AD$6:$IM$6,1,'KG1-5'!$AD$5:$IM$5,"&gt;="&amp;MAX('KG1-5'!$U25,Dash_PStart),'KG1-5'!$AD$5:$IM$5,"&lt;="&amp;Dash_PEnd)+COUNTIFS('KG1-5'!$AD25:$IM25,"متأخر",'KG1-5'!$AD$7:$IM$7,"✓",'KG1-5'!$AD$6:$IM$6,1,'KG1-5'!$AD$5:$IM$5,"&gt;="&amp;MAX('KG1-5'!$U25,Dash_PStart),'KG1-5'!$AD$5:$IM$5,"&lt;="&amp;Dash_PEnd))</f>
        <v/>
      </c>
      <c r="AJ141" s="40">
        <f>IF(AF141=0,0,IF(W141=Dash_Date,Thr_Critical,IF(V141=Dash_Date,Thr_High,IF(U141=Dash_Date,Thr_Repeated,IF(T141=Dash_Date,Thr_FollowUp,0)))))</f>
        <v/>
      </c>
      <c r="AK141" s="40">
        <f>IF(AJ141&gt;0,COUNTIF($AJ$5:AJ141,"&gt;0"),"")</f>
        <v/>
      </c>
      <c r="AL141" s="40">
        <f>IF(AND(B141&lt;&gt;"",F141="نشط",Q141&lt;&gt;"",Q141&gt;0),L141*1000+(999-ROW()),"")</f>
        <v/>
      </c>
      <c r="AM141" s="40">
        <f>IF(AND(AF141=1,J141&lt;&gt;"",J141&gt;0),ROUND(O141*10000,0)*1000000+K141*1000+(999-ROW()),"")</f>
        <v/>
      </c>
      <c r="AN141" s="40">
        <f>IF(AND(AF141=1,J141&lt;&gt;"",J141&gt;0),(L141+M141)*10000000+ROUND((1-O141)*10000,0)*1000+(999-ROW()),"")</f>
        <v/>
      </c>
      <c r="AO141" s="40">
        <f>IF(AND(AF141=1,Q141&lt;&gt;"",Q141&gt;=Thr_Critical),L141*1000+(999-ROW()),"")</f>
        <v/>
      </c>
      <c r="AP141" s="40">
        <f>IF(AND(B141&lt;&gt;"",F141="نشط",OR(Rpt_Class="الكل",D141=Rpt_Class)),1,0)</f>
        <v/>
      </c>
      <c r="AQ141" s="40">
        <f>IF(AND(AP141=1,Q141&lt;&gt;"",Q141&gt;0),L141*1000+(999-ROW()),"")</f>
        <v/>
      </c>
      <c r="AR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IF(LateAsPresent="نعم",COUNTIFS('KG1-5'!$AD25:$IM25,"متأخر",'KG1-5'!$AD$7:$IM$7,"✓",'KG1-5'!$AD$6:$IM$6,1,'KG1-5'!$AD$5:$IM$5,"&gt;="&amp;MAX('KG1-5'!$U25,Rpt_PStart),'KG1-5'!$AD$5:$IM$5,"&lt;="&amp;Rpt_PEnd),0))</f>
        <v/>
      </c>
      <c r="AS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COUNTIFS('KG1-5'!$AD25:$IM25,"غياب بدون عذر",'KG1-5'!$AD$7:$IM$7,"✓",'KG1-5'!$AD$6:$IM$6,1,'KG1-5'!$AD$5:$IM$5,"&gt;="&amp;MAX('KG1-5'!$U25,Rpt_PStart),'KG1-5'!$AD$5:$IM$5,"&lt;="&amp;Rpt_PEnd)+COUNTIFS('KG1-5'!$AD25:$IM25,"غياب بعذر",'KG1-5'!$AD$7:$IM$7,"✓",'KG1-5'!$AD$6:$IM$6,1,'KG1-5'!$AD$5:$IM$5,"&gt;="&amp;MAX('KG1-5'!$U25,Rpt_PStart),'KG1-5'!$AD$5:$IM$5,"&lt;="&amp;Rpt_PEnd)+COUNTIFS('KG1-5'!$AD25:$IM25,"متأخر",'KG1-5'!$AD$7:$IM$7,"✓",'KG1-5'!$AD$6:$IM$6,1,'KG1-5'!$AD$5:$IM$5,"&gt;="&amp;MAX('KG1-5'!$U25,Rpt_PStart),'KG1-5'!$AD$5:$IM$5,"&lt;="&amp;Rpt_PEnd))</f>
        <v/>
      </c>
      <c r="AT141" s="40">
        <f>IF(AP141=0,"",COUNTIFS('KG1-5'!$AD25:$IM25,"غياب بدون عذر",'KG1-5'!$AD$7:$IM$7,"✓",'KG1-5'!$AD$6:$IM$6,1,'KG1-5'!$AD$5:$IM$5,"&gt;="&amp;MAX('KG1-5'!$U25,Rpt_PStart),'KG1-5'!$AD$5:$IM$5,"&lt;="&amp;Rpt_PEnd)+COUNTIFS('KG1-5'!$AD25:$IM25,"غياب بعذر",'KG1-5'!$AD$7:$IM$7,"✓",'KG1-5'!$AD$6:$IM$6,1,'KG1-5'!$AD$5:$IM$5,"&gt;="&amp;MAX('KG1-5'!$U25,Rpt_PStart),'KG1-5'!$AD$5:$IM$5,"&lt;="&amp;Rpt_PEnd))</f>
        <v/>
      </c>
      <c r="AU141" s="40" t="n">
        <v>5</v>
      </c>
      <c r="AV141" s="40" t="n">
        <v>17</v>
      </c>
      <c r="AW141" s="40">
        <f>IF(OR(AP141=0,Rpt_DayIdx=0),"",IF(INDEX('KG1-5'!$AD$7:$IM$7,Rpt_DayIdx)&lt;&gt;"✓","",IF(INDEX('KG1-5'!$AD25:$IM25,Rpt_DayIdx)="","P",IFERROR(INDEX(StatusCodes,MATCH(INDEX('KG1-5'!$AD25:$IM25,Rpt_DayIdx),StatusLabels,0)),""))))</f>
        <v/>
      </c>
      <c r="AX141" s="40">
        <f>IF(AND(AP141=1,OR(AW141="A",AW141="E")),COUNTIFS($AP$5:AP141,1,$AW$5:AW141,"A")+COUNTIFS($AP$5:AP141,1,$AW$5:AW141,"E"),"")</f>
        <v/>
      </c>
    </row>
    <row r="142">
      <c r="A142" s="148">
        <f>IF(B142="","",ROW()-4)</f>
        <v/>
      </c>
      <c r="B142" s="148">
        <f>IF('KG1-5'!$B26="","",'KG1-5'!$B26)</f>
        <v/>
      </c>
      <c r="C142" s="146">
        <f>IF('KG1-5'!$C26="","",'KG1-5'!$C26)</f>
        <v/>
      </c>
      <c r="D142" s="148">
        <f>IF(B142="","",'KG1-5'!$B$2)</f>
        <v/>
      </c>
      <c r="E142" s="148">
        <f>IF(B142="","",MID(D142,FIND("-",D142&amp;"-")+1,10))</f>
        <v/>
      </c>
      <c r="F142" s="148">
        <f>IF(B142="","","نشط")</f>
        <v/>
      </c>
      <c r="G142" s="157">
        <f>IF(B142="","","")</f>
        <v/>
      </c>
      <c r="H142" s="146">
        <f>IF('KG1-5'!$K26="","",'KG1-5'!$K26)</f>
        <v/>
      </c>
      <c r="I142" s="148">
        <f>IF('KG1-5'!$J26="","",'KG1-5'!$J26)</f>
        <v/>
      </c>
      <c r="J142" s="148">
        <f>IF('KG1-5'!$M26="","",'KG1-5'!$M26)</f>
        <v/>
      </c>
      <c r="K142" s="148">
        <f>IF('KG1-5'!$N26="","",'KG1-5'!$N26)</f>
        <v/>
      </c>
      <c r="L142" s="148">
        <f>IF('KG1-5'!$D26="","",'KG1-5'!$D26)</f>
        <v/>
      </c>
      <c r="M142" s="148">
        <f>IF('KG1-5'!$E26="","",'KG1-5'!$E26)</f>
        <v/>
      </c>
      <c r="N142" s="148">
        <f>IF('KG1-5'!$F26="","",'KG1-5'!$F26)</f>
        <v/>
      </c>
      <c r="O142" s="158">
        <f>IF('KG1-5'!$G26="","",'KG1-5'!$G26)</f>
        <v/>
      </c>
      <c r="P142" s="158">
        <f>IF('KG1-5'!$O26="","",'KG1-5'!$O26)</f>
        <v/>
      </c>
      <c r="Q142" s="148">
        <f>IF('KG1-5'!$T26="","",'KG1-5'!$T26)</f>
        <v/>
      </c>
      <c r="R142" s="146">
        <f>IF('KG1-5'!$H26="","",'KG1-5'!$H26)</f>
        <v/>
      </c>
      <c r="S142" s="157">
        <f>IF('KG1-5'!$P26="","",'KG1-5'!$P26)</f>
        <v/>
      </c>
      <c r="T142" s="157">
        <f>IF('KG1-5'!$V26="","",'KG1-5'!$V26)</f>
        <v/>
      </c>
      <c r="U142" s="157">
        <f>IF('KG1-5'!$W26="","",'KG1-5'!$W26)</f>
        <v/>
      </c>
      <c r="V142" s="157">
        <f>IF('KG1-5'!$X26="","",'KG1-5'!$X26)</f>
        <v/>
      </c>
      <c r="W142" s="157">
        <f>IF('KG1-5'!$Y26="","",'KG1-5'!$Y26)</f>
        <v/>
      </c>
      <c r="X142" s="157">
        <f>IF('KG1-5'!$R26="","",'KG1-5'!$R26)</f>
        <v/>
      </c>
      <c r="Y142" s="148">
        <f>IF('KG1-5'!$S26="","",'KG1-5'!$S26)</f>
        <v/>
      </c>
      <c r="Z142" s="148">
        <f>IF('KG1-5'!$Q26="","",'KG1-5'!$Q26)</f>
        <v/>
      </c>
      <c r="AA142" s="148">
        <f>IF('KG1-5'!$I26="","",'KG1-5'!$I26)</f>
        <v/>
      </c>
      <c r="AB142" s="146">
        <f>IF(Q142="","",INDEX(LevelActions,MATCH(Q142,LevelValues,0)))</f>
        <v/>
      </c>
      <c r="AC142" s="148">
        <f>IF(J142="","",IF(J142=0,"—",IF(AND(L142=0,M142=0),Cat_L1,IF(O142&gt;=Cat_95,Cat_L2,IF(O142&gt;=Cat_90,Cat_L3,Cat_L4)))))</f>
        <v/>
      </c>
      <c r="AD142" s="146">
        <f>IF('KG1-5'!$L26="","",'KG1-5'!$L26)</f>
        <v/>
      </c>
      <c r="AE142" s="148">
        <f>IF(B142="","",IF(COUNTIF($B$5:$B$214,B142)&gt;1,"مكرر!",""))</f>
        <v/>
      </c>
      <c r="AF142" s="148">
        <f>IF(AND(B142&lt;&gt;"",F142="نشط",OR(Dash_Class="الكل",D142=Dash_Class)),1,0)</f>
        <v/>
      </c>
      <c r="AG142" s="40">
        <f>IF(OR(AF142=0,Dash_DayIdx=0),"",IF(INDEX('KG1-5'!$AD$7:$IM$7,Dash_DayIdx)&lt;&gt;"✓","",IF(INDEX('KG1-5'!$AD26:$IM26,Dash_DayIdx)="","P",IFERROR(INDEX(StatusCodes,MATCH(INDEX('KG1-5'!$AD26:$IM26,Dash_DayIdx),StatusLabels,0)),""))))</f>
        <v/>
      </c>
      <c r="AH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IF(LateAsPresent="نعم",COUNTIFS('KG1-5'!$AD26:$IM26,"متأخر",'KG1-5'!$AD$7:$IM$7,"✓",'KG1-5'!$AD$6:$IM$6,1,'KG1-5'!$AD$5:$IM$5,"&gt;="&amp;MAX('KG1-5'!$U26,Dash_PStart),'KG1-5'!$AD$5:$IM$5,"&lt;="&amp;Dash_PEnd),0))</f>
        <v/>
      </c>
      <c r="AI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COUNTIFS('KG1-5'!$AD26:$IM26,"غياب بدون عذر",'KG1-5'!$AD$7:$IM$7,"✓",'KG1-5'!$AD$6:$IM$6,1,'KG1-5'!$AD$5:$IM$5,"&gt;="&amp;MAX('KG1-5'!$U26,Dash_PStart),'KG1-5'!$AD$5:$IM$5,"&lt;="&amp;Dash_PEnd)+COUNTIFS('KG1-5'!$AD26:$IM26,"غياب بعذر",'KG1-5'!$AD$7:$IM$7,"✓",'KG1-5'!$AD$6:$IM$6,1,'KG1-5'!$AD$5:$IM$5,"&gt;="&amp;MAX('KG1-5'!$U26,Dash_PStart),'KG1-5'!$AD$5:$IM$5,"&lt;="&amp;Dash_PEnd)+COUNTIFS('KG1-5'!$AD26:$IM26,"متأخر",'KG1-5'!$AD$7:$IM$7,"✓",'KG1-5'!$AD$6:$IM$6,1,'KG1-5'!$AD$5:$IM$5,"&gt;="&amp;MAX('KG1-5'!$U26,Dash_PStart),'KG1-5'!$AD$5:$IM$5,"&lt;="&amp;Dash_PEnd))</f>
        <v/>
      </c>
      <c r="AJ142" s="40">
        <f>IF(AF142=0,0,IF(W142=Dash_Date,Thr_Critical,IF(V142=Dash_Date,Thr_High,IF(U142=Dash_Date,Thr_Repeated,IF(T142=Dash_Date,Thr_FollowUp,0)))))</f>
        <v/>
      </c>
      <c r="AK142" s="40">
        <f>IF(AJ142&gt;0,COUNTIF($AJ$5:AJ142,"&gt;0"),"")</f>
        <v/>
      </c>
      <c r="AL142" s="40">
        <f>IF(AND(B142&lt;&gt;"",F142="نشط",Q142&lt;&gt;"",Q142&gt;0),L142*1000+(999-ROW()),"")</f>
        <v/>
      </c>
      <c r="AM142" s="40">
        <f>IF(AND(AF142=1,J142&lt;&gt;"",J142&gt;0),ROUND(O142*10000,0)*1000000+K142*1000+(999-ROW()),"")</f>
        <v/>
      </c>
      <c r="AN142" s="40">
        <f>IF(AND(AF142=1,J142&lt;&gt;"",J142&gt;0),(L142+M142)*10000000+ROUND((1-O142)*10000,0)*1000+(999-ROW()),"")</f>
        <v/>
      </c>
      <c r="AO142" s="40">
        <f>IF(AND(AF142=1,Q142&lt;&gt;"",Q142&gt;=Thr_Critical),L142*1000+(999-ROW()),"")</f>
        <v/>
      </c>
      <c r="AP142" s="40">
        <f>IF(AND(B142&lt;&gt;"",F142="نشط",OR(Rpt_Class="الكل",D142=Rpt_Class)),1,0)</f>
        <v/>
      </c>
      <c r="AQ142" s="40">
        <f>IF(AND(AP142=1,Q142&lt;&gt;"",Q142&gt;0),L142*1000+(999-ROW()),"")</f>
        <v/>
      </c>
      <c r="AR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IF(LateAsPresent="نعم",COUNTIFS('KG1-5'!$AD26:$IM26,"متأخر",'KG1-5'!$AD$7:$IM$7,"✓",'KG1-5'!$AD$6:$IM$6,1,'KG1-5'!$AD$5:$IM$5,"&gt;="&amp;MAX('KG1-5'!$U26,Rpt_PStart),'KG1-5'!$AD$5:$IM$5,"&lt;="&amp;Rpt_PEnd),0))</f>
        <v/>
      </c>
      <c r="AS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COUNTIFS('KG1-5'!$AD26:$IM26,"غياب بدون عذر",'KG1-5'!$AD$7:$IM$7,"✓",'KG1-5'!$AD$6:$IM$6,1,'KG1-5'!$AD$5:$IM$5,"&gt;="&amp;MAX('KG1-5'!$U26,Rpt_PStart),'KG1-5'!$AD$5:$IM$5,"&lt;="&amp;Rpt_PEnd)+COUNTIFS('KG1-5'!$AD26:$IM26,"غياب بعذر",'KG1-5'!$AD$7:$IM$7,"✓",'KG1-5'!$AD$6:$IM$6,1,'KG1-5'!$AD$5:$IM$5,"&gt;="&amp;MAX('KG1-5'!$U26,Rpt_PStart),'KG1-5'!$AD$5:$IM$5,"&lt;="&amp;Rpt_PEnd)+COUNTIFS('KG1-5'!$AD26:$IM26,"متأخر",'KG1-5'!$AD$7:$IM$7,"✓",'KG1-5'!$AD$6:$IM$6,1,'KG1-5'!$AD$5:$IM$5,"&gt;="&amp;MAX('KG1-5'!$U26,Rpt_PStart),'KG1-5'!$AD$5:$IM$5,"&lt;="&amp;Rpt_PEnd))</f>
        <v/>
      </c>
      <c r="AT142" s="40">
        <f>IF(AP142=0,"",COUNTIFS('KG1-5'!$AD26:$IM26,"غياب بدون عذر",'KG1-5'!$AD$7:$IM$7,"✓",'KG1-5'!$AD$6:$IM$6,1,'KG1-5'!$AD$5:$IM$5,"&gt;="&amp;MAX('KG1-5'!$U26,Rpt_PStart),'KG1-5'!$AD$5:$IM$5,"&lt;="&amp;Rpt_PEnd)+COUNTIFS('KG1-5'!$AD26:$IM26,"غياب بعذر",'KG1-5'!$AD$7:$IM$7,"✓",'KG1-5'!$AD$6:$IM$6,1,'KG1-5'!$AD$5:$IM$5,"&gt;="&amp;MAX('KG1-5'!$U26,Rpt_PStart),'KG1-5'!$AD$5:$IM$5,"&lt;="&amp;Rpt_PEnd))</f>
        <v/>
      </c>
      <c r="AU142" s="40" t="n">
        <v>5</v>
      </c>
      <c r="AV142" s="40" t="n">
        <v>18</v>
      </c>
      <c r="AW142" s="40">
        <f>IF(OR(AP142=0,Rpt_DayIdx=0),"",IF(INDEX('KG1-5'!$AD$7:$IM$7,Rpt_DayIdx)&lt;&gt;"✓","",IF(INDEX('KG1-5'!$AD26:$IM26,Rpt_DayIdx)="","P",IFERROR(INDEX(StatusCodes,MATCH(INDEX('KG1-5'!$AD26:$IM26,Rpt_DayIdx),StatusLabels,0)),""))))</f>
        <v/>
      </c>
      <c r="AX142" s="40">
        <f>IF(AND(AP142=1,OR(AW142="A",AW142="E")),COUNTIFS($AP$5:AP142,1,$AW$5:AW142,"A")+COUNTIFS($AP$5:AP142,1,$AW$5:AW142,"E"),"")</f>
        <v/>
      </c>
    </row>
    <row r="143">
      <c r="A143" s="148">
        <f>IF(B143="","",ROW()-4)</f>
        <v/>
      </c>
      <c r="B143" s="148">
        <f>IF('KG1-5'!$B27="","",'KG1-5'!$B27)</f>
        <v/>
      </c>
      <c r="C143" s="146">
        <f>IF('KG1-5'!$C27="","",'KG1-5'!$C27)</f>
        <v/>
      </c>
      <c r="D143" s="148">
        <f>IF(B143="","",'KG1-5'!$B$2)</f>
        <v/>
      </c>
      <c r="E143" s="148">
        <f>IF(B143="","",MID(D143,FIND("-",D143&amp;"-")+1,10))</f>
        <v/>
      </c>
      <c r="F143" s="148">
        <f>IF(B143="","","نشط")</f>
        <v/>
      </c>
      <c r="G143" s="157">
        <f>IF(B143="","","")</f>
        <v/>
      </c>
      <c r="H143" s="146">
        <f>IF('KG1-5'!$K27="","",'KG1-5'!$K27)</f>
        <v/>
      </c>
      <c r="I143" s="148">
        <f>IF('KG1-5'!$J27="","",'KG1-5'!$J27)</f>
        <v/>
      </c>
      <c r="J143" s="148">
        <f>IF('KG1-5'!$M27="","",'KG1-5'!$M27)</f>
        <v/>
      </c>
      <c r="K143" s="148">
        <f>IF('KG1-5'!$N27="","",'KG1-5'!$N27)</f>
        <v/>
      </c>
      <c r="L143" s="148">
        <f>IF('KG1-5'!$D27="","",'KG1-5'!$D27)</f>
        <v/>
      </c>
      <c r="M143" s="148">
        <f>IF('KG1-5'!$E27="","",'KG1-5'!$E27)</f>
        <v/>
      </c>
      <c r="N143" s="148">
        <f>IF('KG1-5'!$F27="","",'KG1-5'!$F27)</f>
        <v/>
      </c>
      <c r="O143" s="158">
        <f>IF('KG1-5'!$G27="","",'KG1-5'!$G27)</f>
        <v/>
      </c>
      <c r="P143" s="158">
        <f>IF('KG1-5'!$O27="","",'KG1-5'!$O27)</f>
        <v/>
      </c>
      <c r="Q143" s="148">
        <f>IF('KG1-5'!$T27="","",'KG1-5'!$T27)</f>
        <v/>
      </c>
      <c r="R143" s="146">
        <f>IF('KG1-5'!$H27="","",'KG1-5'!$H27)</f>
        <v/>
      </c>
      <c r="S143" s="157">
        <f>IF('KG1-5'!$P27="","",'KG1-5'!$P27)</f>
        <v/>
      </c>
      <c r="T143" s="157">
        <f>IF('KG1-5'!$V27="","",'KG1-5'!$V27)</f>
        <v/>
      </c>
      <c r="U143" s="157">
        <f>IF('KG1-5'!$W27="","",'KG1-5'!$W27)</f>
        <v/>
      </c>
      <c r="V143" s="157">
        <f>IF('KG1-5'!$X27="","",'KG1-5'!$X27)</f>
        <v/>
      </c>
      <c r="W143" s="157">
        <f>IF('KG1-5'!$Y27="","",'KG1-5'!$Y27)</f>
        <v/>
      </c>
      <c r="X143" s="157">
        <f>IF('KG1-5'!$R27="","",'KG1-5'!$R27)</f>
        <v/>
      </c>
      <c r="Y143" s="148">
        <f>IF('KG1-5'!$S27="","",'KG1-5'!$S27)</f>
        <v/>
      </c>
      <c r="Z143" s="148">
        <f>IF('KG1-5'!$Q27="","",'KG1-5'!$Q27)</f>
        <v/>
      </c>
      <c r="AA143" s="148">
        <f>IF('KG1-5'!$I27="","",'KG1-5'!$I27)</f>
        <v/>
      </c>
      <c r="AB143" s="146">
        <f>IF(Q143="","",INDEX(LevelActions,MATCH(Q143,LevelValues,0)))</f>
        <v/>
      </c>
      <c r="AC143" s="148">
        <f>IF(J143="","",IF(J143=0,"—",IF(AND(L143=0,M143=0),Cat_L1,IF(O143&gt;=Cat_95,Cat_L2,IF(O143&gt;=Cat_90,Cat_L3,Cat_L4)))))</f>
        <v/>
      </c>
      <c r="AD143" s="146">
        <f>IF('KG1-5'!$L27="","",'KG1-5'!$L27)</f>
        <v/>
      </c>
      <c r="AE143" s="148">
        <f>IF(B143="","",IF(COUNTIF($B$5:$B$214,B143)&gt;1,"مكرر!",""))</f>
        <v/>
      </c>
      <c r="AF143" s="148">
        <f>IF(AND(B143&lt;&gt;"",F143="نشط",OR(Dash_Class="الكل",D143=Dash_Class)),1,0)</f>
        <v/>
      </c>
      <c r="AG143" s="40">
        <f>IF(OR(AF143=0,Dash_DayIdx=0),"",IF(INDEX('KG1-5'!$AD$7:$IM$7,Dash_DayIdx)&lt;&gt;"✓","",IF(INDEX('KG1-5'!$AD27:$IM27,Dash_DayIdx)="","P",IFERROR(INDEX(StatusCodes,MATCH(INDEX('KG1-5'!$AD27:$IM27,Dash_DayIdx),StatusLabels,0)),""))))</f>
        <v/>
      </c>
      <c r="AH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IF(LateAsPresent="نعم",COUNTIFS('KG1-5'!$AD27:$IM27,"متأخر",'KG1-5'!$AD$7:$IM$7,"✓",'KG1-5'!$AD$6:$IM$6,1,'KG1-5'!$AD$5:$IM$5,"&gt;="&amp;MAX('KG1-5'!$U27,Dash_PStart),'KG1-5'!$AD$5:$IM$5,"&lt;="&amp;Dash_PEnd),0))</f>
        <v/>
      </c>
      <c r="AI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COUNTIFS('KG1-5'!$AD27:$IM27,"غياب بدون عذر",'KG1-5'!$AD$7:$IM$7,"✓",'KG1-5'!$AD$6:$IM$6,1,'KG1-5'!$AD$5:$IM$5,"&gt;="&amp;MAX('KG1-5'!$U27,Dash_PStart),'KG1-5'!$AD$5:$IM$5,"&lt;="&amp;Dash_PEnd)+COUNTIFS('KG1-5'!$AD27:$IM27,"غياب بعذر",'KG1-5'!$AD$7:$IM$7,"✓",'KG1-5'!$AD$6:$IM$6,1,'KG1-5'!$AD$5:$IM$5,"&gt;="&amp;MAX('KG1-5'!$U27,Dash_PStart),'KG1-5'!$AD$5:$IM$5,"&lt;="&amp;Dash_PEnd)+COUNTIFS('KG1-5'!$AD27:$IM27,"متأخر",'KG1-5'!$AD$7:$IM$7,"✓",'KG1-5'!$AD$6:$IM$6,1,'KG1-5'!$AD$5:$IM$5,"&gt;="&amp;MAX('KG1-5'!$U27,Dash_PStart),'KG1-5'!$AD$5:$IM$5,"&lt;="&amp;Dash_PEnd))</f>
        <v/>
      </c>
      <c r="AJ143" s="40">
        <f>IF(AF143=0,0,IF(W143=Dash_Date,Thr_Critical,IF(V143=Dash_Date,Thr_High,IF(U143=Dash_Date,Thr_Repeated,IF(T143=Dash_Date,Thr_FollowUp,0)))))</f>
        <v/>
      </c>
      <c r="AK143" s="40">
        <f>IF(AJ143&gt;0,COUNTIF($AJ$5:AJ143,"&gt;0"),"")</f>
        <v/>
      </c>
      <c r="AL143" s="40">
        <f>IF(AND(B143&lt;&gt;"",F143="نشط",Q143&lt;&gt;"",Q143&gt;0),L143*1000+(999-ROW()),"")</f>
        <v/>
      </c>
      <c r="AM143" s="40">
        <f>IF(AND(AF143=1,J143&lt;&gt;"",J143&gt;0),ROUND(O143*10000,0)*1000000+K143*1000+(999-ROW()),"")</f>
        <v/>
      </c>
      <c r="AN143" s="40">
        <f>IF(AND(AF143=1,J143&lt;&gt;"",J143&gt;0),(L143+M143)*10000000+ROUND((1-O143)*10000,0)*1000+(999-ROW()),"")</f>
        <v/>
      </c>
      <c r="AO143" s="40">
        <f>IF(AND(AF143=1,Q143&lt;&gt;"",Q143&gt;=Thr_Critical),L143*1000+(999-ROW()),"")</f>
        <v/>
      </c>
      <c r="AP143" s="40">
        <f>IF(AND(B143&lt;&gt;"",F143="نشط",OR(Rpt_Class="الكل",D143=Rpt_Class)),1,0)</f>
        <v/>
      </c>
      <c r="AQ143" s="40">
        <f>IF(AND(AP143=1,Q143&lt;&gt;"",Q143&gt;0),L143*1000+(999-ROW()),"")</f>
        <v/>
      </c>
      <c r="AR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IF(LateAsPresent="نعم",COUNTIFS('KG1-5'!$AD27:$IM27,"متأخر",'KG1-5'!$AD$7:$IM$7,"✓",'KG1-5'!$AD$6:$IM$6,1,'KG1-5'!$AD$5:$IM$5,"&gt;="&amp;MAX('KG1-5'!$U27,Rpt_PStart),'KG1-5'!$AD$5:$IM$5,"&lt;="&amp;Rpt_PEnd),0))</f>
        <v/>
      </c>
      <c r="AS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COUNTIFS('KG1-5'!$AD27:$IM27,"غياب بدون عذر",'KG1-5'!$AD$7:$IM$7,"✓",'KG1-5'!$AD$6:$IM$6,1,'KG1-5'!$AD$5:$IM$5,"&gt;="&amp;MAX('KG1-5'!$U27,Rpt_PStart),'KG1-5'!$AD$5:$IM$5,"&lt;="&amp;Rpt_PEnd)+COUNTIFS('KG1-5'!$AD27:$IM27,"غياب بعذر",'KG1-5'!$AD$7:$IM$7,"✓",'KG1-5'!$AD$6:$IM$6,1,'KG1-5'!$AD$5:$IM$5,"&gt;="&amp;MAX('KG1-5'!$U27,Rpt_PStart),'KG1-5'!$AD$5:$IM$5,"&lt;="&amp;Rpt_PEnd)+COUNTIFS('KG1-5'!$AD27:$IM27,"متأخر",'KG1-5'!$AD$7:$IM$7,"✓",'KG1-5'!$AD$6:$IM$6,1,'KG1-5'!$AD$5:$IM$5,"&gt;="&amp;MAX('KG1-5'!$U27,Rpt_PStart),'KG1-5'!$AD$5:$IM$5,"&lt;="&amp;Rpt_PEnd))</f>
        <v/>
      </c>
      <c r="AT143" s="40">
        <f>IF(AP143=0,"",COUNTIFS('KG1-5'!$AD27:$IM27,"غياب بدون عذر",'KG1-5'!$AD$7:$IM$7,"✓",'KG1-5'!$AD$6:$IM$6,1,'KG1-5'!$AD$5:$IM$5,"&gt;="&amp;MAX('KG1-5'!$U27,Rpt_PStart),'KG1-5'!$AD$5:$IM$5,"&lt;="&amp;Rpt_PEnd)+COUNTIFS('KG1-5'!$AD27:$IM27,"غياب بعذر",'KG1-5'!$AD$7:$IM$7,"✓",'KG1-5'!$AD$6:$IM$6,1,'KG1-5'!$AD$5:$IM$5,"&gt;="&amp;MAX('KG1-5'!$U27,Rpt_PStart),'KG1-5'!$AD$5:$IM$5,"&lt;="&amp;Rpt_PEnd))</f>
        <v/>
      </c>
      <c r="AU143" s="40" t="n">
        <v>5</v>
      </c>
      <c r="AV143" s="40" t="n">
        <v>19</v>
      </c>
      <c r="AW143" s="40">
        <f>IF(OR(AP143=0,Rpt_DayIdx=0),"",IF(INDEX('KG1-5'!$AD$7:$IM$7,Rpt_DayIdx)&lt;&gt;"✓","",IF(INDEX('KG1-5'!$AD27:$IM27,Rpt_DayIdx)="","P",IFERROR(INDEX(StatusCodes,MATCH(INDEX('KG1-5'!$AD27:$IM27,Rpt_DayIdx),StatusLabels,0)),""))))</f>
        <v/>
      </c>
      <c r="AX143" s="40">
        <f>IF(AND(AP143=1,OR(AW143="A",AW143="E")),COUNTIFS($AP$5:AP143,1,$AW$5:AW143,"A")+COUNTIFS($AP$5:AP143,1,$AW$5:AW143,"E"),"")</f>
        <v/>
      </c>
    </row>
    <row r="144">
      <c r="A144" s="148">
        <f>IF(B144="","",ROW()-4)</f>
        <v/>
      </c>
      <c r="B144" s="148">
        <f>IF('KG1-5'!$B28="","",'KG1-5'!$B28)</f>
        <v/>
      </c>
      <c r="C144" s="146">
        <f>IF('KG1-5'!$C28="","",'KG1-5'!$C28)</f>
        <v/>
      </c>
      <c r="D144" s="148">
        <f>IF(B144="","",'KG1-5'!$B$2)</f>
        <v/>
      </c>
      <c r="E144" s="148">
        <f>IF(B144="","",MID(D144,FIND("-",D144&amp;"-")+1,10))</f>
        <v/>
      </c>
      <c r="F144" s="148">
        <f>IF(B144="","","نشط")</f>
        <v/>
      </c>
      <c r="G144" s="157">
        <f>IF(B144="","","")</f>
        <v/>
      </c>
      <c r="H144" s="146">
        <f>IF('KG1-5'!$K28="","",'KG1-5'!$K28)</f>
        <v/>
      </c>
      <c r="I144" s="148">
        <f>IF('KG1-5'!$J28="","",'KG1-5'!$J28)</f>
        <v/>
      </c>
      <c r="J144" s="148">
        <f>IF('KG1-5'!$M28="","",'KG1-5'!$M28)</f>
        <v/>
      </c>
      <c r="K144" s="148">
        <f>IF('KG1-5'!$N28="","",'KG1-5'!$N28)</f>
        <v/>
      </c>
      <c r="L144" s="148">
        <f>IF('KG1-5'!$D28="","",'KG1-5'!$D28)</f>
        <v/>
      </c>
      <c r="M144" s="148">
        <f>IF('KG1-5'!$E28="","",'KG1-5'!$E28)</f>
        <v/>
      </c>
      <c r="N144" s="148">
        <f>IF('KG1-5'!$F28="","",'KG1-5'!$F28)</f>
        <v/>
      </c>
      <c r="O144" s="158">
        <f>IF('KG1-5'!$G28="","",'KG1-5'!$G28)</f>
        <v/>
      </c>
      <c r="P144" s="158">
        <f>IF('KG1-5'!$O28="","",'KG1-5'!$O28)</f>
        <v/>
      </c>
      <c r="Q144" s="148">
        <f>IF('KG1-5'!$T28="","",'KG1-5'!$T28)</f>
        <v/>
      </c>
      <c r="R144" s="146">
        <f>IF('KG1-5'!$H28="","",'KG1-5'!$H28)</f>
        <v/>
      </c>
      <c r="S144" s="157">
        <f>IF('KG1-5'!$P28="","",'KG1-5'!$P28)</f>
        <v/>
      </c>
      <c r="T144" s="157">
        <f>IF('KG1-5'!$V28="","",'KG1-5'!$V28)</f>
        <v/>
      </c>
      <c r="U144" s="157">
        <f>IF('KG1-5'!$W28="","",'KG1-5'!$W28)</f>
        <v/>
      </c>
      <c r="V144" s="157">
        <f>IF('KG1-5'!$X28="","",'KG1-5'!$X28)</f>
        <v/>
      </c>
      <c r="W144" s="157">
        <f>IF('KG1-5'!$Y28="","",'KG1-5'!$Y28)</f>
        <v/>
      </c>
      <c r="X144" s="157">
        <f>IF('KG1-5'!$R28="","",'KG1-5'!$R28)</f>
        <v/>
      </c>
      <c r="Y144" s="148">
        <f>IF('KG1-5'!$S28="","",'KG1-5'!$S28)</f>
        <v/>
      </c>
      <c r="Z144" s="148">
        <f>IF('KG1-5'!$Q28="","",'KG1-5'!$Q28)</f>
        <v/>
      </c>
      <c r="AA144" s="148">
        <f>IF('KG1-5'!$I28="","",'KG1-5'!$I28)</f>
        <v/>
      </c>
      <c r="AB144" s="146">
        <f>IF(Q144="","",INDEX(LevelActions,MATCH(Q144,LevelValues,0)))</f>
        <v/>
      </c>
      <c r="AC144" s="148">
        <f>IF(J144="","",IF(J144=0,"—",IF(AND(L144=0,M144=0),Cat_L1,IF(O144&gt;=Cat_95,Cat_L2,IF(O144&gt;=Cat_90,Cat_L3,Cat_L4)))))</f>
        <v/>
      </c>
      <c r="AD144" s="146">
        <f>IF('KG1-5'!$L28="","",'KG1-5'!$L28)</f>
        <v/>
      </c>
      <c r="AE144" s="148">
        <f>IF(B144="","",IF(COUNTIF($B$5:$B$214,B144)&gt;1,"مكرر!",""))</f>
        <v/>
      </c>
      <c r="AF144" s="148">
        <f>IF(AND(B144&lt;&gt;"",F144="نشط",OR(Dash_Class="الكل",D144=Dash_Class)),1,0)</f>
        <v/>
      </c>
      <c r="AG144" s="40">
        <f>IF(OR(AF144=0,Dash_DayIdx=0),"",IF(INDEX('KG1-5'!$AD$7:$IM$7,Dash_DayIdx)&lt;&gt;"✓","",IF(INDEX('KG1-5'!$AD28:$IM28,Dash_DayIdx)="","P",IFERROR(INDEX(StatusCodes,MATCH(INDEX('KG1-5'!$AD28:$IM28,Dash_DayIdx),StatusLabels,0)),""))))</f>
        <v/>
      </c>
      <c r="AH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IF(LateAsPresent="نعم",COUNTIFS('KG1-5'!$AD28:$IM28,"متأخر",'KG1-5'!$AD$7:$IM$7,"✓",'KG1-5'!$AD$6:$IM$6,1,'KG1-5'!$AD$5:$IM$5,"&gt;="&amp;MAX('KG1-5'!$U28,Dash_PStart),'KG1-5'!$AD$5:$IM$5,"&lt;="&amp;Dash_PEnd),0))</f>
        <v/>
      </c>
      <c r="AI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COUNTIFS('KG1-5'!$AD28:$IM28,"غياب بدون عذر",'KG1-5'!$AD$7:$IM$7,"✓",'KG1-5'!$AD$6:$IM$6,1,'KG1-5'!$AD$5:$IM$5,"&gt;="&amp;MAX('KG1-5'!$U28,Dash_PStart),'KG1-5'!$AD$5:$IM$5,"&lt;="&amp;Dash_PEnd)+COUNTIFS('KG1-5'!$AD28:$IM28,"غياب بعذر",'KG1-5'!$AD$7:$IM$7,"✓",'KG1-5'!$AD$6:$IM$6,1,'KG1-5'!$AD$5:$IM$5,"&gt;="&amp;MAX('KG1-5'!$U28,Dash_PStart),'KG1-5'!$AD$5:$IM$5,"&lt;="&amp;Dash_PEnd)+COUNTIFS('KG1-5'!$AD28:$IM28,"متأخر",'KG1-5'!$AD$7:$IM$7,"✓",'KG1-5'!$AD$6:$IM$6,1,'KG1-5'!$AD$5:$IM$5,"&gt;="&amp;MAX('KG1-5'!$U28,Dash_PStart),'KG1-5'!$AD$5:$IM$5,"&lt;="&amp;Dash_PEnd))</f>
        <v/>
      </c>
      <c r="AJ144" s="40">
        <f>IF(AF144=0,0,IF(W144=Dash_Date,Thr_Critical,IF(V144=Dash_Date,Thr_High,IF(U144=Dash_Date,Thr_Repeated,IF(T144=Dash_Date,Thr_FollowUp,0)))))</f>
        <v/>
      </c>
      <c r="AK144" s="40">
        <f>IF(AJ144&gt;0,COUNTIF($AJ$5:AJ144,"&gt;0"),"")</f>
        <v/>
      </c>
      <c r="AL144" s="40">
        <f>IF(AND(B144&lt;&gt;"",F144="نشط",Q144&lt;&gt;"",Q144&gt;0),L144*1000+(999-ROW()),"")</f>
        <v/>
      </c>
      <c r="AM144" s="40">
        <f>IF(AND(AF144=1,J144&lt;&gt;"",J144&gt;0),ROUND(O144*10000,0)*1000000+K144*1000+(999-ROW()),"")</f>
        <v/>
      </c>
      <c r="AN144" s="40">
        <f>IF(AND(AF144=1,J144&lt;&gt;"",J144&gt;0),(L144+M144)*10000000+ROUND((1-O144)*10000,0)*1000+(999-ROW()),"")</f>
        <v/>
      </c>
      <c r="AO144" s="40">
        <f>IF(AND(AF144=1,Q144&lt;&gt;"",Q144&gt;=Thr_Critical),L144*1000+(999-ROW()),"")</f>
        <v/>
      </c>
      <c r="AP144" s="40">
        <f>IF(AND(B144&lt;&gt;"",F144="نشط",OR(Rpt_Class="الكل",D144=Rpt_Class)),1,0)</f>
        <v/>
      </c>
      <c r="AQ144" s="40">
        <f>IF(AND(AP144=1,Q144&lt;&gt;"",Q144&gt;0),L144*1000+(999-ROW()),"")</f>
        <v/>
      </c>
      <c r="AR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IF(LateAsPresent="نعم",COUNTIFS('KG1-5'!$AD28:$IM28,"متأخر",'KG1-5'!$AD$7:$IM$7,"✓",'KG1-5'!$AD$6:$IM$6,1,'KG1-5'!$AD$5:$IM$5,"&gt;="&amp;MAX('KG1-5'!$U28,Rpt_PStart),'KG1-5'!$AD$5:$IM$5,"&lt;="&amp;Rpt_PEnd),0))</f>
        <v/>
      </c>
      <c r="AS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COUNTIFS('KG1-5'!$AD28:$IM28,"غياب بدون عذر",'KG1-5'!$AD$7:$IM$7,"✓",'KG1-5'!$AD$6:$IM$6,1,'KG1-5'!$AD$5:$IM$5,"&gt;="&amp;MAX('KG1-5'!$U28,Rpt_PStart),'KG1-5'!$AD$5:$IM$5,"&lt;="&amp;Rpt_PEnd)+COUNTIFS('KG1-5'!$AD28:$IM28,"غياب بعذر",'KG1-5'!$AD$7:$IM$7,"✓",'KG1-5'!$AD$6:$IM$6,1,'KG1-5'!$AD$5:$IM$5,"&gt;="&amp;MAX('KG1-5'!$U28,Rpt_PStart),'KG1-5'!$AD$5:$IM$5,"&lt;="&amp;Rpt_PEnd)+COUNTIFS('KG1-5'!$AD28:$IM28,"متأخر",'KG1-5'!$AD$7:$IM$7,"✓",'KG1-5'!$AD$6:$IM$6,1,'KG1-5'!$AD$5:$IM$5,"&gt;="&amp;MAX('KG1-5'!$U28,Rpt_PStart),'KG1-5'!$AD$5:$IM$5,"&lt;="&amp;Rpt_PEnd))</f>
        <v/>
      </c>
      <c r="AT144" s="40">
        <f>IF(AP144=0,"",COUNTIFS('KG1-5'!$AD28:$IM28,"غياب بدون عذر",'KG1-5'!$AD$7:$IM$7,"✓",'KG1-5'!$AD$6:$IM$6,1,'KG1-5'!$AD$5:$IM$5,"&gt;="&amp;MAX('KG1-5'!$U28,Rpt_PStart),'KG1-5'!$AD$5:$IM$5,"&lt;="&amp;Rpt_PEnd)+COUNTIFS('KG1-5'!$AD28:$IM28,"غياب بعذر",'KG1-5'!$AD$7:$IM$7,"✓",'KG1-5'!$AD$6:$IM$6,1,'KG1-5'!$AD$5:$IM$5,"&gt;="&amp;MAX('KG1-5'!$U28,Rpt_PStart),'KG1-5'!$AD$5:$IM$5,"&lt;="&amp;Rpt_PEnd))</f>
        <v/>
      </c>
      <c r="AU144" s="40" t="n">
        <v>5</v>
      </c>
      <c r="AV144" s="40" t="n">
        <v>20</v>
      </c>
      <c r="AW144" s="40">
        <f>IF(OR(AP144=0,Rpt_DayIdx=0),"",IF(INDEX('KG1-5'!$AD$7:$IM$7,Rpt_DayIdx)&lt;&gt;"✓","",IF(INDEX('KG1-5'!$AD28:$IM28,Rpt_DayIdx)="","P",IFERROR(INDEX(StatusCodes,MATCH(INDEX('KG1-5'!$AD28:$IM28,Rpt_DayIdx),StatusLabels,0)),""))))</f>
        <v/>
      </c>
      <c r="AX144" s="40">
        <f>IF(AND(AP144=1,OR(AW144="A",AW144="E")),COUNTIFS($AP$5:AP144,1,$AW$5:AW144,"A")+COUNTIFS($AP$5:AP144,1,$AW$5:AW144,"E"),"")</f>
        <v/>
      </c>
    </row>
    <row r="145">
      <c r="A145" s="148">
        <f>IF(B145="","",ROW()-4)</f>
        <v/>
      </c>
      <c r="B145" s="148">
        <f>IF('KG1-5'!$B29="","",'KG1-5'!$B29)</f>
        <v/>
      </c>
      <c r="C145" s="146">
        <f>IF('KG1-5'!$C29="","",'KG1-5'!$C29)</f>
        <v/>
      </c>
      <c r="D145" s="148">
        <f>IF(B145="","",'KG1-5'!$B$2)</f>
        <v/>
      </c>
      <c r="E145" s="148">
        <f>IF(B145="","",MID(D145,FIND("-",D145&amp;"-")+1,10))</f>
        <v/>
      </c>
      <c r="F145" s="148">
        <f>IF(B145="","","نشط")</f>
        <v/>
      </c>
      <c r="G145" s="157">
        <f>IF(B145="","","")</f>
        <v/>
      </c>
      <c r="H145" s="146">
        <f>IF('KG1-5'!$K29="","",'KG1-5'!$K29)</f>
        <v/>
      </c>
      <c r="I145" s="148">
        <f>IF('KG1-5'!$J29="","",'KG1-5'!$J29)</f>
        <v/>
      </c>
      <c r="J145" s="148">
        <f>IF('KG1-5'!$M29="","",'KG1-5'!$M29)</f>
        <v/>
      </c>
      <c r="K145" s="148">
        <f>IF('KG1-5'!$N29="","",'KG1-5'!$N29)</f>
        <v/>
      </c>
      <c r="L145" s="148">
        <f>IF('KG1-5'!$D29="","",'KG1-5'!$D29)</f>
        <v/>
      </c>
      <c r="M145" s="148">
        <f>IF('KG1-5'!$E29="","",'KG1-5'!$E29)</f>
        <v/>
      </c>
      <c r="N145" s="148">
        <f>IF('KG1-5'!$F29="","",'KG1-5'!$F29)</f>
        <v/>
      </c>
      <c r="O145" s="158">
        <f>IF('KG1-5'!$G29="","",'KG1-5'!$G29)</f>
        <v/>
      </c>
      <c r="P145" s="158">
        <f>IF('KG1-5'!$O29="","",'KG1-5'!$O29)</f>
        <v/>
      </c>
      <c r="Q145" s="148">
        <f>IF('KG1-5'!$T29="","",'KG1-5'!$T29)</f>
        <v/>
      </c>
      <c r="R145" s="146">
        <f>IF('KG1-5'!$H29="","",'KG1-5'!$H29)</f>
        <v/>
      </c>
      <c r="S145" s="157">
        <f>IF('KG1-5'!$P29="","",'KG1-5'!$P29)</f>
        <v/>
      </c>
      <c r="T145" s="157">
        <f>IF('KG1-5'!$V29="","",'KG1-5'!$V29)</f>
        <v/>
      </c>
      <c r="U145" s="157">
        <f>IF('KG1-5'!$W29="","",'KG1-5'!$W29)</f>
        <v/>
      </c>
      <c r="V145" s="157">
        <f>IF('KG1-5'!$X29="","",'KG1-5'!$X29)</f>
        <v/>
      </c>
      <c r="W145" s="157">
        <f>IF('KG1-5'!$Y29="","",'KG1-5'!$Y29)</f>
        <v/>
      </c>
      <c r="X145" s="157">
        <f>IF('KG1-5'!$R29="","",'KG1-5'!$R29)</f>
        <v/>
      </c>
      <c r="Y145" s="148">
        <f>IF('KG1-5'!$S29="","",'KG1-5'!$S29)</f>
        <v/>
      </c>
      <c r="Z145" s="148">
        <f>IF('KG1-5'!$Q29="","",'KG1-5'!$Q29)</f>
        <v/>
      </c>
      <c r="AA145" s="148">
        <f>IF('KG1-5'!$I29="","",'KG1-5'!$I29)</f>
        <v/>
      </c>
      <c r="AB145" s="146">
        <f>IF(Q145="","",INDEX(LevelActions,MATCH(Q145,LevelValues,0)))</f>
        <v/>
      </c>
      <c r="AC145" s="148">
        <f>IF(J145="","",IF(J145=0,"—",IF(AND(L145=0,M145=0),Cat_L1,IF(O145&gt;=Cat_95,Cat_L2,IF(O145&gt;=Cat_90,Cat_L3,Cat_L4)))))</f>
        <v/>
      </c>
      <c r="AD145" s="146">
        <f>IF('KG1-5'!$L29="","",'KG1-5'!$L29)</f>
        <v/>
      </c>
      <c r="AE145" s="148">
        <f>IF(B145="","",IF(COUNTIF($B$5:$B$214,B145)&gt;1,"مكرر!",""))</f>
        <v/>
      </c>
      <c r="AF145" s="148">
        <f>IF(AND(B145&lt;&gt;"",F145="نشط",OR(Dash_Class="الكل",D145=Dash_Class)),1,0)</f>
        <v/>
      </c>
      <c r="AG145" s="40">
        <f>IF(OR(AF145=0,Dash_DayIdx=0),"",IF(INDEX('KG1-5'!$AD$7:$IM$7,Dash_DayIdx)&lt;&gt;"✓","",IF(INDEX('KG1-5'!$AD29:$IM29,Dash_DayIdx)="","P",IFERROR(INDEX(StatusCodes,MATCH(INDEX('KG1-5'!$AD29:$IM29,Dash_DayIdx),StatusLabels,0)),""))))</f>
        <v/>
      </c>
      <c r="AH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IF(LateAsPresent="نعم",COUNTIFS('KG1-5'!$AD29:$IM29,"متأخر",'KG1-5'!$AD$7:$IM$7,"✓",'KG1-5'!$AD$6:$IM$6,1,'KG1-5'!$AD$5:$IM$5,"&gt;="&amp;MAX('KG1-5'!$U29,Dash_PStart),'KG1-5'!$AD$5:$IM$5,"&lt;="&amp;Dash_PEnd),0))</f>
        <v/>
      </c>
      <c r="AI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COUNTIFS('KG1-5'!$AD29:$IM29,"غياب بدون عذر",'KG1-5'!$AD$7:$IM$7,"✓",'KG1-5'!$AD$6:$IM$6,1,'KG1-5'!$AD$5:$IM$5,"&gt;="&amp;MAX('KG1-5'!$U29,Dash_PStart),'KG1-5'!$AD$5:$IM$5,"&lt;="&amp;Dash_PEnd)+COUNTIFS('KG1-5'!$AD29:$IM29,"غياب بعذر",'KG1-5'!$AD$7:$IM$7,"✓",'KG1-5'!$AD$6:$IM$6,1,'KG1-5'!$AD$5:$IM$5,"&gt;="&amp;MAX('KG1-5'!$U29,Dash_PStart),'KG1-5'!$AD$5:$IM$5,"&lt;="&amp;Dash_PEnd)+COUNTIFS('KG1-5'!$AD29:$IM29,"متأخر",'KG1-5'!$AD$7:$IM$7,"✓",'KG1-5'!$AD$6:$IM$6,1,'KG1-5'!$AD$5:$IM$5,"&gt;="&amp;MAX('KG1-5'!$U29,Dash_PStart),'KG1-5'!$AD$5:$IM$5,"&lt;="&amp;Dash_PEnd))</f>
        <v/>
      </c>
      <c r="AJ145" s="40">
        <f>IF(AF145=0,0,IF(W145=Dash_Date,Thr_Critical,IF(V145=Dash_Date,Thr_High,IF(U145=Dash_Date,Thr_Repeated,IF(T145=Dash_Date,Thr_FollowUp,0)))))</f>
        <v/>
      </c>
      <c r="AK145" s="40">
        <f>IF(AJ145&gt;0,COUNTIF($AJ$5:AJ145,"&gt;0"),"")</f>
        <v/>
      </c>
      <c r="AL145" s="40">
        <f>IF(AND(B145&lt;&gt;"",F145="نشط",Q145&lt;&gt;"",Q145&gt;0),L145*1000+(999-ROW()),"")</f>
        <v/>
      </c>
      <c r="AM145" s="40">
        <f>IF(AND(AF145=1,J145&lt;&gt;"",J145&gt;0),ROUND(O145*10000,0)*1000000+K145*1000+(999-ROW()),"")</f>
        <v/>
      </c>
      <c r="AN145" s="40">
        <f>IF(AND(AF145=1,J145&lt;&gt;"",J145&gt;0),(L145+M145)*10000000+ROUND((1-O145)*10000,0)*1000+(999-ROW()),"")</f>
        <v/>
      </c>
      <c r="AO145" s="40">
        <f>IF(AND(AF145=1,Q145&lt;&gt;"",Q145&gt;=Thr_Critical),L145*1000+(999-ROW()),"")</f>
        <v/>
      </c>
      <c r="AP145" s="40">
        <f>IF(AND(B145&lt;&gt;"",F145="نشط",OR(Rpt_Class="الكل",D145=Rpt_Class)),1,0)</f>
        <v/>
      </c>
      <c r="AQ145" s="40">
        <f>IF(AND(AP145=1,Q145&lt;&gt;"",Q145&gt;0),L145*1000+(999-ROW()),"")</f>
        <v/>
      </c>
      <c r="AR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IF(LateAsPresent="نعم",COUNTIFS('KG1-5'!$AD29:$IM29,"متأخر",'KG1-5'!$AD$7:$IM$7,"✓",'KG1-5'!$AD$6:$IM$6,1,'KG1-5'!$AD$5:$IM$5,"&gt;="&amp;MAX('KG1-5'!$U29,Rpt_PStart),'KG1-5'!$AD$5:$IM$5,"&lt;="&amp;Rpt_PEnd),0))</f>
        <v/>
      </c>
      <c r="AS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COUNTIFS('KG1-5'!$AD29:$IM29,"غياب بدون عذر",'KG1-5'!$AD$7:$IM$7,"✓",'KG1-5'!$AD$6:$IM$6,1,'KG1-5'!$AD$5:$IM$5,"&gt;="&amp;MAX('KG1-5'!$U29,Rpt_PStart),'KG1-5'!$AD$5:$IM$5,"&lt;="&amp;Rpt_PEnd)+COUNTIFS('KG1-5'!$AD29:$IM29,"غياب بعذر",'KG1-5'!$AD$7:$IM$7,"✓",'KG1-5'!$AD$6:$IM$6,1,'KG1-5'!$AD$5:$IM$5,"&gt;="&amp;MAX('KG1-5'!$U29,Rpt_PStart),'KG1-5'!$AD$5:$IM$5,"&lt;="&amp;Rpt_PEnd)+COUNTIFS('KG1-5'!$AD29:$IM29,"متأخر",'KG1-5'!$AD$7:$IM$7,"✓",'KG1-5'!$AD$6:$IM$6,1,'KG1-5'!$AD$5:$IM$5,"&gt;="&amp;MAX('KG1-5'!$U29,Rpt_PStart),'KG1-5'!$AD$5:$IM$5,"&lt;="&amp;Rpt_PEnd))</f>
        <v/>
      </c>
      <c r="AT145" s="40">
        <f>IF(AP145=0,"",COUNTIFS('KG1-5'!$AD29:$IM29,"غياب بدون عذر",'KG1-5'!$AD$7:$IM$7,"✓",'KG1-5'!$AD$6:$IM$6,1,'KG1-5'!$AD$5:$IM$5,"&gt;="&amp;MAX('KG1-5'!$U29,Rpt_PStart),'KG1-5'!$AD$5:$IM$5,"&lt;="&amp;Rpt_PEnd)+COUNTIFS('KG1-5'!$AD29:$IM29,"غياب بعذر",'KG1-5'!$AD$7:$IM$7,"✓",'KG1-5'!$AD$6:$IM$6,1,'KG1-5'!$AD$5:$IM$5,"&gt;="&amp;MAX('KG1-5'!$U29,Rpt_PStart),'KG1-5'!$AD$5:$IM$5,"&lt;="&amp;Rpt_PEnd))</f>
        <v/>
      </c>
      <c r="AU145" s="40" t="n">
        <v>5</v>
      </c>
      <c r="AV145" s="40" t="n">
        <v>21</v>
      </c>
      <c r="AW145" s="40">
        <f>IF(OR(AP145=0,Rpt_DayIdx=0),"",IF(INDEX('KG1-5'!$AD$7:$IM$7,Rpt_DayIdx)&lt;&gt;"✓","",IF(INDEX('KG1-5'!$AD29:$IM29,Rpt_DayIdx)="","P",IFERROR(INDEX(StatusCodes,MATCH(INDEX('KG1-5'!$AD29:$IM29,Rpt_DayIdx),StatusLabels,0)),""))))</f>
        <v/>
      </c>
      <c r="AX145" s="40">
        <f>IF(AND(AP145=1,OR(AW145="A",AW145="E")),COUNTIFS($AP$5:AP145,1,$AW$5:AW145,"A")+COUNTIFS($AP$5:AP145,1,$AW$5:AW145,"E"),"")</f>
        <v/>
      </c>
    </row>
    <row r="146">
      <c r="A146" s="148">
        <f>IF(B146="","",ROW()-4)</f>
        <v/>
      </c>
      <c r="B146" s="148">
        <f>IF('KG1-5'!$B30="","",'KG1-5'!$B30)</f>
        <v/>
      </c>
      <c r="C146" s="146">
        <f>IF('KG1-5'!$C30="","",'KG1-5'!$C30)</f>
        <v/>
      </c>
      <c r="D146" s="148">
        <f>IF(B146="","",'KG1-5'!$B$2)</f>
        <v/>
      </c>
      <c r="E146" s="148">
        <f>IF(B146="","",MID(D146,FIND("-",D146&amp;"-")+1,10))</f>
        <v/>
      </c>
      <c r="F146" s="148">
        <f>IF(B146="","","نشط")</f>
        <v/>
      </c>
      <c r="G146" s="157">
        <f>IF(B146="","","")</f>
        <v/>
      </c>
      <c r="H146" s="146">
        <f>IF('KG1-5'!$K30="","",'KG1-5'!$K30)</f>
        <v/>
      </c>
      <c r="I146" s="148">
        <f>IF('KG1-5'!$J30="","",'KG1-5'!$J30)</f>
        <v/>
      </c>
      <c r="J146" s="148">
        <f>IF('KG1-5'!$M30="","",'KG1-5'!$M30)</f>
        <v/>
      </c>
      <c r="K146" s="148">
        <f>IF('KG1-5'!$N30="","",'KG1-5'!$N30)</f>
        <v/>
      </c>
      <c r="L146" s="148">
        <f>IF('KG1-5'!$D30="","",'KG1-5'!$D30)</f>
        <v/>
      </c>
      <c r="M146" s="148">
        <f>IF('KG1-5'!$E30="","",'KG1-5'!$E30)</f>
        <v/>
      </c>
      <c r="N146" s="148">
        <f>IF('KG1-5'!$F30="","",'KG1-5'!$F30)</f>
        <v/>
      </c>
      <c r="O146" s="158">
        <f>IF('KG1-5'!$G30="","",'KG1-5'!$G30)</f>
        <v/>
      </c>
      <c r="P146" s="158">
        <f>IF('KG1-5'!$O30="","",'KG1-5'!$O30)</f>
        <v/>
      </c>
      <c r="Q146" s="148">
        <f>IF('KG1-5'!$T30="","",'KG1-5'!$T30)</f>
        <v/>
      </c>
      <c r="R146" s="146">
        <f>IF('KG1-5'!$H30="","",'KG1-5'!$H30)</f>
        <v/>
      </c>
      <c r="S146" s="157">
        <f>IF('KG1-5'!$P30="","",'KG1-5'!$P30)</f>
        <v/>
      </c>
      <c r="T146" s="157">
        <f>IF('KG1-5'!$V30="","",'KG1-5'!$V30)</f>
        <v/>
      </c>
      <c r="U146" s="157">
        <f>IF('KG1-5'!$W30="","",'KG1-5'!$W30)</f>
        <v/>
      </c>
      <c r="V146" s="157">
        <f>IF('KG1-5'!$X30="","",'KG1-5'!$X30)</f>
        <v/>
      </c>
      <c r="W146" s="157">
        <f>IF('KG1-5'!$Y30="","",'KG1-5'!$Y30)</f>
        <v/>
      </c>
      <c r="X146" s="157">
        <f>IF('KG1-5'!$R30="","",'KG1-5'!$R30)</f>
        <v/>
      </c>
      <c r="Y146" s="148">
        <f>IF('KG1-5'!$S30="","",'KG1-5'!$S30)</f>
        <v/>
      </c>
      <c r="Z146" s="148">
        <f>IF('KG1-5'!$Q30="","",'KG1-5'!$Q30)</f>
        <v/>
      </c>
      <c r="AA146" s="148">
        <f>IF('KG1-5'!$I30="","",'KG1-5'!$I30)</f>
        <v/>
      </c>
      <c r="AB146" s="146">
        <f>IF(Q146="","",INDEX(LevelActions,MATCH(Q146,LevelValues,0)))</f>
        <v/>
      </c>
      <c r="AC146" s="148">
        <f>IF(J146="","",IF(J146=0,"—",IF(AND(L146=0,M146=0),Cat_L1,IF(O146&gt;=Cat_95,Cat_L2,IF(O146&gt;=Cat_90,Cat_L3,Cat_L4)))))</f>
        <v/>
      </c>
      <c r="AD146" s="146">
        <f>IF('KG1-5'!$L30="","",'KG1-5'!$L30)</f>
        <v/>
      </c>
      <c r="AE146" s="148">
        <f>IF(B146="","",IF(COUNTIF($B$5:$B$214,B146)&gt;1,"مكرر!",""))</f>
        <v/>
      </c>
      <c r="AF146" s="148">
        <f>IF(AND(B146&lt;&gt;"",F146="نشط",OR(Dash_Class="الكل",D146=Dash_Class)),1,0)</f>
        <v/>
      </c>
      <c r="AG146" s="40">
        <f>IF(OR(AF146=0,Dash_DayIdx=0),"",IF(INDEX('KG1-5'!$AD$7:$IM$7,Dash_DayIdx)&lt;&gt;"✓","",IF(INDEX('KG1-5'!$AD30:$IM30,Dash_DayIdx)="","P",IFERROR(INDEX(StatusCodes,MATCH(INDEX('KG1-5'!$AD30:$IM30,Dash_DayIdx),StatusLabels,0)),""))))</f>
        <v/>
      </c>
      <c r="AH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IF(LateAsPresent="نعم",COUNTIFS('KG1-5'!$AD30:$IM30,"متأخر",'KG1-5'!$AD$7:$IM$7,"✓",'KG1-5'!$AD$6:$IM$6,1,'KG1-5'!$AD$5:$IM$5,"&gt;="&amp;MAX('KG1-5'!$U30,Dash_PStart),'KG1-5'!$AD$5:$IM$5,"&lt;="&amp;Dash_PEnd),0))</f>
        <v/>
      </c>
      <c r="AI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COUNTIFS('KG1-5'!$AD30:$IM30,"غياب بدون عذر",'KG1-5'!$AD$7:$IM$7,"✓",'KG1-5'!$AD$6:$IM$6,1,'KG1-5'!$AD$5:$IM$5,"&gt;="&amp;MAX('KG1-5'!$U30,Dash_PStart),'KG1-5'!$AD$5:$IM$5,"&lt;="&amp;Dash_PEnd)+COUNTIFS('KG1-5'!$AD30:$IM30,"غياب بعذر",'KG1-5'!$AD$7:$IM$7,"✓",'KG1-5'!$AD$6:$IM$6,1,'KG1-5'!$AD$5:$IM$5,"&gt;="&amp;MAX('KG1-5'!$U30,Dash_PStart),'KG1-5'!$AD$5:$IM$5,"&lt;="&amp;Dash_PEnd)+COUNTIFS('KG1-5'!$AD30:$IM30,"متأخر",'KG1-5'!$AD$7:$IM$7,"✓",'KG1-5'!$AD$6:$IM$6,1,'KG1-5'!$AD$5:$IM$5,"&gt;="&amp;MAX('KG1-5'!$U30,Dash_PStart),'KG1-5'!$AD$5:$IM$5,"&lt;="&amp;Dash_PEnd))</f>
        <v/>
      </c>
      <c r="AJ146" s="40">
        <f>IF(AF146=0,0,IF(W146=Dash_Date,Thr_Critical,IF(V146=Dash_Date,Thr_High,IF(U146=Dash_Date,Thr_Repeated,IF(T146=Dash_Date,Thr_FollowUp,0)))))</f>
        <v/>
      </c>
      <c r="AK146" s="40">
        <f>IF(AJ146&gt;0,COUNTIF($AJ$5:AJ146,"&gt;0"),"")</f>
        <v/>
      </c>
      <c r="AL146" s="40">
        <f>IF(AND(B146&lt;&gt;"",F146="نشط",Q146&lt;&gt;"",Q146&gt;0),L146*1000+(999-ROW()),"")</f>
        <v/>
      </c>
      <c r="AM146" s="40">
        <f>IF(AND(AF146=1,J146&lt;&gt;"",J146&gt;0),ROUND(O146*10000,0)*1000000+K146*1000+(999-ROW()),"")</f>
        <v/>
      </c>
      <c r="AN146" s="40">
        <f>IF(AND(AF146=1,J146&lt;&gt;"",J146&gt;0),(L146+M146)*10000000+ROUND((1-O146)*10000,0)*1000+(999-ROW()),"")</f>
        <v/>
      </c>
      <c r="AO146" s="40">
        <f>IF(AND(AF146=1,Q146&lt;&gt;"",Q146&gt;=Thr_Critical),L146*1000+(999-ROW()),"")</f>
        <v/>
      </c>
      <c r="AP146" s="40">
        <f>IF(AND(B146&lt;&gt;"",F146="نشط",OR(Rpt_Class="الكل",D146=Rpt_Class)),1,0)</f>
        <v/>
      </c>
      <c r="AQ146" s="40">
        <f>IF(AND(AP146=1,Q146&lt;&gt;"",Q146&gt;0),L146*1000+(999-ROW()),"")</f>
        <v/>
      </c>
      <c r="AR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IF(LateAsPresent="نعم",COUNTIFS('KG1-5'!$AD30:$IM30,"متأخر",'KG1-5'!$AD$7:$IM$7,"✓",'KG1-5'!$AD$6:$IM$6,1,'KG1-5'!$AD$5:$IM$5,"&gt;="&amp;MAX('KG1-5'!$U30,Rpt_PStart),'KG1-5'!$AD$5:$IM$5,"&lt;="&amp;Rpt_PEnd),0))</f>
        <v/>
      </c>
      <c r="AS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COUNTIFS('KG1-5'!$AD30:$IM30,"غياب بدون عذر",'KG1-5'!$AD$7:$IM$7,"✓",'KG1-5'!$AD$6:$IM$6,1,'KG1-5'!$AD$5:$IM$5,"&gt;="&amp;MAX('KG1-5'!$U30,Rpt_PStart),'KG1-5'!$AD$5:$IM$5,"&lt;="&amp;Rpt_PEnd)+COUNTIFS('KG1-5'!$AD30:$IM30,"غياب بعذر",'KG1-5'!$AD$7:$IM$7,"✓",'KG1-5'!$AD$6:$IM$6,1,'KG1-5'!$AD$5:$IM$5,"&gt;="&amp;MAX('KG1-5'!$U30,Rpt_PStart),'KG1-5'!$AD$5:$IM$5,"&lt;="&amp;Rpt_PEnd)+COUNTIFS('KG1-5'!$AD30:$IM30,"متأخر",'KG1-5'!$AD$7:$IM$7,"✓",'KG1-5'!$AD$6:$IM$6,1,'KG1-5'!$AD$5:$IM$5,"&gt;="&amp;MAX('KG1-5'!$U30,Rpt_PStart),'KG1-5'!$AD$5:$IM$5,"&lt;="&amp;Rpt_PEnd))</f>
        <v/>
      </c>
      <c r="AT146" s="40">
        <f>IF(AP146=0,"",COUNTIFS('KG1-5'!$AD30:$IM30,"غياب بدون عذر",'KG1-5'!$AD$7:$IM$7,"✓",'KG1-5'!$AD$6:$IM$6,1,'KG1-5'!$AD$5:$IM$5,"&gt;="&amp;MAX('KG1-5'!$U30,Rpt_PStart),'KG1-5'!$AD$5:$IM$5,"&lt;="&amp;Rpt_PEnd)+COUNTIFS('KG1-5'!$AD30:$IM30,"غياب بعذر",'KG1-5'!$AD$7:$IM$7,"✓",'KG1-5'!$AD$6:$IM$6,1,'KG1-5'!$AD$5:$IM$5,"&gt;="&amp;MAX('KG1-5'!$U30,Rpt_PStart),'KG1-5'!$AD$5:$IM$5,"&lt;="&amp;Rpt_PEnd))</f>
        <v/>
      </c>
      <c r="AU146" s="40" t="n">
        <v>5</v>
      </c>
      <c r="AV146" s="40" t="n">
        <v>22</v>
      </c>
      <c r="AW146" s="40">
        <f>IF(OR(AP146=0,Rpt_DayIdx=0),"",IF(INDEX('KG1-5'!$AD$7:$IM$7,Rpt_DayIdx)&lt;&gt;"✓","",IF(INDEX('KG1-5'!$AD30:$IM30,Rpt_DayIdx)="","P",IFERROR(INDEX(StatusCodes,MATCH(INDEX('KG1-5'!$AD30:$IM30,Rpt_DayIdx),StatusLabels,0)),""))))</f>
        <v/>
      </c>
      <c r="AX146" s="40">
        <f>IF(AND(AP146=1,OR(AW146="A",AW146="E")),COUNTIFS($AP$5:AP146,1,$AW$5:AW146,"A")+COUNTIFS($AP$5:AP146,1,$AW$5:AW146,"E"),"")</f>
        <v/>
      </c>
    </row>
    <row r="147">
      <c r="A147" s="148">
        <f>IF(B147="","",ROW()-4)</f>
        <v/>
      </c>
      <c r="B147" s="148">
        <f>IF('KG1-5'!$B31="","",'KG1-5'!$B31)</f>
        <v/>
      </c>
      <c r="C147" s="146">
        <f>IF('KG1-5'!$C31="","",'KG1-5'!$C31)</f>
        <v/>
      </c>
      <c r="D147" s="148">
        <f>IF(B147="","",'KG1-5'!$B$2)</f>
        <v/>
      </c>
      <c r="E147" s="148">
        <f>IF(B147="","",MID(D147,FIND("-",D147&amp;"-")+1,10))</f>
        <v/>
      </c>
      <c r="F147" s="148">
        <f>IF(B147="","","نشط")</f>
        <v/>
      </c>
      <c r="G147" s="157">
        <f>IF(B147="","","")</f>
        <v/>
      </c>
      <c r="H147" s="146">
        <f>IF('KG1-5'!$K31="","",'KG1-5'!$K31)</f>
        <v/>
      </c>
      <c r="I147" s="148">
        <f>IF('KG1-5'!$J31="","",'KG1-5'!$J31)</f>
        <v/>
      </c>
      <c r="J147" s="148">
        <f>IF('KG1-5'!$M31="","",'KG1-5'!$M31)</f>
        <v/>
      </c>
      <c r="K147" s="148">
        <f>IF('KG1-5'!$N31="","",'KG1-5'!$N31)</f>
        <v/>
      </c>
      <c r="L147" s="148">
        <f>IF('KG1-5'!$D31="","",'KG1-5'!$D31)</f>
        <v/>
      </c>
      <c r="M147" s="148">
        <f>IF('KG1-5'!$E31="","",'KG1-5'!$E31)</f>
        <v/>
      </c>
      <c r="N147" s="148">
        <f>IF('KG1-5'!$F31="","",'KG1-5'!$F31)</f>
        <v/>
      </c>
      <c r="O147" s="158">
        <f>IF('KG1-5'!$G31="","",'KG1-5'!$G31)</f>
        <v/>
      </c>
      <c r="P147" s="158">
        <f>IF('KG1-5'!$O31="","",'KG1-5'!$O31)</f>
        <v/>
      </c>
      <c r="Q147" s="148">
        <f>IF('KG1-5'!$T31="","",'KG1-5'!$T31)</f>
        <v/>
      </c>
      <c r="R147" s="146">
        <f>IF('KG1-5'!$H31="","",'KG1-5'!$H31)</f>
        <v/>
      </c>
      <c r="S147" s="157">
        <f>IF('KG1-5'!$P31="","",'KG1-5'!$P31)</f>
        <v/>
      </c>
      <c r="T147" s="157">
        <f>IF('KG1-5'!$V31="","",'KG1-5'!$V31)</f>
        <v/>
      </c>
      <c r="U147" s="157">
        <f>IF('KG1-5'!$W31="","",'KG1-5'!$W31)</f>
        <v/>
      </c>
      <c r="V147" s="157">
        <f>IF('KG1-5'!$X31="","",'KG1-5'!$X31)</f>
        <v/>
      </c>
      <c r="W147" s="157">
        <f>IF('KG1-5'!$Y31="","",'KG1-5'!$Y31)</f>
        <v/>
      </c>
      <c r="X147" s="157">
        <f>IF('KG1-5'!$R31="","",'KG1-5'!$R31)</f>
        <v/>
      </c>
      <c r="Y147" s="148">
        <f>IF('KG1-5'!$S31="","",'KG1-5'!$S31)</f>
        <v/>
      </c>
      <c r="Z147" s="148">
        <f>IF('KG1-5'!$Q31="","",'KG1-5'!$Q31)</f>
        <v/>
      </c>
      <c r="AA147" s="148">
        <f>IF('KG1-5'!$I31="","",'KG1-5'!$I31)</f>
        <v/>
      </c>
      <c r="AB147" s="146">
        <f>IF(Q147="","",INDEX(LevelActions,MATCH(Q147,LevelValues,0)))</f>
        <v/>
      </c>
      <c r="AC147" s="148">
        <f>IF(J147="","",IF(J147=0,"—",IF(AND(L147=0,M147=0),Cat_L1,IF(O147&gt;=Cat_95,Cat_L2,IF(O147&gt;=Cat_90,Cat_L3,Cat_L4)))))</f>
        <v/>
      </c>
      <c r="AD147" s="146">
        <f>IF('KG1-5'!$L31="","",'KG1-5'!$L31)</f>
        <v/>
      </c>
      <c r="AE147" s="148">
        <f>IF(B147="","",IF(COUNTIF($B$5:$B$214,B147)&gt;1,"مكرر!",""))</f>
        <v/>
      </c>
      <c r="AF147" s="148">
        <f>IF(AND(B147&lt;&gt;"",F147="نشط",OR(Dash_Class="الكل",D147=Dash_Class)),1,0)</f>
        <v/>
      </c>
      <c r="AG147" s="40">
        <f>IF(OR(AF147=0,Dash_DayIdx=0),"",IF(INDEX('KG1-5'!$AD$7:$IM$7,Dash_DayIdx)&lt;&gt;"✓","",IF(INDEX('KG1-5'!$AD31:$IM31,Dash_DayIdx)="","P",IFERROR(INDEX(StatusCodes,MATCH(INDEX('KG1-5'!$AD31:$IM31,Dash_DayIdx),StatusLabels,0)),""))))</f>
        <v/>
      </c>
      <c r="AH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IF(LateAsPresent="نعم",COUNTIFS('KG1-5'!$AD31:$IM31,"متأخر",'KG1-5'!$AD$7:$IM$7,"✓",'KG1-5'!$AD$6:$IM$6,1,'KG1-5'!$AD$5:$IM$5,"&gt;="&amp;MAX('KG1-5'!$U31,Dash_PStart),'KG1-5'!$AD$5:$IM$5,"&lt;="&amp;Dash_PEnd),0))</f>
        <v/>
      </c>
      <c r="AI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COUNTIFS('KG1-5'!$AD31:$IM31,"غياب بدون عذر",'KG1-5'!$AD$7:$IM$7,"✓",'KG1-5'!$AD$6:$IM$6,1,'KG1-5'!$AD$5:$IM$5,"&gt;="&amp;MAX('KG1-5'!$U31,Dash_PStart),'KG1-5'!$AD$5:$IM$5,"&lt;="&amp;Dash_PEnd)+COUNTIFS('KG1-5'!$AD31:$IM31,"غياب بعذر",'KG1-5'!$AD$7:$IM$7,"✓",'KG1-5'!$AD$6:$IM$6,1,'KG1-5'!$AD$5:$IM$5,"&gt;="&amp;MAX('KG1-5'!$U31,Dash_PStart),'KG1-5'!$AD$5:$IM$5,"&lt;="&amp;Dash_PEnd)+COUNTIFS('KG1-5'!$AD31:$IM31,"متأخر",'KG1-5'!$AD$7:$IM$7,"✓",'KG1-5'!$AD$6:$IM$6,1,'KG1-5'!$AD$5:$IM$5,"&gt;="&amp;MAX('KG1-5'!$U31,Dash_PStart),'KG1-5'!$AD$5:$IM$5,"&lt;="&amp;Dash_PEnd))</f>
        <v/>
      </c>
      <c r="AJ147" s="40">
        <f>IF(AF147=0,0,IF(W147=Dash_Date,Thr_Critical,IF(V147=Dash_Date,Thr_High,IF(U147=Dash_Date,Thr_Repeated,IF(T147=Dash_Date,Thr_FollowUp,0)))))</f>
        <v/>
      </c>
      <c r="AK147" s="40">
        <f>IF(AJ147&gt;0,COUNTIF($AJ$5:AJ147,"&gt;0"),"")</f>
        <v/>
      </c>
      <c r="AL147" s="40">
        <f>IF(AND(B147&lt;&gt;"",F147="نشط",Q147&lt;&gt;"",Q147&gt;0),L147*1000+(999-ROW()),"")</f>
        <v/>
      </c>
      <c r="AM147" s="40">
        <f>IF(AND(AF147=1,J147&lt;&gt;"",J147&gt;0),ROUND(O147*10000,0)*1000000+K147*1000+(999-ROW()),"")</f>
        <v/>
      </c>
      <c r="AN147" s="40">
        <f>IF(AND(AF147=1,J147&lt;&gt;"",J147&gt;0),(L147+M147)*10000000+ROUND((1-O147)*10000,0)*1000+(999-ROW()),"")</f>
        <v/>
      </c>
      <c r="AO147" s="40">
        <f>IF(AND(AF147=1,Q147&lt;&gt;"",Q147&gt;=Thr_Critical),L147*1000+(999-ROW()),"")</f>
        <v/>
      </c>
      <c r="AP147" s="40">
        <f>IF(AND(B147&lt;&gt;"",F147="نشط",OR(Rpt_Class="الكل",D147=Rpt_Class)),1,0)</f>
        <v/>
      </c>
      <c r="AQ147" s="40">
        <f>IF(AND(AP147=1,Q147&lt;&gt;"",Q147&gt;0),L147*1000+(999-ROW()),"")</f>
        <v/>
      </c>
      <c r="AR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IF(LateAsPresent="نعم",COUNTIFS('KG1-5'!$AD31:$IM31,"متأخر",'KG1-5'!$AD$7:$IM$7,"✓",'KG1-5'!$AD$6:$IM$6,1,'KG1-5'!$AD$5:$IM$5,"&gt;="&amp;MAX('KG1-5'!$U31,Rpt_PStart),'KG1-5'!$AD$5:$IM$5,"&lt;="&amp;Rpt_PEnd),0))</f>
        <v/>
      </c>
      <c r="AS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COUNTIFS('KG1-5'!$AD31:$IM31,"غياب بدون عذر",'KG1-5'!$AD$7:$IM$7,"✓",'KG1-5'!$AD$6:$IM$6,1,'KG1-5'!$AD$5:$IM$5,"&gt;="&amp;MAX('KG1-5'!$U31,Rpt_PStart),'KG1-5'!$AD$5:$IM$5,"&lt;="&amp;Rpt_PEnd)+COUNTIFS('KG1-5'!$AD31:$IM31,"غياب بعذر",'KG1-5'!$AD$7:$IM$7,"✓",'KG1-5'!$AD$6:$IM$6,1,'KG1-5'!$AD$5:$IM$5,"&gt;="&amp;MAX('KG1-5'!$U31,Rpt_PStart),'KG1-5'!$AD$5:$IM$5,"&lt;="&amp;Rpt_PEnd)+COUNTIFS('KG1-5'!$AD31:$IM31,"متأخر",'KG1-5'!$AD$7:$IM$7,"✓",'KG1-5'!$AD$6:$IM$6,1,'KG1-5'!$AD$5:$IM$5,"&gt;="&amp;MAX('KG1-5'!$U31,Rpt_PStart),'KG1-5'!$AD$5:$IM$5,"&lt;="&amp;Rpt_PEnd))</f>
        <v/>
      </c>
      <c r="AT147" s="40">
        <f>IF(AP147=0,"",COUNTIFS('KG1-5'!$AD31:$IM31,"غياب بدون عذر",'KG1-5'!$AD$7:$IM$7,"✓",'KG1-5'!$AD$6:$IM$6,1,'KG1-5'!$AD$5:$IM$5,"&gt;="&amp;MAX('KG1-5'!$U31,Rpt_PStart),'KG1-5'!$AD$5:$IM$5,"&lt;="&amp;Rpt_PEnd)+COUNTIFS('KG1-5'!$AD31:$IM31,"غياب بعذر",'KG1-5'!$AD$7:$IM$7,"✓",'KG1-5'!$AD$6:$IM$6,1,'KG1-5'!$AD$5:$IM$5,"&gt;="&amp;MAX('KG1-5'!$U31,Rpt_PStart),'KG1-5'!$AD$5:$IM$5,"&lt;="&amp;Rpt_PEnd))</f>
        <v/>
      </c>
      <c r="AU147" s="40" t="n">
        <v>5</v>
      </c>
      <c r="AV147" s="40" t="n">
        <v>23</v>
      </c>
      <c r="AW147" s="40">
        <f>IF(OR(AP147=0,Rpt_DayIdx=0),"",IF(INDEX('KG1-5'!$AD$7:$IM$7,Rpt_DayIdx)&lt;&gt;"✓","",IF(INDEX('KG1-5'!$AD31:$IM31,Rpt_DayIdx)="","P",IFERROR(INDEX(StatusCodes,MATCH(INDEX('KG1-5'!$AD31:$IM31,Rpt_DayIdx),StatusLabels,0)),""))))</f>
        <v/>
      </c>
      <c r="AX147" s="40">
        <f>IF(AND(AP147=1,OR(AW147="A",AW147="E")),COUNTIFS($AP$5:AP147,1,$AW$5:AW147,"A")+COUNTIFS($AP$5:AP147,1,$AW$5:AW147,"E"),"")</f>
        <v/>
      </c>
    </row>
    <row r="148">
      <c r="A148" s="148">
        <f>IF(B148="","",ROW()-4)</f>
        <v/>
      </c>
      <c r="B148" s="148">
        <f>IF('KG1-5'!$B32="","",'KG1-5'!$B32)</f>
        <v/>
      </c>
      <c r="C148" s="146">
        <f>IF('KG1-5'!$C32="","",'KG1-5'!$C32)</f>
        <v/>
      </c>
      <c r="D148" s="148">
        <f>IF(B148="","",'KG1-5'!$B$2)</f>
        <v/>
      </c>
      <c r="E148" s="148">
        <f>IF(B148="","",MID(D148,FIND("-",D148&amp;"-")+1,10))</f>
        <v/>
      </c>
      <c r="F148" s="148">
        <f>IF(B148="","","نشط")</f>
        <v/>
      </c>
      <c r="G148" s="157">
        <f>IF(B148="","","")</f>
        <v/>
      </c>
      <c r="H148" s="146">
        <f>IF('KG1-5'!$K32="","",'KG1-5'!$K32)</f>
        <v/>
      </c>
      <c r="I148" s="148">
        <f>IF('KG1-5'!$J32="","",'KG1-5'!$J32)</f>
        <v/>
      </c>
      <c r="J148" s="148">
        <f>IF('KG1-5'!$M32="","",'KG1-5'!$M32)</f>
        <v/>
      </c>
      <c r="K148" s="148">
        <f>IF('KG1-5'!$N32="","",'KG1-5'!$N32)</f>
        <v/>
      </c>
      <c r="L148" s="148">
        <f>IF('KG1-5'!$D32="","",'KG1-5'!$D32)</f>
        <v/>
      </c>
      <c r="M148" s="148">
        <f>IF('KG1-5'!$E32="","",'KG1-5'!$E32)</f>
        <v/>
      </c>
      <c r="N148" s="148">
        <f>IF('KG1-5'!$F32="","",'KG1-5'!$F32)</f>
        <v/>
      </c>
      <c r="O148" s="158">
        <f>IF('KG1-5'!$G32="","",'KG1-5'!$G32)</f>
        <v/>
      </c>
      <c r="P148" s="158">
        <f>IF('KG1-5'!$O32="","",'KG1-5'!$O32)</f>
        <v/>
      </c>
      <c r="Q148" s="148">
        <f>IF('KG1-5'!$T32="","",'KG1-5'!$T32)</f>
        <v/>
      </c>
      <c r="R148" s="146">
        <f>IF('KG1-5'!$H32="","",'KG1-5'!$H32)</f>
        <v/>
      </c>
      <c r="S148" s="157">
        <f>IF('KG1-5'!$P32="","",'KG1-5'!$P32)</f>
        <v/>
      </c>
      <c r="T148" s="157">
        <f>IF('KG1-5'!$V32="","",'KG1-5'!$V32)</f>
        <v/>
      </c>
      <c r="U148" s="157">
        <f>IF('KG1-5'!$W32="","",'KG1-5'!$W32)</f>
        <v/>
      </c>
      <c r="V148" s="157">
        <f>IF('KG1-5'!$X32="","",'KG1-5'!$X32)</f>
        <v/>
      </c>
      <c r="W148" s="157">
        <f>IF('KG1-5'!$Y32="","",'KG1-5'!$Y32)</f>
        <v/>
      </c>
      <c r="X148" s="157">
        <f>IF('KG1-5'!$R32="","",'KG1-5'!$R32)</f>
        <v/>
      </c>
      <c r="Y148" s="148">
        <f>IF('KG1-5'!$S32="","",'KG1-5'!$S32)</f>
        <v/>
      </c>
      <c r="Z148" s="148">
        <f>IF('KG1-5'!$Q32="","",'KG1-5'!$Q32)</f>
        <v/>
      </c>
      <c r="AA148" s="148">
        <f>IF('KG1-5'!$I32="","",'KG1-5'!$I32)</f>
        <v/>
      </c>
      <c r="AB148" s="146">
        <f>IF(Q148="","",INDEX(LevelActions,MATCH(Q148,LevelValues,0)))</f>
        <v/>
      </c>
      <c r="AC148" s="148">
        <f>IF(J148="","",IF(J148=0,"—",IF(AND(L148=0,M148=0),Cat_L1,IF(O148&gt;=Cat_95,Cat_L2,IF(O148&gt;=Cat_90,Cat_L3,Cat_L4)))))</f>
        <v/>
      </c>
      <c r="AD148" s="146">
        <f>IF('KG1-5'!$L32="","",'KG1-5'!$L32)</f>
        <v/>
      </c>
      <c r="AE148" s="148">
        <f>IF(B148="","",IF(COUNTIF($B$5:$B$214,B148)&gt;1,"مكرر!",""))</f>
        <v/>
      </c>
      <c r="AF148" s="148">
        <f>IF(AND(B148&lt;&gt;"",F148="نشط",OR(Dash_Class="الكل",D148=Dash_Class)),1,0)</f>
        <v/>
      </c>
      <c r="AG148" s="40">
        <f>IF(OR(AF148=0,Dash_DayIdx=0),"",IF(INDEX('KG1-5'!$AD$7:$IM$7,Dash_DayIdx)&lt;&gt;"✓","",IF(INDEX('KG1-5'!$AD32:$IM32,Dash_DayIdx)="","P",IFERROR(INDEX(StatusCodes,MATCH(INDEX('KG1-5'!$AD32:$IM32,Dash_DayIdx),StatusLabels,0)),""))))</f>
        <v/>
      </c>
      <c r="AH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IF(LateAsPresent="نعم",COUNTIFS('KG1-5'!$AD32:$IM32,"متأخر",'KG1-5'!$AD$7:$IM$7,"✓",'KG1-5'!$AD$6:$IM$6,1,'KG1-5'!$AD$5:$IM$5,"&gt;="&amp;MAX('KG1-5'!$U32,Dash_PStart),'KG1-5'!$AD$5:$IM$5,"&lt;="&amp;Dash_PEnd),0))</f>
        <v/>
      </c>
      <c r="AI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COUNTIFS('KG1-5'!$AD32:$IM32,"غياب بدون عذر",'KG1-5'!$AD$7:$IM$7,"✓",'KG1-5'!$AD$6:$IM$6,1,'KG1-5'!$AD$5:$IM$5,"&gt;="&amp;MAX('KG1-5'!$U32,Dash_PStart),'KG1-5'!$AD$5:$IM$5,"&lt;="&amp;Dash_PEnd)+COUNTIFS('KG1-5'!$AD32:$IM32,"غياب بعذر",'KG1-5'!$AD$7:$IM$7,"✓",'KG1-5'!$AD$6:$IM$6,1,'KG1-5'!$AD$5:$IM$5,"&gt;="&amp;MAX('KG1-5'!$U32,Dash_PStart),'KG1-5'!$AD$5:$IM$5,"&lt;="&amp;Dash_PEnd)+COUNTIFS('KG1-5'!$AD32:$IM32,"متأخر",'KG1-5'!$AD$7:$IM$7,"✓",'KG1-5'!$AD$6:$IM$6,1,'KG1-5'!$AD$5:$IM$5,"&gt;="&amp;MAX('KG1-5'!$U32,Dash_PStart),'KG1-5'!$AD$5:$IM$5,"&lt;="&amp;Dash_PEnd))</f>
        <v/>
      </c>
      <c r="AJ148" s="40">
        <f>IF(AF148=0,0,IF(W148=Dash_Date,Thr_Critical,IF(V148=Dash_Date,Thr_High,IF(U148=Dash_Date,Thr_Repeated,IF(T148=Dash_Date,Thr_FollowUp,0)))))</f>
        <v/>
      </c>
      <c r="AK148" s="40">
        <f>IF(AJ148&gt;0,COUNTIF($AJ$5:AJ148,"&gt;0"),"")</f>
        <v/>
      </c>
      <c r="AL148" s="40">
        <f>IF(AND(B148&lt;&gt;"",F148="نشط",Q148&lt;&gt;"",Q148&gt;0),L148*1000+(999-ROW()),"")</f>
        <v/>
      </c>
      <c r="AM148" s="40">
        <f>IF(AND(AF148=1,J148&lt;&gt;"",J148&gt;0),ROUND(O148*10000,0)*1000000+K148*1000+(999-ROW()),"")</f>
        <v/>
      </c>
      <c r="AN148" s="40">
        <f>IF(AND(AF148=1,J148&lt;&gt;"",J148&gt;0),(L148+M148)*10000000+ROUND((1-O148)*10000,0)*1000+(999-ROW()),"")</f>
        <v/>
      </c>
      <c r="AO148" s="40">
        <f>IF(AND(AF148=1,Q148&lt;&gt;"",Q148&gt;=Thr_Critical),L148*1000+(999-ROW()),"")</f>
        <v/>
      </c>
      <c r="AP148" s="40">
        <f>IF(AND(B148&lt;&gt;"",F148="نشط",OR(Rpt_Class="الكل",D148=Rpt_Class)),1,0)</f>
        <v/>
      </c>
      <c r="AQ148" s="40">
        <f>IF(AND(AP148=1,Q148&lt;&gt;"",Q148&gt;0),L148*1000+(999-ROW()),"")</f>
        <v/>
      </c>
      <c r="AR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IF(LateAsPresent="نعم",COUNTIFS('KG1-5'!$AD32:$IM32,"متأخر",'KG1-5'!$AD$7:$IM$7,"✓",'KG1-5'!$AD$6:$IM$6,1,'KG1-5'!$AD$5:$IM$5,"&gt;="&amp;MAX('KG1-5'!$U32,Rpt_PStart),'KG1-5'!$AD$5:$IM$5,"&lt;="&amp;Rpt_PEnd),0))</f>
        <v/>
      </c>
      <c r="AS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COUNTIFS('KG1-5'!$AD32:$IM32,"غياب بدون عذر",'KG1-5'!$AD$7:$IM$7,"✓",'KG1-5'!$AD$6:$IM$6,1,'KG1-5'!$AD$5:$IM$5,"&gt;="&amp;MAX('KG1-5'!$U32,Rpt_PStart),'KG1-5'!$AD$5:$IM$5,"&lt;="&amp;Rpt_PEnd)+COUNTIFS('KG1-5'!$AD32:$IM32,"غياب بعذر",'KG1-5'!$AD$7:$IM$7,"✓",'KG1-5'!$AD$6:$IM$6,1,'KG1-5'!$AD$5:$IM$5,"&gt;="&amp;MAX('KG1-5'!$U32,Rpt_PStart),'KG1-5'!$AD$5:$IM$5,"&lt;="&amp;Rpt_PEnd)+COUNTIFS('KG1-5'!$AD32:$IM32,"متأخر",'KG1-5'!$AD$7:$IM$7,"✓",'KG1-5'!$AD$6:$IM$6,1,'KG1-5'!$AD$5:$IM$5,"&gt;="&amp;MAX('KG1-5'!$U32,Rpt_PStart),'KG1-5'!$AD$5:$IM$5,"&lt;="&amp;Rpt_PEnd))</f>
        <v/>
      </c>
      <c r="AT148" s="40">
        <f>IF(AP148=0,"",COUNTIFS('KG1-5'!$AD32:$IM32,"غياب بدون عذر",'KG1-5'!$AD$7:$IM$7,"✓",'KG1-5'!$AD$6:$IM$6,1,'KG1-5'!$AD$5:$IM$5,"&gt;="&amp;MAX('KG1-5'!$U32,Rpt_PStart),'KG1-5'!$AD$5:$IM$5,"&lt;="&amp;Rpt_PEnd)+COUNTIFS('KG1-5'!$AD32:$IM32,"غياب بعذر",'KG1-5'!$AD$7:$IM$7,"✓",'KG1-5'!$AD$6:$IM$6,1,'KG1-5'!$AD$5:$IM$5,"&gt;="&amp;MAX('KG1-5'!$U32,Rpt_PStart),'KG1-5'!$AD$5:$IM$5,"&lt;="&amp;Rpt_PEnd))</f>
        <v/>
      </c>
      <c r="AU148" s="40" t="n">
        <v>5</v>
      </c>
      <c r="AV148" s="40" t="n">
        <v>24</v>
      </c>
      <c r="AW148" s="40">
        <f>IF(OR(AP148=0,Rpt_DayIdx=0),"",IF(INDEX('KG1-5'!$AD$7:$IM$7,Rpt_DayIdx)&lt;&gt;"✓","",IF(INDEX('KG1-5'!$AD32:$IM32,Rpt_DayIdx)="","P",IFERROR(INDEX(StatusCodes,MATCH(INDEX('KG1-5'!$AD32:$IM32,Rpt_DayIdx),StatusLabels,0)),""))))</f>
        <v/>
      </c>
      <c r="AX148" s="40">
        <f>IF(AND(AP148=1,OR(AW148="A",AW148="E")),COUNTIFS($AP$5:AP148,1,$AW$5:AW148,"A")+COUNTIFS($AP$5:AP148,1,$AW$5:AW148,"E"),"")</f>
        <v/>
      </c>
    </row>
    <row r="149">
      <c r="A149" s="148">
        <f>IF(B149="","",ROW()-4)</f>
        <v/>
      </c>
      <c r="B149" s="148">
        <f>IF('KG1-5'!$B33="","",'KG1-5'!$B33)</f>
        <v/>
      </c>
      <c r="C149" s="146">
        <f>IF('KG1-5'!$C33="","",'KG1-5'!$C33)</f>
        <v/>
      </c>
      <c r="D149" s="148">
        <f>IF(B149="","",'KG1-5'!$B$2)</f>
        <v/>
      </c>
      <c r="E149" s="148">
        <f>IF(B149="","",MID(D149,FIND("-",D149&amp;"-")+1,10))</f>
        <v/>
      </c>
      <c r="F149" s="148">
        <f>IF(B149="","","نشط")</f>
        <v/>
      </c>
      <c r="G149" s="157">
        <f>IF(B149="","","")</f>
        <v/>
      </c>
      <c r="H149" s="146">
        <f>IF('KG1-5'!$K33="","",'KG1-5'!$K33)</f>
        <v/>
      </c>
      <c r="I149" s="148">
        <f>IF('KG1-5'!$J33="","",'KG1-5'!$J33)</f>
        <v/>
      </c>
      <c r="J149" s="148">
        <f>IF('KG1-5'!$M33="","",'KG1-5'!$M33)</f>
        <v/>
      </c>
      <c r="K149" s="148">
        <f>IF('KG1-5'!$N33="","",'KG1-5'!$N33)</f>
        <v/>
      </c>
      <c r="L149" s="148">
        <f>IF('KG1-5'!$D33="","",'KG1-5'!$D33)</f>
        <v/>
      </c>
      <c r="M149" s="148">
        <f>IF('KG1-5'!$E33="","",'KG1-5'!$E33)</f>
        <v/>
      </c>
      <c r="N149" s="148">
        <f>IF('KG1-5'!$F33="","",'KG1-5'!$F33)</f>
        <v/>
      </c>
      <c r="O149" s="158">
        <f>IF('KG1-5'!$G33="","",'KG1-5'!$G33)</f>
        <v/>
      </c>
      <c r="P149" s="158">
        <f>IF('KG1-5'!$O33="","",'KG1-5'!$O33)</f>
        <v/>
      </c>
      <c r="Q149" s="148">
        <f>IF('KG1-5'!$T33="","",'KG1-5'!$T33)</f>
        <v/>
      </c>
      <c r="R149" s="146">
        <f>IF('KG1-5'!$H33="","",'KG1-5'!$H33)</f>
        <v/>
      </c>
      <c r="S149" s="157">
        <f>IF('KG1-5'!$P33="","",'KG1-5'!$P33)</f>
        <v/>
      </c>
      <c r="T149" s="157">
        <f>IF('KG1-5'!$V33="","",'KG1-5'!$V33)</f>
        <v/>
      </c>
      <c r="U149" s="157">
        <f>IF('KG1-5'!$W33="","",'KG1-5'!$W33)</f>
        <v/>
      </c>
      <c r="V149" s="157">
        <f>IF('KG1-5'!$X33="","",'KG1-5'!$X33)</f>
        <v/>
      </c>
      <c r="W149" s="157">
        <f>IF('KG1-5'!$Y33="","",'KG1-5'!$Y33)</f>
        <v/>
      </c>
      <c r="X149" s="157">
        <f>IF('KG1-5'!$R33="","",'KG1-5'!$R33)</f>
        <v/>
      </c>
      <c r="Y149" s="148">
        <f>IF('KG1-5'!$S33="","",'KG1-5'!$S33)</f>
        <v/>
      </c>
      <c r="Z149" s="148">
        <f>IF('KG1-5'!$Q33="","",'KG1-5'!$Q33)</f>
        <v/>
      </c>
      <c r="AA149" s="148">
        <f>IF('KG1-5'!$I33="","",'KG1-5'!$I33)</f>
        <v/>
      </c>
      <c r="AB149" s="146">
        <f>IF(Q149="","",INDEX(LevelActions,MATCH(Q149,LevelValues,0)))</f>
        <v/>
      </c>
      <c r="AC149" s="148">
        <f>IF(J149="","",IF(J149=0,"—",IF(AND(L149=0,M149=0),Cat_L1,IF(O149&gt;=Cat_95,Cat_L2,IF(O149&gt;=Cat_90,Cat_L3,Cat_L4)))))</f>
        <v/>
      </c>
      <c r="AD149" s="146">
        <f>IF('KG1-5'!$L33="","",'KG1-5'!$L33)</f>
        <v/>
      </c>
      <c r="AE149" s="148">
        <f>IF(B149="","",IF(COUNTIF($B$5:$B$214,B149)&gt;1,"مكرر!",""))</f>
        <v/>
      </c>
      <c r="AF149" s="148">
        <f>IF(AND(B149&lt;&gt;"",F149="نشط",OR(Dash_Class="الكل",D149=Dash_Class)),1,0)</f>
        <v/>
      </c>
      <c r="AG149" s="40">
        <f>IF(OR(AF149=0,Dash_DayIdx=0),"",IF(INDEX('KG1-5'!$AD$7:$IM$7,Dash_DayIdx)&lt;&gt;"✓","",IF(INDEX('KG1-5'!$AD33:$IM33,Dash_DayIdx)="","P",IFERROR(INDEX(StatusCodes,MATCH(INDEX('KG1-5'!$AD33:$IM33,Dash_DayIdx),StatusLabels,0)),""))))</f>
        <v/>
      </c>
      <c r="AH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IF(LateAsPresent="نعم",COUNTIFS('KG1-5'!$AD33:$IM33,"متأخر",'KG1-5'!$AD$7:$IM$7,"✓",'KG1-5'!$AD$6:$IM$6,1,'KG1-5'!$AD$5:$IM$5,"&gt;="&amp;MAX('KG1-5'!$U33,Dash_PStart),'KG1-5'!$AD$5:$IM$5,"&lt;="&amp;Dash_PEnd),0))</f>
        <v/>
      </c>
      <c r="AI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COUNTIFS('KG1-5'!$AD33:$IM33,"غياب بدون عذر",'KG1-5'!$AD$7:$IM$7,"✓",'KG1-5'!$AD$6:$IM$6,1,'KG1-5'!$AD$5:$IM$5,"&gt;="&amp;MAX('KG1-5'!$U33,Dash_PStart),'KG1-5'!$AD$5:$IM$5,"&lt;="&amp;Dash_PEnd)+COUNTIFS('KG1-5'!$AD33:$IM33,"غياب بعذر",'KG1-5'!$AD$7:$IM$7,"✓",'KG1-5'!$AD$6:$IM$6,1,'KG1-5'!$AD$5:$IM$5,"&gt;="&amp;MAX('KG1-5'!$U33,Dash_PStart),'KG1-5'!$AD$5:$IM$5,"&lt;="&amp;Dash_PEnd)+COUNTIFS('KG1-5'!$AD33:$IM33,"متأخر",'KG1-5'!$AD$7:$IM$7,"✓",'KG1-5'!$AD$6:$IM$6,1,'KG1-5'!$AD$5:$IM$5,"&gt;="&amp;MAX('KG1-5'!$U33,Dash_PStart),'KG1-5'!$AD$5:$IM$5,"&lt;="&amp;Dash_PEnd))</f>
        <v/>
      </c>
      <c r="AJ149" s="40">
        <f>IF(AF149=0,0,IF(W149=Dash_Date,Thr_Critical,IF(V149=Dash_Date,Thr_High,IF(U149=Dash_Date,Thr_Repeated,IF(T149=Dash_Date,Thr_FollowUp,0)))))</f>
        <v/>
      </c>
      <c r="AK149" s="40">
        <f>IF(AJ149&gt;0,COUNTIF($AJ$5:AJ149,"&gt;0"),"")</f>
        <v/>
      </c>
      <c r="AL149" s="40">
        <f>IF(AND(B149&lt;&gt;"",F149="نشط",Q149&lt;&gt;"",Q149&gt;0),L149*1000+(999-ROW()),"")</f>
        <v/>
      </c>
      <c r="AM149" s="40">
        <f>IF(AND(AF149=1,J149&lt;&gt;"",J149&gt;0),ROUND(O149*10000,0)*1000000+K149*1000+(999-ROW()),"")</f>
        <v/>
      </c>
      <c r="AN149" s="40">
        <f>IF(AND(AF149=1,J149&lt;&gt;"",J149&gt;0),(L149+M149)*10000000+ROUND((1-O149)*10000,0)*1000+(999-ROW()),"")</f>
        <v/>
      </c>
      <c r="AO149" s="40">
        <f>IF(AND(AF149=1,Q149&lt;&gt;"",Q149&gt;=Thr_Critical),L149*1000+(999-ROW()),"")</f>
        <v/>
      </c>
      <c r="AP149" s="40">
        <f>IF(AND(B149&lt;&gt;"",F149="نشط",OR(Rpt_Class="الكل",D149=Rpt_Class)),1,0)</f>
        <v/>
      </c>
      <c r="AQ149" s="40">
        <f>IF(AND(AP149=1,Q149&lt;&gt;"",Q149&gt;0),L149*1000+(999-ROW()),"")</f>
        <v/>
      </c>
      <c r="AR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IF(LateAsPresent="نعم",COUNTIFS('KG1-5'!$AD33:$IM33,"متأخر",'KG1-5'!$AD$7:$IM$7,"✓",'KG1-5'!$AD$6:$IM$6,1,'KG1-5'!$AD$5:$IM$5,"&gt;="&amp;MAX('KG1-5'!$U33,Rpt_PStart),'KG1-5'!$AD$5:$IM$5,"&lt;="&amp;Rpt_PEnd),0))</f>
        <v/>
      </c>
      <c r="AS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COUNTIFS('KG1-5'!$AD33:$IM33,"غياب بدون عذر",'KG1-5'!$AD$7:$IM$7,"✓",'KG1-5'!$AD$6:$IM$6,1,'KG1-5'!$AD$5:$IM$5,"&gt;="&amp;MAX('KG1-5'!$U33,Rpt_PStart),'KG1-5'!$AD$5:$IM$5,"&lt;="&amp;Rpt_PEnd)+COUNTIFS('KG1-5'!$AD33:$IM33,"غياب بعذر",'KG1-5'!$AD$7:$IM$7,"✓",'KG1-5'!$AD$6:$IM$6,1,'KG1-5'!$AD$5:$IM$5,"&gt;="&amp;MAX('KG1-5'!$U33,Rpt_PStart),'KG1-5'!$AD$5:$IM$5,"&lt;="&amp;Rpt_PEnd)+COUNTIFS('KG1-5'!$AD33:$IM33,"متأخر",'KG1-5'!$AD$7:$IM$7,"✓",'KG1-5'!$AD$6:$IM$6,1,'KG1-5'!$AD$5:$IM$5,"&gt;="&amp;MAX('KG1-5'!$U33,Rpt_PStart),'KG1-5'!$AD$5:$IM$5,"&lt;="&amp;Rpt_PEnd))</f>
        <v/>
      </c>
      <c r="AT149" s="40">
        <f>IF(AP149=0,"",COUNTIFS('KG1-5'!$AD33:$IM33,"غياب بدون عذر",'KG1-5'!$AD$7:$IM$7,"✓",'KG1-5'!$AD$6:$IM$6,1,'KG1-5'!$AD$5:$IM$5,"&gt;="&amp;MAX('KG1-5'!$U33,Rpt_PStart),'KG1-5'!$AD$5:$IM$5,"&lt;="&amp;Rpt_PEnd)+COUNTIFS('KG1-5'!$AD33:$IM33,"غياب بعذر",'KG1-5'!$AD$7:$IM$7,"✓",'KG1-5'!$AD$6:$IM$6,1,'KG1-5'!$AD$5:$IM$5,"&gt;="&amp;MAX('KG1-5'!$U33,Rpt_PStart),'KG1-5'!$AD$5:$IM$5,"&lt;="&amp;Rpt_PEnd))</f>
        <v/>
      </c>
      <c r="AU149" s="40" t="n">
        <v>5</v>
      </c>
      <c r="AV149" s="40" t="n">
        <v>25</v>
      </c>
      <c r="AW149" s="40">
        <f>IF(OR(AP149=0,Rpt_DayIdx=0),"",IF(INDEX('KG1-5'!$AD$7:$IM$7,Rpt_DayIdx)&lt;&gt;"✓","",IF(INDEX('KG1-5'!$AD33:$IM33,Rpt_DayIdx)="","P",IFERROR(INDEX(StatusCodes,MATCH(INDEX('KG1-5'!$AD33:$IM33,Rpt_DayIdx),StatusLabels,0)),""))))</f>
        <v/>
      </c>
      <c r="AX149" s="40">
        <f>IF(AND(AP149=1,OR(AW149="A",AW149="E")),COUNTIFS($AP$5:AP149,1,$AW$5:AW149,"A")+COUNTIFS($AP$5:AP149,1,$AW$5:AW149,"E"),"")</f>
        <v/>
      </c>
    </row>
    <row r="150">
      <c r="A150" s="148">
        <f>IF(B150="","",ROW()-4)</f>
        <v/>
      </c>
      <c r="B150" s="148">
        <f>IF('KG1-5'!$B34="","",'KG1-5'!$B34)</f>
        <v/>
      </c>
      <c r="C150" s="146">
        <f>IF('KG1-5'!$C34="","",'KG1-5'!$C34)</f>
        <v/>
      </c>
      <c r="D150" s="148">
        <f>IF(B150="","",'KG1-5'!$B$2)</f>
        <v/>
      </c>
      <c r="E150" s="148">
        <f>IF(B150="","",MID(D150,FIND("-",D150&amp;"-")+1,10))</f>
        <v/>
      </c>
      <c r="F150" s="148">
        <f>IF(B150="","","نشط")</f>
        <v/>
      </c>
      <c r="G150" s="157">
        <f>IF(B150="","","")</f>
        <v/>
      </c>
      <c r="H150" s="146">
        <f>IF('KG1-5'!$K34="","",'KG1-5'!$K34)</f>
        <v/>
      </c>
      <c r="I150" s="148">
        <f>IF('KG1-5'!$J34="","",'KG1-5'!$J34)</f>
        <v/>
      </c>
      <c r="J150" s="148">
        <f>IF('KG1-5'!$M34="","",'KG1-5'!$M34)</f>
        <v/>
      </c>
      <c r="K150" s="148">
        <f>IF('KG1-5'!$N34="","",'KG1-5'!$N34)</f>
        <v/>
      </c>
      <c r="L150" s="148">
        <f>IF('KG1-5'!$D34="","",'KG1-5'!$D34)</f>
        <v/>
      </c>
      <c r="M150" s="148">
        <f>IF('KG1-5'!$E34="","",'KG1-5'!$E34)</f>
        <v/>
      </c>
      <c r="N150" s="148">
        <f>IF('KG1-5'!$F34="","",'KG1-5'!$F34)</f>
        <v/>
      </c>
      <c r="O150" s="158">
        <f>IF('KG1-5'!$G34="","",'KG1-5'!$G34)</f>
        <v/>
      </c>
      <c r="P150" s="158">
        <f>IF('KG1-5'!$O34="","",'KG1-5'!$O34)</f>
        <v/>
      </c>
      <c r="Q150" s="148">
        <f>IF('KG1-5'!$T34="","",'KG1-5'!$T34)</f>
        <v/>
      </c>
      <c r="R150" s="146">
        <f>IF('KG1-5'!$H34="","",'KG1-5'!$H34)</f>
        <v/>
      </c>
      <c r="S150" s="157">
        <f>IF('KG1-5'!$P34="","",'KG1-5'!$P34)</f>
        <v/>
      </c>
      <c r="T150" s="157">
        <f>IF('KG1-5'!$V34="","",'KG1-5'!$V34)</f>
        <v/>
      </c>
      <c r="U150" s="157">
        <f>IF('KG1-5'!$W34="","",'KG1-5'!$W34)</f>
        <v/>
      </c>
      <c r="V150" s="157">
        <f>IF('KG1-5'!$X34="","",'KG1-5'!$X34)</f>
        <v/>
      </c>
      <c r="W150" s="157">
        <f>IF('KG1-5'!$Y34="","",'KG1-5'!$Y34)</f>
        <v/>
      </c>
      <c r="X150" s="157">
        <f>IF('KG1-5'!$R34="","",'KG1-5'!$R34)</f>
        <v/>
      </c>
      <c r="Y150" s="148">
        <f>IF('KG1-5'!$S34="","",'KG1-5'!$S34)</f>
        <v/>
      </c>
      <c r="Z150" s="148">
        <f>IF('KG1-5'!$Q34="","",'KG1-5'!$Q34)</f>
        <v/>
      </c>
      <c r="AA150" s="148">
        <f>IF('KG1-5'!$I34="","",'KG1-5'!$I34)</f>
        <v/>
      </c>
      <c r="AB150" s="146">
        <f>IF(Q150="","",INDEX(LevelActions,MATCH(Q150,LevelValues,0)))</f>
        <v/>
      </c>
      <c r="AC150" s="148">
        <f>IF(J150="","",IF(J150=0,"—",IF(AND(L150=0,M150=0),Cat_L1,IF(O150&gt;=Cat_95,Cat_L2,IF(O150&gt;=Cat_90,Cat_L3,Cat_L4)))))</f>
        <v/>
      </c>
      <c r="AD150" s="146">
        <f>IF('KG1-5'!$L34="","",'KG1-5'!$L34)</f>
        <v/>
      </c>
      <c r="AE150" s="148">
        <f>IF(B150="","",IF(COUNTIF($B$5:$B$214,B150)&gt;1,"مكرر!",""))</f>
        <v/>
      </c>
      <c r="AF150" s="148">
        <f>IF(AND(B150&lt;&gt;"",F150="نشط",OR(Dash_Class="الكل",D150=Dash_Class)),1,0)</f>
        <v/>
      </c>
      <c r="AG150" s="40">
        <f>IF(OR(AF150=0,Dash_DayIdx=0),"",IF(INDEX('KG1-5'!$AD$7:$IM$7,Dash_DayIdx)&lt;&gt;"✓","",IF(INDEX('KG1-5'!$AD34:$IM34,Dash_DayIdx)="","P",IFERROR(INDEX(StatusCodes,MATCH(INDEX('KG1-5'!$AD34:$IM34,Dash_DayIdx),StatusLabels,0)),""))))</f>
        <v/>
      </c>
      <c r="AH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IF(LateAsPresent="نعم",COUNTIFS('KG1-5'!$AD34:$IM34,"متأخر",'KG1-5'!$AD$7:$IM$7,"✓",'KG1-5'!$AD$6:$IM$6,1,'KG1-5'!$AD$5:$IM$5,"&gt;="&amp;MAX('KG1-5'!$U34,Dash_PStart),'KG1-5'!$AD$5:$IM$5,"&lt;="&amp;Dash_PEnd),0))</f>
        <v/>
      </c>
      <c r="AI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COUNTIFS('KG1-5'!$AD34:$IM34,"غياب بدون عذر",'KG1-5'!$AD$7:$IM$7,"✓",'KG1-5'!$AD$6:$IM$6,1,'KG1-5'!$AD$5:$IM$5,"&gt;="&amp;MAX('KG1-5'!$U34,Dash_PStart),'KG1-5'!$AD$5:$IM$5,"&lt;="&amp;Dash_PEnd)+COUNTIFS('KG1-5'!$AD34:$IM34,"غياب بعذر",'KG1-5'!$AD$7:$IM$7,"✓",'KG1-5'!$AD$6:$IM$6,1,'KG1-5'!$AD$5:$IM$5,"&gt;="&amp;MAX('KG1-5'!$U34,Dash_PStart),'KG1-5'!$AD$5:$IM$5,"&lt;="&amp;Dash_PEnd)+COUNTIFS('KG1-5'!$AD34:$IM34,"متأخر",'KG1-5'!$AD$7:$IM$7,"✓",'KG1-5'!$AD$6:$IM$6,1,'KG1-5'!$AD$5:$IM$5,"&gt;="&amp;MAX('KG1-5'!$U34,Dash_PStart),'KG1-5'!$AD$5:$IM$5,"&lt;="&amp;Dash_PEnd))</f>
        <v/>
      </c>
      <c r="AJ150" s="40">
        <f>IF(AF150=0,0,IF(W150=Dash_Date,Thr_Critical,IF(V150=Dash_Date,Thr_High,IF(U150=Dash_Date,Thr_Repeated,IF(T150=Dash_Date,Thr_FollowUp,0)))))</f>
        <v/>
      </c>
      <c r="AK150" s="40">
        <f>IF(AJ150&gt;0,COUNTIF($AJ$5:AJ150,"&gt;0"),"")</f>
        <v/>
      </c>
      <c r="AL150" s="40">
        <f>IF(AND(B150&lt;&gt;"",F150="نشط",Q150&lt;&gt;"",Q150&gt;0),L150*1000+(999-ROW()),"")</f>
        <v/>
      </c>
      <c r="AM150" s="40">
        <f>IF(AND(AF150=1,J150&lt;&gt;"",J150&gt;0),ROUND(O150*10000,0)*1000000+K150*1000+(999-ROW()),"")</f>
        <v/>
      </c>
      <c r="AN150" s="40">
        <f>IF(AND(AF150=1,J150&lt;&gt;"",J150&gt;0),(L150+M150)*10000000+ROUND((1-O150)*10000,0)*1000+(999-ROW()),"")</f>
        <v/>
      </c>
      <c r="AO150" s="40">
        <f>IF(AND(AF150=1,Q150&lt;&gt;"",Q150&gt;=Thr_Critical),L150*1000+(999-ROW()),"")</f>
        <v/>
      </c>
      <c r="AP150" s="40">
        <f>IF(AND(B150&lt;&gt;"",F150="نشط",OR(Rpt_Class="الكل",D150=Rpt_Class)),1,0)</f>
        <v/>
      </c>
      <c r="AQ150" s="40">
        <f>IF(AND(AP150=1,Q150&lt;&gt;"",Q150&gt;0),L150*1000+(999-ROW()),"")</f>
        <v/>
      </c>
      <c r="AR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IF(LateAsPresent="نعم",COUNTIFS('KG1-5'!$AD34:$IM34,"متأخر",'KG1-5'!$AD$7:$IM$7,"✓",'KG1-5'!$AD$6:$IM$6,1,'KG1-5'!$AD$5:$IM$5,"&gt;="&amp;MAX('KG1-5'!$U34,Rpt_PStart),'KG1-5'!$AD$5:$IM$5,"&lt;="&amp;Rpt_PEnd),0))</f>
        <v/>
      </c>
      <c r="AS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COUNTIFS('KG1-5'!$AD34:$IM34,"غياب بدون عذر",'KG1-5'!$AD$7:$IM$7,"✓",'KG1-5'!$AD$6:$IM$6,1,'KG1-5'!$AD$5:$IM$5,"&gt;="&amp;MAX('KG1-5'!$U34,Rpt_PStart),'KG1-5'!$AD$5:$IM$5,"&lt;="&amp;Rpt_PEnd)+COUNTIFS('KG1-5'!$AD34:$IM34,"غياب بعذر",'KG1-5'!$AD$7:$IM$7,"✓",'KG1-5'!$AD$6:$IM$6,1,'KG1-5'!$AD$5:$IM$5,"&gt;="&amp;MAX('KG1-5'!$U34,Rpt_PStart),'KG1-5'!$AD$5:$IM$5,"&lt;="&amp;Rpt_PEnd)+COUNTIFS('KG1-5'!$AD34:$IM34,"متأخر",'KG1-5'!$AD$7:$IM$7,"✓",'KG1-5'!$AD$6:$IM$6,1,'KG1-5'!$AD$5:$IM$5,"&gt;="&amp;MAX('KG1-5'!$U34,Rpt_PStart),'KG1-5'!$AD$5:$IM$5,"&lt;="&amp;Rpt_PEnd))</f>
        <v/>
      </c>
      <c r="AT150" s="40">
        <f>IF(AP150=0,"",COUNTIFS('KG1-5'!$AD34:$IM34,"غياب بدون عذر",'KG1-5'!$AD$7:$IM$7,"✓",'KG1-5'!$AD$6:$IM$6,1,'KG1-5'!$AD$5:$IM$5,"&gt;="&amp;MAX('KG1-5'!$U34,Rpt_PStart),'KG1-5'!$AD$5:$IM$5,"&lt;="&amp;Rpt_PEnd)+COUNTIFS('KG1-5'!$AD34:$IM34,"غياب بعذر",'KG1-5'!$AD$7:$IM$7,"✓",'KG1-5'!$AD$6:$IM$6,1,'KG1-5'!$AD$5:$IM$5,"&gt;="&amp;MAX('KG1-5'!$U34,Rpt_PStart),'KG1-5'!$AD$5:$IM$5,"&lt;="&amp;Rpt_PEnd))</f>
        <v/>
      </c>
      <c r="AU150" s="40" t="n">
        <v>5</v>
      </c>
      <c r="AV150" s="40" t="n">
        <v>26</v>
      </c>
      <c r="AW150" s="40">
        <f>IF(OR(AP150=0,Rpt_DayIdx=0),"",IF(INDEX('KG1-5'!$AD$7:$IM$7,Rpt_DayIdx)&lt;&gt;"✓","",IF(INDEX('KG1-5'!$AD34:$IM34,Rpt_DayIdx)="","P",IFERROR(INDEX(StatusCodes,MATCH(INDEX('KG1-5'!$AD34:$IM34,Rpt_DayIdx),StatusLabels,0)),""))))</f>
        <v/>
      </c>
      <c r="AX150" s="40">
        <f>IF(AND(AP150=1,OR(AW150="A",AW150="E")),COUNTIFS($AP$5:AP150,1,$AW$5:AW150,"A")+COUNTIFS($AP$5:AP150,1,$AW$5:AW150,"E"),"")</f>
        <v/>
      </c>
    </row>
    <row r="151">
      <c r="A151" s="148">
        <f>IF(B151="","",ROW()-4)</f>
        <v/>
      </c>
      <c r="B151" s="148">
        <f>IF('KG1-5'!$B35="","",'KG1-5'!$B35)</f>
        <v/>
      </c>
      <c r="C151" s="146">
        <f>IF('KG1-5'!$C35="","",'KG1-5'!$C35)</f>
        <v/>
      </c>
      <c r="D151" s="148">
        <f>IF(B151="","",'KG1-5'!$B$2)</f>
        <v/>
      </c>
      <c r="E151" s="148">
        <f>IF(B151="","",MID(D151,FIND("-",D151&amp;"-")+1,10))</f>
        <v/>
      </c>
      <c r="F151" s="148">
        <f>IF(B151="","","نشط")</f>
        <v/>
      </c>
      <c r="G151" s="157">
        <f>IF(B151="","","")</f>
        <v/>
      </c>
      <c r="H151" s="146">
        <f>IF('KG1-5'!$K35="","",'KG1-5'!$K35)</f>
        <v/>
      </c>
      <c r="I151" s="148">
        <f>IF('KG1-5'!$J35="","",'KG1-5'!$J35)</f>
        <v/>
      </c>
      <c r="J151" s="148">
        <f>IF('KG1-5'!$M35="","",'KG1-5'!$M35)</f>
        <v/>
      </c>
      <c r="K151" s="148">
        <f>IF('KG1-5'!$N35="","",'KG1-5'!$N35)</f>
        <v/>
      </c>
      <c r="L151" s="148">
        <f>IF('KG1-5'!$D35="","",'KG1-5'!$D35)</f>
        <v/>
      </c>
      <c r="M151" s="148">
        <f>IF('KG1-5'!$E35="","",'KG1-5'!$E35)</f>
        <v/>
      </c>
      <c r="N151" s="148">
        <f>IF('KG1-5'!$F35="","",'KG1-5'!$F35)</f>
        <v/>
      </c>
      <c r="O151" s="158">
        <f>IF('KG1-5'!$G35="","",'KG1-5'!$G35)</f>
        <v/>
      </c>
      <c r="P151" s="158">
        <f>IF('KG1-5'!$O35="","",'KG1-5'!$O35)</f>
        <v/>
      </c>
      <c r="Q151" s="148">
        <f>IF('KG1-5'!$T35="","",'KG1-5'!$T35)</f>
        <v/>
      </c>
      <c r="R151" s="146">
        <f>IF('KG1-5'!$H35="","",'KG1-5'!$H35)</f>
        <v/>
      </c>
      <c r="S151" s="157">
        <f>IF('KG1-5'!$P35="","",'KG1-5'!$P35)</f>
        <v/>
      </c>
      <c r="T151" s="157">
        <f>IF('KG1-5'!$V35="","",'KG1-5'!$V35)</f>
        <v/>
      </c>
      <c r="U151" s="157">
        <f>IF('KG1-5'!$W35="","",'KG1-5'!$W35)</f>
        <v/>
      </c>
      <c r="V151" s="157">
        <f>IF('KG1-5'!$X35="","",'KG1-5'!$X35)</f>
        <v/>
      </c>
      <c r="W151" s="157">
        <f>IF('KG1-5'!$Y35="","",'KG1-5'!$Y35)</f>
        <v/>
      </c>
      <c r="X151" s="157">
        <f>IF('KG1-5'!$R35="","",'KG1-5'!$R35)</f>
        <v/>
      </c>
      <c r="Y151" s="148">
        <f>IF('KG1-5'!$S35="","",'KG1-5'!$S35)</f>
        <v/>
      </c>
      <c r="Z151" s="148">
        <f>IF('KG1-5'!$Q35="","",'KG1-5'!$Q35)</f>
        <v/>
      </c>
      <c r="AA151" s="148">
        <f>IF('KG1-5'!$I35="","",'KG1-5'!$I35)</f>
        <v/>
      </c>
      <c r="AB151" s="146">
        <f>IF(Q151="","",INDEX(LevelActions,MATCH(Q151,LevelValues,0)))</f>
        <v/>
      </c>
      <c r="AC151" s="148">
        <f>IF(J151="","",IF(J151=0,"—",IF(AND(L151=0,M151=0),Cat_L1,IF(O151&gt;=Cat_95,Cat_L2,IF(O151&gt;=Cat_90,Cat_L3,Cat_L4)))))</f>
        <v/>
      </c>
      <c r="AD151" s="146">
        <f>IF('KG1-5'!$L35="","",'KG1-5'!$L35)</f>
        <v/>
      </c>
      <c r="AE151" s="148">
        <f>IF(B151="","",IF(COUNTIF($B$5:$B$214,B151)&gt;1,"مكرر!",""))</f>
        <v/>
      </c>
      <c r="AF151" s="148">
        <f>IF(AND(B151&lt;&gt;"",F151="نشط",OR(Dash_Class="الكل",D151=Dash_Class)),1,0)</f>
        <v/>
      </c>
      <c r="AG151" s="40">
        <f>IF(OR(AF151=0,Dash_DayIdx=0),"",IF(INDEX('KG1-5'!$AD$7:$IM$7,Dash_DayIdx)&lt;&gt;"✓","",IF(INDEX('KG1-5'!$AD35:$IM35,Dash_DayIdx)="","P",IFERROR(INDEX(StatusCodes,MATCH(INDEX('KG1-5'!$AD35:$IM35,Dash_DayIdx),StatusLabels,0)),""))))</f>
        <v/>
      </c>
      <c r="AH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IF(LateAsPresent="نعم",COUNTIFS('KG1-5'!$AD35:$IM35,"متأخر",'KG1-5'!$AD$7:$IM$7,"✓",'KG1-5'!$AD$6:$IM$6,1,'KG1-5'!$AD$5:$IM$5,"&gt;="&amp;MAX('KG1-5'!$U35,Dash_PStart),'KG1-5'!$AD$5:$IM$5,"&lt;="&amp;Dash_PEnd),0))</f>
        <v/>
      </c>
      <c r="AI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COUNTIFS('KG1-5'!$AD35:$IM35,"غياب بدون عذر",'KG1-5'!$AD$7:$IM$7,"✓",'KG1-5'!$AD$6:$IM$6,1,'KG1-5'!$AD$5:$IM$5,"&gt;="&amp;MAX('KG1-5'!$U35,Dash_PStart),'KG1-5'!$AD$5:$IM$5,"&lt;="&amp;Dash_PEnd)+COUNTIFS('KG1-5'!$AD35:$IM35,"غياب بعذر",'KG1-5'!$AD$7:$IM$7,"✓",'KG1-5'!$AD$6:$IM$6,1,'KG1-5'!$AD$5:$IM$5,"&gt;="&amp;MAX('KG1-5'!$U35,Dash_PStart),'KG1-5'!$AD$5:$IM$5,"&lt;="&amp;Dash_PEnd)+COUNTIFS('KG1-5'!$AD35:$IM35,"متأخر",'KG1-5'!$AD$7:$IM$7,"✓",'KG1-5'!$AD$6:$IM$6,1,'KG1-5'!$AD$5:$IM$5,"&gt;="&amp;MAX('KG1-5'!$U35,Dash_PStart),'KG1-5'!$AD$5:$IM$5,"&lt;="&amp;Dash_PEnd))</f>
        <v/>
      </c>
      <c r="AJ151" s="40">
        <f>IF(AF151=0,0,IF(W151=Dash_Date,Thr_Critical,IF(V151=Dash_Date,Thr_High,IF(U151=Dash_Date,Thr_Repeated,IF(T151=Dash_Date,Thr_FollowUp,0)))))</f>
        <v/>
      </c>
      <c r="AK151" s="40">
        <f>IF(AJ151&gt;0,COUNTIF($AJ$5:AJ151,"&gt;0"),"")</f>
        <v/>
      </c>
      <c r="AL151" s="40">
        <f>IF(AND(B151&lt;&gt;"",F151="نشط",Q151&lt;&gt;"",Q151&gt;0),L151*1000+(999-ROW()),"")</f>
        <v/>
      </c>
      <c r="AM151" s="40">
        <f>IF(AND(AF151=1,J151&lt;&gt;"",J151&gt;0),ROUND(O151*10000,0)*1000000+K151*1000+(999-ROW()),"")</f>
        <v/>
      </c>
      <c r="AN151" s="40">
        <f>IF(AND(AF151=1,J151&lt;&gt;"",J151&gt;0),(L151+M151)*10000000+ROUND((1-O151)*10000,0)*1000+(999-ROW()),"")</f>
        <v/>
      </c>
      <c r="AO151" s="40">
        <f>IF(AND(AF151=1,Q151&lt;&gt;"",Q151&gt;=Thr_Critical),L151*1000+(999-ROW()),"")</f>
        <v/>
      </c>
      <c r="AP151" s="40">
        <f>IF(AND(B151&lt;&gt;"",F151="نشط",OR(Rpt_Class="الكل",D151=Rpt_Class)),1,0)</f>
        <v/>
      </c>
      <c r="AQ151" s="40">
        <f>IF(AND(AP151=1,Q151&lt;&gt;"",Q151&gt;0),L151*1000+(999-ROW()),"")</f>
        <v/>
      </c>
      <c r="AR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IF(LateAsPresent="نعم",COUNTIFS('KG1-5'!$AD35:$IM35,"متأخر",'KG1-5'!$AD$7:$IM$7,"✓",'KG1-5'!$AD$6:$IM$6,1,'KG1-5'!$AD$5:$IM$5,"&gt;="&amp;MAX('KG1-5'!$U35,Rpt_PStart),'KG1-5'!$AD$5:$IM$5,"&lt;="&amp;Rpt_PEnd),0))</f>
        <v/>
      </c>
      <c r="AS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COUNTIFS('KG1-5'!$AD35:$IM35,"غياب بدون عذر",'KG1-5'!$AD$7:$IM$7,"✓",'KG1-5'!$AD$6:$IM$6,1,'KG1-5'!$AD$5:$IM$5,"&gt;="&amp;MAX('KG1-5'!$U35,Rpt_PStart),'KG1-5'!$AD$5:$IM$5,"&lt;="&amp;Rpt_PEnd)+COUNTIFS('KG1-5'!$AD35:$IM35,"غياب بعذر",'KG1-5'!$AD$7:$IM$7,"✓",'KG1-5'!$AD$6:$IM$6,1,'KG1-5'!$AD$5:$IM$5,"&gt;="&amp;MAX('KG1-5'!$U35,Rpt_PStart),'KG1-5'!$AD$5:$IM$5,"&lt;="&amp;Rpt_PEnd)+COUNTIFS('KG1-5'!$AD35:$IM35,"متأخر",'KG1-5'!$AD$7:$IM$7,"✓",'KG1-5'!$AD$6:$IM$6,1,'KG1-5'!$AD$5:$IM$5,"&gt;="&amp;MAX('KG1-5'!$U35,Rpt_PStart),'KG1-5'!$AD$5:$IM$5,"&lt;="&amp;Rpt_PEnd))</f>
        <v/>
      </c>
      <c r="AT151" s="40">
        <f>IF(AP151=0,"",COUNTIFS('KG1-5'!$AD35:$IM35,"غياب بدون عذر",'KG1-5'!$AD$7:$IM$7,"✓",'KG1-5'!$AD$6:$IM$6,1,'KG1-5'!$AD$5:$IM$5,"&gt;="&amp;MAX('KG1-5'!$U35,Rpt_PStart),'KG1-5'!$AD$5:$IM$5,"&lt;="&amp;Rpt_PEnd)+COUNTIFS('KG1-5'!$AD35:$IM35,"غياب بعذر",'KG1-5'!$AD$7:$IM$7,"✓",'KG1-5'!$AD$6:$IM$6,1,'KG1-5'!$AD$5:$IM$5,"&gt;="&amp;MAX('KG1-5'!$U35,Rpt_PStart),'KG1-5'!$AD$5:$IM$5,"&lt;="&amp;Rpt_PEnd))</f>
        <v/>
      </c>
      <c r="AU151" s="40" t="n">
        <v>5</v>
      </c>
      <c r="AV151" s="40" t="n">
        <v>27</v>
      </c>
      <c r="AW151" s="40">
        <f>IF(OR(AP151=0,Rpt_DayIdx=0),"",IF(INDEX('KG1-5'!$AD$7:$IM$7,Rpt_DayIdx)&lt;&gt;"✓","",IF(INDEX('KG1-5'!$AD35:$IM35,Rpt_DayIdx)="","P",IFERROR(INDEX(StatusCodes,MATCH(INDEX('KG1-5'!$AD35:$IM35,Rpt_DayIdx),StatusLabels,0)),""))))</f>
        <v/>
      </c>
      <c r="AX151" s="40">
        <f>IF(AND(AP151=1,OR(AW151="A",AW151="E")),COUNTIFS($AP$5:AP151,1,$AW$5:AW151,"A")+COUNTIFS($AP$5:AP151,1,$AW$5:AW151,"E"),"")</f>
        <v/>
      </c>
    </row>
    <row r="152">
      <c r="A152" s="148">
        <f>IF(B152="","",ROW()-4)</f>
        <v/>
      </c>
      <c r="B152" s="148">
        <f>IF('KG1-5'!$B36="","",'KG1-5'!$B36)</f>
        <v/>
      </c>
      <c r="C152" s="146">
        <f>IF('KG1-5'!$C36="","",'KG1-5'!$C36)</f>
        <v/>
      </c>
      <c r="D152" s="148">
        <f>IF(B152="","",'KG1-5'!$B$2)</f>
        <v/>
      </c>
      <c r="E152" s="148">
        <f>IF(B152="","",MID(D152,FIND("-",D152&amp;"-")+1,10))</f>
        <v/>
      </c>
      <c r="F152" s="148">
        <f>IF(B152="","","نشط")</f>
        <v/>
      </c>
      <c r="G152" s="157">
        <f>IF(B152="","","")</f>
        <v/>
      </c>
      <c r="H152" s="146">
        <f>IF('KG1-5'!$K36="","",'KG1-5'!$K36)</f>
        <v/>
      </c>
      <c r="I152" s="148">
        <f>IF('KG1-5'!$J36="","",'KG1-5'!$J36)</f>
        <v/>
      </c>
      <c r="J152" s="148">
        <f>IF('KG1-5'!$M36="","",'KG1-5'!$M36)</f>
        <v/>
      </c>
      <c r="K152" s="148">
        <f>IF('KG1-5'!$N36="","",'KG1-5'!$N36)</f>
        <v/>
      </c>
      <c r="L152" s="148">
        <f>IF('KG1-5'!$D36="","",'KG1-5'!$D36)</f>
        <v/>
      </c>
      <c r="M152" s="148">
        <f>IF('KG1-5'!$E36="","",'KG1-5'!$E36)</f>
        <v/>
      </c>
      <c r="N152" s="148">
        <f>IF('KG1-5'!$F36="","",'KG1-5'!$F36)</f>
        <v/>
      </c>
      <c r="O152" s="158">
        <f>IF('KG1-5'!$G36="","",'KG1-5'!$G36)</f>
        <v/>
      </c>
      <c r="P152" s="158">
        <f>IF('KG1-5'!$O36="","",'KG1-5'!$O36)</f>
        <v/>
      </c>
      <c r="Q152" s="148">
        <f>IF('KG1-5'!$T36="","",'KG1-5'!$T36)</f>
        <v/>
      </c>
      <c r="R152" s="146">
        <f>IF('KG1-5'!$H36="","",'KG1-5'!$H36)</f>
        <v/>
      </c>
      <c r="S152" s="157">
        <f>IF('KG1-5'!$P36="","",'KG1-5'!$P36)</f>
        <v/>
      </c>
      <c r="T152" s="157">
        <f>IF('KG1-5'!$V36="","",'KG1-5'!$V36)</f>
        <v/>
      </c>
      <c r="U152" s="157">
        <f>IF('KG1-5'!$W36="","",'KG1-5'!$W36)</f>
        <v/>
      </c>
      <c r="V152" s="157">
        <f>IF('KG1-5'!$X36="","",'KG1-5'!$X36)</f>
        <v/>
      </c>
      <c r="W152" s="157">
        <f>IF('KG1-5'!$Y36="","",'KG1-5'!$Y36)</f>
        <v/>
      </c>
      <c r="X152" s="157">
        <f>IF('KG1-5'!$R36="","",'KG1-5'!$R36)</f>
        <v/>
      </c>
      <c r="Y152" s="148">
        <f>IF('KG1-5'!$S36="","",'KG1-5'!$S36)</f>
        <v/>
      </c>
      <c r="Z152" s="148">
        <f>IF('KG1-5'!$Q36="","",'KG1-5'!$Q36)</f>
        <v/>
      </c>
      <c r="AA152" s="148">
        <f>IF('KG1-5'!$I36="","",'KG1-5'!$I36)</f>
        <v/>
      </c>
      <c r="AB152" s="146">
        <f>IF(Q152="","",INDEX(LevelActions,MATCH(Q152,LevelValues,0)))</f>
        <v/>
      </c>
      <c r="AC152" s="148">
        <f>IF(J152="","",IF(J152=0,"—",IF(AND(L152=0,M152=0),Cat_L1,IF(O152&gt;=Cat_95,Cat_L2,IF(O152&gt;=Cat_90,Cat_L3,Cat_L4)))))</f>
        <v/>
      </c>
      <c r="AD152" s="146">
        <f>IF('KG1-5'!$L36="","",'KG1-5'!$L36)</f>
        <v/>
      </c>
      <c r="AE152" s="148">
        <f>IF(B152="","",IF(COUNTIF($B$5:$B$214,B152)&gt;1,"مكرر!",""))</f>
        <v/>
      </c>
      <c r="AF152" s="148">
        <f>IF(AND(B152&lt;&gt;"",F152="نشط",OR(Dash_Class="الكل",D152=Dash_Class)),1,0)</f>
        <v/>
      </c>
      <c r="AG152" s="40">
        <f>IF(OR(AF152=0,Dash_DayIdx=0),"",IF(INDEX('KG1-5'!$AD$7:$IM$7,Dash_DayIdx)&lt;&gt;"✓","",IF(INDEX('KG1-5'!$AD36:$IM36,Dash_DayIdx)="","P",IFERROR(INDEX(StatusCodes,MATCH(INDEX('KG1-5'!$AD36:$IM36,Dash_DayIdx),StatusLabels,0)),""))))</f>
        <v/>
      </c>
      <c r="AH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IF(LateAsPresent="نعم",COUNTIFS('KG1-5'!$AD36:$IM36,"متأخر",'KG1-5'!$AD$7:$IM$7,"✓",'KG1-5'!$AD$6:$IM$6,1,'KG1-5'!$AD$5:$IM$5,"&gt;="&amp;MAX('KG1-5'!$U36,Dash_PStart),'KG1-5'!$AD$5:$IM$5,"&lt;="&amp;Dash_PEnd),0))</f>
        <v/>
      </c>
      <c r="AI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COUNTIFS('KG1-5'!$AD36:$IM36,"غياب بدون عذر",'KG1-5'!$AD$7:$IM$7,"✓",'KG1-5'!$AD$6:$IM$6,1,'KG1-5'!$AD$5:$IM$5,"&gt;="&amp;MAX('KG1-5'!$U36,Dash_PStart),'KG1-5'!$AD$5:$IM$5,"&lt;="&amp;Dash_PEnd)+COUNTIFS('KG1-5'!$AD36:$IM36,"غياب بعذر",'KG1-5'!$AD$7:$IM$7,"✓",'KG1-5'!$AD$6:$IM$6,1,'KG1-5'!$AD$5:$IM$5,"&gt;="&amp;MAX('KG1-5'!$U36,Dash_PStart),'KG1-5'!$AD$5:$IM$5,"&lt;="&amp;Dash_PEnd)+COUNTIFS('KG1-5'!$AD36:$IM36,"متأخر",'KG1-5'!$AD$7:$IM$7,"✓",'KG1-5'!$AD$6:$IM$6,1,'KG1-5'!$AD$5:$IM$5,"&gt;="&amp;MAX('KG1-5'!$U36,Dash_PStart),'KG1-5'!$AD$5:$IM$5,"&lt;="&amp;Dash_PEnd))</f>
        <v/>
      </c>
      <c r="AJ152" s="40">
        <f>IF(AF152=0,0,IF(W152=Dash_Date,Thr_Critical,IF(V152=Dash_Date,Thr_High,IF(U152=Dash_Date,Thr_Repeated,IF(T152=Dash_Date,Thr_FollowUp,0)))))</f>
        <v/>
      </c>
      <c r="AK152" s="40">
        <f>IF(AJ152&gt;0,COUNTIF($AJ$5:AJ152,"&gt;0"),"")</f>
        <v/>
      </c>
      <c r="AL152" s="40">
        <f>IF(AND(B152&lt;&gt;"",F152="نشط",Q152&lt;&gt;"",Q152&gt;0),L152*1000+(999-ROW()),"")</f>
        <v/>
      </c>
      <c r="AM152" s="40">
        <f>IF(AND(AF152=1,J152&lt;&gt;"",J152&gt;0),ROUND(O152*10000,0)*1000000+K152*1000+(999-ROW()),"")</f>
        <v/>
      </c>
      <c r="AN152" s="40">
        <f>IF(AND(AF152=1,J152&lt;&gt;"",J152&gt;0),(L152+M152)*10000000+ROUND((1-O152)*10000,0)*1000+(999-ROW()),"")</f>
        <v/>
      </c>
      <c r="AO152" s="40">
        <f>IF(AND(AF152=1,Q152&lt;&gt;"",Q152&gt;=Thr_Critical),L152*1000+(999-ROW()),"")</f>
        <v/>
      </c>
      <c r="AP152" s="40">
        <f>IF(AND(B152&lt;&gt;"",F152="نشط",OR(Rpt_Class="الكل",D152=Rpt_Class)),1,0)</f>
        <v/>
      </c>
      <c r="AQ152" s="40">
        <f>IF(AND(AP152=1,Q152&lt;&gt;"",Q152&gt;0),L152*1000+(999-ROW()),"")</f>
        <v/>
      </c>
      <c r="AR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IF(LateAsPresent="نعم",COUNTIFS('KG1-5'!$AD36:$IM36,"متأخر",'KG1-5'!$AD$7:$IM$7,"✓",'KG1-5'!$AD$6:$IM$6,1,'KG1-5'!$AD$5:$IM$5,"&gt;="&amp;MAX('KG1-5'!$U36,Rpt_PStart),'KG1-5'!$AD$5:$IM$5,"&lt;="&amp;Rpt_PEnd),0))</f>
        <v/>
      </c>
      <c r="AS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COUNTIFS('KG1-5'!$AD36:$IM36,"غياب بدون عذر",'KG1-5'!$AD$7:$IM$7,"✓",'KG1-5'!$AD$6:$IM$6,1,'KG1-5'!$AD$5:$IM$5,"&gt;="&amp;MAX('KG1-5'!$U36,Rpt_PStart),'KG1-5'!$AD$5:$IM$5,"&lt;="&amp;Rpt_PEnd)+COUNTIFS('KG1-5'!$AD36:$IM36,"غياب بعذر",'KG1-5'!$AD$7:$IM$7,"✓",'KG1-5'!$AD$6:$IM$6,1,'KG1-5'!$AD$5:$IM$5,"&gt;="&amp;MAX('KG1-5'!$U36,Rpt_PStart),'KG1-5'!$AD$5:$IM$5,"&lt;="&amp;Rpt_PEnd)+COUNTIFS('KG1-5'!$AD36:$IM36,"متأخر",'KG1-5'!$AD$7:$IM$7,"✓",'KG1-5'!$AD$6:$IM$6,1,'KG1-5'!$AD$5:$IM$5,"&gt;="&amp;MAX('KG1-5'!$U36,Rpt_PStart),'KG1-5'!$AD$5:$IM$5,"&lt;="&amp;Rpt_PEnd))</f>
        <v/>
      </c>
      <c r="AT152" s="40">
        <f>IF(AP152=0,"",COUNTIFS('KG1-5'!$AD36:$IM36,"غياب بدون عذر",'KG1-5'!$AD$7:$IM$7,"✓",'KG1-5'!$AD$6:$IM$6,1,'KG1-5'!$AD$5:$IM$5,"&gt;="&amp;MAX('KG1-5'!$U36,Rpt_PStart),'KG1-5'!$AD$5:$IM$5,"&lt;="&amp;Rpt_PEnd)+COUNTIFS('KG1-5'!$AD36:$IM36,"غياب بعذر",'KG1-5'!$AD$7:$IM$7,"✓",'KG1-5'!$AD$6:$IM$6,1,'KG1-5'!$AD$5:$IM$5,"&gt;="&amp;MAX('KG1-5'!$U36,Rpt_PStart),'KG1-5'!$AD$5:$IM$5,"&lt;="&amp;Rpt_PEnd))</f>
        <v/>
      </c>
      <c r="AU152" s="40" t="n">
        <v>5</v>
      </c>
      <c r="AV152" s="40" t="n">
        <v>28</v>
      </c>
      <c r="AW152" s="40">
        <f>IF(OR(AP152=0,Rpt_DayIdx=0),"",IF(INDEX('KG1-5'!$AD$7:$IM$7,Rpt_DayIdx)&lt;&gt;"✓","",IF(INDEX('KG1-5'!$AD36:$IM36,Rpt_DayIdx)="","P",IFERROR(INDEX(StatusCodes,MATCH(INDEX('KG1-5'!$AD36:$IM36,Rpt_DayIdx),StatusLabels,0)),""))))</f>
        <v/>
      </c>
      <c r="AX152" s="40">
        <f>IF(AND(AP152=1,OR(AW152="A",AW152="E")),COUNTIFS($AP$5:AP152,1,$AW$5:AW152,"A")+COUNTIFS($AP$5:AP152,1,$AW$5:AW152,"E"),"")</f>
        <v/>
      </c>
    </row>
    <row r="153">
      <c r="A153" s="148">
        <f>IF(B153="","",ROW()-4)</f>
        <v/>
      </c>
      <c r="B153" s="148">
        <f>IF('KG1-5'!$B37="","",'KG1-5'!$B37)</f>
        <v/>
      </c>
      <c r="C153" s="146">
        <f>IF('KG1-5'!$C37="","",'KG1-5'!$C37)</f>
        <v/>
      </c>
      <c r="D153" s="148">
        <f>IF(B153="","",'KG1-5'!$B$2)</f>
        <v/>
      </c>
      <c r="E153" s="148">
        <f>IF(B153="","",MID(D153,FIND("-",D153&amp;"-")+1,10))</f>
        <v/>
      </c>
      <c r="F153" s="148">
        <f>IF(B153="","","نشط")</f>
        <v/>
      </c>
      <c r="G153" s="157">
        <f>IF(B153="","","")</f>
        <v/>
      </c>
      <c r="H153" s="146">
        <f>IF('KG1-5'!$K37="","",'KG1-5'!$K37)</f>
        <v/>
      </c>
      <c r="I153" s="148">
        <f>IF('KG1-5'!$J37="","",'KG1-5'!$J37)</f>
        <v/>
      </c>
      <c r="J153" s="148">
        <f>IF('KG1-5'!$M37="","",'KG1-5'!$M37)</f>
        <v/>
      </c>
      <c r="K153" s="148">
        <f>IF('KG1-5'!$N37="","",'KG1-5'!$N37)</f>
        <v/>
      </c>
      <c r="L153" s="148">
        <f>IF('KG1-5'!$D37="","",'KG1-5'!$D37)</f>
        <v/>
      </c>
      <c r="M153" s="148">
        <f>IF('KG1-5'!$E37="","",'KG1-5'!$E37)</f>
        <v/>
      </c>
      <c r="N153" s="148">
        <f>IF('KG1-5'!$F37="","",'KG1-5'!$F37)</f>
        <v/>
      </c>
      <c r="O153" s="158">
        <f>IF('KG1-5'!$G37="","",'KG1-5'!$G37)</f>
        <v/>
      </c>
      <c r="P153" s="158">
        <f>IF('KG1-5'!$O37="","",'KG1-5'!$O37)</f>
        <v/>
      </c>
      <c r="Q153" s="148">
        <f>IF('KG1-5'!$T37="","",'KG1-5'!$T37)</f>
        <v/>
      </c>
      <c r="R153" s="146">
        <f>IF('KG1-5'!$H37="","",'KG1-5'!$H37)</f>
        <v/>
      </c>
      <c r="S153" s="157">
        <f>IF('KG1-5'!$P37="","",'KG1-5'!$P37)</f>
        <v/>
      </c>
      <c r="T153" s="157">
        <f>IF('KG1-5'!$V37="","",'KG1-5'!$V37)</f>
        <v/>
      </c>
      <c r="U153" s="157">
        <f>IF('KG1-5'!$W37="","",'KG1-5'!$W37)</f>
        <v/>
      </c>
      <c r="V153" s="157">
        <f>IF('KG1-5'!$X37="","",'KG1-5'!$X37)</f>
        <v/>
      </c>
      <c r="W153" s="157">
        <f>IF('KG1-5'!$Y37="","",'KG1-5'!$Y37)</f>
        <v/>
      </c>
      <c r="X153" s="157">
        <f>IF('KG1-5'!$R37="","",'KG1-5'!$R37)</f>
        <v/>
      </c>
      <c r="Y153" s="148">
        <f>IF('KG1-5'!$S37="","",'KG1-5'!$S37)</f>
        <v/>
      </c>
      <c r="Z153" s="148">
        <f>IF('KG1-5'!$Q37="","",'KG1-5'!$Q37)</f>
        <v/>
      </c>
      <c r="AA153" s="148">
        <f>IF('KG1-5'!$I37="","",'KG1-5'!$I37)</f>
        <v/>
      </c>
      <c r="AB153" s="146">
        <f>IF(Q153="","",INDEX(LevelActions,MATCH(Q153,LevelValues,0)))</f>
        <v/>
      </c>
      <c r="AC153" s="148">
        <f>IF(J153="","",IF(J153=0,"—",IF(AND(L153=0,M153=0),Cat_L1,IF(O153&gt;=Cat_95,Cat_L2,IF(O153&gt;=Cat_90,Cat_L3,Cat_L4)))))</f>
        <v/>
      </c>
      <c r="AD153" s="146">
        <f>IF('KG1-5'!$L37="","",'KG1-5'!$L37)</f>
        <v/>
      </c>
      <c r="AE153" s="148">
        <f>IF(B153="","",IF(COUNTIF($B$5:$B$214,B153)&gt;1,"مكرر!",""))</f>
        <v/>
      </c>
      <c r="AF153" s="148">
        <f>IF(AND(B153&lt;&gt;"",F153="نشط",OR(Dash_Class="الكل",D153=Dash_Class)),1,0)</f>
        <v/>
      </c>
      <c r="AG153" s="40">
        <f>IF(OR(AF153=0,Dash_DayIdx=0),"",IF(INDEX('KG1-5'!$AD$7:$IM$7,Dash_DayIdx)&lt;&gt;"✓","",IF(INDEX('KG1-5'!$AD37:$IM37,Dash_DayIdx)="","P",IFERROR(INDEX(StatusCodes,MATCH(INDEX('KG1-5'!$AD37:$IM37,Dash_DayIdx),StatusLabels,0)),""))))</f>
        <v/>
      </c>
      <c r="AH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IF(LateAsPresent="نعم",COUNTIFS('KG1-5'!$AD37:$IM37,"متأخر",'KG1-5'!$AD$7:$IM$7,"✓",'KG1-5'!$AD$6:$IM$6,1,'KG1-5'!$AD$5:$IM$5,"&gt;="&amp;MAX('KG1-5'!$U37,Dash_PStart),'KG1-5'!$AD$5:$IM$5,"&lt;="&amp;Dash_PEnd),0))</f>
        <v/>
      </c>
      <c r="AI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COUNTIFS('KG1-5'!$AD37:$IM37,"غياب بدون عذر",'KG1-5'!$AD$7:$IM$7,"✓",'KG1-5'!$AD$6:$IM$6,1,'KG1-5'!$AD$5:$IM$5,"&gt;="&amp;MAX('KG1-5'!$U37,Dash_PStart),'KG1-5'!$AD$5:$IM$5,"&lt;="&amp;Dash_PEnd)+COUNTIFS('KG1-5'!$AD37:$IM37,"غياب بعذر",'KG1-5'!$AD$7:$IM$7,"✓",'KG1-5'!$AD$6:$IM$6,1,'KG1-5'!$AD$5:$IM$5,"&gt;="&amp;MAX('KG1-5'!$U37,Dash_PStart),'KG1-5'!$AD$5:$IM$5,"&lt;="&amp;Dash_PEnd)+COUNTIFS('KG1-5'!$AD37:$IM37,"متأخر",'KG1-5'!$AD$7:$IM$7,"✓",'KG1-5'!$AD$6:$IM$6,1,'KG1-5'!$AD$5:$IM$5,"&gt;="&amp;MAX('KG1-5'!$U37,Dash_PStart),'KG1-5'!$AD$5:$IM$5,"&lt;="&amp;Dash_PEnd))</f>
        <v/>
      </c>
      <c r="AJ153" s="40">
        <f>IF(AF153=0,0,IF(W153=Dash_Date,Thr_Critical,IF(V153=Dash_Date,Thr_High,IF(U153=Dash_Date,Thr_Repeated,IF(T153=Dash_Date,Thr_FollowUp,0)))))</f>
        <v/>
      </c>
      <c r="AK153" s="40">
        <f>IF(AJ153&gt;0,COUNTIF($AJ$5:AJ153,"&gt;0"),"")</f>
        <v/>
      </c>
      <c r="AL153" s="40">
        <f>IF(AND(B153&lt;&gt;"",F153="نشط",Q153&lt;&gt;"",Q153&gt;0),L153*1000+(999-ROW()),"")</f>
        <v/>
      </c>
      <c r="AM153" s="40">
        <f>IF(AND(AF153=1,J153&lt;&gt;"",J153&gt;0),ROUND(O153*10000,0)*1000000+K153*1000+(999-ROW()),"")</f>
        <v/>
      </c>
      <c r="AN153" s="40">
        <f>IF(AND(AF153=1,J153&lt;&gt;"",J153&gt;0),(L153+M153)*10000000+ROUND((1-O153)*10000,0)*1000+(999-ROW()),"")</f>
        <v/>
      </c>
      <c r="AO153" s="40">
        <f>IF(AND(AF153=1,Q153&lt;&gt;"",Q153&gt;=Thr_Critical),L153*1000+(999-ROW()),"")</f>
        <v/>
      </c>
      <c r="AP153" s="40">
        <f>IF(AND(B153&lt;&gt;"",F153="نشط",OR(Rpt_Class="الكل",D153=Rpt_Class)),1,0)</f>
        <v/>
      </c>
      <c r="AQ153" s="40">
        <f>IF(AND(AP153=1,Q153&lt;&gt;"",Q153&gt;0),L153*1000+(999-ROW()),"")</f>
        <v/>
      </c>
      <c r="AR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IF(LateAsPresent="نعم",COUNTIFS('KG1-5'!$AD37:$IM37,"متأخر",'KG1-5'!$AD$7:$IM$7,"✓",'KG1-5'!$AD$6:$IM$6,1,'KG1-5'!$AD$5:$IM$5,"&gt;="&amp;MAX('KG1-5'!$U37,Rpt_PStart),'KG1-5'!$AD$5:$IM$5,"&lt;="&amp;Rpt_PEnd),0))</f>
        <v/>
      </c>
      <c r="AS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COUNTIFS('KG1-5'!$AD37:$IM37,"غياب بدون عذر",'KG1-5'!$AD$7:$IM$7,"✓",'KG1-5'!$AD$6:$IM$6,1,'KG1-5'!$AD$5:$IM$5,"&gt;="&amp;MAX('KG1-5'!$U37,Rpt_PStart),'KG1-5'!$AD$5:$IM$5,"&lt;="&amp;Rpt_PEnd)+COUNTIFS('KG1-5'!$AD37:$IM37,"غياب بعذر",'KG1-5'!$AD$7:$IM$7,"✓",'KG1-5'!$AD$6:$IM$6,1,'KG1-5'!$AD$5:$IM$5,"&gt;="&amp;MAX('KG1-5'!$U37,Rpt_PStart),'KG1-5'!$AD$5:$IM$5,"&lt;="&amp;Rpt_PEnd)+COUNTIFS('KG1-5'!$AD37:$IM37,"متأخر",'KG1-5'!$AD$7:$IM$7,"✓",'KG1-5'!$AD$6:$IM$6,1,'KG1-5'!$AD$5:$IM$5,"&gt;="&amp;MAX('KG1-5'!$U37,Rpt_PStart),'KG1-5'!$AD$5:$IM$5,"&lt;="&amp;Rpt_PEnd))</f>
        <v/>
      </c>
      <c r="AT153" s="40">
        <f>IF(AP153=0,"",COUNTIFS('KG1-5'!$AD37:$IM37,"غياب بدون عذر",'KG1-5'!$AD$7:$IM$7,"✓",'KG1-5'!$AD$6:$IM$6,1,'KG1-5'!$AD$5:$IM$5,"&gt;="&amp;MAX('KG1-5'!$U37,Rpt_PStart),'KG1-5'!$AD$5:$IM$5,"&lt;="&amp;Rpt_PEnd)+COUNTIFS('KG1-5'!$AD37:$IM37,"غياب بعذر",'KG1-5'!$AD$7:$IM$7,"✓",'KG1-5'!$AD$6:$IM$6,1,'KG1-5'!$AD$5:$IM$5,"&gt;="&amp;MAX('KG1-5'!$U37,Rpt_PStart),'KG1-5'!$AD$5:$IM$5,"&lt;="&amp;Rpt_PEnd))</f>
        <v/>
      </c>
      <c r="AU153" s="40" t="n">
        <v>5</v>
      </c>
      <c r="AV153" s="40" t="n">
        <v>29</v>
      </c>
      <c r="AW153" s="40">
        <f>IF(OR(AP153=0,Rpt_DayIdx=0),"",IF(INDEX('KG1-5'!$AD$7:$IM$7,Rpt_DayIdx)&lt;&gt;"✓","",IF(INDEX('KG1-5'!$AD37:$IM37,Rpt_DayIdx)="","P",IFERROR(INDEX(StatusCodes,MATCH(INDEX('KG1-5'!$AD37:$IM37,Rpt_DayIdx),StatusLabels,0)),""))))</f>
        <v/>
      </c>
      <c r="AX153" s="40">
        <f>IF(AND(AP153=1,OR(AW153="A",AW153="E")),COUNTIFS($AP$5:AP153,1,$AW$5:AW153,"A")+COUNTIFS($AP$5:AP153,1,$AW$5:AW153,"E"),"")</f>
        <v/>
      </c>
    </row>
    <row r="154">
      <c r="A154" s="148">
        <f>IF(B154="","",ROW()-4)</f>
        <v/>
      </c>
      <c r="B154" s="148">
        <f>IF('KG1-5'!$B38="","",'KG1-5'!$B38)</f>
        <v/>
      </c>
      <c r="C154" s="146">
        <f>IF('KG1-5'!$C38="","",'KG1-5'!$C38)</f>
        <v/>
      </c>
      <c r="D154" s="148">
        <f>IF(B154="","",'KG1-5'!$B$2)</f>
        <v/>
      </c>
      <c r="E154" s="148">
        <f>IF(B154="","",MID(D154,FIND("-",D154&amp;"-")+1,10))</f>
        <v/>
      </c>
      <c r="F154" s="148">
        <f>IF(B154="","","نشط")</f>
        <v/>
      </c>
      <c r="G154" s="157">
        <f>IF(B154="","","")</f>
        <v/>
      </c>
      <c r="H154" s="146">
        <f>IF('KG1-5'!$K38="","",'KG1-5'!$K38)</f>
        <v/>
      </c>
      <c r="I154" s="148">
        <f>IF('KG1-5'!$J38="","",'KG1-5'!$J38)</f>
        <v/>
      </c>
      <c r="J154" s="148">
        <f>IF('KG1-5'!$M38="","",'KG1-5'!$M38)</f>
        <v/>
      </c>
      <c r="K154" s="148">
        <f>IF('KG1-5'!$N38="","",'KG1-5'!$N38)</f>
        <v/>
      </c>
      <c r="L154" s="148">
        <f>IF('KG1-5'!$D38="","",'KG1-5'!$D38)</f>
        <v/>
      </c>
      <c r="M154" s="148">
        <f>IF('KG1-5'!$E38="","",'KG1-5'!$E38)</f>
        <v/>
      </c>
      <c r="N154" s="148">
        <f>IF('KG1-5'!$F38="","",'KG1-5'!$F38)</f>
        <v/>
      </c>
      <c r="O154" s="158">
        <f>IF('KG1-5'!$G38="","",'KG1-5'!$G38)</f>
        <v/>
      </c>
      <c r="P154" s="158">
        <f>IF('KG1-5'!$O38="","",'KG1-5'!$O38)</f>
        <v/>
      </c>
      <c r="Q154" s="148">
        <f>IF('KG1-5'!$T38="","",'KG1-5'!$T38)</f>
        <v/>
      </c>
      <c r="R154" s="146">
        <f>IF('KG1-5'!$H38="","",'KG1-5'!$H38)</f>
        <v/>
      </c>
      <c r="S154" s="157">
        <f>IF('KG1-5'!$P38="","",'KG1-5'!$P38)</f>
        <v/>
      </c>
      <c r="T154" s="157">
        <f>IF('KG1-5'!$V38="","",'KG1-5'!$V38)</f>
        <v/>
      </c>
      <c r="U154" s="157">
        <f>IF('KG1-5'!$W38="","",'KG1-5'!$W38)</f>
        <v/>
      </c>
      <c r="V154" s="157">
        <f>IF('KG1-5'!$X38="","",'KG1-5'!$X38)</f>
        <v/>
      </c>
      <c r="W154" s="157">
        <f>IF('KG1-5'!$Y38="","",'KG1-5'!$Y38)</f>
        <v/>
      </c>
      <c r="X154" s="157">
        <f>IF('KG1-5'!$R38="","",'KG1-5'!$R38)</f>
        <v/>
      </c>
      <c r="Y154" s="148">
        <f>IF('KG1-5'!$S38="","",'KG1-5'!$S38)</f>
        <v/>
      </c>
      <c r="Z154" s="148">
        <f>IF('KG1-5'!$Q38="","",'KG1-5'!$Q38)</f>
        <v/>
      </c>
      <c r="AA154" s="148">
        <f>IF('KG1-5'!$I38="","",'KG1-5'!$I38)</f>
        <v/>
      </c>
      <c r="AB154" s="146">
        <f>IF(Q154="","",INDEX(LevelActions,MATCH(Q154,LevelValues,0)))</f>
        <v/>
      </c>
      <c r="AC154" s="148">
        <f>IF(J154="","",IF(J154=0,"—",IF(AND(L154=0,M154=0),Cat_L1,IF(O154&gt;=Cat_95,Cat_L2,IF(O154&gt;=Cat_90,Cat_L3,Cat_L4)))))</f>
        <v/>
      </c>
      <c r="AD154" s="146">
        <f>IF('KG1-5'!$L38="","",'KG1-5'!$L38)</f>
        <v/>
      </c>
      <c r="AE154" s="148">
        <f>IF(B154="","",IF(COUNTIF($B$5:$B$214,B154)&gt;1,"مكرر!",""))</f>
        <v/>
      </c>
      <c r="AF154" s="148">
        <f>IF(AND(B154&lt;&gt;"",F154="نشط",OR(Dash_Class="الكل",D154=Dash_Class)),1,0)</f>
        <v/>
      </c>
      <c r="AG154" s="40">
        <f>IF(OR(AF154=0,Dash_DayIdx=0),"",IF(INDEX('KG1-5'!$AD$7:$IM$7,Dash_DayIdx)&lt;&gt;"✓","",IF(INDEX('KG1-5'!$AD38:$IM38,Dash_DayIdx)="","P",IFERROR(INDEX(StatusCodes,MATCH(INDEX('KG1-5'!$AD38:$IM38,Dash_DayIdx),StatusLabels,0)),""))))</f>
        <v/>
      </c>
      <c r="AH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IF(LateAsPresent="نعم",COUNTIFS('KG1-5'!$AD38:$IM38,"متأخر",'KG1-5'!$AD$7:$IM$7,"✓",'KG1-5'!$AD$6:$IM$6,1,'KG1-5'!$AD$5:$IM$5,"&gt;="&amp;MAX('KG1-5'!$U38,Dash_PStart),'KG1-5'!$AD$5:$IM$5,"&lt;="&amp;Dash_PEnd),0))</f>
        <v/>
      </c>
      <c r="AI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COUNTIFS('KG1-5'!$AD38:$IM38,"غياب بدون عذر",'KG1-5'!$AD$7:$IM$7,"✓",'KG1-5'!$AD$6:$IM$6,1,'KG1-5'!$AD$5:$IM$5,"&gt;="&amp;MAX('KG1-5'!$U38,Dash_PStart),'KG1-5'!$AD$5:$IM$5,"&lt;="&amp;Dash_PEnd)+COUNTIFS('KG1-5'!$AD38:$IM38,"غياب بعذر",'KG1-5'!$AD$7:$IM$7,"✓",'KG1-5'!$AD$6:$IM$6,1,'KG1-5'!$AD$5:$IM$5,"&gt;="&amp;MAX('KG1-5'!$U38,Dash_PStart),'KG1-5'!$AD$5:$IM$5,"&lt;="&amp;Dash_PEnd)+COUNTIFS('KG1-5'!$AD38:$IM38,"متأخر",'KG1-5'!$AD$7:$IM$7,"✓",'KG1-5'!$AD$6:$IM$6,1,'KG1-5'!$AD$5:$IM$5,"&gt;="&amp;MAX('KG1-5'!$U38,Dash_PStart),'KG1-5'!$AD$5:$IM$5,"&lt;="&amp;Dash_PEnd))</f>
        <v/>
      </c>
      <c r="AJ154" s="40">
        <f>IF(AF154=0,0,IF(W154=Dash_Date,Thr_Critical,IF(V154=Dash_Date,Thr_High,IF(U154=Dash_Date,Thr_Repeated,IF(T154=Dash_Date,Thr_FollowUp,0)))))</f>
        <v/>
      </c>
      <c r="AK154" s="40">
        <f>IF(AJ154&gt;0,COUNTIF($AJ$5:AJ154,"&gt;0"),"")</f>
        <v/>
      </c>
      <c r="AL154" s="40">
        <f>IF(AND(B154&lt;&gt;"",F154="نشط",Q154&lt;&gt;"",Q154&gt;0),L154*1000+(999-ROW()),"")</f>
        <v/>
      </c>
      <c r="AM154" s="40">
        <f>IF(AND(AF154=1,J154&lt;&gt;"",J154&gt;0),ROUND(O154*10000,0)*1000000+K154*1000+(999-ROW()),"")</f>
        <v/>
      </c>
      <c r="AN154" s="40">
        <f>IF(AND(AF154=1,J154&lt;&gt;"",J154&gt;0),(L154+M154)*10000000+ROUND((1-O154)*10000,0)*1000+(999-ROW()),"")</f>
        <v/>
      </c>
      <c r="AO154" s="40">
        <f>IF(AND(AF154=1,Q154&lt;&gt;"",Q154&gt;=Thr_Critical),L154*1000+(999-ROW()),"")</f>
        <v/>
      </c>
      <c r="AP154" s="40">
        <f>IF(AND(B154&lt;&gt;"",F154="نشط",OR(Rpt_Class="الكل",D154=Rpt_Class)),1,0)</f>
        <v/>
      </c>
      <c r="AQ154" s="40">
        <f>IF(AND(AP154=1,Q154&lt;&gt;"",Q154&gt;0),L154*1000+(999-ROW()),"")</f>
        <v/>
      </c>
      <c r="AR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IF(LateAsPresent="نعم",COUNTIFS('KG1-5'!$AD38:$IM38,"متأخر",'KG1-5'!$AD$7:$IM$7,"✓",'KG1-5'!$AD$6:$IM$6,1,'KG1-5'!$AD$5:$IM$5,"&gt;="&amp;MAX('KG1-5'!$U38,Rpt_PStart),'KG1-5'!$AD$5:$IM$5,"&lt;="&amp;Rpt_PEnd),0))</f>
        <v/>
      </c>
      <c r="AS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COUNTIFS('KG1-5'!$AD38:$IM38,"غياب بدون عذر",'KG1-5'!$AD$7:$IM$7,"✓",'KG1-5'!$AD$6:$IM$6,1,'KG1-5'!$AD$5:$IM$5,"&gt;="&amp;MAX('KG1-5'!$U38,Rpt_PStart),'KG1-5'!$AD$5:$IM$5,"&lt;="&amp;Rpt_PEnd)+COUNTIFS('KG1-5'!$AD38:$IM38,"غياب بعذر",'KG1-5'!$AD$7:$IM$7,"✓",'KG1-5'!$AD$6:$IM$6,1,'KG1-5'!$AD$5:$IM$5,"&gt;="&amp;MAX('KG1-5'!$U38,Rpt_PStart),'KG1-5'!$AD$5:$IM$5,"&lt;="&amp;Rpt_PEnd)+COUNTIFS('KG1-5'!$AD38:$IM38,"متأخر",'KG1-5'!$AD$7:$IM$7,"✓",'KG1-5'!$AD$6:$IM$6,1,'KG1-5'!$AD$5:$IM$5,"&gt;="&amp;MAX('KG1-5'!$U38,Rpt_PStart),'KG1-5'!$AD$5:$IM$5,"&lt;="&amp;Rpt_PEnd))</f>
        <v/>
      </c>
      <c r="AT154" s="40">
        <f>IF(AP154=0,"",COUNTIFS('KG1-5'!$AD38:$IM38,"غياب بدون عذر",'KG1-5'!$AD$7:$IM$7,"✓",'KG1-5'!$AD$6:$IM$6,1,'KG1-5'!$AD$5:$IM$5,"&gt;="&amp;MAX('KG1-5'!$U38,Rpt_PStart),'KG1-5'!$AD$5:$IM$5,"&lt;="&amp;Rpt_PEnd)+COUNTIFS('KG1-5'!$AD38:$IM38,"غياب بعذر",'KG1-5'!$AD$7:$IM$7,"✓",'KG1-5'!$AD$6:$IM$6,1,'KG1-5'!$AD$5:$IM$5,"&gt;="&amp;MAX('KG1-5'!$U38,Rpt_PStart),'KG1-5'!$AD$5:$IM$5,"&lt;="&amp;Rpt_PEnd))</f>
        <v/>
      </c>
      <c r="AU154" s="40" t="n">
        <v>5</v>
      </c>
      <c r="AV154" s="40" t="n">
        <v>30</v>
      </c>
      <c r="AW154" s="40">
        <f>IF(OR(AP154=0,Rpt_DayIdx=0),"",IF(INDEX('KG1-5'!$AD$7:$IM$7,Rpt_DayIdx)&lt;&gt;"✓","",IF(INDEX('KG1-5'!$AD38:$IM38,Rpt_DayIdx)="","P",IFERROR(INDEX(StatusCodes,MATCH(INDEX('KG1-5'!$AD38:$IM38,Rpt_DayIdx),StatusLabels,0)),""))))</f>
        <v/>
      </c>
      <c r="AX154" s="40">
        <f>IF(AND(AP154=1,OR(AW154="A",AW154="E")),COUNTIFS($AP$5:AP154,1,$AW$5:AW154,"A")+COUNTIFS($AP$5:AP154,1,$AW$5:AW154,"E"),"")</f>
        <v/>
      </c>
    </row>
    <row r="155">
      <c r="A155" s="148">
        <f>IF(B155="","",ROW()-4)</f>
        <v/>
      </c>
      <c r="B155" s="148">
        <f>IF('KG1-6'!$B9="","",'KG1-6'!$B9)</f>
        <v/>
      </c>
      <c r="C155" s="146">
        <f>IF('KG1-6'!$C9="","",'KG1-6'!$C9)</f>
        <v/>
      </c>
      <c r="D155" s="148">
        <f>IF(B155="","",'KG1-6'!$B$2)</f>
        <v/>
      </c>
      <c r="E155" s="148">
        <f>IF(B155="","",MID(D155,FIND("-",D155&amp;"-")+1,10))</f>
        <v/>
      </c>
      <c r="F155" s="148">
        <f>IF(B155="","","نشط")</f>
        <v/>
      </c>
      <c r="G155" s="157">
        <f>IF(B155="","","")</f>
        <v/>
      </c>
      <c r="H155" s="146">
        <f>IF('KG1-6'!$K9="","",'KG1-6'!$K9)</f>
        <v/>
      </c>
      <c r="I155" s="148">
        <f>IF('KG1-6'!$J9="","",'KG1-6'!$J9)</f>
        <v/>
      </c>
      <c r="J155" s="148">
        <f>IF('KG1-6'!$M9="","",'KG1-6'!$M9)</f>
        <v/>
      </c>
      <c r="K155" s="148">
        <f>IF('KG1-6'!$N9="","",'KG1-6'!$N9)</f>
        <v/>
      </c>
      <c r="L155" s="148">
        <f>IF('KG1-6'!$D9="","",'KG1-6'!$D9)</f>
        <v/>
      </c>
      <c r="M155" s="148">
        <f>IF('KG1-6'!$E9="","",'KG1-6'!$E9)</f>
        <v/>
      </c>
      <c r="N155" s="148">
        <f>IF('KG1-6'!$F9="","",'KG1-6'!$F9)</f>
        <v/>
      </c>
      <c r="O155" s="158">
        <f>IF('KG1-6'!$G9="","",'KG1-6'!$G9)</f>
        <v/>
      </c>
      <c r="P155" s="158">
        <f>IF('KG1-6'!$O9="","",'KG1-6'!$O9)</f>
        <v/>
      </c>
      <c r="Q155" s="148">
        <f>IF('KG1-6'!$T9="","",'KG1-6'!$T9)</f>
        <v/>
      </c>
      <c r="R155" s="146">
        <f>IF('KG1-6'!$H9="","",'KG1-6'!$H9)</f>
        <v/>
      </c>
      <c r="S155" s="157">
        <f>IF('KG1-6'!$P9="","",'KG1-6'!$P9)</f>
        <v/>
      </c>
      <c r="T155" s="157">
        <f>IF('KG1-6'!$V9="","",'KG1-6'!$V9)</f>
        <v/>
      </c>
      <c r="U155" s="157">
        <f>IF('KG1-6'!$W9="","",'KG1-6'!$W9)</f>
        <v/>
      </c>
      <c r="V155" s="157">
        <f>IF('KG1-6'!$X9="","",'KG1-6'!$X9)</f>
        <v/>
      </c>
      <c r="W155" s="157">
        <f>IF('KG1-6'!$Y9="","",'KG1-6'!$Y9)</f>
        <v/>
      </c>
      <c r="X155" s="157">
        <f>IF('KG1-6'!$R9="","",'KG1-6'!$R9)</f>
        <v/>
      </c>
      <c r="Y155" s="148">
        <f>IF('KG1-6'!$S9="","",'KG1-6'!$S9)</f>
        <v/>
      </c>
      <c r="Z155" s="148">
        <f>IF('KG1-6'!$Q9="","",'KG1-6'!$Q9)</f>
        <v/>
      </c>
      <c r="AA155" s="148">
        <f>IF('KG1-6'!$I9="","",'KG1-6'!$I9)</f>
        <v/>
      </c>
      <c r="AB155" s="146">
        <f>IF(Q155="","",INDEX(LevelActions,MATCH(Q155,LevelValues,0)))</f>
        <v/>
      </c>
      <c r="AC155" s="148">
        <f>IF(J155="","",IF(J155=0,"—",IF(AND(L155=0,M155=0),Cat_L1,IF(O155&gt;=Cat_95,Cat_L2,IF(O155&gt;=Cat_90,Cat_L3,Cat_L4)))))</f>
        <v/>
      </c>
      <c r="AD155" s="146">
        <f>IF('KG1-6'!$L9="","",'KG1-6'!$L9)</f>
        <v/>
      </c>
      <c r="AE155" s="148">
        <f>IF(B155="","",IF(COUNTIF($B$5:$B$214,B155)&gt;1,"مكرر!",""))</f>
        <v/>
      </c>
      <c r="AF155" s="148">
        <f>IF(AND(B155&lt;&gt;"",F155="نشط",OR(Dash_Class="الكل",D155=Dash_Class)),1,0)</f>
        <v/>
      </c>
      <c r="AG155" s="40">
        <f>IF(OR(AF155=0,Dash_DayIdx=0),"",IF(INDEX('KG1-6'!$AD$7:$IM$7,Dash_DayIdx)&lt;&gt;"✓","",IF(INDEX('KG1-6'!$AD9:$IM9,Dash_DayIdx)="","P",IFERROR(INDEX(StatusCodes,MATCH(INDEX('KG1-6'!$AD9:$IM9,Dash_DayIdx),StatusLabels,0)),""))))</f>
        <v/>
      </c>
      <c r="AH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IF(LateAsPresent="نعم",COUNTIFS('KG1-6'!$AD9:$IM9,"متأخر",'KG1-6'!$AD$7:$IM$7,"✓",'KG1-6'!$AD$6:$IM$6,1,'KG1-6'!$AD$5:$IM$5,"&gt;="&amp;MAX('KG1-6'!$U9,Dash_PStart),'KG1-6'!$AD$5:$IM$5,"&lt;="&amp;Dash_PEnd),0))</f>
        <v/>
      </c>
      <c r="AI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COUNTIFS('KG1-6'!$AD9:$IM9,"غياب بدون عذر",'KG1-6'!$AD$7:$IM$7,"✓",'KG1-6'!$AD$6:$IM$6,1,'KG1-6'!$AD$5:$IM$5,"&gt;="&amp;MAX('KG1-6'!$U9,Dash_PStart),'KG1-6'!$AD$5:$IM$5,"&lt;="&amp;Dash_PEnd)+COUNTIFS('KG1-6'!$AD9:$IM9,"غياب بعذر",'KG1-6'!$AD$7:$IM$7,"✓",'KG1-6'!$AD$6:$IM$6,1,'KG1-6'!$AD$5:$IM$5,"&gt;="&amp;MAX('KG1-6'!$U9,Dash_PStart),'KG1-6'!$AD$5:$IM$5,"&lt;="&amp;Dash_PEnd)+COUNTIFS('KG1-6'!$AD9:$IM9,"متأخر",'KG1-6'!$AD$7:$IM$7,"✓",'KG1-6'!$AD$6:$IM$6,1,'KG1-6'!$AD$5:$IM$5,"&gt;="&amp;MAX('KG1-6'!$U9,Dash_PStart),'KG1-6'!$AD$5:$IM$5,"&lt;="&amp;Dash_PEnd))</f>
        <v/>
      </c>
      <c r="AJ155" s="40">
        <f>IF(AF155=0,0,IF(W155=Dash_Date,Thr_Critical,IF(V155=Dash_Date,Thr_High,IF(U155=Dash_Date,Thr_Repeated,IF(T155=Dash_Date,Thr_FollowUp,0)))))</f>
        <v/>
      </c>
      <c r="AK155" s="40">
        <f>IF(AJ155&gt;0,COUNTIF($AJ$5:AJ155,"&gt;0"),"")</f>
        <v/>
      </c>
      <c r="AL155" s="40">
        <f>IF(AND(B155&lt;&gt;"",F155="نشط",Q155&lt;&gt;"",Q155&gt;0),L155*1000+(999-ROW()),"")</f>
        <v/>
      </c>
      <c r="AM155" s="40">
        <f>IF(AND(AF155=1,J155&lt;&gt;"",J155&gt;0),ROUND(O155*10000,0)*1000000+K155*1000+(999-ROW()),"")</f>
        <v/>
      </c>
      <c r="AN155" s="40">
        <f>IF(AND(AF155=1,J155&lt;&gt;"",J155&gt;0),(L155+M155)*10000000+ROUND((1-O155)*10000,0)*1000+(999-ROW()),"")</f>
        <v/>
      </c>
      <c r="AO155" s="40">
        <f>IF(AND(AF155=1,Q155&lt;&gt;"",Q155&gt;=Thr_Critical),L155*1000+(999-ROW()),"")</f>
        <v/>
      </c>
      <c r="AP155" s="40">
        <f>IF(AND(B155&lt;&gt;"",F155="نشط",OR(Rpt_Class="الكل",D155=Rpt_Class)),1,0)</f>
        <v/>
      </c>
      <c r="AQ155" s="40">
        <f>IF(AND(AP155=1,Q155&lt;&gt;"",Q155&gt;0),L155*1000+(999-ROW()),"")</f>
        <v/>
      </c>
      <c r="AR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IF(LateAsPresent="نعم",COUNTIFS('KG1-6'!$AD9:$IM9,"متأخر",'KG1-6'!$AD$7:$IM$7,"✓",'KG1-6'!$AD$6:$IM$6,1,'KG1-6'!$AD$5:$IM$5,"&gt;="&amp;MAX('KG1-6'!$U9,Rpt_PStart),'KG1-6'!$AD$5:$IM$5,"&lt;="&amp;Rpt_PEnd),0))</f>
        <v/>
      </c>
      <c r="AS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COUNTIFS('KG1-6'!$AD9:$IM9,"غياب بدون عذر",'KG1-6'!$AD$7:$IM$7,"✓",'KG1-6'!$AD$6:$IM$6,1,'KG1-6'!$AD$5:$IM$5,"&gt;="&amp;MAX('KG1-6'!$U9,Rpt_PStart),'KG1-6'!$AD$5:$IM$5,"&lt;="&amp;Rpt_PEnd)+COUNTIFS('KG1-6'!$AD9:$IM9,"غياب بعذر",'KG1-6'!$AD$7:$IM$7,"✓",'KG1-6'!$AD$6:$IM$6,1,'KG1-6'!$AD$5:$IM$5,"&gt;="&amp;MAX('KG1-6'!$U9,Rpt_PStart),'KG1-6'!$AD$5:$IM$5,"&lt;="&amp;Rpt_PEnd)+COUNTIFS('KG1-6'!$AD9:$IM9,"متأخر",'KG1-6'!$AD$7:$IM$7,"✓",'KG1-6'!$AD$6:$IM$6,1,'KG1-6'!$AD$5:$IM$5,"&gt;="&amp;MAX('KG1-6'!$U9,Rpt_PStart),'KG1-6'!$AD$5:$IM$5,"&lt;="&amp;Rpt_PEnd))</f>
        <v/>
      </c>
      <c r="AT155" s="40">
        <f>IF(AP155=0,"",COUNTIFS('KG1-6'!$AD9:$IM9,"غياب بدون عذر",'KG1-6'!$AD$7:$IM$7,"✓",'KG1-6'!$AD$6:$IM$6,1,'KG1-6'!$AD$5:$IM$5,"&gt;="&amp;MAX('KG1-6'!$U9,Rpt_PStart),'KG1-6'!$AD$5:$IM$5,"&lt;="&amp;Rpt_PEnd)+COUNTIFS('KG1-6'!$AD9:$IM9,"غياب بعذر",'KG1-6'!$AD$7:$IM$7,"✓",'KG1-6'!$AD$6:$IM$6,1,'KG1-6'!$AD$5:$IM$5,"&gt;="&amp;MAX('KG1-6'!$U9,Rpt_PStart),'KG1-6'!$AD$5:$IM$5,"&lt;="&amp;Rpt_PEnd))</f>
        <v/>
      </c>
      <c r="AU155" s="40" t="n">
        <v>6</v>
      </c>
      <c r="AV155" s="40" t="n">
        <v>1</v>
      </c>
      <c r="AW155" s="40">
        <f>IF(OR(AP155=0,Rpt_DayIdx=0),"",IF(INDEX('KG1-6'!$AD$7:$IM$7,Rpt_DayIdx)&lt;&gt;"✓","",IF(INDEX('KG1-6'!$AD9:$IM9,Rpt_DayIdx)="","P",IFERROR(INDEX(StatusCodes,MATCH(INDEX('KG1-6'!$AD9:$IM9,Rpt_DayIdx),StatusLabels,0)),""))))</f>
        <v/>
      </c>
      <c r="AX155" s="40">
        <f>IF(AND(AP155=1,OR(AW155="A",AW155="E")),COUNTIFS($AP$5:AP155,1,$AW$5:AW155,"A")+COUNTIFS($AP$5:AP155,1,$AW$5:AW155,"E"),"")</f>
        <v/>
      </c>
    </row>
    <row r="156">
      <c r="A156" s="148">
        <f>IF(B156="","",ROW()-4)</f>
        <v/>
      </c>
      <c r="B156" s="148">
        <f>IF('KG1-6'!$B10="","",'KG1-6'!$B10)</f>
        <v/>
      </c>
      <c r="C156" s="146">
        <f>IF('KG1-6'!$C10="","",'KG1-6'!$C10)</f>
        <v/>
      </c>
      <c r="D156" s="148">
        <f>IF(B156="","",'KG1-6'!$B$2)</f>
        <v/>
      </c>
      <c r="E156" s="148">
        <f>IF(B156="","",MID(D156,FIND("-",D156&amp;"-")+1,10))</f>
        <v/>
      </c>
      <c r="F156" s="148">
        <f>IF(B156="","","نشط")</f>
        <v/>
      </c>
      <c r="G156" s="157">
        <f>IF(B156="","","")</f>
        <v/>
      </c>
      <c r="H156" s="146">
        <f>IF('KG1-6'!$K10="","",'KG1-6'!$K10)</f>
        <v/>
      </c>
      <c r="I156" s="148">
        <f>IF('KG1-6'!$J10="","",'KG1-6'!$J10)</f>
        <v/>
      </c>
      <c r="J156" s="148">
        <f>IF('KG1-6'!$M10="","",'KG1-6'!$M10)</f>
        <v/>
      </c>
      <c r="K156" s="148">
        <f>IF('KG1-6'!$N10="","",'KG1-6'!$N10)</f>
        <v/>
      </c>
      <c r="L156" s="148">
        <f>IF('KG1-6'!$D10="","",'KG1-6'!$D10)</f>
        <v/>
      </c>
      <c r="M156" s="148">
        <f>IF('KG1-6'!$E10="","",'KG1-6'!$E10)</f>
        <v/>
      </c>
      <c r="N156" s="148">
        <f>IF('KG1-6'!$F10="","",'KG1-6'!$F10)</f>
        <v/>
      </c>
      <c r="O156" s="158">
        <f>IF('KG1-6'!$G10="","",'KG1-6'!$G10)</f>
        <v/>
      </c>
      <c r="P156" s="158">
        <f>IF('KG1-6'!$O10="","",'KG1-6'!$O10)</f>
        <v/>
      </c>
      <c r="Q156" s="148">
        <f>IF('KG1-6'!$T10="","",'KG1-6'!$T10)</f>
        <v/>
      </c>
      <c r="R156" s="146">
        <f>IF('KG1-6'!$H10="","",'KG1-6'!$H10)</f>
        <v/>
      </c>
      <c r="S156" s="157">
        <f>IF('KG1-6'!$P10="","",'KG1-6'!$P10)</f>
        <v/>
      </c>
      <c r="T156" s="157">
        <f>IF('KG1-6'!$V10="","",'KG1-6'!$V10)</f>
        <v/>
      </c>
      <c r="U156" s="157">
        <f>IF('KG1-6'!$W10="","",'KG1-6'!$W10)</f>
        <v/>
      </c>
      <c r="V156" s="157">
        <f>IF('KG1-6'!$X10="","",'KG1-6'!$X10)</f>
        <v/>
      </c>
      <c r="W156" s="157">
        <f>IF('KG1-6'!$Y10="","",'KG1-6'!$Y10)</f>
        <v/>
      </c>
      <c r="X156" s="157">
        <f>IF('KG1-6'!$R10="","",'KG1-6'!$R10)</f>
        <v/>
      </c>
      <c r="Y156" s="148">
        <f>IF('KG1-6'!$S10="","",'KG1-6'!$S10)</f>
        <v/>
      </c>
      <c r="Z156" s="148">
        <f>IF('KG1-6'!$Q10="","",'KG1-6'!$Q10)</f>
        <v/>
      </c>
      <c r="AA156" s="148">
        <f>IF('KG1-6'!$I10="","",'KG1-6'!$I10)</f>
        <v/>
      </c>
      <c r="AB156" s="146">
        <f>IF(Q156="","",INDEX(LevelActions,MATCH(Q156,LevelValues,0)))</f>
        <v/>
      </c>
      <c r="AC156" s="148">
        <f>IF(J156="","",IF(J156=0,"—",IF(AND(L156=0,M156=0),Cat_L1,IF(O156&gt;=Cat_95,Cat_L2,IF(O156&gt;=Cat_90,Cat_L3,Cat_L4)))))</f>
        <v/>
      </c>
      <c r="AD156" s="146">
        <f>IF('KG1-6'!$L10="","",'KG1-6'!$L10)</f>
        <v/>
      </c>
      <c r="AE156" s="148">
        <f>IF(B156="","",IF(COUNTIF($B$5:$B$214,B156)&gt;1,"مكرر!",""))</f>
        <v/>
      </c>
      <c r="AF156" s="148">
        <f>IF(AND(B156&lt;&gt;"",F156="نشط",OR(Dash_Class="الكل",D156=Dash_Class)),1,0)</f>
        <v/>
      </c>
      <c r="AG156" s="40">
        <f>IF(OR(AF156=0,Dash_DayIdx=0),"",IF(INDEX('KG1-6'!$AD$7:$IM$7,Dash_DayIdx)&lt;&gt;"✓","",IF(INDEX('KG1-6'!$AD10:$IM10,Dash_DayIdx)="","P",IFERROR(INDEX(StatusCodes,MATCH(INDEX('KG1-6'!$AD10:$IM10,Dash_DayIdx),StatusLabels,0)),""))))</f>
        <v/>
      </c>
      <c r="AH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IF(LateAsPresent="نعم",COUNTIFS('KG1-6'!$AD10:$IM10,"متأخر",'KG1-6'!$AD$7:$IM$7,"✓",'KG1-6'!$AD$6:$IM$6,1,'KG1-6'!$AD$5:$IM$5,"&gt;="&amp;MAX('KG1-6'!$U10,Dash_PStart),'KG1-6'!$AD$5:$IM$5,"&lt;="&amp;Dash_PEnd),0))</f>
        <v/>
      </c>
      <c r="AI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COUNTIFS('KG1-6'!$AD10:$IM10,"غياب بدون عذر",'KG1-6'!$AD$7:$IM$7,"✓",'KG1-6'!$AD$6:$IM$6,1,'KG1-6'!$AD$5:$IM$5,"&gt;="&amp;MAX('KG1-6'!$U10,Dash_PStart),'KG1-6'!$AD$5:$IM$5,"&lt;="&amp;Dash_PEnd)+COUNTIFS('KG1-6'!$AD10:$IM10,"غياب بعذر",'KG1-6'!$AD$7:$IM$7,"✓",'KG1-6'!$AD$6:$IM$6,1,'KG1-6'!$AD$5:$IM$5,"&gt;="&amp;MAX('KG1-6'!$U10,Dash_PStart),'KG1-6'!$AD$5:$IM$5,"&lt;="&amp;Dash_PEnd)+COUNTIFS('KG1-6'!$AD10:$IM10,"متأخر",'KG1-6'!$AD$7:$IM$7,"✓",'KG1-6'!$AD$6:$IM$6,1,'KG1-6'!$AD$5:$IM$5,"&gt;="&amp;MAX('KG1-6'!$U10,Dash_PStart),'KG1-6'!$AD$5:$IM$5,"&lt;="&amp;Dash_PEnd))</f>
        <v/>
      </c>
      <c r="AJ156" s="40">
        <f>IF(AF156=0,0,IF(W156=Dash_Date,Thr_Critical,IF(V156=Dash_Date,Thr_High,IF(U156=Dash_Date,Thr_Repeated,IF(T156=Dash_Date,Thr_FollowUp,0)))))</f>
        <v/>
      </c>
      <c r="AK156" s="40">
        <f>IF(AJ156&gt;0,COUNTIF($AJ$5:AJ156,"&gt;0"),"")</f>
        <v/>
      </c>
      <c r="AL156" s="40">
        <f>IF(AND(B156&lt;&gt;"",F156="نشط",Q156&lt;&gt;"",Q156&gt;0),L156*1000+(999-ROW()),"")</f>
        <v/>
      </c>
      <c r="AM156" s="40">
        <f>IF(AND(AF156=1,J156&lt;&gt;"",J156&gt;0),ROUND(O156*10000,0)*1000000+K156*1000+(999-ROW()),"")</f>
        <v/>
      </c>
      <c r="AN156" s="40">
        <f>IF(AND(AF156=1,J156&lt;&gt;"",J156&gt;0),(L156+M156)*10000000+ROUND((1-O156)*10000,0)*1000+(999-ROW()),"")</f>
        <v/>
      </c>
      <c r="AO156" s="40">
        <f>IF(AND(AF156=1,Q156&lt;&gt;"",Q156&gt;=Thr_Critical),L156*1000+(999-ROW()),"")</f>
        <v/>
      </c>
      <c r="AP156" s="40">
        <f>IF(AND(B156&lt;&gt;"",F156="نشط",OR(Rpt_Class="الكل",D156=Rpt_Class)),1,0)</f>
        <v/>
      </c>
      <c r="AQ156" s="40">
        <f>IF(AND(AP156=1,Q156&lt;&gt;"",Q156&gt;0),L156*1000+(999-ROW()),"")</f>
        <v/>
      </c>
      <c r="AR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IF(LateAsPresent="نعم",COUNTIFS('KG1-6'!$AD10:$IM10,"متأخر",'KG1-6'!$AD$7:$IM$7,"✓",'KG1-6'!$AD$6:$IM$6,1,'KG1-6'!$AD$5:$IM$5,"&gt;="&amp;MAX('KG1-6'!$U10,Rpt_PStart),'KG1-6'!$AD$5:$IM$5,"&lt;="&amp;Rpt_PEnd),0))</f>
        <v/>
      </c>
      <c r="AS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COUNTIFS('KG1-6'!$AD10:$IM10,"غياب بدون عذر",'KG1-6'!$AD$7:$IM$7,"✓",'KG1-6'!$AD$6:$IM$6,1,'KG1-6'!$AD$5:$IM$5,"&gt;="&amp;MAX('KG1-6'!$U10,Rpt_PStart),'KG1-6'!$AD$5:$IM$5,"&lt;="&amp;Rpt_PEnd)+COUNTIFS('KG1-6'!$AD10:$IM10,"غياب بعذر",'KG1-6'!$AD$7:$IM$7,"✓",'KG1-6'!$AD$6:$IM$6,1,'KG1-6'!$AD$5:$IM$5,"&gt;="&amp;MAX('KG1-6'!$U10,Rpt_PStart),'KG1-6'!$AD$5:$IM$5,"&lt;="&amp;Rpt_PEnd)+COUNTIFS('KG1-6'!$AD10:$IM10,"متأخر",'KG1-6'!$AD$7:$IM$7,"✓",'KG1-6'!$AD$6:$IM$6,1,'KG1-6'!$AD$5:$IM$5,"&gt;="&amp;MAX('KG1-6'!$U10,Rpt_PStart),'KG1-6'!$AD$5:$IM$5,"&lt;="&amp;Rpt_PEnd))</f>
        <v/>
      </c>
      <c r="AT156" s="40">
        <f>IF(AP156=0,"",COUNTIFS('KG1-6'!$AD10:$IM10,"غياب بدون عذر",'KG1-6'!$AD$7:$IM$7,"✓",'KG1-6'!$AD$6:$IM$6,1,'KG1-6'!$AD$5:$IM$5,"&gt;="&amp;MAX('KG1-6'!$U10,Rpt_PStart),'KG1-6'!$AD$5:$IM$5,"&lt;="&amp;Rpt_PEnd)+COUNTIFS('KG1-6'!$AD10:$IM10,"غياب بعذر",'KG1-6'!$AD$7:$IM$7,"✓",'KG1-6'!$AD$6:$IM$6,1,'KG1-6'!$AD$5:$IM$5,"&gt;="&amp;MAX('KG1-6'!$U10,Rpt_PStart),'KG1-6'!$AD$5:$IM$5,"&lt;="&amp;Rpt_PEnd))</f>
        <v/>
      </c>
      <c r="AU156" s="40" t="n">
        <v>6</v>
      </c>
      <c r="AV156" s="40" t="n">
        <v>2</v>
      </c>
      <c r="AW156" s="40">
        <f>IF(OR(AP156=0,Rpt_DayIdx=0),"",IF(INDEX('KG1-6'!$AD$7:$IM$7,Rpt_DayIdx)&lt;&gt;"✓","",IF(INDEX('KG1-6'!$AD10:$IM10,Rpt_DayIdx)="","P",IFERROR(INDEX(StatusCodes,MATCH(INDEX('KG1-6'!$AD10:$IM10,Rpt_DayIdx),StatusLabels,0)),""))))</f>
        <v/>
      </c>
      <c r="AX156" s="40">
        <f>IF(AND(AP156=1,OR(AW156="A",AW156="E")),COUNTIFS($AP$5:AP156,1,$AW$5:AW156,"A")+COUNTIFS($AP$5:AP156,1,$AW$5:AW156,"E"),"")</f>
        <v/>
      </c>
    </row>
    <row r="157">
      <c r="A157" s="148">
        <f>IF(B157="","",ROW()-4)</f>
        <v/>
      </c>
      <c r="B157" s="148">
        <f>IF('KG1-6'!$B11="","",'KG1-6'!$B11)</f>
        <v/>
      </c>
      <c r="C157" s="146">
        <f>IF('KG1-6'!$C11="","",'KG1-6'!$C11)</f>
        <v/>
      </c>
      <c r="D157" s="148">
        <f>IF(B157="","",'KG1-6'!$B$2)</f>
        <v/>
      </c>
      <c r="E157" s="148">
        <f>IF(B157="","",MID(D157,FIND("-",D157&amp;"-")+1,10))</f>
        <v/>
      </c>
      <c r="F157" s="148">
        <f>IF(B157="","","نشط")</f>
        <v/>
      </c>
      <c r="G157" s="157">
        <f>IF(B157="","","")</f>
        <v/>
      </c>
      <c r="H157" s="146">
        <f>IF('KG1-6'!$K11="","",'KG1-6'!$K11)</f>
        <v/>
      </c>
      <c r="I157" s="148">
        <f>IF('KG1-6'!$J11="","",'KG1-6'!$J11)</f>
        <v/>
      </c>
      <c r="J157" s="148">
        <f>IF('KG1-6'!$M11="","",'KG1-6'!$M11)</f>
        <v/>
      </c>
      <c r="K157" s="148">
        <f>IF('KG1-6'!$N11="","",'KG1-6'!$N11)</f>
        <v/>
      </c>
      <c r="L157" s="148">
        <f>IF('KG1-6'!$D11="","",'KG1-6'!$D11)</f>
        <v/>
      </c>
      <c r="M157" s="148">
        <f>IF('KG1-6'!$E11="","",'KG1-6'!$E11)</f>
        <v/>
      </c>
      <c r="N157" s="148">
        <f>IF('KG1-6'!$F11="","",'KG1-6'!$F11)</f>
        <v/>
      </c>
      <c r="O157" s="158">
        <f>IF('KG1-6'!$G11="","",'KG1-6'!$G11)</f>
        <v/>
      </c>
      <c r="P157" s="158">
        <f>IF('KG1-6'!$O11="","",'KG1-6'!$O11)</f>
        <v/>
      </c>
      <c r="Q157" s="148">
        <f>IF('KG1-6'!$T11="","",'KG1-6'!$T11)</f>
        <v/>
      </c>
      <c r="R157" s="146">
        <f>IF('KG1-6'!$H11="","",'KG1-6'!$H11)</f>
        <v/>
      </c>
      <c r="S157" s="157">
        <f>IF('KG1-6'!$P11="","",'KG1-6'!$P11)</f>
        <v/>
      </c>
      <c r="T157" s="157">
        <f>IF('KG1-6'!$V11="","",'KG1-6'!$V11)</f>
        <v/>
      </c>
      <c r="U157" s="157">
        <f>IF('KG1-6'!$W11="","",'KG1-6'!$W11)</f>
        <v/>
      </c>
      <c r="V157" s="157">
        <f>IF('KG1-6'!$X11="","",'KG1-6'!$X11)</f>
        <v/>
      </c>
      <c r="W157" s="157">
        <f>IF('KG1-6'!$Y11="","",'KG1-6'!$Y11)</f>
        <v/>
      </c>
      <c r="X157" s="157">
        <f>IF('KG1-6'!$R11="","",'KG1-6'!$R11)</f>
        <v/>
      </c>
      <c r="Y157" s="148">
        <f>IF('KG1-6'!$S11="","",'KG1-6'!$S11)</f>
        <v/>
      </c>
      <c r="Z157" s="148">
        <f>IF('KG1-6'!$Q11="","",'KG1-6'!$Q11)</f>
        <v/>
      </c>
      <c r="AA157" s="148">
        <f>IF('KG1-6'!$I11="","",'KG1-6'!$I11)</f>
        <v/>
      </c>
      <c r="AB157" s="146">
        <f>IF(Q157="","",INDEX(LevelActions,MATCH(Q157,LevelValues,0)))</f>
        <v/>
      </c>
      <c r="AC157" s="148">
        <f>IF(J157="","",IF(J157=0,"—",IF(AND(L157=0,M157=0),Cat_L1,IF(O157&gt;=Cat_95,Cat_L2,IF(O157&gt;=Cat_90,Cat_L3,Cat_L4)))))</f>
        <v/>
      </c>
      <c r="AD157" s="146">
        <f>IF('KG1-6'!$L11="","",'KG1-6'!$L11)</f>
        <v/>
      </c>
      <c r="AE157" s="148">
        <f>IF(B157="","",IF(COUNTIF($B$5:$B$214,B157)&gt;1,"مكرر!",""))</f>
        <v/>
      </c>
      <c r="AF157" s="148">
        <f>IF(AND(B157&lt;&gt;"",F157="نشط",OR(Dash_Class="الكل",D157=Dash_Class)),1,0)</f>
        <v/>
      </c>
      <c r="AG157" s="40">
        <f>IF(OR(AF157=0,Dash_DayIdx=0),"",IF(INDEX('KG1-6'!$AD$7:$IM$7,Dash_DayIdx)&lt;&gt;"✓","",IF(INDEX('KG1-6'!$AD11:$IM11,Dash_DayIdx)="","P",IFERROR(INDEX(StatusCodes,MATCH(INDEX('KG1-6'!$AD11:$IM11,Dash_DayIdx),StatusLabels,0)),""))))</f>
        <v/>
      </c>
      <c r="AH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IF(LateAsPresent="نعم",COUNTIFS('KG1-6'!$AD11:$IM11,"متأخر",'KG1-6'!$AD$7:$IM$7,"✓",'KG1-6'!$AD$6:$IM$6,1,'KG1-6'!$AD$5:$IM$5,"&gt;="&amp;MAX('KG1-6'!$U11,Dash_PStart),'KG1-6'!$AD$5:$IM$5,"&lt;="&amp;Dash_PEnd),0))</f>
        <v/>
      </c>
      <c r="AI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COUNTIFS('KG1-6'!$AD11:$IM11,"غياب بدون عذر",'KG1-6'!$AD$7:$IM$7,"✓",'KG1-6'!$AD$6:$IM$6,1,'KG1-6'!$AD$5:$IM$5,"&gt;="&amp;MAX('KG1-6'!$U11,Dash_PStart),'KG1-6'!$AD$5:$IM$5,"&lt;="&amp;Dash_PEnd)+COUNTIFS('KG1-6'!$AD11:$IM11,"غياب بعذر",'KG1-6'!$AD$7:$IM$7,"✓",'KG1-6'!$AD$6:$IM$6,1,'KG1-6'!$AD$5:$IM$5,"&gt;="&amp;MAX('KG1-6'!$U11,Dash_PStart),'KG1-6'!$AD$5:$IM$5,"&lt;="&amp;Dash_PEnd)+COUNTIFS('KG1-6'!$AD11:$IM11,"متأخر",'KG1-6'!$AD$7:$IM$7,"✓",'KG1-6'!$AD$6:$IM$6,1,'KG1-6'!$AD$5:$IM$5,"&gt;="&amp;MAX('KG1-6'!$U11,Dash_PStart),'KG1-6'!$AD$5:$IM$5,"&lt;="&amp;Dash_PEnd))</f>
        <v/>
      </c>
      <c r="AJ157" s="40">
        <f>IF(AF157=0,0,IF(W157=Dash_Date,Thr_Critical,IF(V157=Dash_Date,Thr_High,IF(U157=Dash_Date,Thr_Repeated,IF(T157=Dash_Date,Thr_FollowUp,0)))))</f>
        <v/>
      </c>
      <c r="AK157" s="40">
        <f>IF(AJ157&gt;0,COUNTIF($AJ$5:AJ157,"&gt;0"),"")</f>
        <v/>
      </c>
      <c r="AL157" s="40">
        <f>IF(AND(B157&lt;&gt;"",F157="نشط",Q157&lt;&gt;"",Q157&gt;0),L157*1000+(999-ROW()),"")</f>
        <v/>
      </c>
      <c r="AM157" s="40">
        <f>IF(AND(AF157=1,J157&lt;&gt;"",J157&gt;0),ROUND(O157*10000,0)*1000000+K157*1000+(999-ROW()),"")</f>
        <v/>
      </c>
      <c r="AN157" s="40">
        <f>IF(AND(AF157=1,J157&lt;&gt;"",J157&gt;0),(L157+M157)*10000000+ROUND((1-O157)*10000,0)*1000+(999-ROW()),"")</f>
        <v/>
      </c>
      <c r="AO157" s="40">
        <f>IF(AND(AF157=1,Q157&lt;&gt;"",Q157&gt;=Thr_Critical),L157*1000+(999-ROW()),"")</f>
        <v/>
      </c>
      <c r="AP157" s="40">
        <f>IF(AND(B157&lt;&gt;"",F157="نشط",OR(Rpt_Class="الكل",D157=Rpt_Class)),1,0)</f>
        <v/>
      </c>
      <c r="AQ157" s="40">
        <f>IF(AND(AP157=1,Q157&lt;&gt;"",Q157&gt;0),L157*1000+(999-ROW()),"")</f>
        <v/>
      </c>
      <c r="AR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IF(LateAsPresent="نعم",COUNTIFS('KG1-6'!$AD11:$IM11,"متأخر",'KG1-6'!$AD$7:$IM$7,"✓",'KG1-6'!$AD$6:$IM$6,1,'KG1-6'!$AD$5:$IM$5,"&gt;="&amp;MAX('KG1-6'!$U11,Rpt_PStart),'KG1-6'!$AD$5:$IM$5,"&lt;="&amp;Rpt_PEnd),0))</f>
        <v/>
      </c>
      <c r="AS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COUNTIFS('KG1-6'!$AD11:$IM11,"غياب بدون عذر",'KG1-6'!$AD$7:$IM$7,"✓",'KG1-6'!$AD$6:$IM$6,1,'KG1-6'!$AD$5:$IM$5,"&gt;="&amp;MAX('KG1-6'!$U11,Rpt_PStart),'KG1-6'!$AD$5:$IM$5,"&lt;="&amp;Rpt_PEnd)+COUNTIFS('KG1-6'!$AD11:$IM11,"غياب بعذر",'KG1-6'!$AD$7:$IM$7,"✓",'KG1-6'!$AD$6:$IM$6,1,'KG1-6'!$AD$5:$IM$5,"&gt;="&amp;MAX('KG1-6'!$U11,Rpt_PStart),'KG1-6'!$AD$5:$IM$5,"&lt;="&amp;Rpt_PEnd)+COUNTIFS('KG1-6'!$AD11:$IM11,"متأخر",'KG1-6'!$AD$7:$IM$7,"✓",'KG1-6'!$AD$6:$IM$6,1,'KG1-6'!$AD$5:$IM$5,"&gt;="&amp;MAX('KG1-6'!$U11,Rpt_PStart),'KG1-6'!$AD$5:$IM$5,"&lt;="&amp;Rpt_PEnd))</f>
        <v/>
      </c>
      <c r="AT157" s="40">
        <f>IF(AP157=0,"",COUNTIFS('KG1-6'!$AD11:$IM11,"غياب بدون عذر",'KG1-6'!$AD$7:$IM$7,"✓",'KG1-6'!$AD$6:$IM$6,1,'KG1-6'!$AD$5:$IM$5,"&gt;="&amp;MAX('KG1-6'!$U11,Rpt_PStart),'KG1-6'!$AD$5:$IM$5,"&lt;="&amp;Rpt_PEnd)+COUNTIFS('KG1-6'!$AD11:$IM11,"غياب بعذر",'KG1-6'!$AD$7:$IM$7,"✓",'KG1-6'!$AD$6:$IM$6,1,'KG1-6'!$AD$5:$IM$5,"&gt;="&amp;MAX('KG1-6'!$U11,Rpt_PStart),'KG1-6'!$AD$5:$IM$5,"&lt;="&amp;Rpt_PEnd))</f>
        <v/>
      </c>
      <c r="AU157" s="40" t="n">
        <v>6</v>
      </c>
      <c r="AV157" s="40" t="n">
        <v>3</v>
      </c>
      <c r="AW157" s="40">
        <f>IF(OR(AP157=0,Rpt_DayIdx=0),"",IF(INDEX('KG1-6'!$AD$7:$IM$7,Rpt_DayIdx)&lt;&gt;"✓","",IF(INDEX('KG1-6'!$AD11:$IM11,Rpt_DayIdx)="","P",IFERROR(INDEX(StatusCodes,MATCH(INDEX('KG1-6'!$AD11:$IM11,Rpt_DayIdx),StatusLabels,0)),""))))</f>
        <v/>
      </c>
      <c r="AX157" s="40">
        <f>IF(AND(AP157=1,OR(AW157="A",AW157="E")),COUNTIFS($AP$5:AP157,1,$AW$5:AW157,"A")+COUNTIFS($AP$5:AP157,1,$AW$5:AW157,"E"),"")</f>
        <v/>
      </c>
    </row>
    <row r="158">
      <c r="A158" s="148">
        <f>IF(B158="","",ROW()-4)</f>
        <v/>
      </c>
      <c r="B158" s="148">
        <f>IF('KG1-6'!$B12="","",'KG1-6'!$B12)</f>
        <v/>
      </c>
      <c r="C158" s="146">
        <f>IF('KG1-6'!$C12="","",'KG1-6'!$C12)</f>
        <v/>
      </c>
      <c r="D158" s="148">
        <f>IF(B158="","",'KG1-6'!$B$2)</f>
        <v/>
      </c>
      <c r="E158" s="148">
        <f>IF(B158="","",MID(D158,FIND("-",D158&amp;"-")+1,10))</f>
        <v/>
      </c>
      <c r="F158" s="148">
        <f>IF(B158="","","نشط")</f>
        <v/>
      </c>
      <c r="G158" s="157">
        <f>IF(B158="","","")</f>
        <v/>
      </c>
      <c r="H158" s="146">
        <f>IF('KG1-6'!$K12="","",'KG1-6'!$K12)</f>
        <v/>
      </c>
      <c r="I158" s="148">
        <f>IF('KG1-6'!$J12="","",'KG1-6'!$J12)</f>
        <v/>
      </c>
      <c r="J158" s="148">
        <f>IF('KG1-6'!$M12="","",'KG1-6'!$M12)</f>
        <v/>
      </c>
      <c r="K158" s="148">
        <f>IF('KG1-6'!$N12="","",'KG1-6'!$N12)</f>
        <v/>
      </c>
      <c r="L158" s="148">
        <f>IF('KG1-6'!$D12="","",'KG1-6'!$D12)</f>
        <v/>
      </c>
      <c r="M158" s="148">
        <f>IF('KG1-6'!$E12="","",'KG1-6'!$E12)</f>
        <v/>
      </c>
      <c r="N158" s="148">
        <f>IF('KG1-6'!$F12="","",'KG1-6'!$F12)</f>
        <v/>
      </c>
      <c r="O158" s="158">
        <f>IF('KG1-6'!$G12="","",'KG1-6'!$G12)</f>
        <v/>
      </c>
      <c r="P158" s="158">
        <f>IF('KG1-6'!$O12="","",'KG1-6'!$O12)</f>
        <v/>
      </c>
      <c r="Q158" s="148">
        <f>IF('KG1-6'!$T12="","",'KG1-6'!$T12)</f>
        <v/>
      </c>
      <c r="R158" s="146">
        <f>IF('KG1-6'!$H12="","",'KG1-6'!$H12)</f>
        <v/>
      </c>
      <c r="S158" s="157">
        <f>IF('KG1-6'!$P12="","",'KG1-6'!$P12)</f>
        <v/>
      </c>
      <c r="T158" s="157">
        <f>IF('KG1-6'!$V12="","",'KG1-6'!$V12)</f>
        <v/>
      </c>
      <c r="U158" s="157">
        <f>IF('KG1-6'!$W12="","",'KG1-6'!$W12)</f>
        <v/>
      </c>
      <c r="V158" s="157">
        <f>IF('KG1-6'!$X12="","",'KG1-6'!$X12)</f>
        <v/>
      </c>
      <c r="W158" s="157">
        <f>IF('KG1-6'!$Y12="","",'KG1-6'!$Y12)</f>
        <v/>
      </c>
      <c r="X158" s="157">
        <f>IF('KG1-6'!$R12="","",'KG1-6'!$R12)</f>
        <v/>
      </c>
      <c r="Y158" s="148">
        <f>IF('KG1-6'!$S12="","",'KG1-6'!$S12)</f>
        <v/>
      </c>
      <c r="Z158" s="148">
        <f>IF('KG1-6'!$Q12="","",'KG1-6'!$Q12)</f>
        <v/>
      </c>
      <c r="AA158" s="148">
        <f>IF('KG1-6'!$I12="","",'KG1-6'!$I12)</f>
        <v/>
      </c>
      <c r="AB158" s="146">
        <f>IF(Q158="","",INDEX(LevelActions,MATCH(Q158,LevelValues,0)))</f>
        <v/>
      </c>
      <c r="AC158" s="148">
        <f>IF(J158="","",IF(J158=0,"—",IF(AND(L158=0,M158=0),Cat_L1,IF(O158&gt;=Cat_95,Cat_L2,IF(O158&gt;=Cat_90,Cat_L3,Cat_L4)))))</f>
        <v/>
      </c>
      <c r="AD158" s="146">
        <f>IF('KG1-6'!$L12="","",'KG1-6'!$L12)</f>
        <v/>
      </c>
      <c r="AE158" s="148">
        <f>IF(B158="","",IF(COUNTIF($B$5:$B$214,B158)&gt;1,"مكرر!",""))</f>
        <v/>
      </c>
      <c r="AF158" s="148">
        <f>IF(AND(B158&lt;&gt;"",F158="نشط",OR(Dash_Class="الكل",D158=Dash_Class)),1,0)</f>
        <v/>
      </c>
      <c r="AG158" s="40">
        <f>IF(OR(AF158=0,Dash_DayIdx=0),"",IF(INDEX('KG1-6'!$AD$7:$IM$7,Dash_DayIdx)&lt;&gt;"✓","",IF(INDEX('KG1-6'!$AD12:$IM12,Dash_DayIdx)="","P",IFERROR(INDEX(StatusCodes,MATCH(INDEX('KG1-6'!$AD12:$IM12,Dash_DayIdx),StatusLabels,0)),""))))</f>
        <v/>
      </c>
      <c r="AH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IF(LateAsPresent="نعم",COUNTIFS('KG1-6'!$AD12:$IM12,"متأخر",'KG1-6'!$AD$7:$IM$7,"✓",'KG1-6'!$AD$6:$IM$6,1,'KG1-6'!$AD$5:$IM$5,"&gt;="&amp;MAX('KG1-6'!$U12,Dash_PStart),'KG1-6'!$AD$5:$IM$5,"&lt;="&amp;Dash_PEnd),0))</f>
        <v/>
      </c>
      <c r="AI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COUNTIFS('KG1-6'!$AD12:$IM12,"غياب بدون عذر",'KG1-6'!$AD$7:$IM$7,"✓",'KG1-6'!$AD$6:$IM$6,1,'KG1-6'!$AD$5:$IM$5,"&gt;="&amp;MAX('KG1-6'!$U12,Dash_PStart),'KG1-6'!$AD$5:$IM$5,"&lt;="&amp;Dash_PEnd)+COUNTIFS('KG1-6'!$AD12:$IM12,"غياب بعذر",'KG1-6'!$AD$7:$IM$7,"✓",'KG1-6'!$AD$6:$IM$6,1,'KG1-6'!$AD$5:$IM$5,"&gt;="&amp;MAX('KG1-6'!$U12,Dash_PStart),'KG1-6'!$AD$5:$IM$5,"&lt;="&amp;Dash_PEnd)+COUNTIFS('KG1-6'!$AD12:$IM12,"متأخر",'KG1-6'!$AD$7:$IM$7,"✓",'KG1-6'!$AD$6:$IM$6,1,'KG1-6'!$AD$5:$IM$5,"&gt;="&amp;MAX('KG1-6'!$U12,Dash_PStart),'KG1-6'!$AD$5:$IM$5,"&lt;="&amp;Dash_PEnd))</f>
        <v/>
      </c>
      <c r="AJ158" s="40">
        <f>IF(AF158=0,0,IF(W158=Dash_Date,Thr_Critical,IF(V158=Dash_Date,Thr_High,IF(U158=Dash_Date,Thr_Repeated,IF(T158=Dash_Date,Thr_FollowUp,0)))))</f>
        <v/>
      </c>
      <c r="AK158" s="40">
        <f>IF(AJ158&gt;0,COUNTIF($AJ$5:AJ158,"&gt;0"),"")</f>
        <v/>
      </c>
      <c r="AL158" s="40">
        <f>IF(AND(B158&lt;&gt;"",F158="نشط",Q158&lt;&gt;"",Q158&gt;0),L158*1000+(999-ROW()),"")</f>
        <v/>
      </c>
      <c r="AM158" s="40">
        <f>IF(AND(AF158=1,J158&lt;&gt;"",J158&gt;0),ROUND(O158*10000,0)*1000000+K158*1000+(999-ROW()),"")</f>
        <v/>
      </c>
      <c r="AN158" s="40">
        <f>IF(AND(AF158=1,J158&lt;&gt;"",J158&gt;0),(L158+M158)*10000000+ROUND((1-O158)*10000,0)*1000+(999-ROW()),"")</f>
        <v/>
      </c>
      <c r="AO158" s="40">
        <f>IF(AND(AF158=1,Q158&lt;&gt;"",Q158&gt;=Thr_Critical),L158*1000+(999-ROW()),"")</f>
        <v/>
      </c>
      <c r="AP158" s="40">
        <f>IF(AND(B158&lt;&gt;"",F158="نشط",OR(Rpt_Class="الكل",D158=Rpt_Class)),1,0)</f>
        <v/>
      </c>
      <c r="AQ158" s="40">
        <f>IF(AND(AP158=1,Q158&lt;&gt;"",Q158&gt;0),L158*1000+(999-ROW()),"")</f>
        <v/>
      </c>
      <c r="AR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IF(LateAsPresent="نعم",COUNTIFS('KG1-6'!$AD12:$IM12,"متأخر",'KG1-6'!$AD$7:$IM$7,"✓",'KG1-6'!$AD$6:$IM$6,1,'KG1-6'!$AD$5:$IM$5,"&gt;="&amp;MAX('KG1-6'!$U12,Rpt_PStart),'KG1-6'!$AD$5:$IM$5,"&lt;="&amp;Rpt_PEnd),0))</f>
        <v/>
      </c>
      <c r="AS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COUNTIFS('KG1-6'!$AD12:$IM12,"غياب بدون عذر",'KG1-6'!$AD$7:$IM$7,"✓",'KG1-6'!$AD$6:$IM$6,1,'KG1-6'!$AD$5:$IM$5,"&gt;="&amp;MAX('KG1-6'!$U12,Rpt_PStart),'KG1-6'!$AD$5:$IM$5,"&lt;="&amp;Rpt_PEnd)+COUNTIFS('KG1-6'!$AD12:$IM12,"غياب بعذر",'KG1-6'!$AD$7:$IM$7,"✓",'KG1-6'!$AD$6:$IM$6,1,'KG1-6'!$AD$5:$IM$5,"&gt;="&amp;MAX('KG1-6'!$U12,Rpt_PStart),'KG1-6'!$AD$5:$IM$5,"&lt;="&amp;Rpt_PEnd)+COUNTIFS('KG1-6'!$AD12:$IM12,"متأخر",'KG1-6'!$AD$7:$IM$7,"✓",'KG1-6'!$AD$6:$IM$6,1,'KG1-6'!$AD$5:$IM$5,"&gt;="&amp;MAX('KG1-6'!$U12,Rpt_PStart),'KG1-6'!$AD$5:$IM$5,"&lt;="&amp;Rpt_PEnd))</f>
        <v/>
      </c>
      <c r="AT158" s="40">
        <f>IF(AP158=0,"",COUNTIFS('KG1-6'!$AD12:$IM12,"غياب بدون عذر",'KG1-6'!$AD$7:$IM$7,"✓",'KG1-6'!$AD$6:$IM$6,1,'KG1-6'!$AD$5:$IM$5,"&gt;="&amp;MAX('KG1-6'!$U12,Rpt_PStart),'KG1-6'!$AD$5:$IM$5,"&lt;="&amp;Rpt_PEnd)+COUNTIFS('KG1-6'!$AD12:$IM12,"غياب بعذر",'KG1-6'!$AD$7:$IM$7,"✓",'KG1-6'!$AD$6:$IM$6,1,'KG1-6'!$AD$5:$IM$5,"&gt;="&amp;MAX('KG1-6'!$U12,Rpt_PStart),'KG1-6'!$AD$5:$IM$5,"&lt;="&amp;Rpt_PEnd))</f>
        <v/>
      </c>
      <c r="AU158" s="40" t="n">
        <v>6</v>
      </c>
      <c r="AV158" s="40" t="n">
        <v>4</v>
      </c>
      <c r="AW158" s="40">
        <f>IF(OR(AP158=0,Rpt_DayIdx=0),"",IF(INDEX('KG1-6'!$AD$7:$IM$7,Rpt_DayIdx)&lt;&gt;"✓","",IF(INDEX('KG1-6'!$AD12:$IM12,Rpt_DayIdx)="","P",IFERROR(INDEX(StatusCodes,MATCH(INDEX('KG1-6'!$AD12:$IM12,Rpt_DayIdx),StatusLabels,0)),""))))</f>
        <v/>
      </c>
      <c r="AX158" s="40">
        <f>IF(AND(AP158=1,OR(AW158="A",AW158="E")),COUNTIFS($AP$5:AP158,1,$AW$5:AW158,"A")+COUNTIFS($AP$5:AP158,1,$AW$5:AW158,"E"),"")</f>
        <v/>
      </c>
    </row>
    <row r="159">
      <c r="A159" s="148">
        <f>IF(B159="","",ROW()-4)</f>
        <v/>
      </c>
      <c r="B159" s="148">
        <f>IF('KG1-6'!$B13="","",'KG1-6'!$B13)</f>
        <v/>
      </c>
      <c r="C159" s="146">
        <f>IF('KG1-6'!$C13="","",'KG1-6'!$C13)</f>
        <v/>
      </c>
      <c r="D159" s="148">
        <f>IF(B159="","",'KG1-6'!$B$2)</f>
        <v/>
      </c>
      <c r="E159" s="148">
        <f>IF(B159="","",MID(D159,FIND("-",D159&amp;"-")+1,10))</f>
        <v/>
      </c>
      <c r="F159" s="148">
        <f>IF(B159="","","نشط")</f>
        <v/>
      </c>
      <c r="G159" s="157">
        <f>IF(B159="","","")</f>
        <v/>
      </c>
      <c r="H159" s="146">
        <f>IF('KG1-6'!$K13="","",'KG1-6'!$K13)</f>
        <v/>
      </c>
      <c r="I159" s="148">
        <f>IF('KG1-6'!$J13="","",'KG1-6'!$J13)</f>
        <v/>
      </c>
      <c r="J159" s="148">
        <f>IF('KG1-6'!$M13="","",'KG1-6'!$M13)</f>
        <v/>
      </c>
      <c r="K159" s="148">
        <f>IF('KG1-6'!$N13="","",'KG1-6'!$N13)</f>
        <v/>
      </c>
      <c r="L159" s="148">
        <f>IF('KG1-6'!$D13="","",'KG1-6'!$D13)</f>
        <v/>
      </c>
      <c r="M159" s="148">
        <f>IF('KG1-6'!$E13="","",'KG1-6'!$E13)</f>
        <v/>
      </c>
      <c r="N159" s="148">
        <f>IF('KG1-6'!$F13="","",'KG1-6'!$F13)</f>
        <v/>
      </c>
      <c r="O159" s="158">
        <f>IF('KG1-6'!$G13="","",'KG1-6'!$G13)</f>
        <v/>
      </c>
      <c r="P159" s="158">
        <f>IF('KG1-6'!$O13="","",'KG1-6'!$O13)</f>
        <v/>
      </c>
      <c r="Q159" s="148">
        <f>IF('KG1-6'!$T13="","",'KG1-6'!$T13)</f>
        <v/>
      </c>
      <c r="R159" s="146">
        <f>IF('KG1-6'!$H13="","",'KG1-6'!$H13)</f>
        <v/>
      </c>
      <c r="S159" s="157">
        <f>IF('KG1-6'!$P13="","",'KG1-6'!$P13)</f>
        <v/>
      </c>
      <c r="T159" s="157">
        <f>IF('KG1-6'!$V13="","",'KG1-6'!$V13)</f>
        <v/>
      </c>
      <c r="U159" s="157">
        <f>IF('KG1-6'!$W13="","",'KG1-6'!$W13)</f>
        <v/>
      </c>
      <c r="V159" s="157">
        <f>IF('KG1-6'!$X13="","",'KG1-6'!$X13)</f>
        <v/>
      </c>
      <c r="W159" s="157">
        <f>IF('KG1-6'!$Y13="","",'KG1-6'!$Y13)</f>
        <v/>
      </c>
      <c r="X159" s="157">
        <f>IF('KG1-6'!$R13="","",'KG1-6'!$R13)</f>
        <v/>
      </c>
      <c r="Y159" s="148">
        <f>IF('KG1-6'!$S13="","",'KG1-6'!$S13)</f>
        <v/>
      </c>
      <c r="Z159" s="148">
        <f>IF('KG1-6'!$Q13="","",'KG1-6'!$Q13)</f>
        <v/>
      </c>
      <c r="AA159" s="148">
        <f>IF('KG1-6'!$I13="","",'KG1-6'!$I13)</f>
        <v/>
      </c>
      <c r="AB159" s="146">
        <f>IF(Q159="","",INDEX(LevelActions,MATCH(Q159,LevelValues,0)))</f>
        <v/>
      </c>
      <c r="AC159" s="148">
        <f>IF(J159="","",IF(J159=0,"—",IF(AND(L159=0,M159=0),Cat_L1,IF(O159&gt;=Cat_95,Cat_L2,IF(O159&gt;=Cat_90,Cat_L3,Cat_L4)))))</f>
        <v/>
      </c>
      <c r="AD159" s="146">
        <f>IF('KG1-6'!$L13="","",'KG1-6'!$L13)</f>
        <v/>
      </c>
      <c r="AE159" s="148">
        <f>IF(B159="","",IF(COUNTIF($B$5:$B$214,B159)&gt;1,"مكرر!",""))</f>
        <v/>
      </c>
      <c r="AF159" s="148">
        <f>IF(AND(B159&lt;&gt;"",F159="نشط",OR(Dash_Class="الكل",D159=Dash_Class)),1,0)</f>
        <v/>
      </c>
      <c r="AG159" s="40">
        <f>IF(OR(AF159=0,Dash_DayIdx=0),"",IF(INDEX('KG1-6'!$AD$7:$IM$7,Dash_DayIdx)&lt;&gt;"✓","",IF(INDEX('KG1-6'!$AD13:$IM13,Dash_DayIdx)="","P",IFERROR(INDEX(StatusCodes,MATCH(INDEX('KG1-6'!$AD13:$IM13,Dash_DayIdx),StatusLabels,0)),""))))</f>
        <v/>
      </c>
      <c r="AH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IF(LateAsPresent="نعم",COUNTIFS('KG1-6'!$AD13:$IM13,"متأخر",'KG1-6'!$AD$7:$IM$7,"✓",'KG1-6'!$AD$6:$IM$6,1,'KG1-6'!$AD$5:$IM$5,"&gt;="&amp;MAX('KG1-6'!$U13,Dash_PStart),'KG1-6'!$AD$5:$IM$5,"&lt;="&amp;Dash_PEnd),0))</f>
        <v/>
      </c>
      <c r="AI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COUNTIFS('KG1-6'!$AD13:$IM13,"غياب بدون عذر",'KG1-6'!$AD$7:$IM$7,"✓",'KG1-6'!$AD$6:$IM$6,1,'KG1-6'!$AD$5:$IM$5,"&gt;="&amp;MAX('KG1-6'!$U13,Dash_PStart),'KG1-6'!$AD$5:$IM$5,"&lt;="&amp;Dash_PEnd)+COUNTIFS('KG1-6'!$AD13:$IM13,"غياب بعذر",'KG1-6'!$AD$7:$IM$7,"✓",'KG1-6'!$AD$6:$IM$6,1,'KG1-6'!$AD$5:$IM$5,"&gt;="&amp;MAX('KG1-6'!$U13,Dash_PStart),'KG1-6'!$AD$5:$IM$5,"&lt;="&amp;Dash_PEnd)+COUNTIFS('KG1-6'!$AD13:$IM13,"متأخر",'KG1-6'!$AD$7:$IM$7,"✓",'KG1-6'!$AD$6:$IM$6,1,'KG1-6'!$AD$5:$IM$5,"&gt;="&amp;MAX('KG1-6'!$U13,Dash_PStart),'KG1-6'!$AD$5:$IM$5,"&lt;="&amp;Dash_PEnd))</f>
        <v/>
      </c>
      <c r="AJ159" s="40">
        <f>IF(AF159=0,0,IF(W159=Dash_Date,Thr_Critical,IF(V159=Dash_Date,Thr_High,IF(U159=Dash_Date,Thr_Repeated,IF(T159=Dash_Date,Thr_FollowUp,0)))))</f>
        <v/>
      </c>
      <c r="AK159" s="40">
        <f>IF(AJ159&gt;0,COUNTIF($AJ$5:AJ159,"&gt;0"),"")</f>
        <v/>
      </c>
      <c r="AL159" s="40">
        <f>IF(AND(B159&lt;&gt;"",F159="نشط",Q159&lt;&gt;"",Q159&gt;0),L159*1000+(999-ROW()),"")</f>
        <v/>
      </c>
      <c r="AM159" s="40">
        <f>IF(AND(AF159=1,J159&lt;&gt;"",J159&gt;0),ROUND(O159*10000,0)*1000000+K159*1000+(999-ROW()),"")</f>
        <v/>
      </c>
      <c r="AN159" s="40">
        <f>IF(AND(AF159=1,J159&lt;&gt;"",J159&gt;0),(L159+M159)*10000000+ROUND((1-O159)*10000,0)*1000+(999-ROW()),"")</f>
        <v/>
      </c>
      <c r="AO159" s="40">
        <f>IF(AND(AF159=1,Q159&lt;&gt;"",Q159&gt;=Thr_Critical),L159*1000+(999-ROW()),"")</f>
        <v/>
      </c>
      <c r="AP159" s="40">
        <f>IF(AND(B159&lt;&gt;"",F159="نشط",OR(Rpt_Class="الكل",D159=Rpt_Class)),1,0)</f>
        <v/>
      </c>
      <c r="AQ159" s="40">
        <f>IF(AND(AP159=1,Q159&lt;&gt;"",Q159&gt;0),L159*1000+(999-ROW()),"")</f>
        <v/>
      </c>
      <c r="AR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IF(LateAsPresent="نعم",COUNTIFS('KG1-6'!$AD13:$IM13,"متأخر",'KG1-6'!$AD$7:$IM$7,"✓",'KG1-6'!$AD$6:$IM$6,1,'KG1-6'!$AD$5:$IM$5,"&gt;="&amp;MAX('KG1-6'!$U13,Rpt_PStart),'KG1-6'!$AD$5:$IM$5,"&lt;="&amp;Rpt_PEnd),0))</f>
        <v/>
      </c>
      <c r="AS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COUNTIFS('KG1-6'!$AD13:$IM13,"غياب بدون عذر",'KG1-6'!$AD$7:$IM$7,"✓",'KG1-6'!$AD$6:$IM$6,1,'KG1-6'!$AD$5:$IM$5,"&gt;="&amp;MAX('KG1-6'!$U13,Rpt_PStart),'KG1-6'!$AD$5:$IM$5,"&lt;="&amp;Rpt_PEnd)+COUNTIFS('KG1-6'!$AD13:$IM13,"غياب بعذر",'KG1-6'!$AD$7:$IM$7,"✓",'KG1-6'!$AD$6:$IM$6,1,'KG1-6'!$AD$5:$IM$5,"&gt;="&amp;MAX('KG1-6'!$U13,Rpt_PStart),'KG1-6'!$AD$5:$IM$5,"&lt;="&amp;Rpt_PEnd)+COUNTIFS('KG1-6'!$AD13:$IM13,"متأخر",'KG1-6'!$AD$7:$IM$7,"✓",'KG1-6'!$AD$6:$IM$6,1,'KG1-6'!$AD$5:$IM$5,"&gt;="&amp;MAX('KG1-6'!$U13,Rpt_PStart),'KG1-6'!$AD$5:$IM$5,"&lt;="&amp;Rpt_PEnd))</f>
        <v/>
      </c>
      <c r="AT159" s="40">
        <f>IF(AP159=0,"",COUNTIFS('KG1-6'!$AD13:$IM13,"غياب بدون عذر",'KG1-6'!$AD$7:$IM$7,"✓",'KG1-6'!$AD$6:$IM$6,1,'KG1-6'!$AD$5:$IM$5,"&gt;="&amp;MAX('KG1-6'!$U13,Rpt_PStart),'KG1-6'!$AD$5:$IM$5,"&lt;="&amp;Rpt_PEnd)+COUNTIFS('KG1-6'!$AD13:$IM13,"غياب بعذر",'KG1-6'!$AD$7:$IM$7,"✓",'KG1-6'!$AD$6:$IM$6,1,'KG1-6'!$AD$5:$IM$5,"&gt;="&amp;MAX('KG1-6'!$U13,Rpt_PStart),'KG1-6'!$AD$5:$IM$5,"&lt;="&amp;Rpt_PEnd))</f>
        <v/>
      </c>
      <c r="AU159" s="40" t="n">
        <v>6</v>
      </c>
      <c r="AV159" s="40" t="n">
        <v>5</v>
      </c>
      <c r="AW159" s="40">
        <f>IF(OR(AP159=0,Rpt_DayIdx=0),"",IF(INDEX('KG1-6'!$AD$7:$IM$7,Rpt_DayIdx)&lt;&gt;"✓","",IF(INDEX('KG1-6'!$AD13:$IM13,Rpt_DayIdx)="","P",IFERROR(INDEX(StatusCodes,MATCH(INDEX('KG1-6'!$AD13:$IM13,Rpt_DayIdx),StatusLabels,0)),""))))</f>
        <v/>
      </c>
      <c r="AX159" s="40">
        <f>IF(AND(AP159=1,OR(AW159="A",AW159="E")),COUNTIFS($AP$5:AP159,1,$AW$5:AW159,"A")+COUNTIFS($AP$5:AP159,1,$AW$5:AW159,"E"),"")</f>
        <v/>
      </c>
    </row>
    <row r="160">
      <c r="A160" s="148">
        <f>IF(B160="","",ROW()-4)</f>
        <v/>
      </c>
      <c r="B160" s="148">
        <f>IF('KG1-6'!$B14="","",'KG1-6'!$B14)</f>
        <v/>
      </c>
      <c r="C160" s="146">
        <f>IF('KG1-6'!$C14="","",'KG1-6'!$C14)</f>
        <v/>
      </c>
      <c r="D160" s="148">
        <f>IF(B160="","",'KG1-6'!$B$2)</f>
        <v/>
      </c>
      <c r="E160" s="148">
        <f>IF(B160="","",MID(D160,FIND("-",D160&amp;"-")+1,10))</f>
        <v/>
      </c>
      <c r="F160" s="148">
        <f>IF(B160="","","نشط")</f>
        <v/>
      </c>
      <c r="G160" s="157">
        <f>IF(B160="","","")</f>
        <v/>
      </c>
      <c r="H160" s="146">
        <f>IF('KG1-6'!$K14="","",'KG1-6'!$K14)</f>
        <v/>
      </c>
      <c r="I160" s="148">
        <f>IF('KG1-6'!$J14="","",'KG1-6'!$J14)</f>
        <v/>
      </c>
      <c r="J160" s="148">
        <f>IF('KG1-6'!$M14="","",'KG1-6'!$M14)</f>
        <v/>
      </c>
      <c r="K160" s="148">
        <f>IF('KG1-6'!$N14="","",'KG1-6'!$N14)</f>
        <v/>
      </c>
      <c r="L160" s="148">
        <f>IF('KG1-6'!$D14="","",'KG1-6'!$D14)</f>
        <v/>
      </c>
      <c r="M160" s="148">
        <f>IF('KG1-6'!$E14="","",'KG1-6'!$E14)</f>
        <v/>
      </c>
      <c r="N160" s="148">
        <f>IF('KG1-6'!$F14="","",'KG1-6'!$F14)</f>
        <v/>
      </c>
      <c r="O160" s="158">
        <f>IF('KG1-6'!$G14="","",'KG1-6'!$G14)</f>
        <v/>
      </c>
      <c r="P160" s="158">
        <f>IF('KG1-6'!$O14="","",'KG1-6'!$O14)</f>
        <v/>
      </c>
      <c r="Q160" s="148">
        <f>IF('KG1-6'!$T14="","",'KG1-6'!$T14)</f>
        <v/>
      </c>
      <c r="R160" s="146">
        <f>IF('KG1-6'!$H14="","",'KG1-6'!$H14)</f>
        <v/>
      </c>
      <c r="S160" s="157">
        <f>IF('KG1-6'!$P14="","",'KG1-6'!$P14)</f>
        <v/>
      </c>
      <c r="T160" s="157">
        <f>IF('KG1-6'!$V14="","",'KG1-6'!$V14)</f>
        <v/>
      </c>
      <c r="U160" s="157">
        <f>IF('KG1-6'!$W14="","",'KG1-6'!$W14)</f>
        <v/>
      </c>
      <c r="V160" s="157">
        <f>IF('KG1-6'!$X14="","",'KG1-6'!$X14)</f>
        <v/>
      </c>
      <c r="W160" s="157">
        <f>IF('KG1-6'!$Y14="","",'KG1-6'!$Y14)</f>
        <v/>
      </c>
      <c r="X160" s="157">
        <f>IF('KG1-6'!$R14="","",'KG1-6'!$R14)</f>
        <v/>
      </c>
      <c r="Y160" s="148">
        <f>IF('KG1-6'!$S14="","",'KG1-6'!$S14)</f>
        <v/>
      </c>
      <c r="Z160" s="148">
        <f>IF('KG1-6'!$Q14="","",'KG1-6'!$Q14)</f>
        <v/>
      </c>
      <c r="AA160" s="148">
        <f>IF('KG1-6'!$I14="","",'KG1-6'!$I14)</f>
        <v/>
      </c>
      <c r="AB160" s="146">
        <f>IF(Q160="","",INDEX(LevelActions,MATCH(Q160,LevelValues,0)))</f>
        <v/>
      </c>
      <c r="AC160" s="148">
        <f>IF(J160="","",IF(J160=0,"—",IF(AND(L160=0,M160=0),Cat_L1,IF(O160&gt;=Cat_95,Cat_L2,IF(O160&gt;=Cat_90,Cat_L3,Cat_L4)))))</f>
        <v/>
      </c>
      <c r="AD160" s="146">
        <f>IF('KG1-6'!$L14="","",'KG1-6'!$L14)</f>
        <v/>
      </c>
      <c r="AE160" s="148">
        <f>IF(B160="","",IF(COUNTIF($B$5:$B$214,B160)&gt;1,"مكرر!",""))</f>
        <v/>
      </c>
      <c r="AF160" s="148">
        <f>IF(AND(B160&lt;&gt;"",F160="نشط",OR(Dash_Class="الكل",D160=Dash_Class)),1,0)</f>
        <v/>
      </c>
      <c r="AG160" s="40">
        <f>IF(OR(AF160=0,Dash_DayIdx=0),"",IF(INDEX('KG1-6'!$AD$7:$IM$7,Dash_DayIdx)&lt;&gt;"✓","",IF(INDEX('KG1-6'!$AD14:$IM14,Dash_DayIdx)="","P",IFERROR(INDEX(StatusCodes,MATCH(INDEX('KG1-6'!$AD14:$IM14,Dash_DayIdx),StatusLabels,0)),""))))</f>
        <v/>
      </c>
      <c r="AH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IF(LateAsPresent="نعم",COUNTIFS('KG1-6'!$AD14:$IM14,"متأخر",'KG1-6'!$AD$7:$IM$7,"✓",'KG1-6'!$AD$6:$IM$6,1,'KG1-6'!$AD$5:$IM$5,"&gt;="&amp;MAX('KG1-6'!$U14,Dash_PStart),'KG1-6'!$AD$5:$IM$5,"&lt;="&amp;Dash_PEnd),0))</f>
        <v/>
      </c>
      <c r="AI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COUNTIFS('KG1-6'!$AD14:$IM14,"غياب بدون عذر",'KG1-6'!$AD$7:$IM$7,"✓",'KG1-6'!$AD$6:$IM$6,1,'KG1-6'!$AD$5:$IM$5,"&gt;="&amp;MAX('KG1-6'!$U14,Dash_PStart),'KG1-6'!$AD$5:$IM$5,"&lt;="&amp;Dash_PEnd)+COUNTIFS('KG1-6'!$AD14:$IM14,"غياب بعذر",'KG1-6'!$AD$7:$IM$7,"✓",'KG1-6'!$AD$6:$IM$6,1,'KG1-6'!$AD$5:$IM$5,"&gt;="&amp;MAX('KG1-6'!$U14,Dash_PStart),'KG1-6'!$AD$5:$IM$5,"&lt;="&amp;Dash_PEnd)+COUNTIFS('KG1-6'!$AD14:$IM14,"متأخر",'KG1-6'!$AD$7:$IM$7,"✓",'KG1-6'!$AD$6:$IM$6,1,'KG1-6'!$AD$5:$IM$5,"&gt;="&amp;MAX('KG1-6'!$U14,Dash_PStart),'KG1-6'!$AD$5:$IM$5,"&lt;="&amp;Dash_PEnd))</f>
        <v/>
      </c>
      <c r="AJ160" s="40">
        <f>IF(AF160=0,0,IF(W160=Dash_Date,Thr_Critical,IF(V160=Dash_Date,Thr_High,IF(U160=Dash_Date,Thr_Repeated,IF(T160=Dash_Date,Thr_FollowUp,0)))))</f>
        <v/>
      </c>
      <c r="AK160" s="40">
        <f>IF(AJ160&gt;0,COUNTIF($AJ$5:AJ160,"&gt;0"),"")</f>
        <v/>
      </c>
      <c r="AL160" s="40">
        <f>IF(AND(B160&lt;&gt;"",F160="نشط",Q160&lt;&gt;"",Q160&gt;0),L160*1000+(999-ROW()),"")</f>
        <v/>
      </c>
      <c r="AM160" s="40">
        <f>IF(AND(AF160=1,J160&lt;&gt;"",J160&gt;0),ROUND(O160*10000,0)*1000000+K160*1000+(999-ROW()),"")</f>
        <v/>
      </c>
      <c r="AN160" s="40">
        <f>IF(AND(AF160=1,J160&lt;&gt;"",J160&gt;0),(L160+M160)*10000000+ROUND((1-O160)*10000,0)*1000+(999-ROW()),"")</f>
        <v/>
      </c>
      <c r="AO160" s="40">
        <f>IF(AND(AF160=1,Q160&lt;&gt;"",Q160&gt;=Thr_Critical),L160*1000+(999-ROW()),"")</f>
        <v/>
      </c>
      <c r="AP160" s="40">
        <f>IF(AND(B160&lt;&gt;"",F160="نشط",OR(Rpt_Class="الكل",D160=Rpt_Class)),1,0)</f>
        <v/>
      </c>
      <c r="AQ160" s="40">
        <f>IF(AND(AP160=1,Q160&lt;&gt;"",Q160&gt;0),L160*1000+(999-ROW()),"")</f>
        <v/>
      </c>
      <c r="AR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IF(LateAsPresent="نعم",COUNTIFS('KG1-6'!$AD14:$IM14,"متأخر",'KG1-6'!$AD$7:$IM$7,"✓",'KG1-6'!$AD$6:$IM$6,1,'KG1-6'!$AD$5:$IM$5,"&gt;="&amp;MAX('KG1-6'!$U14,Rpt_PStart),'KG1-6'!$AD$5:$IM$5,"&lt;="&amp;Rpt_PEnd),0))</f>
        <v/>
      </c>
      <c r="AS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COUNTIFS('KG1-6'!$AD14:$IM14,"غياب بدون عذر",'KG1-6'!$AD$7:$IM$7,"✓",'KG1-6'!$AD$6:$IM$6,1,'KG1-6'!$AD$5:$IM$5,"&gt;="&amp;MAX('KG1-6'!$U14,Rpt_PStart),'KG1-6'!$AD$5:$IM$5,"&lt;="&amp;Rpt_PEnd)+COUNTIFS('KG1-6'!$AD14:$IM14,"غياب بعذر",'KG1-6'!$AD$7:$IM$7,"✓",'KG1-6'!$AD$6:$IM$6,1,'KG1-6'!$AD$5:$IM$5,"&gt;="&amp;MAX('KG1-6'!$U14,Rpt_PStart),'KG1-6'!$AD$5:$IM$5,"&lt;="&amp;Rpt_PEnd)+COUNTIFS('KG1-6'!$AD14:$IM14,"متأخر",'KG1-6'!$AD$7:$IM$7,"✓",'KG1-6'!$AD$6:$IM$6,1,'KG1-6'!$AD$5:$IM$5,"&gt;="&amp;MAX('KG1-6'!$U14,Rpt_PStart),'KG1-6'!$AD$5:$IM$5,"&lt;="&amp;Rpt_PEnd))</f>
        <v/>
      </c>
      <c r="AT160" s="40">
        <f>IF(AP160=0,"",COUNTIFS('KG1-6'!$AD14:$IM14,"غياب بدون عذر",'KG1-6'!$AD$7:$IM$7,"✓",'KG1-6'!$AD$6:$IM$6,1,'KG1-6'!$AD$5:$IM$5,"&gt;="&amp;MAX('KG1-6'!$U14,Rpt_PStart),'KG1-6'!$AD$5:$IM$5,"&lt;="&amp;Rpt_PEnd)+COUNTIFS('KG1-6'!$AD14:$IM14,"غياب بعذر",'KG1-6'!$AD$7:$IM$7,"✓",'KG1-6'!$AD$6:$IM$6,1,'KG1-6'!$AD$5:$IM$5,"&gt;="&amp;MAX('KG1-6'!$U14,Rpt_PStart),'KG1-6'!$AD$5:$IM$5,"&lt;="&amp;Rpt_PEnd))</f>
        <v/>
      </c>
      <c r="AU160" s="40" t="n">
        <v>6</v>
      </c>
      <c r="AV160" s="40" t="n">
        <v>6</v>
      </c>
      <c r="AW160" s="40">
        <f>IF(OR(AP160=0,Rpt_DayIdx=0),"",IF(INDEX('KG1-6'!$AD$7:$IM$7,Rpt_DayIdx)&lt;&gt;"✓","",IF(INDEX('KG1-6'!$AD14:$IM14,Rpt_DayIdx)="","P",IFERROR(INDEX(StatusCodes,MATCH(INDEX('KG1-6'!$AD14:$IM14,Rpt_DayIdx),StatusLabels,0)),""))))</f>
        <v/>
      </c>
      <c r="AX160" s="40">
        <f>IF(AND(AP160=1,OR(AW160="A",AW160="E")),COUNTIFS($AP$5:AP160,1,$AW$5:AW160,"A")+COUNTIFS($AP$5:AP160,1,$AW$5:AW160,"E"),"")</f>
        <v/>
      </c>
    </row>
    <row r="161">
      <c r="A161" s="148">
        <f>IF(B161="","",ROW()-4)</f>
        <v/>
      </c>
      <c r="B161" s="148">
        <f>IF('KG1-6'!$B15="","",'KG1-6'!$B15)</f>
        <v/>
      </c>
      <c r="C161" s="146">
        <f>IF('KG1-6'!$C15="","",'KG1-6'!$C15)</f>
        <v/>
      </c>
      <c r="D161" s="148">
        <f>IF(B161="","",'KG1-6'!$B$2)</f>
        <v/>
      </c>
      <c r="E161" s="148">
        <f>IF(B161="","",MID(D161,FIND("-",D161&amp;"-")+1,10))</f>
        <v/>
      </c>
      <c r="F161" s="148">
        <f>IF(B161="","","نشط")</f>
        <v/>
      </c>
      <c r="G161" s="157">
        <f>IF(B161="","","")</f>
        <v/>
      </c>
      <c r="H161" s="146">
        <f>IF('KG1-6'!$K15="","",'KG1-6'!$K15)</f>
        <v/>
      </c>
      <c r="I161" s="148">
        <f>IF('KG1-6'!$J15="","",'KG1-6'!$J15)</f>
        <v/>
      </c>
      <c r="J161" s="148">
        <f>IF('KG1-6'!$M15="","",'KG1-6'!$M15)</f>
        <v/>
      </c>
      <c r="K161" s="148">
        <f>IF('KG1-6'!$N15="","",'KG1-6'!$N15)</f>
        <v/>
      </c>
      <c r="L161" s="148">
        <f>IF('KG1-6'!$D15="","",'KG1-6'!$D15)</f>
        <v/>
      </c>
      <c r="M161" s="148">
        <f>IF('KG1-6'!$E15="","",'KG1-6'!$E15)</f>
        <v/>
      </c>
      <c r="N161" s="148">
        <f>IF('KG1-6'!$F15="","",'KG1-6'!$F15)</f>
        <v/>
      </c>
      <c r="O161" s="158">
        <f>IF('KG1-6'!$G15="","",'KG1-6'!$G15)</f>
        <v/>
      </c>
      <c r="P161" s="158">
        <f>IF('KG1-6'!$O15="","",'KG1-6'!$O15)</f>
        <v/>
      </c>
      <c r="Q161" s="148">
        <f>IF('KG1-6'!$T15="","",'KG1-6'!$T15)</f>
        <v/>
      </c>
      <c r="R161" s="146">
        <f>IF('KG1-6'!$H15="","",'KG1-6'!$H15)</f>
        <v/>
      </c>
      <c r="S161" s="157">
        <f>IF('KG1-6'!$P15="","",'KG1-6'!$P15)</f>
        <v/>
      </c>
      <c r="T161" s="157">
        <f>IF('KG1-6'!$V15="","",'KG1-6'!$V15)</f>
        <v/>
      </c>
      <c r="U161" s="157">
        <f>IF('KG1-6'!$W15="","",'KG1-6'!$W15)</f>
        <v/>
      </c>
      <c r="V161" s="157">
        <f>IF('KG1-6'!$X15="","",'KG1-6'!$X15)</f>
        <v/>
      </c>
      <c r="W161" s="157">
        <f>IF('KG1-6'!$Y15="","",'KG1-6'!$Y15)</f>
        <v/>
      </c>
      <c r="X161" s="157">
        <f>IF('KG1-6'!$R15="","",'KG1-6'!$R15)</f>
        <v/>
      </c>
      <c r="Y161" s="148">
        <f>IF('KG1-6'!$S15="","",'KG1-6'!$S15)</f>
        <v/>
      </c>
      <c r="Z161" s="148">
        <f>IF('KG1-6'!$Q15="","",'KG1-6'!$Q15)</f>
        <v/>
      </c>
      <c r="AA161" s="148">
        <f>IF('KG1-6'!$I15="","",'KG1-6'!$I15)</f>
        <v/>
      </c>
      <c r="AB161" s="146">
        <f>IF(Q161="","",INDEX(LevelActions,MATCH(Q161,LevelValues,0)))</f>
        <v/>
      </c>
      <c r="AC161" s="148">
        <f>IF(J161="","",IF(J161=0,"—",IF(AND(L161=0,M161=0),Cat_L1,IF(O161&gt;=Cat_95,Cat_L2,IF(O161&gt;=Cat_90,Cat_L3,Cat_L4)))))</f>
        <v/>
      </c>
      <c r="AD161" s="146">
        <f>IF('KG1-6'!$L15="","",'KG1-6'!$L15)</f>
        <v/>
      </c>
      <c r="AE161" s="148">
        <f>IF(B161="","",IF(COUNTIF($B$5:$B$214,B161)&gt;1,"مكرر!",""))</f>
        <v/>
      </c>
      <c r="AF161" s="148">
        <f>IF(AND(B161&lt;&gt;"",F161="نشط",OR(Dash_Class="الكل",D161=Dash_Class)),1,0)</f>
        <v/>
      </c>
      <c r="AG161" s="40">
        <f>IF(OR(AF161=0,Dash_DayIdx=0),"",IF(INDEX('KG1-6'!$AD$7:$IM$7,Dash_DayIdx)&lt;&gt;"✓","",IF(INDEX('KG1-6'!$AD15:$IM15,Dash_DayIdx)="","P",IFERROR(INDEX(StatusCodes,MATCH(INDEX('KG1-6'!$AD15:$IM15,Dash_DayIdx),StatusLabels,0)),""))))</f>
        <v/>
      </c>
      <c r="AH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IF(LateAsPresent="نعم",COUNTIFS('KG1-6'!$AD15:$IM15,"متأخر",'KG1-6'!$AD$7:$IM$7,"✓",'KG1-6'!$AD$6:$IM$6,1,'KG1-6'!$AD$5:$IM$5,"&gt;="&amp;MAX('KG1-6'!$U15,Dash_PStart),'KG1-6'!$AD$5:$IM$5,"&lt;="&amp;Dash_PEnd),0))</f>
        <v/>
      </c>
      <c r="AI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COUNTIFS('KG1-6'!$AD15:$IM15,"غياب بدون عذر",'KG1-6'!$AD$7:$IM$7,"✓",'KG1-6'!$AD$6:$IM$6,1,'KG1-6'!$AD$5:$IM$5,"&gt;="&amp;MAX('KG1-6'!$U15,Dash_PStart),'KG1-6'!$AD$5:$IM$5,"&lt;="&amp;Dash_PEnd)+COUNTIFS('KG1-6'!$AD15:$IM15,"غياب بعذر",'KG1-6'!$AD$7:$IM$7,"✓",'KG1-6'!$AD$6:$IM$6,1,'KG1-6'!$AD$5:$IM$5,"&gt;="&amp;MAX('KG1-6'!$U15,Dash_PStart),'KG1-6'!$AD$5:$IM$5,"&lt;="&amp;Dash_PEnd)+COUNTIFS('KG1-6'!$AD15:$IM15,"متأخر",'KG1-6'!$AD$7:$IM$7,"✓",'KG1-6'!$AD$6:$IM$6,1,'KG1-6'!$AD$5:$IM$5,"&gt;="&amp;MAX('KG1-6'!$U15,Dash_PStart),'KG1-6'!$AD$5:$IM$5,"&lt;="&amp;Dash_PEnd))</f>
        <v/>
      </c>
      <c r="AJ161" s="40">
        <f>IF(AF161=0,0,IF(W161=Dash_Date,Thr_Critical,IF(V161=Dash_Date,Thr_High,IF(U161=Dash_Date,Thr_Repeated,IF(T161=Dash_Date,Thr_FollowUp,0)))))</f>
        <v/>
      </c>
      <c r="AK161" s="40">
        <f>IF(AJ161&gt;0,COUNTIF($AJ$5:AJ161,"&gt;0"),"")</f>
        <v/>
      </c>
      <c r="AL161" s="40">
        <f>IF(AND(B161&lt;&gt;"",F161="نشط",Q161&lt;&gt;"",Q161&gt;0),L161*1000+(999-ROW()),"")</f>
        <v/>
      </c>
      <c r="AM161" s="40">
        <f>IF(AND(AF161=1,J161&lt;&gt;"",J161&gt;0),ROUND(O161*10000,0)*1000000+K161*1000+(999-ROW()),"")</f>
        <v/>
      </c>
      <c r="AN161" s="40">
        <f>IF(AND(AF161=1,J161&lt;&gt;"",J161&gt;0),(L161+M161)*10000000+ROUND((1-O161)*10000,0)*1000+(999-ROW()),"")</f>
        <v/>
      </c>
      <c r="AO161" s="40">
        <f>IF(AND(AF161=1,Q161&lt;&gt;"",Q161&gt;=Thr_Critical),L161*1000+(999-ROW()),"")</f>
        <v/>
      </c>
      <c r="AP161" s="40">
        <f>IF(AND(B161&lt;&gt;"",F161="نشط",OR(Rpt_Class="الكل",D161=Rpt_Class)),1,0)</f>
        <v/>
      </c>
      <c r="AQ161" s="40">
        <f>IF(AND(AP161=1,Q161&lt;&gt;"",Q161&gt;0),L161*1000+(999-ROW()),"")</f>
        <v/>
      </c>
      <c r="AR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IF(LateAsPresent="نعم",COUNTIFS('KG1-6'!$AD15:$IM15,"متأخر",'KG1-6'!$AD$7:$IM$7,"✓",'KG1-6'!$AD$6:$IM$6,1,'KG1-6'!$AD$5:$IM$5,"&gt;="&amp;MAX('KG1-6'!$U15,Rpt_PStart),'KG1-6'!$AD$5:$IM$5,"&lt;="&amp;Rpt_PEnd),0))</f>
        <v/>
      </c>
      <c r="AS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COUNTIFS('KG1-6'!$AD15:$IM15,"غياب بدون عذر",'KG1-6'!$AD$7:$IM$7,"✓",'KG1-6'!$AD$6:$IM$6,1,'KG1-6'!$AD$5:$IM$5,"&gt;="&amp;MAX('KG1-6'!$U15,Rpt_PStart),'KG1-6'!$AD$5:$IM$5,"&lt;="&amp;Rpt_PEnd)+COUNTIFS('KG1-6'!$AD15:$IM15,"غياب بعذر",'KG1-6'!$AD$7:$IM$7,"✓",'KG1-6'!$AD$6:$IM$6,1,'KG1-6'!$AD$5:$IM$5,"&gt;="&amp;MAX('KG1-6'!$U15,Rpt_PStart),'KG1-6'!$AD$5:$IM$5,"&lt;="&amp;Rpt_PEnd)+COUNTIFS('KG1-6'!$AD15:$IM15,"متأخر",'KG1-6'!$AD$7:$IM$7,"✓",'KG1-6'!$AD$6:$IM$6,1,'KG1-6'!$AD$5:$IM$5,"&gt;="&amp;MAX('KG1-6'!$U15,Rpt_PStart),'KG1-6'!$AD$5:$IM$5,"&lt;="&amp;Rpt_PEnd))</f>
        <v/>
      </c>
      <c r="AT161" s="40">
        <f>IF(AP161=0,"",COUNTIFS('KG1-6'!$AD15:$IM15,"غياب بدون عذر",'KG1-6'!$AD$7:$IM$7,"✓",'KG1-6'!$AD$6:$IM$6,1,'KG1-6'!$AD$5:$IM$5,"&gt;="&amp;MAX('KG1-6'!$U15,Rpt_PStart),'KG1-6'!$AD$5:$IM$5,"&lt;="&amp;Rpt_PEnd)+COUNTIFS('KG1-6'!$AD15:$IM15,"غياب بعذر",'KG1-6'!$AD$7:$IM$7,"✓",'KG1-6'!$AD$6:$IM$6,1,'KG1-6'!$AD$5:$IM$5,"&gt;="&amp;MAX('KG1-6'!$U15,Rpt_PStart),'KG1-6'!$AD$5:$IM$5,"&lt;="&amp;Rpt_PEnd))</f>
        <v/>
      </c>
      <c r="AU161" s="40" t="n">
        <v>6</v>
      </c>
      <c r="AV161" s="40" t="n">
        <v>7</v>
      </c>
      <c r="AW161" s="40">
        <f>IF(OR(AP161=0,Rpt_DayIdx=0),"",IF(INDEX('KG1-6'!$AD$7:$IM$7,Rpt_DayIdx)&lt;&gt;"✓","",IF(INDEX('KG1-6'!$AD15:$IM15,Rpt_DayIdx)="","P",IFERROR(INDEX(StatusCodes,MATCH(INDEX('KG1-6'!$AD15:$IM15,Rpt_DayIdx),StatusLabels,0)),""))))</f>
        <v/>
      </c>
      <c r="AX161" s="40">
        <f>IF(AND(AP161=1,OR(AW161="A",AW161="E")),COUNTIFS($AP$5:AP161,1,$AW$5:AW161,"A")+COUNTIFS($AP$5:AP161,1,$AW$5:AW161,"E"),"")</f>
        <v/>
      </c>
    </row>
    <row r="162">
      <c r="A162" s="148">
        <f>IF(B162="","",ROW()-4)</f>
        <v/>
      </c>
      <c r="B162" s="148">
        <f>IF('KG1-6'!$B16="","",'KG1-6'!$B16)</f>
        <v/>
      </c>
      <c r="C162" s="146">
        <f>IF('KG1-6'!$C16="","",'KG1-6'!$C16)</f>
        <v/>
      </c>
      <c r="D162" s="148">
        <f>IF(B162="","",'KG1-6'!$B$2)</f>
        <v/>
      </c>
      <c r="E162" s="148">
        <f>IF(B162="","",MID(D162,FIND("-",D162&amp;"-")+1,10))</f>
        <v/>
      </c>
      <c r="F162" s="148">
        <f>IF(B162="","","نشط")</f>
        <v/>
      </c>
      <c r="G162" s="157">
        <f>IF(B162="","","")</f>
        <v/>
      </c>
      <c r="H162" s="146">
        <f>IF('KG1-6'!$K16="","",'KG1-6'!$K16)</f>
        <v/>
      </c>
      <c r="I162" s="148">
        <f>IF('KG1-6'!$J16="","",'KG1-6'!$J16)</f>
        <v/>
      </c>
      <c r="J162" s="148">
        <f>IF('KG1-6'!$M16="","",'KG1-6'!$M16)</f>
        <v/>
      </c>
      <c r="K162" s="148">
        <f>IF('KG1-6'!$N16="","",'KG1-6'!$N16)</f>
        <v/>
      </c>
      <c r="L162" s="148">
        <f>IF('KG1-6'!$D16="","",'KG1-6'!$D16)</f>
        <v/>
      </c>
      <c r="M162" s="148">
        <f>IF('KG1-6'!$E16="","",'KG1-6'!$E16)</f>
        <v/>
      </c>
      <c r="N162" s="148">
        <f>IF('KG1-6'!$F16="","",'KG1-6'!$F16)</f>
        <v/>
      </c>
      <c r="O162" s="158">
        <f>IF('KG1-6'!$G16="","",'KG1-6'!$G16)</f>
        <v/>
      </c>
      <c r="P162" s="158">
        <f>IF('KG1-6'!$O16="","",'KG1-6'!$O16)</f>
        <v/>
      </c>
      <c r="Q162" s="148">
        <f>IF('KG1-6'!$T16="","",'KG1-6'!$T16)</f>
        <v/>
      </c>
      <c r="R162" s="146">
        <f>IF('KG1-6'!$H16="","",'KG1-6'!$H16)</f>
        <v/>
      </c>
      <c r="S162" s="157">
        <f>IF('KG1-6'!$P16="","",'KG1-6'!$P16)</f>
        <v/>
      </c>
      <c r="T162" s="157">
        <f>IF('KG1-6'!$V16="","",'KG1-6'!$V16)</f>
        <v/>
      </c>
      <c r="U162" s="157">
        <f>IF('KG1-6'!$W16="","",'KG1-6'!$W16)</f>
        <v/>
      </c>
      <c r="V162" s="157">
        <f>IF('KG1-6'!$X16="","",'KG1-6'!$X16)</f>
        <v/>
      </c>
      <c r="W162" s="157">
        <f>IF('KG1-6'!$Y16="","",'KG1-6'!$Y16)</f>
        <v/>
      </c>
      <c r="X162" s="157">
        <f>IF('KG1-6'!$R16="","",'KG1-6'!$R16)</f>
        <v/>
      </c>
      <c r="Y162" s="148">
        <f>IF('KG1-6'!$S16="","",'KG1-6'!$S16)</f>
        <v/>
      </c>
      <c r="Z162" s="148">
        <f>IF('KG1-6'!$Q16="","",'KG1-6'!$Q16)</f>
        <v/>
      </c>
      <c r="AA162" s="148">
        <f>IF('KG1-6'!$I16="","",'KG1-6'!$I16)</f>
        <v/>
      </c>
      <c r="AB162" s="146">
        <f>IF(Q162="","",INDEX(LevelActions,MATCH(Q162,LevelValues,0)))</f>
        <v/>
      </c>
      <c r="AC162" s="148">
        <f>IF(J162="","",IF(J162=0,"—",IF(AND(L162=0,M162=0),Cat_L1,IF(O162&gt;=Cat_95,Cat_L2,IF(O162&gt;=Cat_90,Cat_L3,Cat_L4)))))</f>
        <v/>
      </c>
      <c r="AD162" s="146">
        <f>IF('KG1-6'!$L16="","",'KG1-6'!$L16)</f>
        <v/>
      </c>
      <c r="AE162" s="148">
        <f>IF(B162="","",IF(COUNTIF($B$5:$B$214,B162)&gt;1,"مكرر!",""))</f>
        <v/>
      </c>
      <c r="AF162" s="148">
        <f>IF(AND(B162&lt;&gt;"",F162="نشط",OR(Dash_Class="الكل",D162=Dash_Class)),1,0)</f>
        <v/>
      </c>
      <c r="AG162" s="40">
        <f>IF(OR(AF162=0,Dash_DayIdx=0),"",IF(INDEX('KG1-6'!$AD$7:$IM$7,Dash_DayIdx)&lt;&gt;"✓","",IF(INDEX('KG1-6'!$AD16:$IM16,Dash_DayIdx)="","P",IFERROR(INDEX(StatusCodes,MATCH(INDEX('KG1-6'!$AD16:$IM16,Dash_DayIdx),StatusLabels,0)),""))))</f>
        <v/>
      </c>
      <c r="AH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IF(LateAsPresent="نعم",COUNTIFS('KG1-6'!$AD16:$IM16,"متأخر",'KG1-6'!$AD$7:$IM$7,"✓",'KG1-6'!$AD$6:$IM$6,1,'KG1-6'!$AD$5:$IM$5,"&gt;="&amp;MAX('KG1-6'!$U16,Dash_PStart),'KG1-6'!$AD$5:$IM$5,"&lt;="&amp;Dash_PEnd),0))</f>
        <v/>
      </c>
      <c r="AI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COUNTIFS('KG1-6'!$AD16:$IM16,"غياب بدون عذر",'KG1-6'!$AD$7:$IM$7,"✓",'KG1-6'!$AD$6:$IM$6,1,'KG1-6'!$AD$5:$IM$5,"&gt;="&amp;MAX('KG1-6'!$U16,Dash_PStart),'KG1-6'!$AD$5:$IM$5,"&lt;="&amp;Dash_PEnd)+COUNTIFS('KG1-6'!$AD16:$IM16,"غياب بعذر",'KG1-6'!$AD$7:$IM$7,"✓",'KG1-6'!$AD$6:$IM$6,1,'KG1-6'!$AD$5:$IM$5,"&gt;="&amp;MAX('KG1-6'!$U16,Dash_PStart),'KG1-6'!$AD$5:$IM$5,"&lt;="&amp;Dash_PEnd)+COUNTIFS('KG1-6'!$AD16:$IM16,"متأخر",'KG1-6'!$AD$7:$IM$7,"✓",'KG1-6'!$AD$6:$IM$6,1,'KG1-6'!$AD$5:$IM$5,"&gt;="&amp;MAX('KG1-6'!$U16,Dash_PStart),'KG1-6'!$AD$5:$IM$5,"&lt;="&amp;Dash_PEnd))</f>
        <v/>
      </c>
      <c r="AJ162" s="40">
        <f>IF(AF162=0,0,IF(W162=Dash_Date,Thr_Critical,IF(V162=Dash_Date,Thr_High,IF(U162=Dash_Date,Thr_Repeated,IF(T162=Dash_Date,Thr_FollowUp,0)))))</f>
        <v/>
      </c>
      <c r="AK162" s="40">
        <f>IF(AJ162&gt;0,COUNTIF($AJ$5:AJ162,"&gt;0"),"")</f>
        <v/>
      </c>
      <c r="AL162" s="40">
        <f>IF(AND(B162&lt;&gt;"",F162="نشط",Q162&lt;&gt;"",Q162&gt;0),L162*1000+(999-ROW()),"")</f>
        <v/>
      </c>
      <c r="AM162" s="40">
        <f>IF(AND(AF162=1,J162&lt;&gt;"",J162&gt;0),ROUND(O162*10000,0)*1000000+K162*1000+(999-ROW()),"")</f>
        <v/>
      </c>
      <c r="AN162" s="40">
        <f>IF(AND(AF162=1,J162&lt;&gt;"",J162&gt;0),(L162+M162)*10000000+ROUND((1-O162)*10000,0)*1000+(999-ROW()),"")</f>
        <v/>
      </c>
      <c r="AO162" s="40">
        <f>IF(AND(AF162=1,Q162&lt;&gt;"",Q162&gt;=Thr_Critical),L162*1000+(999-ROW()),"")</f>
        <v/>
      </c>
      <c r="AP162" s="40">
        <f>IF(AND(B162&lt;&gt;"",F162="نشط",OR(Rpt_Class="الكل",D162=Rpt_Class)),1,0)</f>
        <v/>
      </c>
      <c r="AQ162" s="40">
        <f>IF(AND(AP162=1,Q162&lt;&gt;"",Q162&gt;0),L162*1000+(999-ROW()),"")</f>
        <v/>
      </c>
      <c r="AR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IF(LateAsPresent="نعم",COUNTIFS('KG1-6'!$AD16:$IM16,"متأخر",'KG1-6'!$AD$7:$IM$7,"✓",'KG1-6'!$AD$6:$IM$6,1,'KG1-6'!$AD$5:$IM$5,"&gt;="&amp;MAX('KG1-6'!$U16,Rpt_PStart),'KG1-6'!$AD$5:$IM$5,"&lt;="&amp;Rpt_PEnd),0))</f>
        <v/>
      </c>
      <c r="AS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COUNTIFS('KG1-6'!$AD16:$IM16,"غياب بدون عذر",'KG1-6'!$AD$7:$IM$7,"✓",'KG1-6'!$AD$6:$IM$6,1,'KG1-6'!$AD$5:$IM$5,"&gt;="&amp;MAX('KG1-6'!$U16,Rpt_PStart),'KG1-6'!$AD$5:$IM$5,"&lt;="&amp;Rpt_PEnd)+COUNTIFS('KG1-6'!$AD16:$IM16,"غياب بعذر",'KG1-6'!$AD$7:$IM$7,"✓",'KG1-6'!$AD$6:$IM$6,1,'KG1-6'!$AD$5:$IM$5,"&gt;="&amp;MAX('KG1-6'!$U16,Rpt_PStart),'KG1-6'!$AD$5:$IM$5,"&lt;="&amp;Rpt_PEnd)+COUNTIFS('KG1-6'!$AD16:$IM16,"متأخر",'KG1-6'!$AD$7:$IM$7,"✓",'KG1-6'!$AD$6:$IM$6,1,'KG1-6'!$AD$5:$IM$5,"&gt;="&amp;MAX('KG1-6'!$U16,Rpt_PStart),'KG1-6'!$AD$5:$IM$5,"&lt;="&amp;Rpt_PEnd))</f>
        <v/>
      </c>
      <c r="AT162" s="40">
        <f>IF(AP162=0,"",COUNTIFS('KG1-6'!$AD16:$IM16,"غياب بدون عذر",'KG1-6'!$AD$7:$IM$7,"✓",'KG1-6'!$AD$6:$IM$6,1,'KG1-6'!$AD$5:$IM$5,"&gt;="&amp;MAX('KG1-6'!$U16,Rpt_PStart),'KG1-6'!$AD$5:$IM$5,"&lt;="&amp;Rpt_PEnd)+COUNTIFS('KG1-6'!$AD16:$IM16,"غياب بعذر",'KG1-6'!$AD$7:$IM$7,"✓",'KG1-6'!$AD$6:$IM$6,1,'KG1-6'!$AD$5:$IM$5,"&gt;="&amp;MAX('KG1-6'!$U16,Rpt_PStart),'KG1-6'!$AD$5:$IM$5,"&lt;="&amp;Rpt_PEnd))</f>
        <v/>
      </c>
      <c r="AU162" s="40" t="n">
        <v>6</v>
      </c>
      <c r="AV162" s="40" t="n">
        <v>8</v>
      </c>
      <c r="AW162" s="40">
        <f>IF(OR(AP162=0,Rpt_DayIdx=0),"",IF(INDEX('KG1-6'!$AD$7:$IM$7,Rpt_DayIdx)&lt;&gt;"✓","",IF(INDEX('KG1-6'!$AD16:$IM16,Rpt_DayIdx)="","P",IFERROR(INDEX(StatusCodes,MATCH(INDEX('KG1-6'!$AD16:$IM16,Rpt_DayIdx),StatusLabels,0)),""))))</f>
        <v/>
      </c>
      <c r="AX162" s="40">
        <f>IF(AND(AP162=1,OR(AW162="A",AW162="E")),COUNTIFS($AP$5:AP162,1,$AW$5:AW162,"A")+COUNTIFS($AP$5:AP162,1,$AW$5:AW162,"E"),"")</f>
        <v/>
      </c>
    </row>
    <row r="163">
      <c r="A163" s="148">
        <f>IF(B163="","",ROW()-4)</f>
        <v/>
      </c>
      <c r="B163" s="148">
        <f>IF('KG1-6'!$B17="","",'KG1-6'!$B17)</f>
        <v/>
      </c>
      <c r="C163" s="146">
        <f>IF('KG1-6'!$C17="","",'KG1-6'!$C17)</f>
        <v/>
      </c>
      <c r="D163" s="148">
        <f>IF(B163="","",'KG1-6'!$B$2)</f>
        <v/>
      </c>
      <c r="E163" s="148">
        <f>IF(B163="","",MID(D163,FIND("-",D163&amp;"-")+1,10))</f>
        <v/>
      </c>
      <c r="F163" s="148">
        <f>IF(B163="","","نشط")</f>
        <v/>
      </c>
      <c r="G163" s="157">
        <f>IF(B163="","","")</f>
        <v/>
      </c>
      <c r="H163" s="146">
        <f>IF('KG1-6'!$K17="","",'KG1-6'!$K17)</f>
        <v/>
      </c>
      <c r="I163" s="148">
        <f>IF('KG1-6'!$J17="","",'KG1-6'!$J17)</f>
        <v/>
      </c>
      <c r="J163" s="148">
        <f>IF('KG1-6'!$M17="","",'KG1-6'!$M17)</f>
        <v/>
      </c>
      <c r="K163" s="148">
        <f>IF('KG1-6'!$N17="","",'KG1-6'!$N17)</f>
        <v/>
      </c>
      <c r="L163" s="148">
        <f>IF('KG1-6'!$D17="","",'KG1-6'!$D17)</f>
        <v/>
      </c>
      <c r="M163" s="148">
        <f>IF('KG1-6'!$E17="","",'KG1-6'!$E17)</f>
        <v/>
      </c>
      <c r="N163" s="148">
        <f>IF('KG1-6'!$F17="","",'KG1-6'!$F17)</f>
        <v/>
      </c>
      <c r="O163" s="158">
        <f>IF('KG1-6'!$G17="","",'KG1-6'!$G17)</f>
        <v/>
      </c>
      <c r="P163" s="158">
        <f>IF('KG1-6'!$O17="","",'KG1-6'!$O17)</f>
        <v/>
      </c>
      <c r="Q163" s="148">
        <f>IF('KG1-6'!$T17="","",'KG1-6'!$T17)</f>
        <v/>
      </c>
      <c r="R163" s="146">
        <f>IF('KG1-6'!$H17="","",'KG1-6'!$H17)</f>
        <v/>
      </c>
      <c r="S163" s="157">
        <f>IF('KG1-6'!$P17="","",'KG1-6'!$P17)</f>
        <v/>
      </c>
      <c r="T163" s="157">
        <f>IF('KG1-6'!$V17="","",'KG1-6'!$V17)</f>
        <v/>
      </c>
      <c r="U163" s="157">
        <f>IF('KG1-6'!$W17="","",'KG1-6'!$W17)</f>
        <v/>
      </c>
      <c r="V163" s="157">
        <f>IF('KG1-6'!$X17="","",'KG1-6'!$X17)</f>
        <v/>
      </c>
      <c r="W163" s="157">
        <f>IF('KG1-6'!$Y17="","",'KG1-6'!$Y17)</f>
        <v/>
      </c>
      <c r="X163" s="157">
        <f>IF('KG1-6'!$R17="","",'KG1-6'!$R17)</f>
        <v/>
      </c>
      <c r="Y163" s="148">
        <f>IF('KG1-6'!$S17="","",'KG1-6'!$S17)</f>
        <v/>
      </c>
      <c r="Z163" s="148">
        <f>IF('KG1-6'!$Q17="","",'KG1-6'!$Q17)</f>
        <v/>
      </c>
      <c r="AA163" s="148">
        <f>IF('KG1-6'!$I17="","",'KG1-6'!$I17)</f>
        <v/>
      </c>
      <c r="AB163" s="146">
        <f>IF(Q163="","",INDEX(LevelActions,MATCH(Q163,LevelValues,0)))</f>
        <v/>
      </c>
      <c r="AC163" s="148">
        <f>IF(J163="","",IF(J163=0,"—",IF(AND(L163=0,M163=0),Cat_L1,IF(O163&gt;=Cat_95,Cat_L2,IF(O163&gt;=Cat_90,Cat_L3,Cat_L4)))))</f>
        <v/>
      </c>
      <c r="AD163" s="146">
        <f>IF('KG1-6'!$L17="","",'KG1-6'!$L17)</f>
        <v/>
      </c>
      <c r="AE163" s="148">
        <f>IF(B163="","",IF(COUNTIF($B$5:$B$214,B163)&gt;1,"مكرر!",""))</f>
        <v/>
      </c>
      <c r="AF163" s="148">
        <f>IF(AND(B163&lt;&gt;"",F163="نشط",OR(Dash_Class="الكل",D163=Dash_Class)),1,0)</f>
        <v/>
      </c>
      <c r="AG163" s="40">
        <f>IF(OR(AF163=0,Dash_DayIdx=0),"",IF(INDEX('KG1-6'!$AD$7:$IM$7,Dash_DayIdx)&lt;&gt;"✓","",IF(INDEX('KG1-6'!$AD17:$IM17,Dash_DayIdx)="","P",IFERROR(INDEX(StatusCodes,MATCH(INDEX('KG1-6'!$AD17:$IM17,Dash_DayIdx),StatusLabels,0)),""))))</f>
        <v/>
      </c>
      <c r="AH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IF(LateAsPresent="نعم",COUNTIFS('KG1-6'!$AD17:$IM17,"متأخر",'KG1-6'!$AD$7:$IM$7,"✓",'KG1-6'!$AD$6:$IM$6,1,'KG1-6'!$AD$5:$IM$5,"&gt;="&amp;MAX('KG1-6'!$U17,Dash_PStart),'KG1-6'!$AD$5:$IM$5,"&lt;="&amp;Dash_PEnd),0))</f>
        <v/>
      </c>
      <c r="AI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COUNTIFS('KG1-6'!$AD17:$IM17,"غياب بدون عذر",'KG1-6'!$AD$7:$IM$7,"✓",'KG1-6'!$AD$6:$IM$6,1,'KG1-6'!$AD$5:$IM$5,"&gt;="&amp;MAX('KG1-6'!$U17,Dash_PStart),'KG1-6'!$AD$5:$IM$5,"&lt;="&amp;Dash_PEnd)+COUNTIFS('KG1-6'!$AD17:$IM17,"غياب بعذر",'KG1-6'!$AD$7:$IM$7,"✓",'KG1-6'!$AD$6:$IM$6,1,'KG1-6'!$AD$5:$IM$5,"&gt;="&amp;MAX('KG1-6'!$U17,Dash_PStart),'KG1-6'!$AD$5:$IM$5,"&lt;="&amp;Dash_PEnd)+COUNTIFS('KG1-6'!$AD17:$IM17,"متأخر",'KG1-6'!$AD$7:$IM$7,"✓",'KG1-6'!$AD$6:$IM$6,1,'KG1-6'!$AD$5:$IM$5,"&gt;="&amp;MAX('KG1-6'!$U17,Dash_PStart),'KG1-6'!$AD$5:$IM$5,"&lt;="&amp;Dash_PEnd))</f>
        <v/>
      </c>
      <c r="AJ163" s="40">
        <f>IF(AF163=0,0,IF(W163=Dash_Date,Thr_Critical,IF(V163=Dash_Date,Thr_High,IF(U163=Dash_Date,Thr_Repeated,IF(T163=Dash_Date,Thr_FollowUp,0)))))</f>
        <v/>
      </c>
      <c r="AK163" s="40">
        <f>IF(AJ163&gt;0,COUNTIF($AJ$5:AJ163,"&gt;0"),"")</f>
        <v/>
      </c>
      <c r="AL163" s="40">
        <f>IF(AND(B163&lt;&gt;"",F163="نشط",Q163&lt;&gt;"",Q163&gt;0),L163*1000+(999-ROW()),"")</f>
        <v/>
      </c>
      <c r="AM163" s="40">
        <f>IF(AND(AF163=1,J163&lt;&gt;"",J163&gt;0),ROUND(O163*10000,0)*1000000+K163*1000+(999-ROW()),"")</f>
        <v/>
      </c>
      <c r="AN163" s="40">
        <f>IF(AND(AF163=1,J163&lt;&gt;"",J163&gt;0),(L163+M163)*10000000+ROUND((1-O163)*10000,0)*1000+(999-ROW()),"")</f>
        <v/>
      </c>
      <c r="AO163" s="40">
        <f>IF(AND(AF163=1,Q163&lt;&gt;"",Q163&gt;=Thr_Critical),L163*1000+(999-ROW()),"")</f>
        <v/>
      </c>
      <c r="AP163" s="40">
        <f>IF(AND(B163&lt;&gt;"",F163="نشط",OR(Rpt_Class="الكل",D163=Rpt_Class)),1,0)</f>
        <v/>
      </c>
      <c r="AQ163" s="40">
        <f>IF(AND(AP163=1,Q163&lt;&gt;"",Q163&gt;0),L163*1000+(999-ROW()),"")</f>
        <v/>
      </c>
      <c r="AR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IF(LateAsPresent="نعم",COUNTIFS('KG1-6'!$AD17:$IM17,"متأخر",'KG1-6'!$AD$7:$IM$7,"✓",'KG1-6'!$AD$6:$IM$6,1,'KG1-6'!$AD$5:$IM$5,"&gt;="&amp;MAX('KG1-6'!$U17,Rpt_PStart),'KG1-6'!$AD$5:$IM$5,"&lt;="&amp;Rpt_PEnd),0))</f>
        <v/>
      </c>
      <c r="AS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COUNTIFS('KG1-6'!$AD17:$IM17,"غياب بدون عذر",'KG1-6'!$AD$7:$IM$7,"✓",'KG1-6'!$AD$6:$IM$6,1,'KG1-6'!$AD$5:$IM$5,"&gt;="&amp;MAX('KG1-6'!$U17,Rpt_PStart),'KG1-6'!$AD$5:$IM$5,"&lt;="&amp;Rpt_PEnd)+COUNTIFS('KG1-6'!$AD17:$IM17,"غياب بعذر",'KG1-6'!$AD$7:$IM$7,"✓",'KG1-6'!$AD$6:$IM$6,1,'KG1-6'!$AD$5:$IM$5,"&gt;="&amp;MAX('KG1-6'!$U17,Rpt_PStart),'KG1-6'!$AD$5:$IM$5,"&lt;="&amp;Rpt_PEnd)+COUNTIFS('KG1-6'!$AD17:$IM17,"متأخر",'KG1-6'!$AD$7:$IM$7,"✓",'KG1-6'!$AD$6:$IM$6,1,'KG1-6'!$AD$5:$IM$5,"&gt;="&amp;MAX('KG1-6'!$U17,Rpt_PStart),'KG1-6'!$AD$5:$IM$5,"&lt;="&amp;Rpt_PEnd))</f>
        <v/>
      </c>
      <c r="AT163" s="40">
        <f>IF(AP163=0,"",COUNTIFS('KG1-6'!$AD17:$IM17,"غياب بدون عذر",'KG1-6'!$AD$7:$IM$7,"✓",'KG1-6'!$AD$6:$IM$6,1,'KG1-6'!$AD$5:$IM$5,"&gt;="&amp;MAX('KG1-6'!$U17,Rpt_PStart),'KG1-6'!$AD$5:$IM$5,"&lt;="&amp;Rpt_PEnd)+COUNTIFS('KG1-6'!$AD17:$IM17,"غياب بعذر",'KG1-6'!$AD$7:$IM$7,"✓",'KG1-6'!$AD$6:$IM$6,1,'KG1-6'!$AD$5:$IM$5,"&gt;="&amp;MAX('KG1-6'!$U17,Rpt_PStart),'KG1-6'!$AD$5:$IM$5,"&lt;="&amp;Rpt_PEnd))</f>
        <v/>
      </c>
      <c r="AU163" s="40" t="n">
        <v>6</v>
      </c>
      <c r="AV163" s="40" t="n">
        <v>9</v>
      </c>
      <c r="AW163" s="40">
        <f>IF(OR(AP163=0,Rpt_DayIdx=0),"",IF(INDEX('KG1-6'!$AD$7:$IM$7,Rpt_DayIdx)&lt;&gt;"✓","",IF(INDEX('KG1-6'!$AD17:$IM17,Rpt_DayIdx)="","P",IFERROR(INDEX(StatusCodes,MATCH(INDEX('KG1-6'!$AD17:$IM17,Rpt_DayIdx),StatusLabels,0)),""))))</f>
        <v/>
      </c>
      <c r="AX163" s="40">
        <f>IF(AND(AP163=1,OR(AW163="A",AW163="E")),COUNTIFS($AP$5:AP163,1,$AW$5:AW163,"A")+COUNTIFS($AP$5:AP163,1,$AW$5:AW163,"E"),"")</f>
        <v/>
      </c>
    </row>
    <row r="164">
      <c r="A164" s="148">
        <f>IF(B164="","",ROW()-4)</f>
        <v/>
      </c>
      <c r="B164" s="148">
        <f>IF('KG1-6'!$B18="","",'KG1-6'!$B18)</f>
        <v/>
      </c>
      <c r="C164" s="146">
        <f>IF('KG1-6'!$C18="","",'KG1-6'!$C18)</f>
        <v/>
      </c>
      <c r="D164" s="148">
        <f>IF(B164="","",'KG1-6'!$B$2)</f>
        <v/>
      </c>
      <c r="E164" s="148">
        <f>IF(B164="","",MID(D164,FIND("-",D164&amp;"-")+1,10))</f>
        <v/>
      </c>
      <c r="F164" s="148">
        <f>IF(B164="","","نشط")</f>
        <v/>
      </c>
      <c r="G164" s="157">
        <f>IF(B164="","","")</f>
        <v/>
      </c>
      <c r="H164" s="146">
        <f>IF('KG1-6'!$K18="","",'KG1-6'!$K18)</f>
        <v/>
      </c>
      <c r="I164" s="148">
        <f>IF('KG1-6'!$J18="","",'KG1-6'!$J18)</f>
        <v/>
      </c>
      <c r="J164" s="148">
        <f>IF('KG1-6'!$M18="","",'KG1-6'!$M18)</f>
        <v/>
      </c>
      <c r="K164" s="148">
        <f>IF('KG1-6'!$N18="","",'KG1-6'!$N18)</f>
        <v/>
      </c>
      <c r="L164" s="148">
        <f>IF('KG1-6'!$D18="","",'KG1-6'!$D18)</f>
        <v/>
      </c>
      <c r="M164" s="148">
        <f>IF('KG1-6'!$E18="","",'KG1-6'!$E18)</f>
        <v/>
      </c>
      <c r="N164" s="148">
        <f>IF('KG1-6'!$F18="","",'KG1-6'!$F18)</f>
        <v/>
      </c>
      <c r="O164" s="158">
        <f>IF('KG1-6'!$G18="","",'KG1-6'!$G18)</f>
        <v/>
      </c>
      <c r="P164" s="158">
        <f>IF('KG1-6'!$O18="","",'KG1-6'!$O18)</f>
        <v/>
      </c>
      <c r="Q164" s="148">
        <f>IF('KG1-6'!$T18="","",'KG1-6'!$T18)</f>
        <v/>
      </c>
      <c r="R164" s="146">
        <f>IF('KG1-6'!$H18="","",'KG1-6'!$H18)</f>
        <v/>
      </c>
      <c r="S164" s="157">
        <f>IF('KG1-6'!$P18="","",'KG1-6'!$P18)</f>
        <v/>
      </c>
      <c r="T164" s="157">
        <f>IF('KG1-6'!$V18="","",'KG1-6'!$V18)</f>
        <v/>
      </c>
      <c r="U164" s="157">
        <f>IF('KG1-6'!$W18="","",'KG1-6'!$W18)</f>
        <v/>
      </c>
      <c r="V164" s="157">
        <f>IF('KG1-6'!$X18="","",'KG1-6'!$X18)</f>
        <v/>
      </c>
      <c r="W164" s="157">
        <f>IF('KG1-6'!$Y18="","",'KG1-6'!$Y18)</f>
        <v/>
      </c>
      <c r="X164" s="157">
        <f>IF('KG1-6'!$R18="","",'KG1-6'!$R18)</f>
        <v/>
      </c>
      <c r="Y164" s="148">
        <f>IF('KG1-6'!$S18="","",'KG1-6'!$S18)</f>
        <v/>
      </c>
      <c r="Z164" s="148">
        <f>IF('KG1-6'!$Q18="","",'KG1-6'!$Q18)</f>
        <v/>
      </c>
      <c r="AA164" s="148">
        <f>IF('KG1-6'!$I18="","",'KG1-6'!$I18)</f>
        <v/>
      </c>
      <c r="AB164" s="146">
        <f>IF(Q164="","",INDEX(LevelActions,MATCH(Q164,LevelValues,0)))</f>
        <v/>
      </c>
      <c r="AC164" s="148">
        <f>IF(J164="","",IF(J164=0,"—",IF(AND(L164=0,M164=0),Cat_L1,IF(O164&gt;=Cat_95,Cat_L2,IF(O164&gt;=Cat_90,Cat_L3,Cat_L4)))))</f>
        <v/>
      </c>
      <c r="AD164" s="146">
        <f>IF('KG1-6'!$L18="","",'KG1-6'!$L18)</f>
        <v/>
      </c>
      <c r="AE164" s="148">
        <f>IF(B164="","",IF(COUNTIF($B$5:$B$214,B164)&gt;1,"مكرر!",""))</f>
        <v/>
      </c>
      <c r="AF164" s="148">
        <f>IF(AND(B164&lt;&gt;"",F164="نشط",OR(Dash_Class="الكل",D164=Dash_Class)),1,0)</f>
        <v/>
      </c>
      <c r="AG164" s="40">
        <f>IF(OR(AF164=0,Dash_DayIdx=0),"",IF(INDEX('KG1-6'!$AD$7:$IM$7,Dash_DayIdx)&lt;&gt;"✓","",IF(INDEX('KG1-6'!$AD18:$IM18,Dash_DayIdx)="","P",IFERROR(INDEX(StatusCodes,MATCH(INDEX('KG1-6'!$AD18:$IM18,Dash_DayIdx),StatusLabels,0)),""))))</f>
        <v/>
      </c>
      <c r="AH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IF(LateAsPresent="نعم",COUNTIFS('KG1-6'!$AD18:$IM18,"متأخر",'KG1-6'!$AD$7:$IM$7,"✓",'KG1-6'!$AD$6:$IM$6,1,'KG1-6'!$AD$5:$IM$5,"&gt;="&amp;MAX('KG1-6'!$U18,Dash_PStart),'KG1-6'!$AD$5:$IM$5,"&lt;="&amp;Dash_PEnd),0))</f>
        <v/>
      </c>
      <c r="AI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COUNTIFS('KG1-6'!$AD18:$IM18,"غياب بدون عذر",'KG1-6'!$AD$7:$IM$7,"✓",'KG1-6'!$AD$6:$IM$6,1,'KG1-6'!$AD$5:$IM$5,"&gt;="&amp;MAX('KG1-6'!$U18,Dash_PStart),'KG1-6'!$AD$5:$IM$5,"&lt;="&amp;Dash_PEnd)+COUNTIFS('KG1-6'!$AD18:$IM18,"غياب بعذر",'KG1-6'!$AD$7:$IM$7,"✓",'KG1-6'!$AD$6:$IM$6,1,'KG1-6'!$AD$5:$IM$5,"&gt;="&amp;MAX('KG1-6'!$U18,Dash_PStart),'KG1-6'!$AD$5:$IM$5,"&lt;="&amp;Dash_PEnd)+COUNTIFS('KG1-6'!$AD18:$IM18,"متأخر",'KG1-6'!$AD$7:$IM$7,"✓",'KG1-6'!$AD$6:$IM$6,1,'KG1-6'!$AD$5:$IM$5,"&gt;="&amp;MAX('KG1-6'!$U18,Dash_PStart),'KG1-6'!$AD$5:$IM$5,"&lt;="&amp;Dash_PEnd))</f>
        <v/>
      </c>
      <c r="AJ164" s="40">
        <f>IF(AF164=0,0,IF(W164=Dash_Date,Thr_Critical,IF(V164=Dash_Date,Thr_High,IF(U164=Dash_Date,Thr_Repeated,IF(T164=Dash_Date,Thr_FollowUp,0)))))</f>
        <v/>
      </c>
      <c r="AK164" s="40">
        <f>IF(AJ164&gt;0,COUNTIF($AJ$5:AJ164,"&gt;0"),"")</f>
        <v/>
      </c>
      <c r="AL164" s="40">
        <f>IF(AND(B164&lt;&gt;"",F164="نشط",Q164&lt;&gt;"",Q164&gt;0),L164*1000+(999-ROW()),"")</f>
        <v/>
      </c>
      <c r="AM164" s="40">
        <f>IF(AND(AF164=1,J164&lt;&gt;"",J164&gt;0),ROUND(O164*10000,0)*1000000+K164*1000+(999-ROW()),"")</f>
        <v/>
      </c>
      <c r="AN164" s="40">
        <f>IF(AND(AF164=1,J164&lt;&gt;"",J164&gt;0),(L164+M164)*10000000+ROUND((1-O164)*10000,0)*1000+(999-ROW()),"")</f>
        <v/>
      </c>
      <c r="AO164" s="40">
        <f>IF(AND(AF164=1,Q164&lt;&gt;"",Q164&gt;=Thr_Critical),L164*1000+(999-ROW()),"")</f>
        <v/>
      </c>
      <c r="AP164" s="40">
        <f>IF(AND(B164&lt;&gt;"",F164="نشط",OR(Rpt_Class="الكل",D164=Rpt_Class)),1,0)</f>
        <v/>
      </c>
      <c r="AQ164" s="40">
        <f>IF(AND(AP164=1,Q164&lt;&gt;"",Q164&gt;0),L164*1000+(999-ROW()),"")</f>
        <v/>
      </c>
      <c r="AR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IF(LateAsPresent="نعم",COUNTIFS('KG1-6'!$AD18:$IM18,"متأخر",'KG1-6'!$AD$7:$IM$7,"✓",'KG1-6'!$AD$6:$IM$6,1,'KG1-6'!$AD$5:$IM$5,"&gt;="&amp;MAX('KG1-6'!$U18,Rpt_PStart),'KG1-6'!$AD$5:$IM$5,"&lt;="&amp;Rpt_PEnd),0))</f>
        <v/>
      </c>
      <c r="AS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COUNTIFS('KG1-6'!$AD18:$IM18,"غياب بدون عذر",'KG1-6'!$AD$7:$IM$7,"✓",'KG1-6'!$AD$6:$IM$6,1,'KG1-6'!$AD$5:$IM$5,"&gt;="&amp;MAX('KG1-6'!$U18,Rpt_PStart),'KG1-6'!$AD$5:$IM$5,"&lt;="&amp;Rpt_PEnd)+COUNTIFS('KG1-6'!$AD18:$IM18,"غياب بعذر",'KG1-6'!$AD$7:$IM$7,"✓",'KG1-6'!$AD$6:$IM$6,1,'KG1-6'!$AD$5:$IM$5,"&gt;="&amp;MAX('KG1-6'!$U18,Rpt_PStart),'KG1-6'!$AD$5:$IM$5,"&lt;="&amp;Rpt_PEnd)+COUNTIFS('KG1-6'!$AD18:$IM18,"متأخر",'KG1-6'!$AD$7:$IM$7,"✓",'KG1-6'!$AD$6:$IM$6,1,'KG1-6'!$AD$5:$IM$5,"&gt;="&amp;MAX('KG1-6'!$U18,Rpt_PStart),'KG1-6'!$AD$5:$IM$5,"&lt;="&amp;Rpt_PEnd))</f>
        <v/>
      </c>
      <c r="AT164" s="40">
        <f>IF(AP164=0,"",COUNTIFS('KG1-6'!$AD18:$IM18,"غياب بدون عذر",'KG1-6'!$AD$7:$IM$7,"✓",'KG1-6'!$AD$6:$IM$6,1,'KG1-6'!$AD$5:$IM$5,"&gt;="&amp;MAX('KG1-6'!$U18,Rpt_PStart),'KG1-6'!$AD$5:$IM$5,"&lt;="&amp;Rpt_PEnd)+COUNTIFS('KG1-6'!$AD18:$IM18,"غياب بعذر",'KG1-6'!$AD$7:$IM$7,"✓",'KG1-6'!$AD$6:$IM$6,1,'KG1-6'!$AD$5:$IM$5,"&gt;="&amp;MAX('KG1-6'!$U18,Rpt_PStart),'KG1-6'!$AD$5:$IM$5,"&lt;="&amp;Rpt_PEnd))</f>
        <v/>
      </c>
      <c r="AU164" s="40" t="n">
        <v>6</v>
      </c>
      <c r="AV164" s="40" t="n">
        <v>10</v>
      </c>
      <c r="AW164" s="40">
        <f>IF(OR(AP164=0,Rpt_DayIdx=0),"",IF(INDEX('KG1-6'!$AD$7:$IM$7,Rpt_DayIdx)&lt;&gt;"✓","",IF(INDEX('KG1-6'!$AD18:$IM18,Rpt_DayIdx)="","P",IFERROR(INDEX(StatusCodes,MATCH(INDEX('KG1-6'!$AD18:$IM18,Rpt_DayIdx),StatusLabels,0)),""))))</f>
        <v/>
      </c>
      <c r="AX164" s="40">
        <f>IF(AND(AP164=1,OR(AW164="A",AW164="E")),COUNTIFS($AP$5:AP164,1,$AW$5:AW164,"A")+COUNTIFS($AP$5:AP164,1,$AW$5:AW164,"E"),"")</f>
        <v/>
      </c>
    </row>
    <row r="165">
      <c r="A165" s="148">
        <f>IF(B165="","",ROW()-4)</f>
        <v/>
      </c>
      <c r="B165" s="148">
        <f>IF('KG1-6'!$B19="","",'KG1-6'!$B19)</f>
        <v/>
      </c>
      <c r="C165" s="146">
        <f>IF('KG1-6'!$C19="","",'KG1-6'!$C19)</f>
        <v/>
      </c>
      <c r="D165" s="148">
        <f>IF(B165="","",'KG1-6'!$B$2)</f>
        <v/>
      </c>
      <c r="E165" s="148">
        <f>IF(B165="","",MID(D165,FIND("-",D165&amp;"-")+1,10))</f>
        <v/>
      </c>
      <c r="F165" s="148">
        <f>IF(B165="","","نشط")</f>
        <v/>
      </c>
      <c r="G165" s="157">
        <f>IF(B165="","","")</f>
        <v/>
      </c>
      <c r="H165" s="146">
        <f>IF('KG1-6'!$K19="","",'KG1-6'!$K19)</f>
        <v/>
      </c>
      <c r="I165" s="148">
        <f>IF('KG1-6'!$J19="","",'KG1-6'!$J19)</f>
        <v/>
      </c>
      <c r="J165" s="148">
        <f>IF('KG1-6'!$M19="","",'KG1-6'!$M19)</f>
        <v/>
      </c>
      <c r="K165" s="148">
        <f>IF('KG1-6'!$N19="","",'KG1-6'!$N19)</f>
        <v/>
      </c>
      <c r="L165" s="148">
        <f>IF('KG1-6'!$D19="","",'KG1-6'!$D19)</f>
        <v/>
      </c>
      <c r="M165" s="148">
        <f>IF('KG1-6'!$E19="","",'KG1-6'!$E19)</f>
        <v/>
      </c>
      <c r="N165" s="148">
        <f>IF('KG1-6'!$F19="","",'KG1-6'!$F19)</f>
        <v/>
      </c>
      <c r="O165" s="158">
        <f>IF('KG1-6'!$G19="","",'KG1-6'!$G19)</f>
        <v/>
      </c>
      <c r="P165" s="158">
        <f>IF('KG1-6'!$O19="","",'KG1-6'!$O19)</f>
        <v/>
      </c>
      <c r="Q165" s="148">
        <f>IF('KG1-6'!$T19="","",'KG1-6'!$T19)</f>
        <v/>
      </c>
      <c r="R165" s="146">
        <f>IF('KG1-6'!$H19="","",'KG1-6'!$H19)</f>
        <v/>
      </c>
      <c r="S165" s="157">
        <f>IF('KG1-6'!$P19="","",'KG1-6'!$P19)</f>
        <v/>
      </c>
      <c r="T165" s="157">
        <f>IF('KG1-6'!$V19="","",'KG1-6'!$V19)</f>
        <v/>
      </c>
      <c r="U165" s="157">
        <f>IF('KG1-6'!$W19="","",'KG1-6'!$W19)</f>
        <v/>
      </c>
      <c r="V165" s="157">
        <f>IF('KG1-6'!$X19="","",'KG1-6'!$X19)</f>
        <v/>
      </c>
      <c r="W165" s="157">
        <f>IF('KG1-6'!$Y19="","",'KG1-6'!$Y19)</f>
        <v/>
      </c>
      <c r="X165" s="157">
        <f>IF('KG1-6'!$R19="","",'KG1-6'!$R19)</f>
        <v/>
      </c>
      <c r="Y165" s="148">
        <f>IF('KG1-6'!$S19="","",'KG1-6'!$S19)</f>
        <v/>
      </c>
      <c r="Z165" s="148">
        <f>IF('KG1-6'!$Q19="","",'KG1-6'!$Q19)</f>
        <v/>
      </c>
      <c r="AA165" s="148">
        <f>IF('KG1-6'!$I19="","",'KG1-6'!$I19)</f>
        <v/>
      </c>
      <c r="AB165" s="146">
        <f>IF(Q165="","",INDEX(LevelActions,MATCH(Q165,LevelValues,0)))</f>
        <v/>
      </c>
      <c r="AC165" s="148">
        <f>IF(J165="","",IF(J165=0,"—",IF(AND(L165=0,M165=0),Cat_L1,IF(O165&gt;=Cat_95,Cat_L2,IF(O165&gt;=Cat_90,Cat_L3,Cat_L4)))))</f>
        <v/>
      </c>
      <c r="AD165" s="146">
        <f>IF('KG1-6'!$L19="","",'KG1-6'!$L19)</f>
        <v/>
      </c>
      <c r="AE165" s="148">
        <f>IF(B165="","",IF(COUNTIF($B$5:$B$214,B165)&gt;1,"مكرر!",""))</f>
        <v/>
      </c>
      <c r="AF165" s="148">
        <f>IF(AND(B165&lt;&gt;"",F165="نشط",OR(Dash_Class="الكل",D165=Dash_Class)),1,0)</f>
        <v/>
      </c>
      <c r="AG165" s="40">
        <f>IF(OR(AF165=0,Dash_DayIdx=0),"",IF(INDEX('KG1-6'!$AD$7:$IM$7,Dash_DayIdx)&lt;&gt;"✓","",IF(INDEX('KG1-6'!$AD19:$IM19,Dash_DayIdx)="","P",IFERROR(INDEX(StatusCodes,MATCH(INDEX('KG1-6'!$AD19:$IM19,Dash_DayIdx),StatusLabels,0)),""))))</f>
        <v/>
      </c>
      <c r="AH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IF(LateAsPresent="نعم",COUNTIFS('KG1-6'!$AD19:$IM19,"متأخر",'KG1-6'!$AD$7:$IM$7,"✓",'KG1-6'!$AD$6:$IM$6,1,'KG1-6'!$AD$5:$IM$5,"&gt;="&amp;MAX('KG1-6'!$U19,Dash_PStart),'KG1-6'!$AD$5:$IM$5,"&lt;="&amp;Dash_PEnd),0))</f>
        <v/>
      </c>
      <c r="AI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COUNTIFS('KG1-6'!$AD19:$IM19,"غياب بدون عذر",'KG1-6'!$AD$7:$IM$7,"✓",'KG1-6'!$AD$6:$IM$6,1,'KG1-6'!$AD$5:$IM$5,"&gt;="&amp;MAX('KG1-6'!$U19,Dash_PStart),'KG1-6'!$AD$5:$IM$5,"&lt;="&amp;Dash_PEnd)+COUNTIFS('KG1-6'!$AD19:$IM19,"غياب بعذر",'KG1-6'!$AD$7:$IM$7,"✓",'KG1-6'!$AD$6:$IM$6,1,'KG1-6'!$AD$5:$IM$5,"&gt;="&amp;MAX('KG1-6'!$U19,Dash_PStart),'KG1-6'!$AD$5:$IM$5,"&lt;="&amp;Dash_PEnd)+COUNTIFS('KG1-6'!$AD19:$IM19,"متأخر",'KG1-6'!$AD$7:$IM$7,"✓",'KG1-6'!$AD$6:$IM$6,1,'KG1-6'!$AD$5:$IM$5,"&gt;="&amp;MAX('KG1-6'!$U19,Dash_PStart),'KG1-6'!$AD$5:$IM$5,"&lt;="&amp;Dash_PEnd))</f>
        <v/>
      </c>
      <c r="AJ165" s="40">
        <f>IF(AF165=0,0,IF(W165=Dash_Date,Thr_Critical,IF(V165=Dash_Date,Thr_High,IF(U165=Dash_Date,Thr_Repeated,IF(T165=Dash_Date,Thr_FollowUp,0)))))</f>
        <v/>
      </c>
      <c r="AK165" s="40">
        <f>IF(AJ165&gt;0,COUNTIF($AJ$5:AJ165,"&gt;0"),"")</f>
        <v/>
      </c>
      <c r="AL165" s="40">
        <f>IF(AND(B165&lt;&gt;"",F165="نشط",Q165&lt;&gt;"",Q165&gt;0),L165*1000+(999-ROW()),"")</f>
        <v/>
      </c>
      <c r="AM165" s="40">
        <f>IF(AND(AF165=1,J165&lt;&gt;"",J165&gt;0),ROUND(O165*10000,0)*1000000+K165*1000+(999-ROW()),"")</f>
        <v/>
      </c>
      <c r="AN165" s="40">
        <f>IF(AND(AF165=1,J165&lt;&gt;"",J165&gt;0),(L165+M165)*10000000+ROUND((1-O165)*10000,0)*1000+(999-ROW()),"")</f>
        <v/>
      </c>
      <c r="AO165" s="40">
        <f>IF(AND(AF165=1,Q165&lt;&gt;"",Q165&gt;=Thr_Critical),L165*1000+(999-ROW()),"")</f>
        <v/>
      </c>
      <c r="AP165" s="40">
        <f>IF(AND(B165&lt;&gt;"",F165="نشط",OR(Rpt_Class="الكل",D165=Rpt_Class)),1,0)</f>
        <v/>
      </c>
      <c r="AQ165" s="40">
        <f>IF(AND(AP165=1,Q165&lt;&gt;"",Q165&gt;0),L165*1000+(999-ROW()),"")</f>
        <v/>
      </c>
      <c r="AR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IF(LateAsPresent="نعم",COUNTIFS('KG1-6'!$AD19:$IM19,"متأخر",'KG1-6'!$AD$7:$IM$7,"✓",'KG1-6'!$AD$6:$IM$6,1,'KG1-6'!$AD$5:$IM$5,"&gt;="&amp;MAX('KG1-6'!$U19,Rpt_PStart),'KG1-6'!$AD$5:$IM$5,"&lt;="&amp;Rpt_PEnd),0))</f>
        <v/>
      </c>
      <c r="AS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COUNTIFS('KG1-6'!$AD19:$IM19,"غياب بدون عذر",'KG1-6'!$AD$7:$IM$7,"✓",'KG1-6'!$AD$6:$IM$6,1,'KG1-6'!$AD$5:$IM$5,"&gt;="&amp;MAX('KG1-6'!$U19,Rpt_PStart),'KG1-6'!$AD$5:$IM$5,"&lt;="&amp;Rpt_PEnd)+COUNTIFS('KG1-6'!$AD19:$IM19,"غياب بعذر",'KG1-6'!$AD$7:$IM$7,"✓",'KG1-6'!$AD$6:$IM$6,1,'KG1-6'!$AD$5:$IM$5,"&gt;="&amp;MAX('KG1-6'!$U19,Rpt_PStart),'KG1-6'!$AD$5:$IM$5,"&lt;="&amp;Rpt_PEnd)+COUNTIFS('KG1-6'!$AD19:$IM19,"متأخر",'KG1-6'!$AD$7:$IM$7,"✓",'KG1-6'!$AD$6:$IM$6,1,'KG1-6'!$AD$5:$IM$5,"&gt;="&amp;MAX('KG1-6'!$U19,Rpt_PStart),'KG1-6'!$AD$5:$IM$5,"&lt;="&amp;Rpt_PEnd))</f>
        <v/>
      </c>
      <c r="AT165" s="40">
        <f>IF(AP165=0,"",COUNTIFS('KG1-6'!$AD19:$IM19,"غياب بدون عذر",'KG1-6'!$AD$7:$IM$7,"✓",'KG1-6'!$AD$6:$IM$6,1,'KG1-6'!$AD$5:$IM$5,"&gt;="&amp;MAX('KG1-6'!$U19,Rpt_PStart),'KG1-6'!$AD$5:$IM$5,"&lt;="&amp;Rpt_PEnd)+COUNTIFS('KG1-6'!$AD19:$IM19,"غياب بعذر",'KG1-6'!$AD$7:$IM$7,"✓",'KG1-6'!$AD$6:$IM$6,1,'KG1-6'!$AD$5:$IM$5,"&gt;="&amp;MAX('KG1-6'!$U19,Rpt_PStart),'KG1-6'!$AD$5:$IM$5,"&lt;="&amp;Rpt_PEnd))</f>
        <v/>
      </c>
      <c r="AU165" s="40" t="n">
        <v>6</v>
      </c>
      <c r="AV165" s="40" t="n">
        <v>11</v>
      </c>
      <c r="AW165" s="40">
        <f>IF(OR(AP165=0,Rpt_DayIdx=0),"",IF(INDEX('KG1-6'!$AD$7:$IM$7,Rpt_DayIdx)&lt;&gt;"✓","",IF(INDEX('KG1-6'!$AD19:$IM19,Rpt_DayIdx)="","P",IFERROR(INDEX(StatusCodes,MATCH(INDEX('KG1-6'!$AD19:$IM19,Rpt_DayIdx),StatusLabels,0)),""))))</f>
        <v/>
      </c>
      <c r="AX165" s="40">
        <f>IF(AND(AP165=1,OR(AW165="A",AW165="E")),COUNTIFS($AP$5:AP165,1,$AW$5:AW165,"A")+COUNTIFS($AP$5:AP165,1,$AW$5:AW165,"E"),"")</f>
        <v/>
      </c>
    </row>
    <row r="166">
      <c r="A166" s="148">
        <f>IF(B166="","",ROW()-4)</f>
        <v/>
      </c>
      <c r="B166" s="148">
        <f>IF('KG1-6'!$B20="","",'KG1-6'!$B20)</f>
        <v/>
      </c>
      <c r="C166" s="146">
        <f>IF('KG1-6'!$C20="","",'KG1-6'!$C20)</f>
        <v/>
      </c>
      <c r="D166" s="148">
        <f>IF(B166="","",'KG1-6'!$B$2)</f>
        <v/>
      </c>
      <c r="E166" s="148">
        <f>IF(B166="","",MID(D166,FIND("-",D166&amp;"-")+1,10))</f>
        <v/>
      </c>
      <c r="F166" s="148">
        <f>IF(B166="","","نشط")</f>
        <v/>
      </c>
      <c r="G166" s="157">
        <f>IF(B166="","","")</f>
        <v/>
      </c>
      <c r="H166" s="146">
        <f>IF('KG1-6'!$K20="","",'KG1-6'!$K20)</f>
        <v/>
      </c>
      <c r="I166" s="148">
        <f>IF('KG1-6'!$J20="","",'KG1-6'!$J20)</f>
        <v/>
      </c>
      <c r="J166" s="148">
        <f>IF('KG1-6'!$M20="","",'KG1-6'!$M20)</f>
        <v/>
      </c>
      <c r="K166" s="148">
        <f>IF('KG1-6'!$N20="","",'KG1-6'!$N20)</f>
        <v/>
      </c>
      <c r="L166" s="148">
        <f>IF('KG1-6'!$D20="","",'KG1-6'!$D20)</f>
        <v/>
      </c>
      <c r="M166" s="148">
        <f>IF('KG1-6'!$E20="","",'KG1-6'!$E20)</f>
        <v/>
      </c>
      <c r="N166" s="148">
        <f>IF('KG1-6'!$F20="","",'KG1-6'!$F20)</f>
        <v/>
      </c>
      <c r="O166" s="158">
        <f>IF('KG1-6'!$G20="","",'KG1-6'!$G20)</f>
        <v/>
      </c>
      <c r="P166" s="158">
        <f>IF('KG1-6'!$O20="","",'KG1-6'!$O20)</f>
        <v/>
      </c>
      <c r="Q166" s="148">
        <f>IF('KG1-6'!$T20="","",'KG1-6'!$T20)</f>
        <v/>
      </c>
      <c r="R166" s="146">
        <f>IF('KG1-6'!$H20="","",'KG1-6'!$H20)</f>
        <v/>
      </c>
      <c r="S166" s="157">
        <f>IF('KG1-6'!$P20="","",'KG1-6'!$P20)</f>
        <v/>
      </c>
      <c r="T166" s="157">
        <f>IF('KG1-6'!$V20="","",'KG1-6'!$V20)</f>
        <v/>
      </c>
      <c r="U166" s="157">
        <f>IF('KG1-6'!$W20="","",'KG1-6'!$W20)</f>
        <v/>
      </c>
      <c r="V166" s="157">
        <f>IF('KG1-6'!$X20="","",'KG1-6'!$X20)</f>
        <v/>
      </c>
      <c r="W166" s="157">
        <f>IF('KG1-6'!$Y20="","",'KG1-6'!$Y20)</f>
        <v/>
      </c>
      <c r="X166" s="157">
        <f>IF('KG1-6'!$R20="","",'KG1-6'!$R20)</f>
        <v/>
      </c>
      <c r="Y166" s="148">
        <f>IF('KG1-6'!$S20="","",'KG1-6'!$S20)</f>
        <v/>
      </c>
      <c r="Z166" s="148">
        <f>IF('KG1-6'!$Q20="","",'KG1-6'!$Q20)</f>
        <v/>
      </c>
      <c r="AA166" s="148">
        <f>IF('KG1-6'!$I20="","",'KG1-6'!$I20)</f>
        <v/>
      </c>
      <c r="AB166" s="146">
        <f>IF(Q166="","",INDEX(LevelActions,MATCH(Q166,LevelValues,0)))</f>
        <v/>
      </c>
      <c r="AC166" s="148">
        <f>IF(J166="","",IF(J166=0,"—",IF(AND(L166=0,M166=0),Cat_L1,IF(O166&gt;=Cat_95,Cat_L2,IF(O166&gt;=Cat_90,Cat_L3,Cat_L4)))))</f>
        <v/>
      </c>
      <c r="AD166" s="146">
        <f>IF('KG1-6'!$L20="","",'KG1-6'!$L20)</f>
        <v/>
      </c>
      <c r="AE166" s="148">
        <f>IF(B166="","",IF(COUNTIF($B$5:$B$214,B166)&gt;1,"مكرر!",""))</f>
        <v/>
      </c>
      <c r="AF166" s="148">
        <f>IF(AND(B166&lt;&gt;"",F166="نشط",OR(Dash_Class="الكل",D166=Dash_Class)),1,0)</f>
        <v/>
      </c>
      <c r="AG166" s="40">
        <f>IF(OR(AF166=0,Dash_DayIdx=0),"",IF(INDEX('KG1-6'!$AD$7:$IM$7,Dash_DayIdx)&lt;&gt;"✓","",IF(INDEX('KG1-6'!$AD20:$IM20,Dash_DayIdx)="","P",IFERROR(INDEX(StatusCodes,MATCH(INDEX('KG1-6'!$AD20:$IM20,Dash_DayIdx),StatusLabels,0)),""))))</f>
        <v/>
      </c>
      <c r="AH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IF(LateAsPresent="نعم",COUNTIFS('KG1-6'!$AD20:$IM20,"متأخر",'KG1-6'!$AD$7:$IM$7,"✓",'KG1-6'!$AD$6:$IM$6,1,'KG1-6'!$AD$5:$IM$5,"&gt;="&amp;MAX('KG1-6'!$U20,Dash_PStart),'KG1-6'!$AD$5:$IM$5,"&lt;="&amp;Dash_PEnd),0))</f>
        <v/>
      </c>
      <c r="AI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COUNTIFS('KG1-6'!$AD20:$IM20,"غياب بدون عذر",'KG1-6'!$AD$7:$IM$7,"✓",'KG1-6'!$AD$6:$IM$6,1,'KG1-6'!$AD$5:$IM$5,"&gt;="&amp;MAX('KG1-6'!$U20,Dash_PStart),'KG1-6'!$AD$5:$IM$5,"&lt;="&amp;Dash_PEnd)+COUNTIFS('KG1-6'!$AD20:$IM20,"غياب بعذر",'KG1-6'!$AD$7:$IM$7,"✓",'KG1-6'!$AD$6:$IM$6,1,'KG1-6'!$AD$5:$IM$5,"&gt;="&amp;MAX('KG1-6'!$U20,Dash_PStart),'KG1-6'!$AD$5:$IM$5,"&lt;="&amp;Dash_PEnd)+COUNTIFS('KG1-6'!$AD20:$IM20,"متأخر",'KG1-6'!$AD$7:$IM$7,"✓",'KG1-6'!$AD$6:$IM$6,1,'KG1-6'!$AD$5:$IM$5,"&gt;="&amp;MAX('KG1-6'!$U20,Dash_PStart),'KG1-6'!$AD$5:$IM$5,"&lt;="&amp;Dash_PEnd))</f>
        <v/>
      </c>
      <c r="AJ166" s="40">
        <f>IF(AF166=0,0,IF(W166=Dash_Date,Thr_Critical,IF(V166=Dash_Date,Thr_High,IF(U166=Dash_Date,Thr_Repeated,IF(T166=Dash_Date,Thr_FollowUp,0)))))</f>
        <v/>
      </c>
      <c r="AK166" s="40">
        <f>IF(AJ166&gt;0,COUNTIF($AJ$5:AJ166,"&gt;0"),"")</f>
        <v/>
      </c>
      <c r="AL166" s="40">
        <f>IF(AND(B166&lt;&gt;"",F166="نشط",Q166&lt;&gt;"",Q166&gt;0),L166*1000+(999-ROW()),"")</f>
        <v/>
      </c>
      <c r="AM166" s="40">
        <f>IF(AND(AF166=1,J166&lt;&gt;"",J166&gt;0),ROUND(O166*10000,0)*1000000+K166*1000+(999-ROW()),"")</f>
        <v/>
      </c>
      <c r="AN166" s="40">
        <f>IF(AND(AF166=1,J166&lt;&gt;"",J166&gt;0),(L166+M166)*10000000+ROUND((1-O166)*10000,0)*1000+(999-ROW()),"")</f>
        <v/>
      </c>
      <c r="AO166" s="40">
        <f>IF(AND(AF166=1,Q166&lt;&gt;"",Q166&gt;=Thr_Critical),L166*1000+(999-ROW()),"")</f>
        <v/>
      </c>
      <c r="AP166" s="40">
        <f>IF(AND(B166&lt;&gt;"",F166="نشط",OR(Rpt_Class="الكل",D166=Rpt_Class)),1,0)</f>
        <v/>
      </c>
      <c r="AQ166" s="40">
        <f>IF(AND(AP166=1,Q166&lt;&gt;"",Q166&gt;0),L166*1000+(999-ROW()),"")</f>
        <v/>
      </c>
      <c r="AR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IF(LateAsPresent="نعم",COUNTIFS('KG1-6'!$AD20:$IM20,"متأخر",'KG1-6'!$AD$7:$IM$7,"✓",'KG1-6'!$AD$6:$IM$6,1,'KG1-6'!$AD$5:$IM$5,"&gt;="&amp;MAX('KG1-6'!$U20,Rpt_PStart),'KG1-6'!$AD$5:$IM$5,"&lt;="&amp;Rpt_PEnd),0))</f>
        <v/>
      </c>
      <c r="AS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COUNTIFS('KG1-6'!$AD20:$IM20,"غياب بدون عذر",'KG1-6'!$AD$7:$IM$7,"✓",'KG1-6'!$AD$6:$IM$6,1,'KG1-6'!$AD$5:$IM$5,"&gt;="&amp;MAX('KG1-6'!$U20,Rpt_PStart),'KG1-6'!$AD$5:$IM$5,"&lt;="&amp;Rpt_PEnd)+COUNTIFS('KG1-6'!$AD20:$IM20,"غياب بعذر",'KG1-6'!$AD$7:$IM$7,"✓",'KG1-6'!$AD$6:$IM$6,1,'KG1-6'!$AD$5:$IM$5,"&gt;="&amp;MAX('KG1-6'!$U20,Rpt_PStart),'KG1-6'!$AD$5:$IM$5,"&lt;="&amp;Rpt_PEnd)+COUNTIFS('KG1-6'!$AD20:$IM20,"متأخر",'KG1-6'!$AD$7:$IM$7,"✓",'KG1-6'!$AD$6:$IM$6,1,'KG1-6'!$AD$5:$IM$5,"&gt;="&amp;MAX('KG1-6'!$U20,Rpt_PStart),'KG1-6'!$AD$5:$IM$5,"&lt;="&amp;Rpt_PEnd))</f>
        <v/>
      </c>
      <c r="AT166" s="40">
        <f>IF(AP166=0,"",COUNTIFS('KG1-6'!$AD20:$IM20,"غياب بدون عذر",'KG1-6'!$AD$7:$IM$7,"✓",'KG1-6'!$AD$6:$IM$6,1,'KG1-6'!$AD$5:$IM$5,"&gt;="&amp;MAX('KG1-6'!$U20,Rpt_PStart),'KG1-6'!$AD$5:$IM$5,"&lt;="&amp;Rpt_PEnd)+COUNTIFS('KG1-6'!$AD20:$IM20,"غياب بعذر",'KG1-6'!$AD$7:$IM$7,"✓",'KG1-6'!$AD$6:$IM$6,1,'KG1-6'!$AD$5:$IM$5,"&gt;="&amp;MAX('KG1-6'!$U20,Rpt_PStart),'KG1-6'!$AD$5:$IM$5,"&lt;="&amp;Rpt_PEnd))</f>
        <v/>
      </c>
      <c r="AU166" s="40" t="n">
        <v>6</v>
      </c>
      <c r="AV166" s="40" t="n">
        <v>12</v>
      </c>
      <c r="AW166" s="40">
        <f>IF(OR(AP166=0,Rpt_DayIdx=0),"",IF(INDEX('KG1-6'!$AD$7:$IM$7,Rpt_DayIdx)&lt;&gt;"✓","",IF(INDEX('KG1-6'!$AD20:$IM20,Rpt_DayIdx)="","P",IFERROR(INDEX(StatusCodes,MATCH(INDEX('KG1-6'!$AD20:$IM20,Rpt_DayIdx),StatusLabels,0)),""))))</f>
        <v/>
      </c>
      <c r="AX166" s="40">
        <f>IF(AND(AP166=1,OR(AW166="A",AW166="E")),COUNTIFS($AP$5:AP166,1,$AW$5:AW166,"A")+COUNTIFS($AP$5:AP166,1,$AW$5:AW166,"E"),"")</f>
        <v/>
      </c>
    </row>
    <row r="167">
      <c r="A167" s="148">
        <f>IF(B167="","",ROW()-4)</f>
        <v/>
      </c>
      <c r="B167" s="148">
        <f>IF('KG1-6'!$B21="","",'KG1-6'!$B21)</f>
        <v/>
      </c>
      <c r="C167" s="146">
        <f>IF('KG1-6'!$C21="","",'KG1-6'!$C21)</f>
        <v/>
      </c>
      <c r="D167" s="148">
        <f>IF(B167="","",'KG1-6'!$B$2)</f>
        <v/>
      </c>
      <c r="E167" s="148">
        <f>IF(B167="","",MID(D167,FIND("-",D167&amp;"-")+1,10))</f>
        <v/>
      </c>
      <c r="F167" s="148">
        <f>IF(B167="","","نشط")</f>
        <v/>
      </c>
      <c r="G167" s="157">
        <f>IF(B167="","","")</f>
        <v/>
      </c>
      <c r="H167" s="146">
        <f>IF('KG1-6'!$K21="","",'KG1-6'!$K21)</f>
        <v/>
      </c>
      <c r="I167" s="148">
        <f>IF('KG1-6'!$J21="","",'KG1-6'!$J21)</f>
        <v/>
      </c>
      <c r="J167" s="148">
        <f>IF('KG1-6'!$M21="","",'KG1-6'!$M21)</f>
        <v/>
      </c>
      <c r="K167" s="148">
        <f>IF('KG1-6'!$N21="","",'KG1-6'!$N21)</f>
        <v/>
      </c>
      <c r="L167" s="148">
        <f>IF('KG1-6'!$D21="","",'KG1-6'!$D21)</f>
        <v/>
      </c>
      <c r="M167" s="148">
        <f>IF('KG1-6'!$E21="","",'KG1-6'!$E21)</f>
        <v/>
      </c>
      <c r="N167" s="148">
        <f>IF('KG1-6'!$F21="","",'KG1-6'!$F21)</f>
        <v/>
      </c>
      <c r="O167" s="158">
        <f>IF('KG1-6'!$G21="","",'KG1-6'!$G21)</f>
        <v/>
      </c>
      <c r="P167" s="158">
        <f>IF('KG1-6'!$O21="","",'KG1-6'!$O21)</f>
        <v/>
      </c>
      <c r="Q167" s="148">
        <f>IF('KG1-6'!$T21="","",'KG1-6'!$T21)</f>
        <v/>
      </c>
      <c r="R167" s="146">
        <f>IF('KG1-6'!$H21="","",'KG1-6'!$H21)</f>
        <v/>
      </c>
      <c r="S167" s="157">
        <f>IF('KG1-6'!$P21="","",'KG1-6'!$P21)</f>
        <v/>
      </c>
      <c r="T167" s="157">
        <f>IF('KG1-6'!$V21="","",'KG1-6'!$V21)</f>
        <v/>
      </c>
      <c r="U167" s="157">
        <f>IF('KG1-6'!$W21="","",'KG1-6'!$W21)</f>
        <v/>
      </c>
      <c r="V167" s="157">
        <f>IF('KG1-6'!$X21="","",'KG1-6'!$X21)</f>
        <v/>
      </c>
      <c r="W167" s="157">
        <f>IF('KG1-6'!$Y21="","",'KG1-6'!$Y21)</f>
        <v/>
      </c>
      <c r="X167" s="157">
        <f>IF('KG1-6'!$R21="","",'KG1-6'!$R21)</f>
        <v/>
      </c>
      <c r="Y167" s="148">
        <f>IF('KG1-6'!$S21="","",'KG1-6'!$S21)</f>
        <v/>
      </c>
      <c r="Z167" s="148">
        <f>IF('KG1-6'!$Q21="","",'KG1-6'!$Q21)</f>
        <v/>
      </c>
      <c r="AA167" s="148">
        <f>IF('KG1-6'!$I21="","",'KG1-6'!$I21)</f>
        <v/>
      </c>
      <c r="AB167" s="146">
        <f>IF(Q167="","",INDEX(LevelActions,MATCH(Q167,LevelValues,0)))</f>
        <v/>
      </c>
      <c r="AC167" s="148">
        <f>IF(J167="","",IF(J167=0,"—",IF(AND(L167=0,M167=0),Cat_L1,IF(O167&gt;=Cat_95,Cat_L2,IF(O167&gt;=Cat_90,Cat_L3,Cat_L4)))))</f>
        <v/>
      </c>
      <c r="AD167" s="146">
        <f>IF('KG1-6'!$L21="","",'KG1-6'!$L21)</f>
        <v/>
      </c>
      <c r="AE167" s="148">
        <f>IF(B167="","",IF(COUNTIF($B$5:$B$214,B167)&gt;1,"مكرر!",""))</f>
        <v/>
      </c>
      <c r="AF167" s="148">
        <f>IF(AND(B167&lt;&gt;"",F167="نشط",OR(Dash_Class="الكل",D167=Dash_Class)),1,0)</f>
        <v/>
      </c>
      <c r="AG167" s="40">
        <f>IF(OR(AF167=0,Dash_DayIdx=0),"",IF(INDEX('KG1-6'!$AD$7:$IM$7,Dash_DayIdx)&lt;&gt;"✓","",IF(INDEX('KG1-6'!$AD21:$IM21,Dash_DayIdx)="","P",IFERROR(INDEX(StatusCodes,MATCH(INDEX('KG1-6'!$AD21:$IM21,Dash_DayIdx),StatusLabels,0)),""))))</f>
        <v/>
      </c>
      <c r="AH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IF(LateAsPresent="نعم",COUNTIFS('KG1-6'!$AD21:$IM21,"متأخر",'KG1-6'!$AD$7:$IM$7,"✓",'KG1-6'!$AD$6:$IM$6,1,'KG1-6'!$AD$5:$IM$5,"&gt;="&amp;MAX('KG1-6'!$U21,Dash_PStart),'KG1-6'!$AD$5:$IM$5,"&lt;="&amp;Dash_PEnd),0))</f>
        <v/>
      </c>
      <c r="AI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COUNTIFS('KG1-6'!$AD21:$IM21,"غياب بدون عذر",'KG1-6'!$AD$7:$IM$7,"✓",'KG1-6'!$AD$6:$IM$6,1,'KG1-6'!$AD$5:$IM$5,"&gt;="&amp;MAX('KG1-6'!$U21,Dash_PStart),'KG1-6'!$AD$5:$IM$5,"&lt;="&amp;Dash_PEnd)+COUNTIFS('KG1-6'!$AD21:$IM21,"غياب بعذر",'KG1-6'!$AD$7:$IM$7,"✓",'KG1-6'!$AD$6:$IM$6,1,'KG1-6'!$AD$5:$IM$5,"&gt;="&amp;MAX('KG1-6'!$U21,Dash_PStart),'KG1-6'!$AD$5:$IM$5,"&lt;="&amp;Dash_PEnd)+COUNTIFS('KG1-6'!$AD21:$IM21,"متأخر",'KG1-6'!$AD$7:$IM$7,"✓",'KG1-6'!$AD$6:$IM$6,1,'KG1-6'!$AD$5:$IM$5,"&gt;="&amp;MAX('KG1-6'!$U21,Dash_PStart),'KG1-6'!$AD$5:$IM$5,"&lt;="&amp;Dash_PEnd))</f>
        <v/>
      </c>
      <c r="AJ167" s="40">
        <f>IF(AF167=0,0,IF(W167=Dash_Date,Thr_Critical,IF(V167=Dash_Date,Thr_High,IF(U167=Dash_Date,Thr_Repeated,IF(T167=Dash_Date,Thr_FollowUp,0)))))</f>
        <v/>
      </c>
      <c r="AK167" s="40">
        <f>IF(AJ167&gt;0,COUNTIF($AJ$5:AJ167,"&gt;0"),"")</f>
        <v/>
      </c>
      <c r="AL167" s="40">
        <f>IF(AND(B167&lt;&gt;"",F167="نشط",Q167&lt;&gt;"",Q167&gt;0),L167*1000+(999-ROW()),"")</f>
        <v/>
      </c>
      <c r="AM167" s="40">
        <f>IF(AND(AF167=1,J167&lt;&gt;"",J167&gt;0),ROUND(O167*10000,0)*1000000+K167*1000+(999-ROW()),"")</f>
        <v/>
      </c>
      <c r="AN167" s="40">
        <f>IF(AND(AF167=1,J167&lt;&gt;"",J167&gt;0),(L167+M167)*10000000+ROUND((1-O167)*10000,0)*1000+(999-ROW()),"")</f>
        <v/>
      </c>
      <c r="AO167" s="40">
        <f>IF(AND(AF167=1,Q167&lt;&gt;"",Q167&gt;=Thr_Critical),L167*1000+(999-ROW()),"")</f>
        <v/>
      </c>
      <c r="AP167" s="40">
        <f>IF(AND(B167&lt;&gt;"",F167="نشط",OR(Rpt_Class="الكل",D167=Rpt_Class)),1,0)</f>
        <v/>
      </c>
      <c r="AQ167" s="40">
        <f>IF(AND(AP167=1,Q167&lt;&gt;"",Q167&gt;0),L167*1000+(999-ROW()),"")</f>
        <v/>
      </c>
      <c r="AR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IF(LateAsPresent="نعم",COUNTIFS('KG1-6'!$AD21:$IM21,"متأخر",'KG1-6'!$AD$7:$IM$7,"✓",'KG1-6'!$AD$6:$IM$6,1,'KG1-6'!$AD$5:$IM$5,"&gt;="&amp;MAX('KG1-6'!$U21,Rpt_PStart),'KG1-6'!$AD$5:$IM$5,"&lt;="&amp;Rpt_PEnd),0))</f>
        <v/>
      </c>
      <c r="AS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COUNTIFS('KG1-6'!$AD21:$IM21,"غياب بدون عذر",'KG1-6'!$AD$7:$IM$7,"✓",'KG1-6'!$AD$6:$IM$6,1,'KG1-6'!$AD$5:$IM$5,"&gt;="&amp;MAX('KG1-6'!$U21,Rpt_PStart),'KG1-6'!$AD$5:$IM$5,"&lt;="&amp;Rpt_PEnd)+COUNTIFS('KG1-6'!$AD21:$IM21,"غياب بعذر",'KG1-6'!$AD$7:$IM$7,"✓",'KG1-6'!$AD$6:$IM$6,1,'KG1-6'!$AD$5:$IM$5,"&gt;="&amp;MAX('KG1-6'!$U21,Rpt_PStart),'KG1-6'!$AD$5:$IM$5,"&lt;="&amp;Rpt_PEnd)+COUNTIFS('KG1-6'!$AD21:$IM21,"متأخر",'KG1-6'!$AD$7:$IM$7,"✓",'KG1-6'!$AD$6:$IM$6,1,'KG1-6'!$AD$5:$IM$5,"&gt;="&amp;MAX('KG1-6'!$U21,Rpt_PStart),'KG1-6'!$AD$5:$IM$5,"&lt;="&amp;Rpt_PEnd))</f>
        <v/>
      </c>
      <c r="AT167" s="40">
        <f>IF(AP167=0,"",COUNTIFS('KG1-6'!$AD21:$IM21,"غياب بدون عذر",'KG1-6'!$AD$7:$IM$7,"✓",'KG1-6'!$AD$6:$IM$6,1,'KG1-6'!$AD$5:$IM$5,"&gt;="&amp;MAX('KG1-6'!$U21,Rpt_PStart),'KG1-6'!$AD$5:$IM$5,"&lt;="&amp;Rpt_PEnd)+COUNTIFS('KG1-6'!$AD21:$IM21,"غياب بعذر",'KG1-6'!$AD$7:$IM$7,"✓",'KG1-6'!$AD$6:$IM$6,1,'KG1-6'!$AD$5:$IM$5,"&gt;="&amp;MAX('KG1-6'!$U21,Rpt_PStart),'KG1-6'!$AD$5:$IM$5,"&lt;="&amp;Rpt_PEnd))</f>
        <v/>
      </c>
      <c r="AU167" s="40" t="n">
        <v>6</v>
      </c>
      <c r="AV167" s="40" t="n">
        <v>13</v>
      </c>
      <c r="AW167" s="40">
        <f>IF(OR(AP167=0,Rpt_DayIdx=0),"",IF(INDEX('KG1-6'!$AD$7:$IM$7,Rpt_DayIdx)&lt;&gt;"✓","",IF(INDEX('KG1-6'!$AD21:$IM21,Rpt_DayIdx)="","P",IFERROR(INDEX(StatusCodes,MATCH(INDEX('KG1-6'!$AD21:$IM21,Rpt_DayIdx),StatusLabels,0)),""))))</f>
        <v/>
      </c>
      <c r="AX167" s="40">
        <f>IF(AND(AP167=1,OR(AW167="A",AW167="E")),COUNTIFS($AP$5:AP167,1,$AW$5:AW167,"A")+COUNTIFS($AP$5:AP167,1,$AW$5:AW167,"E"),"")</f>
        <v/>
      </c>
    </row>
    <row r="168">
      <c r="A168" s="148">
        <f>IF(B168="","",ROW()-4)</f>
        <v/>
      </c>
      <c r="B168" s="148">
        <f>IF('KG1-6'!$B22="","",'KG1-6'!$B22)</f>
        <v/>
      </c>
      <c r="C168" s="146">
        <f>IF('KG1-6'!$C22="","",'KG1-6'!$C22)</f>
        <v/>
      </c>
      <c r="D168" s="148">
        <f>IF(B168="","",'KG1-6'!$B$2)</f>
        <v/>
      </c>
      <c r="E168" s="148">
        <f>IF(B168="","",MID(D168,FIND("-",D168&amp;"-")+1,10))</f>
        <v/>
      </c>
      <c r="F168" s="148">
        <f>IF(B168="","","نشط")</f>
        <v/>
      </c>
      <c r="G168" s="157">
        <f>IF(B168="","","")</f>
        <v/>
      </c>
      <c r="H168" s="146">
        <f>IF('KG1-6'!$K22="","",'KG1-6'!$K22)</f>
        <v/>
      </c>
      <c r="I168" s="148">
        <f>IF('KG1-6'!$J22="","",'KG1-6'!$J22)</f>
        <v/>
      </c>
      <c r="J168" s="148">
        <f>IF('KG1-6'!$M22="","",'KG1-6'!$M22)</f>
        <v/>
      </c>
      <c r="K168" s="148">
        <f>IF('KG1-6'!$N22="","",'KG1-6'!$N22)</f>
        <v/>
      </c>
      <c r="L168" s="148">
        <f>IF('KG1-6'!$D22="","",'KG1-6'!$D22)</f>
        <v/>
      </c>
      <c r="M168" s="148">
        <f>IF('KG1-6'!$E22="","",'KG1-6'!$E22)</f>
        <v/>
      </c>
      <c r="N168" s="148">
        <f>IF('KG1-6'!$F22="","",'KG1-6'!$F22)</f>
        <v/>
      </c>
      <c r="O168" s="158">
        <f>IF('KG1-6'!$G22="","",'KG1-6'!$G22)</f>
        <v/>
      </c>
      <c r="P168" s="158">
        <f>IF('KG1-6'!$O22="","",'KG1-6'!$O22)</f>
        <v/>
      </c>
      <c r="Q168" s="148">
        <f>IF('KG1-6'!$T22="","",'KG1-6'!$T22)</f>
        <v/>
      </c>
      <c r="R168" s="146">
        <f>IF('KG1-6'!$H22="","",'KG1-6'!$H22)</f>
        <v/>
      </c>
      <c r="S168" s="157">
        <f>IF('KG1-6'!$P22="","",'KG1-6'!$P22)</f>
        <v/>
      </c>
      <c r="T168" s="157">
        <f>IF('KG1-6'!$V22="","",'KG1-6'!$V22)</f>
        <v/>
      </c>
      <c r="U168" s="157">
        <f>IF('KG1-6'!$W22="","",'KG1-6'!$W22)</f>
        <v/>
      </c>
      <c r="V168" s="157">
        <f>IF('KG1-6'!$X22="","",'KG1-6'!$X22)</f>
        <v/>
      </c>
      <c r="W168" s="157">
        <f>IF('KG1-6'!$Y22="","",'KG1-6'!$Y22)</f>
        <v/>
      </c>
      <c r="X168" s="157">
        <f>IF('KG1-6'!$R22="","",'KG1-6'!$R22)</f>
        <v/>
      </c>
      <c r="Y168" s="148">
        <f>IF('KG1-6'!$S22="","",'KG1-6'!$S22)</f>
        <v/>
      </c>
      <c r="Z168" s="148">
        <f>IF('KG1-6'!$Q22="","",'KG1-6'!$Q22)</f>
        <v/>
      </c>
      <c r="AA168" s="148">
        <f>IF('KG1-6'!$I22="","",'KG1-6'!$I22)</f>
        <v/>
      </c>
      <c r="AB168" s="146">
        <f>IF(Q168="","",INDEX(LevelActions,MATCH(Q168,LevelValues,0)))</f>
        <v/>
      </c>
      <c r="AC168" s="148">
        <f>IF(J168="","",IF(J168=0,"—",IF(AND(L168=0,M168=0),Cat_L1,IF(O168&gt;=Cat_95,Cat_L2,IF(O168&gt;=Cat_90,Cat_L3,Cat_L4)))))</f>
        <v/>
      </c>
      <c r="AD168" s="146">
        <f>IF('KG1-6'!$L22="","",'KG1-6'!$L22)</f>
        <v/>
      </c>
      <c r="AE168" s="148">
        <f>IF(B168="","",IF(COUNTIF($B$5:$B$214,B168)&gt;1,"مكرر!",""))</f>
        <v/>
      </c>
      <c r="AF168" s="148">
        <f>IF(AND(B168&lt;&gt;"",F168="نشط",OR(Dash_Class="الكل",D168=Dash_Class)),1,0)</f>
        <v/>
      </c>
      <c r="AG168" s="40">
        <f>IF(OR(AF168=0,Dash_DayIdx=0),"",IF(INDEX('KG1-6'!$AD$7:$IM$7,Dash_DayIdx)&lt;&gt;"✓","",IF(INDEX('KG1-6'!$AD22:$IM22,Dash_DayIdx)="","P",IFERROR(INDEX(StatusCodes,MATCH(INDEX('KG1-6'!$AD22:$IM22,Dash_DayIdx),StatusLabels,0)),""))))</f>
        <v/>
      </c>
      <c r="AH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IF(LateAsPresent="نعم",COUNTIFS('KG1-6'!$AD22:$IM22,"متأخر",'KG1-6'!$AD$7:$IM$7,"✓",'KG1-6'!$AD$6:$IM$6,1,'KG1-6'!$AD$5:$IM$5,"&gt;="&amp;MAX('KG1-6'!$U22,Dash_PStart),'KG1-6'!$AD$5:$IM$5,"&lt;="&amp;Dash_PEnd),0))</f>
        <v/>
      </c>
      <c r="AI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COUNTIFS('KG1-6'!$AD22:$IM22,"غياب بدون عذر",'KG1-6'!$AD$7:$IM$7,"✓",'KG1-6'!$AD$6:$IM$6,1,'KG1-6'!$AD$5:$IM$5,"&gt;="&amp;MAX('KG1-6'!$U22,Dash_PStart),'KG1-6'!$AD$5:$IM$5,"&lt;="&amp;Dash_PEnd)+COUNTIFS('KG1-6'!$AD22:$IM22,"غياب بعذر",'KG1-6'!$AD$7:$IM$7,"✓",'KG1-6'!$AD$6:$IM$6,1,'KG1-6'!$AD$5:$IM$5,"&gt;="&amp;MAX('KG1-6'!$U22,Dash_PStart),'KG1-6'!$AD$5:$IM$5,"&lt;="&amp;Dash_PEnd)+COUNTIFS('KG1-6'!$AD22:$IM22,"متأخر",'KG1-6'!$AD$7:$IM$7,"✓",'KG1-6'!$AD$6:$IM$6,1,'KG1-6'!$AD$5:$IM$5,"&gt;="&amp;MAX('KG1-6'!$U22,Dash_PStart),'KG1-6'!$AD$5:$IM$5,"&lt;="&amp;Dash_PEnd))</f>
        <v/>
      </c>
      <c r="AJ168" s="40">
        <f>IF(AF168=0,0,IF(W168=Dash_Date,Thr_Critical,IF(V168=Dash_Date,Thr_High,IF(U168=Dash_Date,Thr_Repeated,IF(T168=Dash_Date,Thr_FollowUp,0)))))</f>
        <v/>
      </c>
      <c r="AK168" s="40">
        <f>IF(AJ168&gt;0,COUNTIF($AJ$5:AJ168,"&gt;0"),"")</f>
        <v/>
      </c>
      <c r="AL168" s="40">
        <f>IF(AND(B168&lt;&gt;"",F168="نشط",Q168&lt;&gt;"",Q168&gt;0),L168*1000+(999-ROW()),"")</f>
        <v/>
      </c>
      <c r="AM168" s="40">
        <f>IF(AND(AF168=1,J168&lt;&gt;"",J168&gt;0),ROUND(O168*10000,0)*1000000+K168*1000+(999-ROW()),"")</f>
        <v/>
      </c>
      <c r="AN168" s="40">
        <f>IF(AND(AF168=1,J168&lt;&gt;"",J168&gt;0),(L168+M168)*10000000+ROUND((1-O168)*10000,0)*1000+(999-ROW()),"")</f>
        <v/>
      </c>
      <c r="AO168" s="40">
        <f>IF(AND(AF168=1,Q168&lt;&gt;"",Q168&gt;=Thr_Critical),L168*1000+(999-ROW()),"")</f>
        <v/>
      </c>
      <c r="AP168" s="40">
        <f>IF(AND(B168&lt;&gt;"",F168="نشط",OR(Rpt_Class="الكل",D168=Rpt_Class)),1,0)</f>
        <v/>
      </c>
      <c r="AQ168" s="40">
        <f>IF(AND(AP168=1,Q168&lt;&gt;"",Q168&gt;0),L168*1000+(999-ROW()),"")</f>
        <v/>
      </c>
      <c r="AR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IF(LateAsPresent="نعم",COUNTIFS('KG1-6'!$AD22:$IM22,"متأخر",'KG1-6'!$AD$7:$IM$7,"✓",'KG1-6'!$AD$6:$IM$6,1,'KG1-6'!$AD$5:$IM$5,"&gt;="&amp;MAX('KG1-6'!$U22,Rpt_PStart),'KG1-6'!$AD$5:$IM$5,"&lt;="&amp;Rpt_PEnd),0))</f>
        <v/>
      </c>
      <c r="AS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COUNTIFS('KG1-6'!$AD22:$IM22,"غياب بدون عذر",'KG1-6'!$AD$7:$IM$7,"✓",'KG1-6'!$AD$6:$IM$6,1,'KG1-6'!$AD$5:$IM$5,"&gt;="&amp;MAX('KG1-6'!$U22,Rpt_PStart),'KG1-6'!$AD$5:$IM$5,"&lt;="&amp;Rpt_PEnd)+COUNTIFS('KG1-6'!$AD22:$IM22,"غياب بعذر",'KG1-6'!$AD$7:$IM$7,"✓",'KG1-6'!$AD$6:$IM$6,1,'KG1-6'!$AD$5:$IM$5,"&gt;="&amp;MAX('KG1-6'!$U22,Rpt_PStart),'KG1-6'!$AD$5:$IM$5,"&lt;="&amp;Rpt_PEnd)+COUNTIFS('KG1-6'!$AD22:$IM22,"متأخر",'KG1-6'!$AD$7:$IM$7,"✓",'KG1-6'!$AD$6:$IM$6,1,'KG1-6'!$AD$5:$IM$5,"&gt;="&amp;MAX('KG1-6'!$U22,Rpt_PStart),'KG1-6'!$AD$5:$IM$5,"&lt;="&amp;Rpt_PEnd))</f>
        <v/>
      </c>
      <c r="AT168" s="40">
        <f>IF(AP168=0,"",COUNTIFS('KG1-6'!$AD22:$IM22,"غياب بدون عذر",'KG1-6'!$AD$7:$IM$7,"✓",'KG1-6'!$AD$6:$IM$6,1,'KG1-6'!$AD$5:$IM$5,"&gt;="&amp;MAX('KG1-6'!$U22,Rpt_PStart),'KG1-6'!$AD$5:$IM$5,"&lt;="&amp;Rpt_PEnd)+COUNTIFS('KG1-6'!$AD22:$IM22,"غياب بعذر",'KG1-6'!$AD$7:$IM$7,"✓",'KG1-6'!$AD$6:$IM$6,1,'KG1-6'!$AD$5:$IM$5,"&gt;="&amp;MAX('KG1-6'!$U22,Rpt_PStart),'KG1-6'!$AD$5:$IM$5,"&lt;="&amp;Rpt_PEnd))</f>
        <v/>
      </c>
      <c r="AU168" s="40" t="n">
        <v>6</v>
      </c>
      <c r="AV168" s="40" t="n">
        <v>14</v>
      </c>
      <c r="AW168" s="40">
        <f>IF(OR(AP168=0,Rpt_DayIdx=0),"",IF(INDEX('KG1-6'!$AD$7:$IM$7,Rpt_DayIdx)&lt;&gt;"✓","",IF(INDEX('KG1-6'!$AD22:$IM22,Rpt_DayIdx)="","P",IFERROR(INDEX(StatusCodes,MATCH(INDEX('KG1-6'!$AD22:$IM22,Rpt_DayIdx),StatusLabels,0)),""))))</f>
        <v/>
      </c>
      <c r="AX168" s="40">
        <f>IF(AND(AP168=1,OR(AW168="A",AW168="E")),COUNTIFS($AP$5:AP168,1,$AW$5:AW168,"A")+COUNTIFS($AP$5:AP168,1,$AW$5:AW168,"E"),"")</f>
        <v/>
      </c>
    </row>
    <row r="169">
      <c r="A169" s="148">
        <f>IF(B169="","",ROW()-4)</f>
        <v/>
      </c>
      <c r="B169" s="148">
        <f>IF('KG1-6'!$B23="","",'KG1-6'!$B23)</f>
        <v/>
      </c>
      <c r="C169" s="146">
        <f>IF('KG1-6'!$C23="","",'KG1-6'!$C23)</f>
        <v/>
      </c>
      <c r="D169" s="148">
        <f>IF(B169="","",'KG1-6'!$B$2)</f>
        <v/>
      </c>
      <c r="E169" s="148">
        <f>IF(B169="","",MID(D169,FIND("-",D169&amp;"-")+1,10))</f>
        <v/>
      </c>
      <c r="F169" s="148">
        <f>IF(B169="","","نشط")</f>
        <v/>
      </c>
      <c r="G169" s="157">
        <f>IF(B169="","","")</f>
        <v/>
      </c>
      <c r="H169" s="146">
        <f>IF('KG1-6'!$K23="","",'KG1-6'!$K23)</f>
        <v/>
      </c>
      <c r="I169" s="148">
        <f>IF('KG1-6'!$J23="","",'KG1-6'!$J23)</f>
        <v/>
      </c>
      <c r="J169" s="148">
        <f>IF('KG1-6'!$M23="","",'KG1-6'!$M23)</f>
        <v/>
      </c>
      <c r="K169" s="148">
        <f>IF('KG1-6'!$N23="","",'KG1-6'!$N23)</f>
        <v/>
      </c>
      <c r="L169" s="148">
        <f>IF('KG1-6'!$D23="","",'KG1-6'!$D23)</f>
        <v/>
      </c>
      <c r="M169" s="148">
        <f>IF('KG1-6'!$E23="","",'KG1-6'!$E23)</f>
        <v/>
      </c>
      <c r="N169" s="148">
        <f>IF('KG1-6'!$F23="","",'KG1-6'!$F23)</f>
        <v/>
      </c>
      <c r="O169" s="158">
        <f>IF('KG1-6'!$G23="","",'KG1-6'!$G23)</f>
        <v/>
      </c>
      <c r="P169" s="158">
        <f>IF('KG1-6'!$O23="","",'KG1-6'!$O23)</f>
        <v/>
      </c>
      <c r="Q169" s="148">
        <f>IF('KG1-6'!$T23="","",'KG1-6'!$T23)</f>
        <v/>
      </c>
      <c r="R169" s="146">
        <f>IF('KG1-6'!$H23="","",'KG1-6'!$H23)</f>
        <v/>
      </c>
      <c r="S169" s="157">
        <f>IF('KG1-6'!$P23="","",'KG1-6'!$P23)</f>
        <v/>
      </c>
      <c r="T169" s="157">
        <f>IF('KG1-6'!$V23="","",'KG1-6'!$V23)</f>
        <v/>
      </c>
      <c r="U169" s="157">
        <f>IF('KG1-6'!$W23="","",'KG1-6'!$W23)</f>
        <v/>
      </c>
      <c r="V169" s="157">
        <f>IF('KG1-6'!$X23="","",'KG1-6'!$X23)</f>
        <v/>
      </c>
      <c r="W169" s="157">
        <f>IF('KG1-6'!$Y23="","",'KG1-6'!$Y23)</f>
        <v/>
      </c>
      <c r="X169" s="157">
        <f>IF('KG1-6'!$R23="","",'KG1-6'!$R23)</f>
        <v/>
      </c>
      <c r="Y169" s="148">
        <f>IF('KG1-6'!$S23="","",'KG1-6'!$S23)</f>
        <v/>
      </c>
      <c r="Z169" s="148">
        <f>IF('KG1-6'!$Q23="","",'KG1-6'!$Q23)</f>
        <v/>
      </c>
      <c r="AA169" s="148">
        <f>IF('KG1-6'!$I23="","",'KG1-6'!$I23)</f>
        <v/>
      </c>
      <c r="AB169" s="146">
        <f>IF(Q169="","",INDEX(LevelActions,MATCH(Q169,LevelValues,0)))</f>
        <v/>
      </c>
      <c r="AC169" s="148">
        <f>IF(J169="","",IF(J169=0,"—",IF(AND(L169=0,M169=0),Cat_L1,IF(O169&gt;=Cat_95,Cat_L2,IF(O169&gt;=Cat_90,Cat_L3,Cat_L4)))))</f>
        <v/>
      </c>
      <c r="AD169" s="146">
        <f>IF('KG1-6'!$L23="","",'KG1-6'!$L23)</f>
        <v/>
      </c>
      <c r="AE169" s="148">
        <f>IF(B169="","",IF(COUNTIF($B$5:$B$214,B169)&gt;1,"مكرر!",""))</f>
        <v/>
      </c>
      <c r="AF169" s="148">
        <f>IF(AND(B169&lt;&gt;"",F169="نشط",OR(Dash_Class="الكل",D169=Dash_Class)),1,0)</f>
        <v/>
      </c>
      <c r="AG169" s="40">
        <f>IF(OR(AF169=0,Dash_DayIdx=0),"",IF(INDEX('KG1-6'!$AD$7:$IM$7,Dash_DayIdx)&lt;&gt;"✓","",IF(INDEX('KG1-6'!$AD23:$IM23,Dash_DayIdx)="","P",IFERROR(INDEX(StatusCodes,MATCH(INDEX('KG1-6'!$AD23:$IM23,Dash_DayIdx),StatusLabels,0)),""))))</f>
        <v/>
      </c>
      <c r="AH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IF(LateAsPresent="نعم",COUNTIFS('KG1-6'!$AD23:$IM23,"متأخر",'KG1-6'!$AD$7:$IM$7,"✓",'KG1-6'!$AD$6:$IM$6,1,'KG1-6'!$AD$5:$IM$5,"&gt;="&amp;MAX('KG1-6'!$U23,Dash_PStart),'KG1-6'!$AD$5:$IM$5,"&lt;="&amp;Dash_PEnd),0))</f>
        <v/>
      </c>
      <c r="AI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COUNTIFS('KG1-6'!$AD23:$IM23,"غياب بدون عذر",'KG1-6'!$AD$7:$IM$7,"✓",'KG1-6'!$AD$6:$IM$6,1,'KG1-6'!$AD$5:$IM$5,"&gt;="&amp;MAX('KG1-6'!$U23,Dash_PStart),'KG1-6'!$AD$5:$IM$5,"&lt;="&amp;Dash_PEnd)+COUNTIFS('KG1-6'!$AD23:$IM23,"غياب بعذر",'KG1-6'!$AD$7:$IM$7,"✓",'KG1-6'!$AD$6:$IM$6,1,'KG1-6'!$AD$5:$IM$5,"&gt;="&amp;MAX('KG1-6'!$U23,Dash_PStart),'KG1-6'!$AD$5:$IM$5,"&lt;="&amp;Dash_PEnd)+COUNTIFS('KG1-6'!$AD23:$IM23,"متأخر",'KG1-6'!$AD$7:$IM$7,"✓",'KG1-6'!$AD$6:$IM$6,1,'KG1-6'!$AD$5:$IM$5,"&gt;="&amp;MAX('KG1-6'!$U23,Dash_PStart),'KG1-6'!$AD$5:$IM$5,"&lt;="&amp;Dash_PEnd))</f>
        <v/>
      </c>
      <c r="AJ169" s="40">
        <f>IF(AF169=0,0,IF(W169=Dash_Date,Thr_Critical,IF(V169=Dash_Date,Thr_High,IF(U169=Dash_Date,Thr_Repeated,IF(T169=Dash_Date,Thr_FollowUp,0)))))</f>
        <v/>
      </c>
      <c r="AK169" s="40">
        <f>IF(AJ169&gt;0,COUNTIF($AJ$5:AJ169,"&gt;0"),"")</f>
        <v/>
      </c>
      <c r="AL169" s="40">
        <f>IF(AND(B169&lt;&gt;"",F169="نشط",Q169&lt;&gt;"",Q169&gt;0),L169*1000+(999-ROW()),"")</f>
        <v/>
      </c>
      <c r="AM169" s="40">
        <f>IF(AND(AF169=1,J169&lt;&gt;"",J169&gt;0),ROUND(O169*10000,0)*1000000+K169*1000+(999-ROW()),"")</f>
        <v/>
      </c>
      <c r="AN169" s="40">
        <f>IF(AND(AF169=1,J169&lt;&gt;"",J169&gt;0),(L169+M169)*10000000+ROUND((1-O169)*10000,0)*1000+(999-ROW()),"")</f>
        <v/>
      </c>
      <c r="AO169" s="40">
        <f>IF(AND(AF169=1,Q169&lt;&gt;"",Q169&gt;=Thr_Critical),L169*1000+(999-ROW()),"")</f>
        <v/>
      </c>
      <c r="AP169" s="40">
        <f>IF(AND(B169&lt;&gt;"",F169="نشط",OR(Rpt_Class="الكل",D169=Rpt_Class)),1,0)</f>
        <v/>
      </c>
      <c r="AQ169" s="40">
        <f>IF(AND(AP169=1,Q169&lt;&gt;"",Q169&gt;0),L169*1000+(999-ROW()),"")</f>
        <v/>
      </c>
      <c r="AR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IF(LateAsPresent="نعم",COUNTIFS('KG1-6'!$AD23:$IM23,"متأخر",'KG1-6'!$AD$7:$IM$7,"✓",'KG1-6'!$AD$6:$IM$6,1,'KG1-6'!$AD$5:$IM$5,"&gt;="&amp;MAX('KG1-6'!$U23,Rpt_PStart),'KG1-6'!$AD$5:$IM$5,"&lt;="&amp;Rpt_PEnd),0))</f>
        <v/>
      </c>
      <c r="AS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COUNTIFS('KG1-6'!$AD23:$IM23,"غياب بدون عذر",'KG1-6'!$AD$7:$IM$7,"✓",'KG1-6'!$AD$6:$IM$6,1,'KG1-6'!$AD$5:$IM$5,"&gt;="&amp;MAX('KG1-6'!$U23,Rpt_PStart),'KG1-6'!$AD$5:$IM$5,"&lt;="&amp;Rpt_PEnd)+COUNTIFS('KG1-6'!$AD23:$IM23,"غياب بعذر",'KG1-6'!$AD$7:$IM$7,"✓",'KG1-6'!$AD$6:$IM$6,1,'KG1-6'!$AD$5:$IM$5,"&gt;="&amp;MAX('KG1-6'!$U23,Rpt_PStart),'KG1-6'!$AD$5:$IM$5,"&lt;="&amp;Rpt_PEnd)+COUNTIFS('KG1-6'!$AD23:$IM23,"متأخر",'KG1-6'!$AD$7:$IM$7,"✓",'KG1-6'!$AD$6:$IM$6,1,'KG1-6'!$AD$5:$IM$5,"&gt;="&amp;MAX('KG1-6'!$U23,Rpt_PStart),'KG1-6'!$AD$5:$IM$5,"&lt;="&amp;Rpt_PEnd))</f>
        <v/>
      </c>
      <c r="AT169" s="40">
        <f>IF(AP169=0,"",COUNTIFS('KG1-6'!$AD23:$IM23,"غياب بدون عذر",'KG1-6'!$AD$7:$IM$7,"✓",'KG1-6'!$AD$6:$IM$6,1,'KG1-6'!$AD$5:$IM$5,"&gt;="&amp;MAX('KG1-6'!$U23,Rpt_PStart),'KG1-6'!$AD$5:$IM$5,"&lt;="&amp;Rpt_PEnd)+COUNTIFS('KG1-6'!$AD23:$IM23,"غياب بعذر",'KG1-6'!$AD$7:$IM$7,"✓",'KG1-6'!$AD$6:$IM$6,1,'KG1-6'!$AD$5:$IM$5,"&gt;="&amp;MAX('KG1-6'!$U23,Rpt_PStart),'KG1-6'!$AD$5:$IM$5,"&lt;="&amp;Rpt_PEnd))</f>
        <v/>
      </c>
      <c r="AU169" s="40" t="n">
        <v>6</v>
      </c>
      <c r="AV169" s="40" t="n">
        <v>15</v>
      </c>
      <c r="AW169" s="40">
        <f>IF(OR(AP169=0,Rpt_DayIdx=0),"",IF(INDEX('KG1-6'!$AD$7:$IM$7,Rpt_DayIdx)&lt;&gt;"✓","",IF(INDEX('KG1-6'!$AD23:$IM23,Rpt_DayIdx)="","P",IFERROR(INDEX(StatusCodes,MATCH(INDEX('KG1-6'!$AD23:$IM23,Rpt_DayIdx),StatusLabels,0)),""))))</f>
        <v/>
      </c>
      <c r="AX169" s="40">
        <f>IF(AND(AP169=1,OR(AW169="A",AW169="E")),COUNTIFS($AP$5:AP169,1,$AW$5:AW169,"A")+COUNTIFS($AP$5:AP169,1,$AW$5:AW169,"E"),"")</f>
        <v/>
      </c>
    </row>
    <row r="170">
      <c r="A170" s="148">
        <f>IF(B170="","",ROW()-4)</f>
        <v/>
      </c>
      <c r="B170" s="148">
        <f>IF('KG1-6'!$B24="","",'KG1-6'!$B24)</f>
        <v/>
      </c>
      <c r="C170" s="146">
        <f>IF('KG1-6'!$C24="","",'KG1-6'!$C24)</f>
        <v/>
      </c>
      <c r="D170" s="148">
        <f>IF(B170="","",'KG1-6'!$B$2)</f>
        <v/>
      </c>
      <c r="E170" s="148">
        <f>IF(B170="","",MID(D170,FIND("-",D170&amp;"-")+1,10))</f>
        <v/>
      </c>
      <c r="F170" s="148">
        <f>IF(B170="","","نشط")</f>
        <v/>
      </c>
      <c r="G170" s="157">
        <f>IF(B170="","","")</f>
        <v/>
      </c>
      <c r="H170" s="146">
        <f>IF('KG1-6'!$K24="","",'KG1-6'!$K24)</f>
        <v/>
      </c>
      <c r="I170" s="148">
        <f>IF('KG1-6'!$J24="","",'KG1-6'!$J24)</f>
        <v/>
      </c>
      <c r="J170" s="148">
        <f>IF('KG1-6'!$M24="","",'KG1-6'!$M24)</f>
        <v/>
      </c>
      <c r="K170" s="148">
        <f>IF('KG1-6'!$N24="","",'KG1-6'!$N24)</f>
        <v/>
      </c>
      <c r="L170" s="148">
        <f>IF('KG1-6'!$D24="","",'KG1-6'!$D24)</f>
        <v/>
      </c>
      <c r="M170" s="148">
        <f>IF('KG1-6'!$E24="","",'KG1-6'!$E24)</f>
        <v/>
      </c>
      <c r="N170" s="148">
        <f>IF('KG1-6'!$F24="","",'KG1-6'!$F24)</f>
        <v/>
      </c>
      <c r="O170" s="158">
        <f>IF('KG1-6'!$G24="","",'KG1-6'!$G24)</f>
        <v/>
      </c>
      <c r="P170" s="158">
        <f>IF('KG1-6'!$O24="","",'KG1-6'!$O24)</f>
        <v/>
      </c>
      <c r="Q170" s="148">
        <f>IF('KG1-6'!$T24="","",'KG1-6'!$T24)</f>
        <v/>
      </c>
      <c r="R170" s="146">
        <f>IF('KG1-6'!$H24="","",'KG1-6'!$H24)</f>
        <v/>
      </c>
      <c r="S170" s="157">
        <f>IF('KG1-6'!$P24="","",'KG1-6'!$P24)</f>
        <v/>
      </c>
      <c r="T170" s="157">
        <f>IF('KG1-6'!$V24="","",'KG1-6'!$V24)</f>
        <v/>
      </c>
      <c r="U170" s="157">
        <f>IF('KG1-6'!$W24="","",'KG1-6'!$W24)</f>
        <v/>
      </c>
      <c r="V170" s="157">
        <f>IF('KG1-6'!$X24="","",'KG1-6'!$X24)</f>
        <v/>
      </c>
      <c r="W170" s="157">
        <f>IF('KG1-6'!$Y24="","",'KG1-6'!$Y24)</f>
        <v/>
      </c>
      <c r="X170" s="157">
        <f>IF('KG1-6'!$R24="","",'KG1-6'!$R24)</f>
        <v/>
      </c>
      <c r="Y170" s="148">
        <f>IF('KG1-6'!$S24="","",'KG1-6'!$S24)</f>
        <v/>
      </c>
      <c r="Z170" s="148">
        <f>IF('KG1-6'!$Q24="","",'KG1-6'!$Q24)</f>
        <v/>
      </c>
      <c r="AA170" s="148">
        <f>IF('KG1-6'!$I24="","",'KG1-6'!$I24)</f>
        <v/>
      </c>
      <c r="AB170" s="146">
        <f>IF(Q170="","",INDEX(LevelActions,MATCH(Q170,LevelValues,0)))</f>
        <v/>
      </c>
      <c r="AC170" s="148">
        <f>IF(J170="","",IF(J170=0,"—",IF(AND(L170=0,M170=0),Cat_L1,IF(O170&gt;=Cat_95,Cat_L2,IF(O170&gt;=Cat_90,Cat_L3,Cat_L4)))))</f>
        <v/>
      </c>
      <c r="AD170" s="146">
        <f>IF('KG1-6'!$L24="","",'KG1-6'!$L24)</f>
        <v/>
      </c>
      <c r="AE170" s="148">
        <f>IF(B170="","",IF(COUNTIF($B$5:$B$214,B170)&gt;1,"مكرر!",""))</f>
        <v/>
      </c>
      <c r="AF170" s="148">
        <f>IF(AND(B170&lt;&gt;"",F170="نشط",OR(Dash_Class="الكل",D170=Dash_Class)),1,0)</f>
        <v/>
      </c>
      <c r="AG170" s="40">
        <f>IF(OR(AF170=0,Dash_DayIdx=0),"",IF(INDEX('KG1-6'!$AD$7:$IM$7,Dash_DayIdx)&lt;&gt;"✓","",IF(INDEX('KG1-6'!$AD24:$IM24,Dash_DayIdx)="","P",IFERROR(INDEX(StatusCodes,MATCH(INDEX('KG1-6'!$AD24:$IM24,Dash_DayIdx),StatusLabels,0)),""))))</f>
        <v/>
      </c>
      <c r="AH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IF(LateAsPresent="نعم",COUNTIFS('KG1-6'!$AD24:$IM24,"متأخر",'KG1-6'!$AD$7:$IM$7,"✓",'KG1-6'!$AD$6:$IM$6,1,'KG1-6'!$AD$5:$IM$5,"&gt;="&amp;MAX('KG1-6'!$U24,Dash_PStart),'KG1-6'!$AD$5:$IM$5,"&lt;="&amp;Dash_PEnd),0))</f>
        <v/>
      </c>
      <c r="AI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COUNTIFS('KG1-6'!$AD24:$IM24,"غياب بدون عذر",'KG1-6'!$AD$7:$IM$7,"✓",'KG1-6'!$AD$6:$IM$6,1,'KG1-6'!$AD$5:$IM$5,"&gt;="&amp;MAX('KG1-6'!$U24,Dash_PStart),'KG1-6'!$AD$5:$IM$5,"&lt;="&amp;Dash_PEnd)+COUNTIFS('KG1-6'!$AD24:$IM24,"غياب بعذر",'KG1-6'!$AD$7:$IM$7,"✓",'KG1-6'!$AD$6:$IM$6,1,'KG1-6'!$AD$5:$IM$5,"&gt;="&amp;MAX('KG1-6'!$U24,Dash_PStart),'KG1-6'!$AD$5:$IM$5,"&lt;="&amp;Dash_PEnd)+COUNTIFS('KG1-6'!$AD24:$IM24,"متأخر",'KG1-6'!$AD$7:$IM$7,"✓",'KG1-6'!$AD$6:$IM$6,1,'KG1-6'!$AD$5:$IM$5,"&gt;="&amp;MAX('KG1-6'!$U24,Dash_PStart),'KG1-6'!$AD$5:$IM$5,"&lt;="&amp;Dash_PEnd))</f>
        <v/>
      </c>
      <c r="AJ170" s="40">
        <f>IF(AF170=0,0,IF(W170=Dash_Date,Thr_Critical,IF(V170=Dash_Date,Thr_High,IF(U170=Dash_Date,Thr_Repeated,IF(T170=Dash_Date,Thr_FollowUp,0)))))</f>
        <v/>
      </c>
      <c r="AK170" s="40">
        <f>IF(AJ170&gt;0,COUNTIF($AJ$5:AJ170,"&gt;0"),"")</f>
        <v/>
      </c>
      <c r="AL170" s="40">
        <f>IF(AND(B170&lt;&gt;"",F170="نشط",Q170&lt;&gt;"",Q170&gt;0),L170*1000+(999-ROW()),"")</f>
        <v/>
      </c>
      <c r="AM170" s="40">
        <f>IF(AND(AF170=1,J170&lt;&gt;"",J170&gt;0),ROUND(O170*10000,0)*1000000+K170*1000+(999-ROW()),"")</f>
        <v/>
      </c>
      <c r="AN170" s="40">
        <f>IF(AND(AF170=1,J170&lt;&gt;"",J170&gt;0),(L170+M170)*10000000+ROUND((1-O170)*10000,0)*1000+(999-ROW()),"")</f>
        <v/>
      </c>
      <c r="AO170" s="40">
        <f>IF(AND(AF170=1,Q170&lt;&gt;"",Q170&gt;=Thr_Critical),L170*1000+(999-ROW()),"")</f>
        <v/>
      </c>
      <c r="AP170" s="40">
        <f>IF(AND(B170&lt;&gt;"",F170="نشط",OR(Rpt_Class="الكل",D170=Rpt_Class)),1,0)</f>
        <v/>
      </c>
      <c r="AQ170" s="40">
        <f>IF(AND(AP170=1,Q170&lt;&gt;"",Q170&gt;0),L170*1000+(999-ROW()),"")</f>
        <v/>
      </c>
      <c r="AR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IF(LateAsPresent="نعم",COUNTIFS('KG1-6'!$AD24:$IM24,"متأخر",'KG1-6'!$AD$7:$IM$7,"✓",'KG1-6'!$AD$6:$IM$6,1,'KG1-6'!$AD$5:$IM$5,"&gt;="&amp;MAX('KG1-6'!$U24,Rpt_PStart),'KG1-6'!$AD$5:$IM$5,"&lt;="&amp;Rpt_PEnd),0))</f>
        <v/>
      </c>
      <c r="AS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COUNTIFS('KG1-6'!$AD24:$IM24,"غياب بدون عذر",'KG1-6'!$AD$7:$IM$7,"✓",'KG1-6'!$AD$6:$IM$6,1,'KG1-6'!$AD$5:$IM$5,"&gt;="&amp;MAX('KG1-6'!$U24,Rpt_PStart),'KG1-6'!$AD$5:$IM$5,"&lt;="&amp;Rpt_PEnd)+COUNTIFS('KG1-6'!$AD24:$IM24,"غياب بعذر",'KG1-6'!$AD$7:$IM$7,"✓",'KG1-6'!$AD$6:$IM$6,1,'KG1-6'!$AD$5:$IM$5,"&gt;="&amp;MAX('KG1-6'!$U24,Rpt_PStart),'KG1-6'!$AD$5:$IM$5,"&lt;="&amp;Rpt_PEnd)+COUNTIFS('KG1-6'!$AD24:$IM24,"متأخر",'KG1-6'!$AD$7:$IM$7,"✓",'KG1-6'!$AD$6:$IM$6,1,'KG1-6'!$AD$5:$IM$5,"&gt;="&amp;MAX('KG1-6'!$U24,Rpt_PStart),'KG1-6'!$AD$5:$IM$5,"&lt;="&amp;Rpt_PEnd))</f>
        <v/>
      </c>
      <c r="AT170" s="40">
        <f>IF(AP170=0,"",COUNTIFS('KG1-6'!$AD24:$IM24,"غياب بدون عذر",'KG1-6'!$AD$7:$IM$7,"✓",'KG1-6'!$AD$6:$IM$6,1,'KG1-6'!$AD$5:$IM$5,"&gt;="&amp;MAX('KG1-6'!$U24,Rpt_PStart),'KG1-6'!$AD$5:$IM$5,"&lt;="&amp;Rpt_PEnd)+COUNTIFS('KG1-6'!$AD24:$IM24,"غياب بعذر",'KG1-6'!$AD$7:$IM$7,"✓",'KG1-6'!$AD$6:$IM$6,1,'KG1-6'!$AD$5:$IM$5,"&gt;="&amp;MAX('KG1-6'!$U24,Rpt_PStart),'KG1-6'!$AD$5:$IM$5,"&lt;="&amp;Rpt_PEnd))</f>
        <v/>
      </c>
      <c r="AU170" s="40" t="n">
        <v>6</v>
      </c>
      <c r="AV170" s="40" t="n">
        <v>16</v>
      </c>
      <c r="AW170" s="40">
        <f>IF(OR(AP170=0,Rpt_DayIdx=0),"",IF(INDEX('KG1-6'!$AD$7:$IM$7,Rpt_DayIdx)&lt;&gt;"✓","",IF(INDEX('KG1-6'!$AD24:$IM24,Rpt_DayIdx)="","P",IFERROR(INDEX(StatusCodes,MATCH(INDEX('KG1-6'!$AD24:$IM24,Rpt_DayIdx),StatusLabels,0)),""))))</f>
        <v/>
      </c>
      <c r="AX170" s="40">
        <f>IF(AND(AP170=1,OR(AW170="A",AW170="E")),COUNTIFS($AP$5:AP170,1,$AW$5:AW170,"A")+COUNTIFS($AP$5:AP170,1,$AW$5:AW170,"E"),"")</f>
        <v/>
      </c>
    </row>
    <row r="171">
      <c r="A171" s="148">
        <f>IF(B171="","",ROW()-4)</f>
        <v/>
      </c>
      <c r="B171" s="148">
        <f>IF('KG1-6'!$B25="","",'KG1-6'!$B25)</f>
        <v/>
      </c>
      <c r="C171" s="146">
        <f>IF('KG1-6'!$C25="","",'KG1-6'!$C25)</f>
        <v/>
      </c>
      <c r="D171" s="148">
        <f>IF(B171="","",'KG1-6'!$B$2)</f>
        <v/>
      </c>
      <c r="E171" s="148">
        <f>IF(B171="","",MID(D171,FIND("-",D171&amp;"-")+1,10))</f>
        <v/>
      </c>
      <c r="F171" s="148">
        <f>IF(B171="","","نشط")</f>
        <v/>
      </c>
      <c r="G171" s="157">
        <f>IF(B171="","","")</f>
        <v/>
      </c>
      <c r="H171" s="146">
        <f>IF('KG1-6'!$K25="","",'KG1-6'!$K25)</f>
        <v/>
      </c>
      <c r="I171" s="148">
        <f>IF('KG1-6'!$J25="","",'KG1-6'!$J25)</f>
        <v/>
      </c>
      <c r="J171" s="148">
        <f>IF('KG1-6'!$M25="","",'KG1-6'!$M25)</f>
        <v/>
      </c>
      <c r="K171" s="148">
        <f>IF('KG1-6'!$N25="","",'KG1-6'!$N25)</f>
        <v/>
      </c>
      <c r="L171" s="148">
        <f>IF('KG1-6'!$D25="","",'KG1-6'!$D25)</f>
        <v/>
      </c>
      <c r="M171" s="148">
        <f>IF('KG1-6'!$E25="","",'KG1-6'!$E25)</f>
        <v/>
      </c>
      <c r="N171" s="148">
        <f>IF('KG1-6'!$F25="","",'KG1-6'!$F25)</f>
        <v/>
      </c>
      <c r="O171" s="158">
        <f>IF('KG1-6'!$G25="","",'KG1-6'!$G25)</f>
        <v/>
      </c>
      <c r="P171" s="158">
        <f>IF('KG1-6'!$O25="","",'KG1-6'!$O25)</f>
        <v/>
      </c>
      <c r="Q171" s="148">
        <f>IF('KG1-6'!$T25="","",'KG1-6'!$T25)</f>
        <v/>
      </c>
      <c r="R171" s="146">
        <f>IF('KG1-6'!$H25="","",'KG1-6'!$H25)</f>
        <v/>
      </c>
      <c r="S171" s="157">
        <f>IF('KG1-6'!$P25="","",'KG1-6'!$P25)</f>
        <v/>
      </c>
      <c r="T171" s="157">
        <f>IF('KG1-6'!$V25="","",'KG1-6'!$V25)</f>
        <v/>
      </c>
      <c r="U171" s="157">
        <f>IF('KG1-6'!$W25="","",'KG1-6'!$W25)</f>
        <v/>
      </c>
      <c r="V171" s="157">
        <f>IF('KG1-6'!$X25="","",'KG1-6'!$X25)</f>
        <v/>
      </c>
      <c r="W171" s="157">
        <f>IF('KG1-6'!$Y25="","",'KG1-6'!$Y25)</f>
        <v/>
      </c>
      <c r="X171" s="157">
        <f>IF('KG1-6'!$R25="","",'KG1-6'!$R25)</f>
        <v/>
      </c>
      <c r="Y171" s="148">
        <f>IF('KG1-6'!$S25="","",'KG1-6'!$S25)</f>
        <v/>
      </c>
      <c r="Z171" s="148">
        <f>IF('KG1-6'!$Q25="","",'KG1-6'!$Q25)</f>
        <v/>
      </c>
      <c r="AA171" s="148">
        <f>IF('KG1-6'!$I25="","",'KG1-6'!$I25)</f>
        <v/>
      </c>
      <c r="AB171" s="146">
        <f>IF(Q171="","",INDEX(LevelActions,MATCH(Q171,LevelValues,0)))</f>
        <v/>
      </c>
      <c r="AC171" s="148">
        <f>IF(J171="","",IF(J171=0,"—",IF(AND(L171=0,M171=0),Cat_L1,IF(O171&gt;=Cat_95,Cat_L2,IF(O171&gt;=Cat_90,Cat_L3,Cat_L4)))))</f>
        <v/>
      </c>
      <c r="AD171" s="146">
        <f>IF('KG1-6'!$L25="","",'KG1-6'!$L25)</f>
        <v/>
      </c>
      <c r="AE171" s="148">
        <f>IF(B171="","",IF(COUNTIF($B$5:$B$214,B171)&gt;1,"مكرر!",""))</f>
        <v/>
      </c>
      <c r="AF171" s="148">
        <f>IF(AND(B171&lt;&gt;"",F171="نشط",OR(Dash_Class="الكل",D171=Dash_Class)),1,0)</f>
        <v/>
      </c>
      <c r="AG171" s="40">
        <f>IF(OR(AF171=0,Dash_DayIdx=0),"",IF(INDEX('KG1-6'!$AD$7:$IM$7,Dash_DayIdx)&lt;&gt;"✓","",IF(INDEX('KG1-6'!$AD25:$IM25,Dash_DayIdx)="","P",IFERROR(INDEX(StatusCodes,MATCH(INDEX('KG1-6'!$AD25:$IM25,Dash_DayIdx),StatusLabels,0)),""))))</f>
        <v/>
      </c>
      <c r="AH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IF(LateAsPresent="نعم",COUNTIFS('KG1-6'!$AD25:$IM25,"متأخر",'KG1-6'!$AD$7:$IM$7,"✓",'KG1-6'!$AD$6:$IM$6,1,'KG1-6'!$AD$5:$IM$5,"&gt;="&amp;MAX('KG1-6'!$U25,Dash_PStart),'KG1-6'!$AD$5:$IM$5,"&lt;="&amp;Dash_PEnd),0))</f>
        <v/>
      </c>
      <c r="AI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COUNTIFS('KG1-6'!$AD25:$IM25,"غياب بدون عذر",'KG1-6'!$AD$7:$IM$7,"✓",'KG1-6'!$AD$6:$IM$6,1,'KG1-6'!$AD$5:$IM$5,"&gt;="&amp;MAX('KG1-6'!$U25,Dash_PStart),'KG1-6'!$AD$5:$IM$5,"&lt;="&amp;Dash_PEnd)+COUNTIFS('KG1-6'!$AD25:$IM25,"غياب بعذر",'KG1-6'!$AD$7:$IM$7,"✓",'KG1-6'!$AD$6:$IM$6,1,'KG1-6'!$AD$5:$IM$5,"&gt;="&amp;MAX('KG1-6'!$U25,Dash_PStart),'KG1-6'!$AD$5:$IM$5,"&lt;="&amp;Dash_PEnd)+COUNTIFS('KG1-6'!$AD25:$IM25,"متأخر",'KG1-6'!$AD$7:$IM$7,"✓",'KG1-6'!$AD$6:$IM$6,1,'KG1-6'!$AD$5:$IM$5,"&gt;="&amp;MAX('KG1-6'!$U25,Dash_PStart),'KG1-6'!$AD$5:$IM$5,"&lt;="&amp;Dash_PEnd))</f>
        <v/>
      </c>
      <c r="AJ171" s="40">
        <f>IF(AF171=0,0,IF(W171=Dash_Date,Thr_Critical,IF(V171=Dash_Date,Thr_High,IF(U171=Dash_Date,Thr_Repeated,IF(T171=Dash_Date,Thr_FollowUp,0)))))</f>
        <v/>
      </c>
      <c r="AK171" s="40">
        <f>IF(AJ171&gt;0,COUNTIF($AJ$5:AJ171,"&gt;0"),"")</f>
        <v/>
      </c>
      <c r="AL171" s="40">
        <f>IF(AND(B171&lt;&gt;"",F171="نشط",Q171&lt;&gt;"",Q171&gt;0),L171*1000+(999-ROW()),"")</f>
        <v/>
      </c>
      <c r="AM171" s="40">
        <f>IF(AND(AF171=1,J171&lt;&gt;"",J171&gt;0),ROUND(O171*10000,0)*1000000+K171*1000+(999-ROW()),"")</f>
        <v/>
      </c>
      <c r="AN171" s="40">
        <f>IF(AND(AF171=1,J171&lt;&gt;"",J171&gt;0),(L171+M171)*10000000+ROUND((1-O171)*10000,0)*1000+(999-ROW()),"")</f>
        <v/>
      </c>
      <c r="AO171" s="40">
        <f>IF(AND(AF171=1,Q171&lt;&gt;"",Q171&gt;=Thr_Critical),L171*1000+(999-ROW()),"")</f>
        <v/>
      </c>
      <c r="AP171" s="40">
        <f>IF(AND(B171&lt;&gt;"",F171="نشط",OR(Rpt_Class="الكل",D171=Rpt_Class)),1,0)</f>
        <v/>
      </c>
      <c r="AQ171" s="40">
        <f>IF(AND(AP171=1,Q171&lt;&gt;"",Q171&gt;0),L171*1000+(999-ROW()),"")</f>
        <v/>
      </c>
      <c r="AR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IF(LateAsPresent="نعم",COUNTIFS('KG1-6'!$AD25:$IM25,"متأخر",'KG1-6'!$AD$7:$IM$7,"✓",'KG1-6'!$AD$6:$IM$6,1,'KG1-6'!$AD$5:$IM$5,"&gt;="&amp;MAX('KG1-6'!$U25,Rpt_PStart),'KG1-6'!$AD$5:$IM$5,"&lt;="&amp;Rpt_PEnd),0))</f>
        <v/>
      </c>
      <c r="AS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COUNTIFS('KG1-6'!$AD25:$IM25,"غياب بدون عذر",'KG1-6'!$AD$7:$IM$7,"✓",'KG1-6'!$AD$6:$IM$6,1,'KG1-6'!$AD$5:$IM$5,"&gt;="&amp;MAX('KG1-6'!$U25,Rpt_PStart),'KG1-6'!$AD$5:$IM$5,"&lt;="&amp;Rpt_PEnd)+COUNTIFS('KG1-6'!$AD25:$IM25,"غياب بعذر",'KG1-6'!$AD$7:$IM$7,"✓",'KG1-6'!$AD$6:$IM$6,1,'KG1-6'!$AD$5:$IM$5,"&gt;="&amp;MAX('KG1-6'!$U25,Rpt_PStart),'KG1-6'!$AD$5:$IM$5,"&lt;="&amp;Rpt_PEnd)+COUNTIFS('KG1-6'!$AD25:$IM25,"متأخر",'KG1-6'!$AD$7:$IM$7,"✓",'KG1-6'!$AD$6:$IM$6,1,'KG1-6'!$AD$5:$IM$5,"&gt;="&amp;MAX('KG1-6'!$U25,Rpt_PStart),'KG1-6'!$AD$5:$IM$5,"&lt;="&amp;Rpt_PEnd))</f>
        <v/>
      </c>
      <c r="AT171" s="40">
        <f>IF(AP171=0,"",COUNTIFS('KG1-6'!$AD25:$IM25,"غياب بدون عذر",'KG1-6'!$AD$7:$IM$7,"✓",'KG1-6'!$AD$6:$IM$6,1,'KG1-6'!$AD$5:$IM$5,"&gt;="&amp;MAX('KG1-6'!$U25,Rpt_PStart),'KG1-6'!$AD$5:$IM$5,"&lt;="&amp;Rpt_PEnd)+COUNTIFS('KG1-6'!$AD25:$IM25,"غياب بعذر",'KG1-6'!$AD$7:$IM$7,"✓",'KG1-6'!$AD$6:$IM$6,1,'KG1-6'!$AD$5:$IM$5,"&gt;="&amp;MAX('KG1-6'!$U25,Rpt_PStart),'KG1-6'!$AD$5:$IM$5,"&lt;="&amp;Rpt_PEnd))</f>
        <v/>
      </c>
      <c r="AU171" s="40" t="n">
        <v>6</v>
      </c>
      <c r="AV171" s="40" t="n">
        <v>17</v>
      </c>
      <c r="AW171" s="40">
        <f>IF(OR(AP171=0,Rpt_DayIdx=0),"",IF(INDEX('KG1-6'!$AD$7:$IM$7,Rpt_DayIdx)&lt;&gt;"✓","",IF(INDEX('KG1-6'!$AD25:$IM25,Rpt_DayIdx)="","P",IFERROR(INDEX(StatusCodes,MATCH(INDEX('KG1-6'!$AD25:$IM25,Rpt_DayIdx),StatusLabels,0)),""))))</f>
        <v/>
      </c>
      <c r="AX171" s="40">
        <f>IF(AND(AP171=1,OR(AW171="A",AW171="E")),COUNTIFS($AP$5:AP171,1,$AW$5:AW171,"A")+COUNTIFS($AP$5:AP171,1,$AW$5:AW171,"E"),"")</f>
        <v/>
      </c>
    </row>
    <row r="172">
      <c r="A172" s="148">
        <f>IF(B172="","",ROW()-4)</f>
        <v/>
      </c>
      <c r="B172" s="148">
        <f>IF('KG1-6'!$B26="","",'KG1-6'!$B26)</f>
        <v/>
      </c>
      <c r="C172" s="146">
        <f>IF('KG1-6'!$C26="","",'KG1-6'!$C26)</f>
        <v/>
      </c>
      <c r="D172" s="148">
        <f>IF(B172="","",'KG1-6'!$B$2)</f>
        <v/>
      </c>
      <c r="E172" s="148">
        <f>IF(B172="","",MID(D172,FIND("-",D172&amp;"-")+1,10))</f>
        <v/>
      </c>
      <c r="F172" s="148">
        <f>IF(B172="","","نشط")</f>
        <v/>
      </c>
      <c r="G172" s="157">
        <f>IF(B172="","","")</f>
        <v/>
      </c>
      <c r="H172" s="146">
        <f>IF('KG1-6'!$K26="","",'KG1-6'!$K26)</f>
        <v/>
      </c>
      <c r="I172" s="148">
        <f>IF('KG1-6'!$J26="","",'KG1-6'!$J26)</f>
        <v/>
      </c>
      <c r="J172" s="148">
        <f>IF('KG1-6'!$M26="","",'KG1-6'!$M26)</f>
        <v/>
      </c>
      <c r="K172" s="148">
        <f>IF('KG1-6'!$N26="","",'KG1-6'!$N26)</f>
        <v/>
      </c>
      <c r="L172" s="148">
        <f>IF('KG1-6'!$D26="","",'KG1-6'!$D26)</f>
        <v/>
      </c>
      <c r="M172" s="148">
        <f>IF('KG1-6'!$E26="","",'KG1-6'!$E26)</f>
        <v/>
      </c>
      <c r="N172" s="148">
        <f>IF('KG1-6'!$F26="","",'KG1-6'!$F26)</f>
        <v/>
      </c>
      <c r="O172" s="158">
        <f>IF('KG1-6'!$G26="","",'KG1-6'!$G26)</f>
        <v/>
      </c>
      <c r="P172" s="158">
        <f>IF('KG1-6'!$O26="","",'KG1-6'!$O26)</f>
        <v/>
      </c>
      <c r="Q172" s="148">
        <f>IF('KG1-6'!$T26="","",'KG1-6'!$T26)</f>
        <v/>
      </c>
      <c r="R172" s="146">
        <f>IF('KG1-6'!$H26="","",'KG1-6'!$H26)</f>
        <v/>
      </c>
      <c r="S172" s="157">
        <f>IF('KG1-6'!$P26="","",'KG1-6'!$P26)</f>
        <v/>
      </c>
      <c r="T172" s="157">
        <f>IF('KG1-6'!$V26="","",'KG1-6'!$V26)</f>
        <v/>
      </c>
      <c r="U172" s="157">
        <f>IF('KG1-6'!$W26="","",'KG1-6'!$W26)</f>
        <v/>
      </c>
      <c r="V172" s="157">
        <f>IF('KG1-6'!$X26="","",'KG1-6'!$X26)</f>
        <v/>
      </c>
      <c r="W172" s="157">
        <f>IF('KG1-6'!$Y26="","",'KG1-6'!$Y26)</f>
        <v/>
      </c>
      <c r="X172" s="157">
        <f>IF('KG1-6'!$R26="","",'KG1-6'!$R26)</f>
        <v/>
      </c>
      <c r="Y172" s="148">
        <f>IF('KG1-6'!$S26="","",'KG1-6'!$S26)</f>
        <v/>
      </c>
      <c r="Z172" s="148">
        <f>IF('KG1-6'!$Q26="","",'KG1-6'!$Q26)</f>
        <v/>
      </c>
      <c r="AA172" s="148">
        <f>IF('KG1-6'!$I26="","",'KG1-6'!$I26)</f>
        <v/>
      </c>
      <c r="AB172" s="146">
        <f>IF(Q172="","",INDEX(LevelActions,MATCH(Q172,LevelValues,0)))</f>
        <v/>
      </c>
      <c r="AC172" s="148">
        <f>IF(J172="","",IF(J172=0,"—",IF(AND(L172=0,M172=0),Cat_L1,IF(O172&gt;=Cat_95,Cat_L2,IF(O172&gt;=Cat_90,Cat_L3,Cat_L4)))))</f>
        <v/>
      </c>
      <c r="AD172" s="146">
        <f>IF('KG1-6'!$L26="","",'KG1-6'!$L26)</f>
        <v/>
      </c>
      <c r="AE172" s="148">
        <f>IF(B172="","",IF(COUNTIF($B$5:$B$214,B172)&gt;1,"مكرر!",""))</f>
        <v/>
      </c>
      <c r="AF172" s="148">
        <f>IF(AND(B172&lt;&gt;"",F172="نشط",OR(Dash_Class="الكل",D172=Dash_Class)),1,0)</f>
        <v/>
      </c>
      <c r="AG172" s="40">
        <f>IF(OR(AF172=0,Dash_DayIdx=0),"",IF(INDEX('KG1-6'!$AD$7:$IM$7,Dash_DayIdx)&lt;&gt;"✓","",IF(INDEX('KG1-6'!$AD26:$IM26,Dash_DayIdx)="","P",IFERROR(INDEX(StatusCodes,MATCH(INDEX('KG1-6'!$AD26:$IM26,Dash_DayIdx),StatusLabels,0)),""))))</f>
        <v/>
      </c>
      <c r="AH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IF(LateAsPresent="نعم",COUNTIFS('KG1-6'!$AD26:$IM26,"متأخر",'KG1-6'!$AD$7:$IM$7,"✓",'KG1-6'!$AD$6:$IM$6,1,'KG1-6'!$AD$5:$IM$5,"&gt;="&amp;MAX('KG1-6'!$U26,Dash_PStart),'KG1-6'!$AD$5:$IM$5,"&lt;="&amp;Dash_PEnd),0))</f>
        <v/>
      </c>
      <c r="AI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COUNTIFS('KG1-6'!$AD26:$IM26,"غياب بدون عذر",'KG1-6'!$AD$7:$IM$7,"✓",'KG1-6'!$AD$6:$IM$6,1,'KG1-6'!$AD$5:$IM$5,"&gt;="&amp;MAX('KG1-6'!$U26,Dash_PStart),'KG1-6'!$AD$5:$IM$5,"&lt;="&amp;Dash_PEnd)+COUNTIFS('KG1-6'!$AD26:$IM26,"غياب بعذر",'KG1-6'!$AD$7:$IM$7,"✓",'KG1-6'!$AD$6:$IM$6,1,'KG1-6'!$AD$5:$IM$5,"&gt;="&amp;MAX('KG1-6'!$U26,Dash_PStart),'KG1-6'!$AD$5:$IM$5,"&lt;="&amp;Dash_PEnd)+COUNTIFS('KG1-6'!$AD26:$IM26,"متأخر",'KG1-6'!$AD$7:$IM$7,"✓",'KG1-6'!$AD$6:$IM$6,1,'KG1-6'!$AD$5:$IM$5,"&gt;="&amp;MAX('KG1-6'!$U26,Dash_PStart),'KG1-6'!$AD$5:$IM$5,"&lt;="&amp;Dash_PEnd))</f>
        <v/>
      </c>
      <c r="AJ172" s="40">
        <f>IF(AF172=0,0,IF(W172=Dash_Date,Thr_Critical,IF(V172=Dash_Date,Thr_High,IF(U172=Dash_Date,Thr_Repeated,IF(T172=Dash_Date,Thr_FollowUp,0)))))</f>
        <v/>
      </c>
      <c r="AK172" s="40">
        <f>IF(AJ172&gt;0,COUNTIF($AJ$5:AJ172,"&gt;0"),"")</f>
        <v/>
      </c>
      <c r="AL172" s="40">
        <f>IF(AND(B172&lt;&gt;"",F172="نشط",Q172&lt;&gt;"",Q172&gt;0),L172*1000+(999-ROW()),"")</f>
        <v/>
      </c>
      <c r="AM172" s="40">
        <f>IF(AND(AF172=1,J172&lt;&gt;"",J172&gt;0),ROUND(O172*10000,0)*1000000+K172*1000+(999-ROW()),"")</f>
        <v/>
      </c>
      <c r="AN172" s="40">
        <f>IF(AND(AF172=1,J172&lt;&gt;"",J172&gt;0),(L172+M172)*10000000+ROUND((1-O172)*10000,0)*1000+(999-ROW()),"")</f>
        <v/>
      </c>
      <c r="AO172" s="40">
        <f>IF(AND(AF172=1,Q172&lt;&gt;"",Q172&gt;=Thr_Critical),L172*1000+(999-ROW()),"")</f>
        <v/>
      </c>
      <c r="AP172" s="40">
        <f>IF(AND(B172&lt;&gt;"",F172="نشط",OR(Rpt_Class="الكل",D172=Rpt_Class)),1,0)</f>
        <v/>
      </c>
      <c r="AQ172" s="40">
        <f>IF(AND(AP172=1,Q172&lt;&gt;"",Q172&gt;0),L172*1000+(999-ROW()),"")</f>
        <v/>
      </c>
      <c r="AR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IF(LateAsPresent="نعم",COUNTIFS('KG1-6'!$AD26:$IM26,"متأخر",'KG1-6'!$AD$7:$IM$7,"✓",'KG1-6'!$AD$6:$IM$6,1,'KG1-6'!$AD$5:$IM$5,"&gt;="&amp;MAX('KG1-6'!$U26,Rpt_PStart),'KG1-6'!$AD$5:$IM$5,"&lt;="&amp;Rpt_PEnd),0))</f>
        <v/>
      </c>
      <c r="AS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COUNTIFS('KG1-6'!$AD26:$IM26,"غياب بدون عذر",'KG1-6'!$AD$7:$IM$7,"✓",'KG1-6'!$AD$6:$IM$6,1,'KG1-6'!$AD$5:$IM$5,"&gt;="&amp;MAX('KG1-6'!$U26,Rpt_PStart),'KG1-6'!$AD$5:$IM$5,"&lt;="&amp;Rpt_PEnd)+COUNTIFS('KG1-6'!$AD26:$IM26,"غياب بعذر",'KG1-6'!$AD$7:$IM$7,"✓",'KG1-6'!$AD$6:$IM$6,1,'KG1-6'!$AD$5:$IM$5,"&gt;="&amp;MAX('KG1-6'!$U26,Rpt_PStart),'KG1-6'!$AD$5:$IM$5,"&lt;="&amp;Rpt_PEnd)+COUNTIFS('KG1-6'!$AD26:$IM26,"متأخر",'KG1-6'!$AD$7:$IM$7,"✓",'KG1-6'!$AD$6:$IM$6,1,'KG1-6'!$AD$5:$IM$5,"&gt;="&amp;MAX('KG1-6'!$U26,Rpt_PStart),'KG1-6'!$AD$5:$IM$5,"&lt;="&amp;Rpt_PEnd))</f>
        <v/>
      </c>
      <c r="AT172" s="40">
        <f>IF(AP172=0,"",COUNTIFS('KG1-6'!$AD26:$IM26,"غياب بدون عذر",'KG1-6'!$AD$7:$IM$7,"✓",'KG1-6'!$AD$6:$IM$6,1,'KG1-6'!$AD$5:$IM$5,"&gt;="&amp;MAX('KG1-6'!$U26,Rpt_PStart),'KG1-6'!$AD$5:$IM$5,"&lt;="&amp;Rpt_PEnd)+COUNTIFS('KG1-6'!$AD26:$IM26,"غياب بعذر",'KG1-6'!$AD$7:$IM$7,"✓",'KG1-6'!$AD$6:$IM$6,1,'KG1-6'!$AD$5:$IM$5,"&gt;="&amp;MAX('KG1-6'!$U26,Rpt_PStart),'KG1-6'!$AD$5:$IM$5,"&lt;="&amp;Rpt_PEnd))</f>
        <v/>
      </c>
      <c r="AU172" s="40" t="n">
        <v>6</v>
      </c>
      <c r="AV172" s="40" t="n">
        <v>18</v>
      </c>
      <c r="AW172" s="40">
        <f>IF(OR(AP172=0,Rpt_DayIdx=0),"",IF(INDEX('KG1-6'!$AD$7:$IM$7,Rpt_DayIdx)&lt;&gt;"✓","",IF(INDEX('KG1-6'!$AD26:$IM26,Rpt_DayIdx)="","P",IFERROR(INDEX(StatusCodes,MATCH(INDEX('KG1-6'!$AD26:$IM26,Rpt_DayIdx),StatusLabels,0)),""))))</f>
        <v/>
      </c>
      <c r="AX172" s="40">
        <f>IF(AND(AP172=1,OR(AW172="A",AW172="E")),COUNTIFS($AP$5:AP172,1,$AW$5:AW172,"A")+COUNTIFS($AP$5:AP172,1,$AW$5:AW172,"E"),"")</f>
        <v/>
      </c>
    </row>
    <row r="173">
      <c r="A173" s="148">
        <f>IF(B173="","",ROW()-4)</f>
        <v/>
      </c>
      <c r="B173" s="148">
        <f>IF('KG1-6'!$B27="","",'KG1-6'!$B27)</f>
        <v/>
      </c>
      <c r="C173" s="146">
        <f>IF('KG1-6'!$C27="","",'KG1-6'!$C27)</f>
        <v/>
      </c>
      <c r="D173" s="148">
        <f>IF(B173="","",'KG1-6'!$B$2)</f>
        <v/>
      </c>
      <c r="E173" s="148">
        <f>IF(B173="","",MID(D173,FIND("-",D173&amp;"-")+1,10))</f>
        <v/>
      </c>
      <c r="F173" s="148">
        <f>IF(B173="","","نشط")</f>
        <v/>
      </c>
      <c r="G173" s="157">
        <f>IF(B173="","","")</f>
        <v/>
      </c>
      <c r="H173" s="146">
        <f>IF('KG1-6'!$K27="","",'KG1-6'!$K27)</f>
        <v/>
      </c>
      <c r="I173" s="148">
        <f>IF('KG1-6'!$J27="","",'KG1-6'!$J27)</f>
        <v/>
      </c>
      <c r="J173" s="148">
        <f>IF('KG1-6'!$M27="","",'KG1-6'!$M27)</f>
        <v/>
      </c>
      <c r="K173" s="148">
        <f>IF('KG1-6'!$N27="","",'KG1-6'!$N27)</f>
        <v/>
      </c>
      <c r="L173" s="148">
        <f>IF('KG1-6'!$D27="","",'KG1-6'!$D27)</f>
        <v/>
      </c>
      <c r="M173" s="148">
        <f>IF('KG1-6'!$E27="","",'KG1-6'!$E27)</f>
        <v/>
      </c>
      <c r="N173" s="148">
        <f>IF('KG1-6'!$F27="","",'KG1-6'!$F27)</f>
        <v/>
      </c>
      <c r="O173" s="158">
        <f>IF('KG1-6'!$G27="","",'KG1-6'!$G27)</f>
        <v/>
      </c>
      <c r="P173" s="158">
        <f>IF('KG1-6'!$O27="","",'KG1-6'!$O27)</f>
        <v/>
      </c>
      <c r="Q173" s="148">
        <f>IF('KG1-6'!$T27="","",'KG1-6'!$T27)</f>
        <v/>
      </c>
      <c r="R173" s="146">
        <f>IF('KG1-6'!$H27="","",'KG1-6'!$H27)</f>
        <v/>
      </c>
      <c r="S173" s="157">
        <f>IF('KG1-6'!$P27="","",'KG1-6'!$P27)</f>
        <v/>
      </c>
      <c r="T173" s="157">
        <f>IF('KG1-6'!$V27="","",'KG1-6'!$V27)</f>
        <v/>
      </c>
      <c r="U173" s="157">
        <f>IF('KG1-6'!$W27="","",'KG1-6'!$W27)</f>
        <v/>
      </c>
      <c r="V173" s="157">
        <f>IF('KG1-6'!$X27="","",'KG1-6'!$X27)</f>
        <v/>
      </c>
      <c r="W173" s="157">
        <f>IF('KG1-6'!$Y27="","",'KG1-6'!$Y27)</f>
        <v/>
      </c>
      <c r="X173" s="157">
        <f>IF('KG1-6'!$R27="","",'KG1-6'!$R27)</f>
        <v/>
      </c>
      <c r="Y173" s="148">
        <f>IF('KG1-6'!$S27="","",'KG1-6'!$S27)</f>
        <v/>
      </c>
      <c r="Z173" s="148">
        <f>IF('KG1-6'!$Q27="","",'KG1-6'!$Q27)</f>
        <v/>
      </c>
      <c r="AA173" s="148">
        <f>IF('KG1-6'!$I27="","",'KG1-6'!$I27)</f>
        <v/>
      </c>
      <c r="AB173" s="146">
        <f>IF(Q173="","",INDEX(LevelActions,MATCH(Q173,LevelValues,0)))</f>
        <v/>
      </c>
      <c r="AC173" s="148">
        <f>IF(J173="","",IF(J173=0,"—",IF(AND(L173=0,M173=0),Cat_L1,IF(O173&gt;=Cat_95,Cat_L2,IF(O173&gt;=Cat_90,Cat_L3,Cat_L4)))))</f>
        <v/>
      </c>
      <c r="AD173" s="146">
        <f>IF('KG1-6'!$L27="","",'KG1-6'!$L27)</f>
        <v/>
      </c>
      <c r="AE173" s="148">
        <f>IF(B173="","",IF(COUNTIF($B$5:$B$214,B173)&gt;1,"مكرر!",""))</f>
        <v/>
      </c>
      <c r="AF173" s="148">
        <f>IF(AND(B173&lt;&gt;"",F173="نشط",OR(Dash_Class="الكل",D173=Dash_Class)),1,0)</f>
        <v/>
      </c>
      <c r="AG173" s="40">
        <f>IF(OR(AF173=0,Dash_DayIdx=0),"",IF(INDEX('KG1-6'!$AD$7:$IM$7,Dash_DayIdx)&lt;&gt;"✓","",IF(INDEX('KG1-6'!$AD27:$IM27,Dash_DayIdx)="","P",IFERROR(INDEX(StatusCodes,MATCH(INDEX('KG1-6'!$AD27:$IM27,Dash_DayIdx),StatusLabels,0)),""))))</f>
        <v/>
      </c>
      <c r="AH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IF(LateAsPresent="نعم",COUNTIFS('KG1-6'!$AD27:$IM27,"متأخر",'KG1-6'!$AD$7:$IM$7,"✓",'KG1-6'!$AD$6:$IM$6,1,'KG1-6'!$AD$5:$IM$5,"&gt;="&amp;MAX('KG1-6'!$U27,Dash_PStart),'KG1-6'!$AD$5:$IM$5,"&lt;="&amp;Dash_PEnd),0))</f>
        <v/>
      </c>
      <c r="AI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COUNTIFS('KG1-6'!$AD27:$IM27,"غياب بدون عذر",'KG1-6'!$AD$7:$IM$7,"✓",'KG1-6'!$AD$6:$IM$6,1,'KG1-6'!$AD$5:$IM$5,"&gt;="&amp;MAX('KG1-6'!$U27,Dash_PStart),'KG1-6'!$AD$5:$IM$5,"&lt;="&amp;Dash_PEnd)+COUNTIFS('KG1-6'!$AD27:$IM27,"غياب بعذر",'KG1-6'!$AD$7:$IM$7,"✓",'KG1-6'!$AD$6:$IM$6,1,'KG1-6'!$AD$5:$IM$5,"&gt;="&amp;MAX('KG1-6'!$U27,Dash_PStart),'KG1-6'!$AD$5:$IM$5,"&lt;="&amp;Dash_PEnd)+COUNTIFS('KG1-6'!$AD27:$IM27,"متأخر",'KG1-6'!$AD$7:$IM$7,"✓",'KG1-6'!$AD$6:$IM$6,1,'KG1-6'!$AD$5:$IM$5,"&gt;="&amp;MAX('KG1-6'!$U27,Dash_PStart),'KG1-6'!$AD$5:$IM$5,"&lt;="&amp;Dash_PEnd))</f>
        <v/>
      </c>
      <c r="AJ173" s="40">
        <f>IF(AF173=0,0,IF(W173=Dash_Date,Thr_Critical,IF(V173=Dash_Date,Thr_High,IF(U173=Dash_Date,Thr_Repeated,IF(T173=Dash_Date,Thr_FollowUp,0)))))</f>
        <v/>
      </c>
      <c r="AK173" s="40">
        <f>IF(AJ173&gt;0,COUNTIF($AJ$5:AJ173,"&gt;0"),"")</f>
        <v/>
      </c>
      <c r="AL173" s="40">
        <f>IF(AND(B173&lt;&gt;"",F173="نشط",Q173&lt;&gt;"",Q173&gt;0),L173*1000+(999-ROW()),"")</f>
        <v/>
      </c>
      <c r="AM173" s="40">
        <f>IF(AND(AF173=1,J173&lt;&gt;"",J173&gt;0),ROUND(O173*10000,0)*1000000+K173*1000+(999-ROW()),"")</f>
        <v/>
      </c>
      <c r="AN173" s="40">
        <f>IF(AND(AF173=1,J173&lt;&gt;"",J173&gt;0),(L173+M173)*10000000+ROUND((1-O173)*10000,0)*1000+(999-ROW()),"")</f>
        <v/>
      </c>
      <c r="AO173" s="40">
        <f>IF(AND(AF173=1,Q173&lt;&gt;"",Q173&gt;=Thr_Critical),L173*1000+(999-ROW()),"")</f>
        <v/>
      </c>
      <c r="AP173" s="40">
        <f>IF(AND(B173&lt;&gt;"",F173="نشط",OR(Rpt_Class="الكل",D173=Rpt_Class)),1,0)</f>
        <v/>
      </c>
      <c r="AQ173" s="40">
        <f>IF(AND(AP173=1,Q173&lt;&gt;"",Q173&gt;0),L173*1000+(999-ROW()),"")</f>
        <v/>
      </c>
      <c r="AR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IF(LateAsPresent="نعم",COUNTIFS('KG1-6'!$AD27:$IM27,"متأخر",'KG1-6'!$AD$7:$IM$7,"✓",'KG1-6'!$AD$6:$IM$6,1,'KG1-6'!$AD$5:$IM$5,"&gt;="&amp;MAX('KG1-6'!$U27,Rpt_PStart),'KG1-6'!$AD$5:$IM$5,"&lt;="&amp;Rpt_PEnd),0))</f>
        <v/>
      </c>
      <c r="AS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COUNTIFS('KG1-6'!$AD27:$IM27,"غياب بدون عذر",'KG1-6'!$AD$7:$IM$7,"✓",'KG1-6'!$AD$6:$IM$6,1,'KG1-6'!$AD$5:$IM$5,"&gt;="&amp;MAX('KG1-6'!$U27,Rpt_PStart),'KG1-6'!$AD$5:$IM$5,"&lt;="&amp;Rpt_PEnd)+COUNTIFS('KG1-6'!$AD27:$IM27,"غياب بعذر",'KG1-6'!$AD$7:$IM$7,"✓",'KG1-6'!$AD$6:$IM$6,1,'KG1-6'!$AD$5:$IM$5,"&gt;="&amp;MAX('KG1-6'!$U27,Rpt_PStart),'KG1-6'!$AD$5:$IM$5,"&lt;="&amp;Rpt_PEnd)+COUNTIFS('KG1-6'!$AD27:$IM27,"متأخر",'KG1-6'!$AD$7:$IM$7,"✓",'KG1-6'!$AD$6:$IM$6,1,'KG1-6'!$AD$5:$IM$5,"&gt;="&amp;MAX('KG1-6'!$U27,Rpt_PStart),'KG1-6'!$AD$5:$IM$5,"&lt;="&amp;Rpt_PEnd))</f>
        <v/>
      </c>
      <c r="AT173" s="40">
        <f>IF(AP173=0,"",COUNTIFS('KG1-6'!$AD27:$IM27,"غياب بدون عذر",'KG1-6'!$AD$7:$IM$7,"✓",'KG1-6'!$AD$6:$IM$6,1,'KG1-6'!$AD$5:$IM$5,"&gt;="&amp;MAX('KG1-6'!$U27,Rpt_PStart),'KG1-6'!$AD$5:$IM$5,"&lt;="&amp;Rpt_PEnd)+COUNTIFS('KG1-6'!$AD27:$IM27,"غياب بعذر",'KG1-6'!$AD$7:$IM$7,"✓",'KG1-6'!$AD$6:$IM$6,1,'KG1-6'!$AD$5:$IM$5,"&gt;="&amp;MAX('KG1-6'!$U27,Rpt_PStart),'KG1-6'!$AD$5:$IM$5,"&lt;="&amp;Rpt_PEnd))</f>
        <v/>
      </c>
      <c r="AU173" s="40" t="n">
        <v>6</v>
      </c>
      <c r="AV173" s="40" t="n">
        <v>19</v>
      </c>
      <c r="AW173" s="40">
        <f>IF(OR(AP173=0,Rpt_DayIdx=0),"",IF(INDEX('KG1-6'!$AD$7:$IM$7,Rpt_DayIdx)&lt;&gt;"✓","",IF(INDEX('KG1-6'!$AD27:$IM27,Rpt_DayIdx)="","P",IFERROR(INDEX(StatusCodes,MATCH(INDEX('KG1-6'!$AD27:$IM27,Rpt_DayIdx),StatusLabels,0)),""))))</f>
        <v/>
      </c>
      <c r="AX173" s="40">
        <f>IF(AND(AP173=1,OR(AW173="A",AW173="E")),COUNTIFS($AP$5:AP173,1,$AW$5:AW173,"A")+COUNTIFS($AP$5:AP173,1,$AW$5:AW173,"E"),"")</f>
        <v/>
      </c>
    </row>
    <row r="174">
      <c r="A174" s="148">
        <f>IF(B174="","",ROW()-4)</f>
        <v/>
      </c>
      <c r="B174" s="148">
        <f>IF('KG1-6'!$B28="","",'KG1-6'!$B28)</f>
        <v/>
      </c>
      <c r="C174" s="146">
        <f>IF('KG1-6'!$C28="","",'KG1-6'!$C28)</f>
        <v/>
      </c>
      <c r="D174" s="148">
        <f>IF(B174="","",'KG1-6'!$B$2)</f>
        <v/>
      </c>
      <c r="E174" s="148">
        <f>IF(B174="","",MID(D174,FIND("-",D174&amp;"-")+1,10))</f>
        <v/>
      </c>
      <c r="F174" s="148">
        <f>IF(B174="","","نشط")</f>
        <v/>
      </c>
      <c r="G174" s="157">
        <f>IF(B174="","","")</f>
        <v/>
      </c>
      <c r="H174" s="146">
        <f>IF('KG1-6'!$K28="","",'KG1-6'!$K28)</f>
        <v/>
      </c>
      <c r="I174" s="148">
        <f>IF('KG1-6'!$J28="","",'KG1-6'!$J28)</f>
        <v/>
      </c>
      <c r="J174" s="148">
        <f>IF('KG1-6'!$M28="","",'KG1-6'!$M28)</f>
        <v/>
      </c>
      <c r="K174" s="148">
        <f>IF('KG1-6'!$N28="","",'KG1-6'!$N28)</f>
        <v/>
      </c>
      <c r="L174" s="148">
        <f>IF('KG1-6'!$D28="","",'KG1-6'!$D28)</f>
        <v/>
      </c>
      <c r="M174" s="148">
        <f>IF('KG1-6'!$E28="","",'KG1-6'!$E28)</f>
        <v/>
      </c>
      <c r="N174" s="148">
        <f>IF('KG1-6'!$F28="","",'KG1-6'!$F28)</f>
        <v/>
      </c>
      <c r="O174" s="158">
        <f>IF('KG1-6'!$G28="","",'KG1-6'!$G28)</f>
        <v/>
      </c>
      <c r="P174" s="158">
        <f>IF('KG1-6'!$O28="","",'KG1-6'!$O28)</f>
        <v/>
      </c>
      <c r="Q174" s="148">
        <f>IF('KG1-6'!$T28="","",'KG1-6'!$T28)</f>
        <v/>
      </c>
      <c r="R174" s="146">
        <f>IF('KG1-6'!$H28="","",'KG1-6'!$H28)</f>
        <v/>
      </c>
      <c r="S174" s="157">
        <f>IF('KG1-6'!$P28="","",'KG1-6'!$P28)</f>
        <v/>
      </c>
      <c r="T174" s="157">
        <f>IF('KG1-6'!$V28="","",'KG1-6'!$V28)</f>
        <v/>
      </c>
      <c r="U174" s="157">
        <f>IF('KG1-6'!$W28="","",'KG1-6'!$W28)</f>
        <v/>
      </c>
      <c r="V174" s="157">
        <f>IF('KG1-6'!$X28="","",'KG1-6'!$X28)</f>
        <v/>
      </c>
      <c r="W174" s="157">
        <f>IF('KG1-6'!$Y28="","",'KG1-6'!$Y28)</f>
        <v/>
      </c>
      <c r="X174" s="157">
        <f>IF('KG1-6'!$R28="","",'KG1-6'!$R28)</f>
        <v/>
      </c>
      <c r="Y174" s="148">
        <f>IF('KG1-6'!$S28="","",'KG1-6'!$S28)</f>
        <v/>
      </c>
      <c r="Z174" s="148">
        <f>IF('KG1-6'!$Q28="","",'KG1-6'!$Q28)</f>
        <v/>
      </c>
      <c r="AA174" s="148">
        <f>IF('KG1-6'!$I28="","",'KG1-6'!$I28)</f>
        <v/>
      </c>
      <c r="AB174" s="146">
        <f>IF(Q174="","",INDEX(LevelActions,MATCH(Q174,LevelValues,0)))</f>
        <v/>
      </c>
      <c r="AC174" s="148">
        <f>IF(J174="","",IF(J174=0,"—",IF(AND(L174=0,M174=0),Cat_L1,IF(O174&gt;=Cat_95,Cat_L2,IF(O174&gt;=Cat_90,Cat_L3,Cat_L4)))))</f>
        <v/>
      </c>
      <c r="AD174" s="146">
        <f>IF('KG1-6'!$L28="","",'KG1-6'!$L28)</f>
        <v/>
      </c>
      <c r="AE174" s="148">
        <f>IF(B174="","",IF(COUNTIF($B$5:$B$214,B174)&gt;1,"مكرر!",""))</f>
        <v/>
      </c>
      <c r="AF174" s="148">
        <f>IF(AND(B174&lt;&gt;"",F174="نشط",OR(Dash_Class="الكل",D174=Dash_Class)),1,0)</f>
        <v/>
      </c>
      <c r="AG174" s="40">
        <f>IF(OR(AF174=0,Dash_DayIdx=0),"",IF(INDEX('KG1-6'!$AD$7:$IM$7,Dash_DayIdx)&lt;&gt;"✓","",IF(INDEX('KG1-6'!$AD28:$IM28,Dash_DayIdx)="","P",IFERROR(INDEX(StatusCodes,MATCH(INDEX('KG1-6'!$AD28:$IM28,Dash_DayIdx),StatusLabels,0)),""))))</f>
        <v/>
      </c>
      <c r="AH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IF(LateAsPresent="نعم",COUNTIFS('KG1-6'!$AD28:$IM28,"متأخر",'KG1-6'!$AD$7:$IM$7,"✓",'KG1-6'!$AD$6:$IM$6,1,'KG1-6'!$AD$5:$IM$5,"&gt;="&amp;MAX('KG1-6'!$U28,Dash_PStart),'KG1-6'!$AD$5:$IM$5,"&lt;="&amp;Dash_PEnd),0))</f>
        <v/>
      </c>
      <c r="AI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COUNTIFS('KG1-6'!$AD28:$IM28,"غياب بدون عذر",'KG1-6'!$AD$7:$IM$7,"✓",'KG1-6'!$AD$6:$IM$6,1,'KG1-6'!$AD$5:$IM$5,"&gt;="&amp;MAX('KG1-6'!$U28,Dash_PStart),'KG1-6'!$AD$5:$IM$5,"&lt;="&amp;Dash_PEnd)+COUNTIFS('KG1-6'!$AD28:$IM28,"غياب بعذر",'KG1-6'!$AD$7:$IM$7,"✓",'KG1-6'!$AD$6:$IM$6,1,'KG1-6'!$AD$5:$IM$5,"&gt;="&amp;MAX('KG1-6'!$U28,Dash_PStart),'KG1-6'!$AD$5:$IM$5,"&lt;="&amp;Dash_PEnd)+COUNTIFS('KG1-6'!$AD28:$IM28,"متأخر",'KG1-6'!$AD$7:$IM$7,"✓",'KG1-6'!$AD$6:$IM$6,1,'KG1-6'!$AD$5:$IM$5,"&gt;="&amp;MAX('KG1-6'!$U28,Dash_PStart),'KG1-6'!$AD$5:$IM$5,"&lt;="&amp;Dash_PEnd))</f>
        <v/>
      </c>
      <c r="AJ174" s="40">
        <f>IF(AF174=0,0,IF(W174=Dash_Date,Thr_Critical,IF(V174=Dash_Date,Thr_High,IF(U174=Dash_Date,Thr_Repeated,IF(T174=Dash_Date,Thr_FollowUp,0)))))</f>
        <v/>
      </c>
      <c r="AK174" s="40">
        <f>IF(AJ174&gt;0,COUNTIF($AJ$5:AJ174,"&gt;0"),"")</f>
        <v/>
      </c>
      <c r="AL174" s="40">
        <f>IF(AND(B174&lt;&gt;"",F174="نشط",Q174&lt;&gt;"",Q174&gt;0),L174*1000+(999-ROW()),"")</f>
        <v/>
      </c>
      <c r="AM174" s="40">
        <f>IF(AND(AF174=1,J174&lt;&gt;"",J174&gt;0),ROUND(O174*10000,0)*1000000+K174*1000+(999-ROW()),"")</f>
        <v/>
      </c>
      <c r="AN174" s="40">
        <f>IF(AND(AF174=1,J174&lt;&gt;"",J174&gt;0),(L174+M174)*10000000+ROUND((1-O174)*10000,0)*1000+(999-ROW()),"")</f>
        <v/>
      </c>
      <c r="AO174" s="40">
        <f>IF(AND(AF174=1,Q174&lt;&gt;"",Q174&gt;=Thr_Critical),L174*1000+(999-ROW()),"")</f>
        <v/>
      </c>
      <c r="AP174" s="40">
        <f>IF(AND(B174&lt;&gt;"",F174="نشط",OR(Rpt_Class="الكل",D174=Rpt_Class)),1,0)</f>
        <v/>
      </c>
      <c r="AQ174" s="40">
        <f>IF(AND(AP174=1,Q174&lt;&gt;"",Q174&gt;0),L174*1000+(999-ROW()),"")</f>
        <v/>
      </c>
      <c r="AR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IF(LateAsPresent="نعم",COUNTIFS('KG1-6'!$AD28:$IM28,"متأخر",'KG1-6'!$AD$7:$IM$7,"✓",'KG1-6'!$AD$6:$IM$6,1,'KG1-6'!$AD$5:$IM$5,"&gt;="&amp;MAX('KG1-6'!$U28,Rpt_PStart),'KG1-6'!$AD$5:$IM$5,"&lt;="&amp;Rpt_PEnd),0))</f>
        <v/>
      </c>
      <c r="AS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COUNTIFS('KG1-6'!$AD28:$IM28,"غياب بدون عذر",'KG1-6'!$AD$7:$IM$7,"✓",'KG1-6'!$AD$6:$IM$6,1,'KG1-6'!$AD$5:$IM$5,"&gt;="&amp;MAX('KG1-6'!$U28,Rpt_PStart),'KG1-6'!$AD$5:$IM$5,"&lt;="&amp;Rpt_PEnd)+COUNTIFS('KG1-6'!$AD28:$IM28,"غياب بعذر",'KG1-6'!$AD$7:$IM$7,"✓",'KG1-6'!$AD$6:$IM$6,1,'KG1-6'!$AD$5:$IM$5,"&gt;="&amp;MAX('KG1-6'!$U28,Rpt_PStart),'KG1-6'!$AD$5:$IM$5,"&lt;="&amp;Rpt_PEnd)+COUNTIFS('KG1-6'!$AD28:$IM28,"متأخر",'KG1-6'!$AD$7:$IM$7,"✓",'KG1-6'!$AD$6:$IM$6,1,'KG1-6'!$AD$5:$IM$5,"&gt;="&amp;MAX('KG1-6'!$U28,Rpt_PStart),'KG1-6'!$AD$5:$IM$5,"&lt;="&amp;Rpt_PEnd))</f>
        <v/>
      </c>
      <c r="AT174" s="40">
        <f>IF(AP174=0,"",COUNTIFS('KG1-6'!$AD28:$IM28,"غياب بدون عذر",'KG1-6'!$AD$7:$IM$7,"✓",'KG1-6'!$AD$6:$IM$6,1,'KG1-6'!$AD$5:$IM$5,"&gt;="&amp;MAX('KG1-6'!$U28,Rpt_PStart),'KG1-6'!$AD$5:$IM$5,"&lt;="&amp;Rpt_PEnd)+COUNTIFS('KG1-6'!$AD28:$IM28,"غياب بعذر",'KG1-6'!$AD$7:$IM$7,"✓",'KG1-6'!$AD$6:$IM$6,1,'KG1-6'!$AD$5:$IM$5,"&gt;="&amp;MAX('KG1-6'!$U28,Rpt_PStart),'KG1-6'!$AD$5:$IM$5,"&lt;="&amp;Rpt_PEnd))</f>
        <v/>
      </c>
      <c r="AU174" s="40" t="n">
        <v>6</v>
      </c>
      <c r="AV174" s="40" t="n">
        <v>20</v>
      </c>
      <c r="AW174" s="40">
        <f>IF(OR(AP174=0,Rpt_DayIdx=0),"",IF(INDEX('KG1-6'!$AD$7:$IM$7,Rpt_DayIdx)&lt;&gt;"✓","",IF(INDEX('KG1-6'!$AD28:$IM28,Rpt_DayIdx)="","P",IFERROR(INDEX(StatusCodes,MATCH(INDEX('KG1-6'!$AD28:$IM28,Rpt_DayIdx),StatusLabels,0)),""))))</f>
        <v/>
      </c>
      <c r="AX174" s="40">
        <f>IF(AND(AP174=1,OR(AW174="A",AW174="E")),COUNTIFS($AP$5:AP174,1,$AW$5:AW174,"A")+COUNTIFS($AP$5:AP174,1,$AW$5:AW174,"E"),"")</f>
        <v/>
      </c>
    </row>
    <row r="175">
      <c r="A175" s="148">
        <f>IF(B175="","",ROW()-4)</f>
        <v/>
      </c>
      <c r="B175" s="148">
        <f>IF('KG1-6'!$B29="","",'KG1-6'!$B29)</f>
        <v/>
      </c>
      <c r="C175" s="146">
        <f>IF('KG1-6'!$C29="","",'KG1-6'!$C29)</f>
        <v/>
      </c>
      <c r="D175" s="148">
        <f>IF(B175="","",'KG1-6'!$B$2)</f>
        <v/>
      </c>
      <c r="E175" s="148">
        <f>IF(B175="","",MID(D175,FIND("-",D175&amp;"-")+1,10))</f>
        <v/>
      </c>
      <c r="F175" s="148">
        <f>IF(B175="","","نشط")</f>
        <v/>
      </c>
      <c r="G175" s="157">
        <f>IF(B175="","","")</f>
        <v/>
      </c>
      <c r="H175" s="146">
        <f>IF('KG1-6'!$K29="","",'KG1-6'!$K29)</f>
        <v/>
      </c>
      <c r="I175" s="148">
        <f>IF('KG1-6'!$J29="","",'KG1-6'!$J29)</f>
        <v/>
      </c>
      <c r="J175" s="148">
        <f>IF('KG1-6'!$M29="","",'KG1-6'!$M29)</f>
        <v/>
      </c>
      <c r="K175" s="148">
        <f>IF('KG1-6'!$N29="","",'KG1-6'!$N29)</f>
        <v/>
      </c>
      <c r="L175" s="148">
        <f>IF('KG1-6'!$D29="","",'KG1-6'!$D29)</f>
        <v/>
      </c>
      <c r="M175" s="148">
        <f>IF('KG1-6'!$E29="","",'KG1-6'!$E29)</f>
        <v/>
      </c>
      <c r="N175" s="148">
        <f>IF('KG1-6'!$F29="","",'KG1-6'!$F29)</f>
        <v/>
      </c>
      <c r="O175" s="158">
        <f>IF('KG1-6'!$G29="","",'KG1-6'!$G29)</f>
        <v/>
      </c>
      <c r="P175" s="158">
        <f>IF('KG1-6'!$O29="","",'KG1-6'!$O29)</f>
        <v/>
      </c>
      <c r="Q175" s="148">
        <f>IF('KG1-6'!$T29="","",'KG1-6'!$T29)</f>
        <v/>
      </c>
      <c r="R175" s="146">
        <f>IF('KG1-6'!$H29="","",'KG1-6'!$H29)</f>
        <v/>
      </c>
      <c r="S175" s="157">
        <f>IF('KG1-6'!$P29="","",'KG1-6'!$P29)</f>
        <v/>
      </c>
      <c r="T175" s="157">
        <f>IF('KG1-6'!$V29="","",'KG1-6'!$V29)</f>
        <v/>
      </c>
      <c r="U175" s="157">
        <f>IF('KG1-6'!$W29="","",'KG1-6'!$W29)</f>
        <v/>
      </c>
      <c r="V175" s="157">
        <f>IF('KG1-6'!$X29="","",'KG1-6'!$X29)</f>
        <v/>
      </c>
      <c r="W175" s="157">
        <f>IF('KG1-6'!$Y29="","",'KG1-6'!$Y29)</f>
        <v/>
      </c>
      <c r="X175" s="157">
        <f>IF('KG1-6'!$R29="","",'KG1-6'!$R29)</f>
        <v/>
      </c>
      <c r="Y175" s="148">
        <f>IF('KG1-6'!$S29="","",'KG1-6'!$S29)</f>
        <v/>
      </c>
      <c r="Z175" s="148">
        <f>IF('KG1-6'!$Q29="","",'KG1-6'!$Q29)</f>
        <v/>
      </c>
      <c r="AA175" s="148">
        <f>IF('KG1-6'!$I29="","",'KG1-6'!$I29)</f>
        <v/>
      </c>
      <c r="AB175" s="146">
        <f>IF(Q175="","",INDEX(LevelActions,MATCH(Q175,LevelValues,0)))</f>
        <v/>
      </c>
      <c r="AC175" s="148">
        <f>IF(J175="","",IF(J175=0,"—",IF(AND(L175=0,M175=0),Cat_L1,IF(O175&gt;=Cat_95,Cat_L2,IF(O175&gt;=Cat_90,Cat_L3,Cat_L4)))))</f>
        <v/>
      </c>
      <c r="AD175" s="146">
        <f>IF('KG1-6'!$L29="","",'KG1-6'!$L29)</f>
        <v/>
      </c>
      <c r="AE175" s="148">
        <f>IF(B175="","",IF(COUNTIF($B$5:$B$214,B175)&gt;1,"مكرر!",""))</f>
        <v/>
      </c>
      <c r="AF175" s="148">
        <f>IF(AND(B175&lt;&gt;"",F175="نشط",OR(Dash_Class="الكل",D175=Dash_Class)),1,0)</f>
        <v/>
      </c>
      <c r="AG175" s="40">
        <f>IF(OR(AF175=0,Dash_DayIdx=0),"",IF(INDEX('KG1-6'!$AD$7:$IM$7,Dash_DayIdx)&lt;&gt;"✓","",IF(INDEX('KG1-6'!$AD29:$IM29,Dash_DayIdx)="","P",IFERROR(INDEX(StatusCodes,MATCH(INDEX('KG1-6'!$AD29:$IM29,Dash_DayIdx),StatusLabels,0)),""))))</f>
        <v/>
      </c>
      <c r="AH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IF(LateAsPresent="نعم",COUNTIFS('KG1-6'!$AD29:$IM29,"متأخر",'KG1-6'!$AD$7:$IM$7,"✓",'KG1-6'!$AD$6:$IM$6,1,'KG1-6'!$AD$5:$IM$5,"&gt;="&amp;MAX('KG1-6'!$U29,Dash_PStart),'KG1-6'!$AD$5:$IM$5,"&lt;="&amp;Dash_PEnd),0))</f>
        <v/>
      </c>
      <c r="AI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COUNTIFS('KG1-6'!$AD29:$IM29,"غياب بدون عذر",'KG1-6'!$AD$7:$IM$7,"✓",'KG1-6'!$AD$6:$IM$6,1,'KG1-6'!$AD$5:$IM$5,"&gt;="&amp;MAX('KG1-6'!$U29,Dash_PStart),'KG1-6'!$AD$5:$IM$5,"&lt;="&amp;Dash_PEnd)+COUNTIFS('KG1-6'!$AD29:$IM29,"غياب بعذر",'KG1-6'!$AD$7:$IM$7,"✓",'KG1-6'!$AD$6:$IM$6,1,'KG1-6'!$AD$5:$IM$5,"&gt;="&amp;MAX('KG1-6'!$U29,Dash_PStart),'KG1-6'!$AD$5:$IM$5,"&lt;="&amp;Dash_PEnd)+COUNTIFS('KG1-6'!$AD29:$IM29,"متأخر",'KG1-6'!$AD$7:$IM$7,"✓",'KG1-6'!$AD$6:$IM$6,1,'KG1-6'!$AD$5:$IM$5,"&gt;="&amp;MAX('KG1-6'!$U29,Dash_PStart),'KG1-6'!$AD$5:$IM$5,"&lt;="&amp;Dash_PEnd))</f>
        <v/>
      </c>
      <c r="AJ175" s="40">
        <f>IF(AF175=0,0,IF(W175=Dash_Date,Thr_Critical,IF(V175=Dash_Date,Thr_High,IF(U175=Dash_Date,Thr_Repeated,IF(T175=Dash_Date,Thr_FollowUp,0)))))</f>
        <v/>
      </c>
      <c r="AK175" s="40">
        <f>IF(AJ175&gt;0,COUNTIF($AJ$5:AJ175,"&gt;0"),"")</f>
        <v/>
      </c>
      <c r="AL175" s="40">
        <f>IF(AND(B175&lt;&gt;"",F175="نشط",Q175&lt;&gt;"",Q175&gt;0),L175*1000+(999-ROW()),"")</f>
        <v/>
      </c>
      <c r="AM175" s="40">
        <f>IF(AND(AF175=1,J175&lt;&gt;"",J175&gt;0),ROUND(O175*10000,0)*1000000+K175*1000+(999-ROW()),"")</f>
        <v/>
      </c>
      <c r="AN175" s="40">
        <f>IF(AND(AF175=1,J175&lt;&gt;"",J175&gt;0),(L175+M175)*10000000+ROUND((1-O175)*10000,0)*1000+(999-ROW()),"")</f>
        <v/>
      </c>
      <c r="AO175" s="40">
        <f>IF(AND(AF175=1,Q175&lt;&gt;"",Q175&gt;=Thr_Critical),L175*1000+(999-ROW()),"")</f>
        <v/>
      </c>
      <c r="AP175" s="40">
        <f>IF(AND(B175&lt;&gt;"",F175="نشط",OR(Rpt_Class="الكل",D175=Rpt_Class)),1,0)</f>
        <v/>
      </c>
      <c r="AQ175" s="40">
        <f>IF(AND(AP175=1,Q175&lt;&gt;"",Q175&gt;0),L175*1000+(999-ROW()),"")</f>
        <v/>
      </c>
      <c r="AR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IF(LateAsPresent="نعم",COUNTIFS('KG1-6'!$AD29:$IM29,"متأخر",'KG1-6'!$AD$7:$IM$7,"✓",'KG1-6'!$AD$6:$IM$6,1,'KG1-6'!$AD$5:$IM$5,"&gt;="&amp;MAX('KG1-6'!$U29,Rpt_PStart),'KG1-6'!$AD$5:$IM$5,"&lt;="&amp;Rpt_PEnd),0))</f>
        <v/>
      </c>
      <c r="AS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COUNTIFS('KG1-6'!$AD29:$IM29,"غياب بدون عذر",'KG1-6'!$AD$7:$IM$7,"✓",'KG1-6'!$AD$6:$IM$6,1,'KG1-6'!$AD$5:$IM$5,"&gt;="&amp;MAX('KG1-6'!$U29,Rpt_PStart),'KG1-6'!$AD$5:$IM$5,"&lt;="&amp;Rpt_PEnd)+COUNTIFS('KG1-6'!$AD29:$IM29,"غياب بعذر",'KG1-6'!$AD$7:$IM$7,"✓",'KG1-6'!$AD$6:$IM$6,1,'KG1-6'!$AD$5:$IM$5,"&gt;="&amp;MAX('KG1-6'!$U29,Rpt_PStart),'KG1-6'!$AD$5:$IM$5,"&lt;="&amp;Rpt_PEnd)+COUNTIFS('KG1-6'!$AD29:$IM29,"متأخر",'KG1-6'!$AD$7:$IM$7,"✓",'KG1-6'!$AD$6:$IM$6,1,'KG1-6'!$AD$5:$IM$5,"&gt;="&amp;MAX('KG1-6'!$U29,Rpt_PStart),'KG1-6'!$AD$5:$IM$5,"&lt;="&amp;Rpt_PEnd))</f>
        <v/>
      </c>
      <c r="AT175" s="40">
        <f>IF(AP175=0,"",COUNTIFS('KG1-6'!$AD29:$IM29,"غياب بدون عذر",'KG1-6'!$AD$7:$IM$7,"✓",'KG1-6'!$AD$6:$IM$6,1,'KG1-6'!$AD$5:$IM$5,"&gt;="&amp;MAX('KG1-6'!$U29,Rpt_PStart),'KG1-6'!$AD$5:$IM$5,"&lt;="&amp;Rpt_PEnd)+COUNTIFS('KG1-6'!$AD29:$IM29,"غياب بعذر",'KG1-6'!$AD$7:$IM$7,"✓",'KG1-6'!$AD$6:$IM$6,1,'KG1-6'!$AD$5:$IM$5,"&gt;="&amp;MAX('KG1-6'!$U29,Rpt_PStart),'KG1-6'!$AD$5:$IM$5,"&lt;="&amp;Rpt_PEnd))</f>
        <v/>
      </c>
      <c r="AU175" s="40" t="n">
        <v>6</v>
      </c>
      <c r="AV175" s="40" t="n">
        <v>21</v>
      </c>
      <c r="AW175" s="40">
        <f>IF(OR(AP175=0,Rpt_DayIdx=0),"",IF(INDEX('KG1-6'!$AD$7:$IM$7,Rpt_DayIdx)&lt;&gt;"✓","",IF(INDEX('KG1-6'!$AD29:$IM29,Rpt_DayIdx)="","P",IFERROR(INDEX(StatusCodes,MATCH(INDEX('KG1-6'!$AD29:$IM29,Rpt_DayIdx),StatusLabels,0)),""))))</f>
        <v/>
      </c>
      <c r="AX175" s="40">
        <f>IF(AND(AP175=1,OR(AW175="A",AW175="E")),COUNTIFS($AP$5:AP175,1,$AW$5:AW175,"A")+COUNTIFS($AP$5:AP175,1,$AW$5:AW175,"E"),"")</f>
        <v/>
      </c>
    </row>
    <row r="176">
      <c r="A176" s="148">
        <f>IF(B176="","",ROW()-4)</f>
        <v/>
      </c>
      <c r="B176" s="148">
        <f>IF('KG1-6'!$B30="","",'KG1-6'!$B30)</f>
        <v/>
      </c>
      <c r="C176" s="146">
        <f>IF('KG1-6'!$C30="","",'KG1-6'!$C30)</f>
        <v/>
      </c>
      <c r="D176" s="148">
        <f>IF(B176="","",'KG1-6'!$B$2)</f>
        <v/>
      </c>
      <c r="E176" s="148">
        <f>IF(B176="","",MID(D176,FIND("-",D176&amp;"-")+1,10))</f>
        <v/>
      </c>
      <c r="F176" s="148">
        <f>IF(B176="","","نشط")</f>
        <v/>
      </c>
      <c r="G176" s="157">
        <f>IF(B176="","","")</f>
        <v/>
      </c>
      <c r="H176" s="146">
        <f>IF('KG1-6'!$K30="","",'KG1-6'!$K30)</f>
        <v/>
      </c>
      <c r="I176" s="148">
        <f>IF('KG1-6'!$J30="","",'KG1-6'!$J30)</f>
        <v/>
      </c>
      <c r="J176" s="148">
        <f>IF('KG1-6'!$M30="","",'KG1-6'!$M30)</f>
        <v/>
      </c>
      <c r="K176" s="148">
        <f>IF('KG1-6'!$N30="","",'KG1-6'!$N30)</f>
        <v/>
      </c>
      <c r="L176" s="148">
        <f>IF('KG1-6'!$D30="","",'KG1-6'!$D30)</f>
        <v/>
      </c>
      <c r="M176" s="148">
        <f>IF('KG1-6'!$E30="","",'KG1-6'!$E30)</f>
        <v/>
      </c>
      <c r="N176" s="148">
        <f>IF('KG1-6'!$F30="","",'KG1-6'!$F30)</f>
        <v/>
      </c>
      <c r="O176" s="158">
        <f>IF('KG1-6'!$G30="","",'KG1-6'!$G30)</f>
        <v/>
      </c>
      <c r="P176" s="158">
        <f>IF('KG1-6'!$O30="","",'KG1-6'!$O30)</f>
        <v/>
      </c>
      <c r="Q176" s="148">
        <f>IF('KG1-6'!$T30="","",'KG1-6'!$T30)</f>
        <v/>
      </c>
      <c r="R176" s="146">
        <f>IF('KG1-6'!$H30="","",'KG1-6'!$H30)</f>
        <v/>
      </c>
      <c r="S176" s="157">
        <f>IF('KG1-6'!$P30="","",'KG1-6'!$P30)</f>
        <v/>
      </c>
      <c r="T176" s="157">
        <f>IF('KG1-6'!$V30="","",'KG1-6'!$V30)</f>
        <v/>
      </c>
      <c r="U176" s="157">
        <f>IF('KG1-6'!$W30="","",'KG1-6'!$W30)</f>
        <v/>
      </c>
      <c r="V176" s="157">
        <f>IF('KG1-6'!$X30="","",'KG1-6'!$X30)</f>
        <v/>
      </c>
      <c r="W176" s="157">
        <f>IF('KG1-6'!$Y30="","",'KG1-6'!$Y30)</f>
        <v/>
      </c>
      <c r="X176" s="157">
        <f>IF('KG1-6'!$R30="","",'KG1-6'!$R30)</f>
        <v/>
      </c>
      <c r="Y176" s="148">
        <f>IF('KG1-6'!$S30="","",'KG1-6'!$S30)</f>
        <v/>
      </c>
      <c r="Z176" s="148">
        <f>IF('KG1-6'!$Q30="","",'KG1-6'!$Q30)</f>
        <v/>
      </c>
      <c r="AA176" s="148">
        <f>IF('KG1-6'!$I30="","",'KG1-6'!$I30)</f>
        <v/>
      </c>
      <c r="AB176" s="146">
        <f>IF(Q176="","",INDEX(LevelActions,MATCH(Q176,LevelValues,0)))</f>
        <v/>
      </c>
      <c r="AC176" s="148">
        <f>IF(J176="","",IF(J176=0,"—",IF(AND(L176=0,M176=0),Cat_L1,IF(O176&gt;=Cat_95,Cat_L2,IF(O176&gt;=Cat_90,Cat_L3,Cat_L4)))))</f>
        <v/>
      </c>
      <c r="AD176" s="146">
        <f>IF('KG1-6'!$L30="","",'KG1-6'!$L30)</f>
        <v/>
      </c>
      <c r="AE176" s="148">
        <f>IF(B176="","",IF(COUNTIF($B$5:$B$214,B176)&gt;1,"مكرر!",""))</f>
        <v/>
      </c>
      <c r="AF176" s="148">
        <f>IF(AND(B176&lt;&gt;"",F176="نشط",OR(Dash_Class="الكل",D176=Dash_Class)),1,0)</f>
        <v/>
      </c>
      <c r="AG176" s="40">
        <f>IF(OR(AF176=0,Dash_DayIdx=0),"",IF(INDEX('KG1-6'!$AD$7:$IM$7,Dash_DayIdx)&lt;&gt;"✓","",IF(INDEX('KG1-6'!$AD30:$IM30,Dash_DayIdx)="","P",IFERROR(INDEX(StatusCodes,MATCH(INDEX('KG1-6'!$AD30:$IM30,Dash_DayIdx),StatusLabels,0)),""))))</f>
        <v/>
      </c>
      <c r="AH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IF(LateAsPresent="نعم",COUNTIFS('KG1-6'!$AD30:$IM30,"متأخر",'KG1-6'!$AD$7:$IM$7,"✓",'KG1-6'!$AD$6:$IM$6,1,'KG1-6'!$AD$5:$IM$5,"&gt;="&amp;MAX('KG1-6'!$U30,Dash_PStart),'KG1-6'!$AD$5:$IM$5,"&lt;="&amp;Dash_PEnd),0))</f>
        <v/>
      </c>
      <c r="AI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COUNTIFS('KG1-6'!$AD30:$IM30,"غياب بدون عذر",'KG1-6'!$AD$7:$IM$7,"✓",'KG1-6'!$AD$6:$IM$6,1,'KG1-6'!$AD$5:$IM$5,"&gt;="&amp;MAX('KG1-6'!$U30,Dash_PStart),'KG1-6'!$AD$5:$IM$5,"&lt;="&amp;Dash_PEnd)+COUNTIFS('KG1-6'!$AD30:$IM30,"غياب بعذر",'KG1-6'!$AD$7:$IM$7,"✓",'KG1-6'!$AD$6:$IM$6,1,'KG1-6'!$AD$5:$IM$5,"&gt;="&amp;MAX('KG1-6'!$U30,Dash_PStart),'KG1-6'!$AD$5:$IM$5,"&lt;="&amp;Dash_PEnd)+COUNTIFS('KG1-6'!$AD30:$IM30,"متأخر",'KG1-6'!$AD$7:$IM$7,"✓",'KG1-6'!$AD$6:$IM$6,1,'KG1-6'!$AD$5:$IM$5,"&gt;="&amp;MAX('KG1-6'!$U30,Dash_PStart),'KG1-6'!$AD$5:$IM$5,"&lt;="&amp;Dash_PEnd))</f>
        <v/>
      </c>
      <c r="AJ176" s="40">
        <f>IF(AF176=0,0,IF(W176=Dash_Date,Thr_Critical,IF(V176=Dash_Date,Thr_High,IF(U176=Dash_Date,Thr_Repeated,IF(T176=Dash_Date,Thr_FollowUp,0)))))</f>
        <v/>
      </c>
      <c r="AK176" s="40">
        <f>IF(AJ176&gt;0,COUNTIF($AJ$5:AJ176,"&gt;0"),"")</f>
        <v/>
      </c>
      <c r="AL176" s="40">
        <f>IF(AND(B176&lt;&gt;"",F176="نشط",Q176&lt;&gt;"",Q176&gt;0),L176*1000+(999-ROW()),"")</f>
        <v/>
      </c>
      <c r="AM176" s="40">
        <f>IF(AND(AF176=1,J176&lt;&gt;"",J176&gt;0),ROUND(O176*10000,0)*1000000+K176*1000+(999-ROW()),"")</f>
        <v/>
      </c>
      <c r="AN176" s="40">
        <f>IF(AND(AF176=1,J176&lt;&gt;"",J176&gt;0),(L176+M176)*10000000+ROUND((1-O176)*10000,0)*1000+(999-ROW()),"")</f>
        <v/>
      </c>
      <c r="AO176" s="40">
        <f>IF(AND(AF176=1,Q176&lt;&gt;"",Q176&gt;=Thr_Critical),L176*1000+(999-ROW()),"")</f>
        <v/>
      </c>
      <c r="AP176" s="40">
        <f>IF(AND(B176&lt;&gt;"",F176="نشط",OR(Rpt_Class="الكل",D176=Rpt_Class)),1,0)</f>
        <v/>
      </c>
      <c r="AQ176" s="40">
        <f>IF(AND(AP176=1,Q176&lt;&gt;"",Q176&gt;0),L176*1000+(999-ROW()),"")</f>
        <v/>
      </c>
      <c r="AR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IF(LateAsPresent="نعم",COUNTIFS('KG1-6'!$AD30:$IM30,"متأخر",'KG1-6'!$AD$7:$IM$7,"✓",'KG1-6'!$AD$6:$IM$6,1,'KG1-6'!$AD$5:$IM$5,"&gt;="&amp;MAX('KG1-6'!$U30,Rpt_PStart),'KG1-6'!$AD$5:$IM$5,"&lt;="&amp;Rpt_PEnd),0))</f>
        <v/>
      </c>
      <c r="AS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COUNTIFS('KG1-6'!$AD30:$IM30,"غياب بدون عذر",'KG1-6'!$AD$7:$IM$7,"✓",'KG1-6'!$AD$6:$IM$6,1,'KG1-6'!$AD$5:$IM$5,"&gt;="&amp;MAX('KG1-6'!$U30,Rpt_PStart),'KG1-6'!$AD$5:$IM$5,"&lt;="&amp;Rpt_PEnd)+COUNTIFS('KG1-6'!$AD30:$IM30,"غياب بعذر",'KG1-6'!$AD$7:$IM$7,"✓",'KG1-6'!$AD$6:$IM$6,1,'KG1-6'!$AD$5:$IM$5,"&gt;="&amp;MAX('KG1-6'!$U30,Rpt_PStart),'KG1-6'!$AD$5:$IM$5,"&lt;="&amp;Rpt_PEnd)+COUNTIFS('KG1-6'!$AD30:$IM30,"متأخر",'KG1-6'!$AD$7:$IM$7,"✓",'KG1-6'!$AD$6:$IM$6,1,'KG1-6'!$AD$5:$IM$5,"&gt;="&amp;MAX('KG1-6'!$U30,Rpt_PStart),'KG1-6'!$AD$5:$IM$5,"&lt;="&amp;Rpt_PEnd))</f>
        <v/>
      </c>
      <c r="AT176" s="40">
        <f>IF(AP176=0,"",COUNTIFS('KG1-6'!$AD30:$IM30,"غياب بدون عذر",'KG1-6'!$AD$7:$IM$7,"✓",'KG1-6'!$AD$6:$IM$6,1,'KG1-6'!$AD$5:$IM$5,"&gt;="&amp;MAX('KG1-6'!$U30,Rpt_PStart),'KG1-6'!$AD$5:$IM$5,"&lt;="&amp;Rpt_PEnd)+COUNTIFS('KG1-6'!$AD30:$IM30,"غياب بعذر",'KG1-6'!$AD$7:$IM$7,"✓",'KG1-6'!$AD$6:$IM$6,1,'KG1-6'!$AD$5:$IM$5,"&gt;="&amp;MAX('KG1-6'!$U30,Rpt_PStart),'KG1-6'!$AD$5:$IM$5,"&lt;="&amp;Rpt_PEnd))</f>
        <v/>
      </c>
      <c r="AU176" s="40" t="n">
        <v>6</v>
      </c>
      <c r="AV176" s="40" t="n">
        <v>22</v>
      </c>
      <c r="AW176" s="40">
        <f>IF(OR(AP176=0,Rpt_DayIdx=0),"",IF(INDEX('KG1-6'!$AD$7:$IM$7,Rpt_DayIdx)&lt;&gt;"✓","",IF(INDEX('KG1-6'!$AD30:$IM30,Rpt_DayIdx)="","P",IFERROR(INDEX(StatusCodes,MATCH(INDEX('KG1-6'!$AD30:$IM30,Rpt_DayIdx),StatusLabels,0)),""))))</f>
        <v/>
      </c>
      <c r="AX176" s="40">
        <f>IF(AND(AP176=1,OR(AW176="A",AW176="E")),COUNTIFS($AP$5:AP176,1,$AW$5:AW176,"A")+COUNTIFS($AP$5:AP176,1,$AW$5:AW176,"E"),"")</f>
        <v/>
      </c>
    </row>
    <row r="177">
      <c r="A177" s="148">
        <f>IF(B177="","",ROW()-4)</f>
        <v/>
      </c>
      <c r="B177" s="148">
        <f>IF('KG1-6'!$B31="","",'KG1-6'!$B31)</f>
        <v/>
      </c>
      <c r="C177" s="146">
        <f>IF('KG1-6'!$C31="","",'KG1-6'!$C31)</f>
        <v/>
      </c>
      <c r="D177" s="148">
        <f>IF(B177="","",'KG1-6'!$B$2)</f>
        <v/>
      </c>
      <c r="E177" s="148">
        <f>IF(B177="","",MID(D177,FIND("-",D177&amp;"-")+1,10))</f>
        <v/>
      </c>
      <c r="F177" s="148">
        <f>IF(B177="","","نشط")</f>
        <v/>
      </c>
      <c r="G177" s="157">
        <f>IF(B177="","","")</f>
        <v/>
      </c>
      <c r="H177" s="146">
        <f>IF('KG1-6'!$K31="","",'KG1-6'!$K31)</f>
        <v/>
      </c>
      <c r="I177" s="148">
        <f>IF('KG1-6'!$J31="","",'KG1-6'!$J31)</f>
        <v/>
      </c>
      <c r="J177" s="148">
        <f>IF('KG1-6'!$M31="","",'KG1-6'!$M31)</f>
        <v/>
      </c>
      <c r="K177" s="148">
        <f>IF('KG1-6'!$N31="","",'KG1-6'!$N31)</f>
        <v/>
      </c>
      <c r="L177" s="148">
        <f>IF('KG1-6'!$D31="","",'KG1-6'!$D31)</f>
        <v/>
      </c>
      <c r="M177" s="148">
        <f>IF('KG1-6'!$E31="","",'KG1-6'!$E31)</f>
        <v/>
      </c>
      <c r="N177" s="148">
        <f>IF('KG1-6'!$F31="","",'KG1-6'!$F31)</f>
        <v/>
      </c>
      <c r="O177" s="158">
        <f>IF('KG1-6'!$G31="","",'KG1-6'!$G31)</f>
        <v/>
      </c>
      <c r="P177" s="158">
        <f>IF('KG1-6'!$O31="","",'KG1-6'!$O31)</f>
        <v/>
      </c>
      <c r="Q177" s="148">
        <f>IF('KG1-6'!$T31="","",'KG1-6'!$T31)</f>
        <v/>
      </c>
      <c r="R177" s="146">
        <f>IF('KG1-6'!$H31="","",'KG1-6'!$H31)</f>
        <v/>
      </c>
      <c r="S177" s="157">
        <f>IF('KG1-6'!$P31="","",'KG1-6'!$P31)</f>
        <v/>
      </c>
      <c r="T177" s="157">
        <f>IF('KG1-6'!$V31="","",'KG1-6'!$V31)</f>
        <v/>
      </c>
      <c r="U177" s="157">
        <f>IF('KG1-6'!$W31="","",'KG1-6'!$W31)</f>
        <v/>
      </c>
      <c r="V177" s="157">
        <f>IF('KG1-6'!$X31="","",'KG1-6'!$X31)</f>
        <v/>
      </c>
      <c r="W177" s="157">
        <f>IF('KG1-6'!$Y31="","",'KG1-6'!$Y31)</f>
        <v/>
      </c>
      <c r="X177" s="157">
        <f>IF('KG1-6'!$R31="","",'KG1-6'!$R31)</f>
        <v/>
      </c>
      <c r="Y177" s="148">
        <f>IF('KG1-6'!$S31="","",'KG1-6'!$S31)</f>
        <v/>
      </c>
      <c r="Z177" s="148">
        <f>IF('KG1-6'!$Q31="","",'KG1-6'!$Q31)</f>
        <v/>
      </c>
      <c r="AA177" s="148">
        <f>IF('KG1-6'!$I31="","",'KG1-6'!$I31)</f>
        <v/>
      </c>
      <c r="AB177" s="146">
        <f>IF(Q177="","",INDEX(LevelActions,MATCH(Q177,LevelValues,0)))</f>
        <v/>
      </c>
      <c r="AC177" s="148">
        <f>IF(J177="","",IF(J177=0,"—",IF(AND(L177=0,M177=0),Cat_L1,IF(O177&gt;=Cat_95,Cat_L2,IF(O177&gt;=Cat_90,Cat_L3,Cat_L4)))))</f>
        <v/>
      </c>
      <c r="AD177" s="146">
        <f>IF('KG1-6'!$L31="","",'KG1-6'!$L31)</f>
        <v/>
      </c>
      <c r="AE177" s="148">
        <f>IF(B177="","",IF(COUNTIF($B$5:$B$214,B177)&gt;1,"مكرر!",""))</f>
        <v/>
      </c>
      <c r="AF177" s="148">
        <f>IF(AND(B177&lt;&gt;"",F177="نشط",OR(Dash_Class="الكل",D177=Dash_Class)),1,0)</f>
        <v/>
      </c>
      <c r="AG177" s="40">
        <f>IF(OR(AF177=0,Dash_DayIdx=0),"",IF(INDEX('KG1-6'!$AD$7:$IM$7,Dash_DayIdx)&lt;&gt;"✓","",IF(INDEX('KG1-6'!$AD31:$IM31,Dash_DayIdx)="","P",IFERROR(INDEX(StatusCodes,MATCH(INDEX('KG1-6'!$AD31:$IM31,Dash_DayIdx),StatusLabels,0)),""))))</f>
        <v/>
      </c>
      <c r="AH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IF(LateAsPresent="نعم",COUNTIFS('KG1-6'!$AD31:$IM31,"متأخر",'KG1-6'!$AD$7:$IM$7,"✓",'KG1-6'!$AD$6:$IM$6,1,'KG1-6'!$AD$5:$IM$5,"&gt;="&amp;MAX('KG1-6'!$U31,Dash_PStart),'KG1-6'!$AD$5:$IM$5,"&lt;="&amp;Dash_PEnd),0))</f>
        <v/>
      </c>
      <c r="AI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COUNTIFS('KG1-6'!$AD31:$IM31,"غياب بدون عذر",'KG1-6'!$AD$7:$IM$7,"✓",'KG1-6'!$AD$6:$IM$6,1,'KG1-6'!$AD$5:$IM$5,"&gt;="&amp;MAX('KG1-6'!$U31,Dash_PStart),'KG1-6'!$AD$5:$IM$5,"&lt;="&amp;Dash_PEnd)+COUNTIFS('KG1-6'!$AD31:$IM31,"غياب بعذر",'KG1-6'!$AD$7:$IM$7,"✓",'KG1-6'!$AD$6:$IM$6,1,'KG1-6'!$AD$5:$IM$5,"&gt;="&amp;MAX('KG1-6'!$U31,Dash_PStart),'KG1-6'!$AD$5:$IM$5,"&lt;="&amp;Dash_PEnd)+COUNTIFS('KG1-6'!$AD31:$IM31,"متأخر",'KG1-6'!$AD$7:$IM$7,"✓",'KG1-6'!$AD$6:$IM$6,1,'KG1-6'!$AD$5:$IM$5,"&gt;="&amp;MAX('KG1-6'!$U31,Dash_PStart),'KG1-6'!$AD$5:$IM$5,"&lt;="&amp;Dash_PEnd))</f>
        <v/>
      </c>
      <c r="AJ177" s="40">
        <f>IF(AF177=0,0,IF(W177=Dash_Date,Thr_Critical,IF(V177=Dash_Date,Thr_High,IF(U177=Dash_Date,Thr_Repeated,IF(T177=Dash_Date,Thr_FollowUp,0)))))</f>
        <v/>
      </c>
      <c r="AK177" s="40">
        <f>IF(AJ177&gt;0,COUNTIF($AJ$5:AJ177,"&gt;0"),"")</f>
        <v/>
      </c>
      <c r="AL177" s="40">
        <f>IF(AND(B177&lt;&gt;"",F177="نشط",Q177&lt;&gt;"",Q177&gt;0),L177*1000+(999-ROW()),"")</f>
        <v/>
      </c>
      <c r="AM177" s="40">
        <f>IF(AND(AF177=1,J177&lt;&gt;"",J177&gt;0),ROUND(O177*10000,0)*1000000+K177*1000+(999-ROW()),"")</f>
        <v/>
      </c>
      <c r="AN177" s="40">
        <f>IF(AND(AF177=1,J177&lt;&gt;"",J177&gt;0),(L177+M177)*10000000+ROUND((1-O177)*10000,0)*1000+(999-ROW()),"")</f>
        <v/>
      </c>
      <c r="AO177" s="40">
        <f>IF(AND(AF177=1,Q177&lt;&gt;"",Q177&gt;=Thr_Critical),L177*1000+(999-ROW()),"")</f>
        <v/>
      </c>
      <c r="AP177" s="40">
        <f>IF(AND(B177&lt;&gt;"",F177="نشط",OR(Rpt_Class="الكل",D177=Rpt_Class)),1,0)</f>
        <v/>
      </c>
      <c r="AQ177" s="40">
        <f>IF(AND(AP177=1,Q177&lt;&gt;"",Q177&gt;0),L177*1000+(999-ROW()),"")</f>
        <v/>
      </c>
      <c r="AR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IF(LateAsPresent="نعم",COUNTIFS('KG1-6'!$AD31:$IM31,"متأخر",'KG1-6'!$AD$7:$IM$7,"✓",'KG1-6'!$AD$6:$IM$6,1,'KG1-6'!$AD$5:$IM$5,"&gt;="&amp;MAX('KG1-6'!$U31,Rpt_PStart),'KG1-6'!$AD$5:$IM$5,"&lt;="&amp;Rpt_PEnd),0))</f>
        <v/>
      </c>
      <c r="AS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COUNTIFS('KG1-6'!$AD31:$IM31,"غياب بدون عذر",'KG1-6'!$AD$7:$IM$7,"✓",'KG1-6'!$AD$6:$IM$6,1,'KG1-6'!$AD$5:$IM$5,"&gt;="&amp;MAX('KG1-6'!$U31,Rpt_PStart),'KG1-6'!$AD$5:$IM$5,"&lt;="&amp;Rpt_PEnd)+COUNTIFS('KG1-6'!$AD31:$IM31,"غياب بعذر",'KG1-6'!$AD$7:$IM$7,"✓",'KG1-6'!$AD$6:$IM$6,1,'KG1-6'!$AD$5:$IM$5,"&gt;="&amp;MAX('KG1-6'!$U31,Rpt_PStart),'KG1-6'!$AD$5:$IM$5,"&lt;="&amp;Rpt_PEnd)+COUNTIFS('KG1-6'!$AD31:$IM31,"متأخر",'KG1-6'!$AD$7:$IM$7,"✓",'KG1-6'!$AD$6:$IM$6,1,'KG1-6'!$AD$5:$IM$5,"&gt;="&amp;MAX('KG1-6'!$U31,Rpt_PStart),'KG1-6'!$AD$5:$IM$5,"&lt;="&amp;Rpt_PEnd))</f>
        <v/>
      </c>
      <c r="AT177" s="40">
        <f>IF(AP177=0,"",COUNTIFS('KG1-6'!$AD31:$IM31,"غياب بدون عذر",'KG1-6'!$AD$7:$IM$7,"✓",'KG1-6'!$AD$6:$IM$6,1,'KG1-6'!$AD$5:$IM$5,"&gt;="&amp;MAX('KG1-6'!$U31,Rpt_PStart),'KG1-6'!$AD$5:$IM$5,"&lt;="&amp;Rpt_PEnd)+COUNTIFS('KG1-6'!$AD31:$IM31,"غياب بعذر",'KG1-6'!$AD$7:$IM$7,"✓",'KG1-6'!$AD$6:$IM$6,1,'KG1-6'!$AD$5:$IM$5,"&gt;="&amp;MAX('KG1-6'!$U31,Rpt_PStart),'KG1-6'!$AD$5:$IM$5,"&lt;="&amp;Rpt_PEnd))</f>
        <v/>
      </c>
      <c r="AU177" s="40" t="n">
        <v>6</v>
      </c>
      <c r="AV177" s="40" t="n">
        <v>23</v>
      </c>
      <c r="AW177" s="40">
        <f>IF(OR(AP177=0,Rpt_DayIdx=0),"",IF(INDEX('KG1-6'!$AD$7:$IM$7,Rpt_DayIdx)&lt;&gt;"✓","",IF(INDEX('KG1-6'!$AD31:$IM31,Rpt_DayIdx)="","P",IFERROR(INDEX(StatusCodes,MATCH(INDEX('KG1-6'!$AD31:$IM31,Rpt_DayIdx),StatusLabels,0)),""))))</f>
        <v/>
      </c>
      <c r="AX177" s="40">
        <f>IF(AND(AP177=1,OR(AW177="A",AW177="E")),COUNTIFS($AP$5:AP177,1,$AW$5:AW177,"A")+COUNTIFS($AP$5:AP177,1,$AW$5:AW177,"E"),"")</f>
        <v/>
      </c>
    </row>
    <row r="178">
      <c r="A178" s="148">
        <f>IF(B178="","",ROW()-4)</f>
        <v/>
      </c>
      <c r="B178" s="148">
        <f>IF('KG1-6'!$B32="","",'KG1-6'!$B32)</f>
        <v/>
      </c>
      <c r="C178" s="146">
        <f>IF('KG1-6'!$C32="","",'KG1-6'!$C32)</f>
        <v/>
      </c>
      <c r="D178" s="148">
        <f>IF(B178="","",'KG1-6'!$B$2)</f>
        <v/>
      </c>
      <c r="E178" s="148">
        <f>IF(B178="","",MID(D178,FIND("-",D178&amp;"-")+1,10))</f>
        <v/>
      </c>
      <c r="F178" s="148">
        <f>IF(B178="","","نشط")</f>
        <v/>
      </c>
      <c r="G178" s="157">
        <f>IF(B178="","","")</f>
        <v/>
      </c>
      <c r="H178" s="146">
        <f>IF('KG1-6'!$K32="","",'KG1-6'!$K32)</f>
        <v/>
      </c>
      <c r="I178" s="148">
        <f>IF('KG1-6'!$J32="","",'KG1-6'!$J32)</f>
        <v/>
      </c>
      <c r="J178" s="148">
        <f>IF('KG1-6'!$M32="","",'KG1-6'!$M32)</f>
        <v/>
      </c>
      <c r="K178" s="148">
        <f>IF('KG1-6'!$N32="","",'KG1-6'!$N32)</f>
        <v/>
      </c>
      <c r="L178" s="148">
        <f>IF('KG1-6'!$D32="","",'KG1-6'!$D32)</f>
        <v/>
      </c>
      <c r="M178" s="148">
        <f>IF('KG1-6'!$E32="","",'KG1-6'!$E32)</f>
        <v/>
      </c>
      <c r="N178" s="148">
        <f>IF('KG1-6'!$F32="","",'KG1-6'!$F32)</f>
        <v/>
      </c>
      <c r="O178" s="158">
        <f>IF('KG1-6'!$G32="","",'KG1-6'!$G32)</f>
        <v/>
      </c>
      <c r="P178" s="158">
        <f>IF('KG1-6'!$O32="","",'KG1-6'!$O32)</f>
        <v/>
      </c>
      <c r="Q178" s="148">
        <f>IF('KG1-6'!$T32="","",'KG1-6'!$T32)</f>
        <v/>
      </c>
      <c r="R178" s="146">
        <f>IF('KG1-6'!$H32="","",'KG1-6'!$H32)</f>
        <v/>
      </c>
      <c r="S178" s="157">
        <f>IF('KG1-6'!$P32="","",'KG1-6'!$P32)</f>
        <v/>
      </c>
      <c r="T178" s="157">
        <f>IF('KG1-6'!$V32="","",'KG1-6'!$V32)</f>
        <v/>
      </c>
      <c r="U178" s="157">
        <f>IF('KG1-6'!$W32="","",'KG1-6'!$W32)</f>
        <v/>
      </c>
      <c r="V178" s="157">
        <f>IF('KG1-6'!$X32="","",'KG1-6'!$X32)</f>
        <v/>
      </c>
      <c r="W178" s="157">
        <f>IF('KG1-6'!$Y32="","",'KG1-6'!$Y32)</f>
        <v/>
      </c>
      <c r="X178" s="157">
        <f>IF('KG1-6'!$R32="","",'KG1-6'!$R32)</f>
        <v/>
      </c>
      <c r="Y178" s="148">
        <f>IF('KG1-6'!$S32="","",'KG1-6'!$S32)</f>
        <v/>
      </c>
      <c r="Z178" s="148">
        <f>IF('KG1-6'!$Q32="","",'KG1-6'!$Q32)</f>
        <v/>
      </c>
      <c r="AA178" s="148">
        <f>IF('KG1-6'!$I32="","",'KG1-6'!$I32)</f>
        <v/>
      </c>
      <c r="AB178" s="146">
        <f>IF(Q178="","",INDEX(LevelActions,MATCH(Q178,LevelValues,0)))</f>
        <v/>
      </c>
      <c r="AC178" s="148">
        <f>IF(J178="","",IF(J178=0,"—",IF(AND(L178=0,M178=0),Cat_L1,IF(O178&gt;=Cat_95,Cat_L2,IF(O178&gt;=Cat_90,Cat_L3,Cat_L4)))))</f>
        <v/>
      </c>
      <c r="AD178" s="146">
        <f>IF('KG1-6'!$L32="","",'KG1-6'!$L32)</f>
        <v/>
      </c>
      <c r="AE178" s="148">
        <f>IF(B178="","",IF(COUNTIF($B$5:$B$214,B178)&gt;1,"مكرر!",""))</f>
        <v/>
      </c>
      <c r="AF178" s="148">
        <f>IF(AND(B178&lt;&gt;"",F178="نشط",OR(Dash_Class="الكل",D178=Dash_Class)),1,0)</f>
        <v/>
      </c>
      <c r="AG178" s="40">
        <f>IF(OR(AF178=0,Dash_DayIdx=0),"",IF(INDEX('KG1-6'!$AD$7:$IM$7,Dash_DayIdx)&lt;&gt;"✓","",IF(INDEX('KG1-6'!$AD32:$IM32,Dash_DayIdx)="","P",IFERROR(INDEX(StatusCodes,MATCH(INDEX('KG1-6'!$AD32:$IM32,Dash_DayIdx),StatusLabels,0)),""))))</f>
        <v/>
      </c>
      <c r="AH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IF(LateAsPresent="نعم",COUNTIFS('KG1-6'!$AD32:$IM32,"متأخر",'KG1-6'!$AD$7:$IM$7,"✓",'KG1-6'!$AD$6:$IM$6,1,'KG1-6'!$AD$5:$IM$5,"&gt;="&amp;MAX('KG1-6'!$U32,Dash_PStart),'KG1-6'!$AD$5:$IM$5,"&lt;="&amp;Dash_PEnd),0))</f>
        <v/>
      </c>
      <c r="AI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COUNTIFS('KG1-6'!$AD32:$IM32,"غياب بدون عذر",'KG1-6'!$AD$7:$IM$7,"✓",'KG1-6'!$AD$6:$IM$6,1,'KG1-6'!$AD$5:$IM$5,"&gt;="&amp;MAX('KG1-6'!$U32,Dash_PStart),'KG1-6'!$AD$5:$IM$5,"&lt;="&amp;Dash_PEnd)+COUNTIFS('KG1-6'!$AD32:$IM32,"غياب بعذر",'KG1-6'!$AD$7:$IM$7,"✓",'KG1-6'!$AD$6:$IM$6,1,'KG1-6'!$AD$5:$IM$5,"&gt;="&amp;MAX('KG1-6'!$U32,Dash_PStart),'KG1-6'!$AD$5:$IM$5,"&lt;="&amp;Dash_PEnd)+COUNTIFS('KG1-6'!$AD32:$IM32,"متأخر",'KG1-6'!$AD$7:$IM$7,"✓",'KG1-6'!$AD$6:$IM$6,1,'KG1-6'!$AD$5:$IM$5,"&gt;="&amp;MAX('KG1-6'!$U32,Dash_PStart),'KG1-6'!$AD$5:$IM$5,"&lt;="&amp;Dash_PEnd))</f>
        <v/>
      </c>
      <c r="AJ178" s="40">
        <f>IF(AF178=0,0,IF(W178=Dash_Date,Thr_Critical,IF(V178=Dash_Date,Thr_High,IF(U178=Dash_Date,Thr_Repeated,IF(T178=Dash_Date,Thr_FollowUp,0)))))</f>
        <v/>
      </c>
      <c r="AK178" s="40">
        <f>IF(AJ178&gt;0,COUNTIF($AJ$5:AJ178,"&gt;0"),"")</f>
        <v/>
      </c>
      <c r="AL178" s="40">
        <f>IF(AND(B178&lt;&gt;"",F178="نشط",Q178&lt;&gt;"",Q178&gt;0),L178*1000+(999-ROW()),"")</f>
        <v/>
      </c>
      <c r="AM178" s="40">
        <f>IF(AND(AF178=1,J178&lt;&gt;"",J178&gt;0),ROUND(O178*10000,0)*1000000+K178*1000+(999-ROW()),"")</f>
        <v/>
      </c>
      <c r="AN178" s="40">
        <f>IF(AND(AF178=1,J178&lt;&gt;"",J178&gt;0),(L178+M178)*10000000+ROUND((1-O178)*10000,0)*1000+(999-ROW()),"")</f>
        <v/>
      </c>
      <c r="AO178" s="40">
        <f>IF(AND(AF178=1,Q178&lt;&gt;"",Q178&gt;=Thr_Critical),L178*1000+(999-ROW()),"")</f>
        <v/>
      </c>
      <c r="AP178" s="40">
        <f>IF(AND(B178&lt;&gt;"",F178="نشط",OR(Rpt_Class="الكل",D178=Rpt_Class)),1,0)</f>
        <v/>
      </c>
      <c r="AQ178" s="40">
        <f>IF(AND(AP178=1,Q178&lt;&gt;"",Q178&gt;0),L178*1000+(999-ROW()),"")</f>
        <v/>
      </c>
      <c r="AR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IF(LateAsPresent="نعم",COUNTIFS('KG1-6'!$AD32:$IM32,"متأخر",'KG1-6'!$AD$7:$IM$7,"✓",'KG1-6'!$AD$6:$IM$6,1,'KG1-6'!$AD$5:$IM$5,"&gt;="&amp;MAX('KG1-6'!$U32,Rpt_PStart),'KG1-6'!$AD$5:$IM$5,"&lt;="&amp;Rpt_PEnd),0))</f>
        <v/>
      </c>
      <c r="AS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COUNTIFS('KG1-6'!$AD32:$IM32,"غياب بدون عذر",'KG1-6'!$AD$7:$IM$7,"✓",'KG1-6'!$AD$6:$IM$6,1,'KG1-6'!$AD$5:$IM$5,"&gt;="&amp;MAX('KG1-6'!$U32,Rpt_PStart),'KG1-6'!$AD$5:$IM$5,"&lt;="&amp;Rpt_PEnd)+COUNTIFS('KG1-6'!$AD32:$IM32,"غياب بعذر",'KG1-6'!$AD$7:$IM$7,"✓",'KG1-6'!$AD$6:$IM$6,1,'KG1-6'!$AD$5:$IM$5,"&gt;="&amp;MAX('KG1-6'!$U32,Rpt_PStart),'KG1-6'!$AD$5:$IM$5,"&lt;="&amp;Rpt_PEnd)+COUNTIFS('KG1-6'!$AD32:$IM32,"متأخر",'KG1-6'!$AD$7:$IM$7,"✓",'KG1-6'!$AD$6:$IM$6,1,'KG1-6'!$AD$5:$IM$5,"&gt;="&amp;MAX('KG1-6'!$U32,Rpt_PStart),'KG1-6'!$AD$5:$IM$5,"&lt;="&amp;Rpt_PEnd))</f>
        <v/>
      </c>
      <c r="AT178" s="40">
        <f>IF(AP178=0,"",COUNTIFS('KG1-6'!$AD32:$IM32,"غياب بدون عذر",'KG1-6'!$AD$7:$IM$7,"✓",'KG1-6'!$AD$6:$IM$6,1,'KG1-6'!$AD$5:$IM$5,"&gt;="&amp;MAX('KG1-6'!$U32,Rpt_PStart),'KG1-6'!$AD$5:$IM$5,"&lt;="&amp;Rpt_PEnd)+COUNTIFS('KG1-6'!$AD32:$IM32,"غياب بعذر",'KG1-6'!$AD$7:$IM$7,"✓",'KG1-6'!$AD$6:$IM$6,1,'KG1-6'!$AD$5:$IM$5,"&gt;="&amp;MAX('KG1-6'!$U32,Rpt_PStart),'KG1-6'!$AD$5:$IM$5,"&lt;="&amp;Rpt_PEnd))</f>
        <v/>
      </c>
      <c r="AU178" s="40" t="n">
        <v>6</v>
      </c>
      <c r="AV178" s="40" t="n">
        <v>24</v>
      </c>
      <c r="AW178" s="40">
        <f>IF(OR(AP178=0,Rpt_DayIdx=0),"",IF(INDEX('KG1-6'!$AD$7:$IM$7,Rpt_DayIdx)&lt;&gt;"✓","",IF(INDEX('KG1-6'!$AD32:$IM32,Rpt_DayIdx)="","P",IFERROR(INDEX(StatusCodes,MATCH(INDEX('KG1-6'!$AD32:$IM32,Rpt_DayIdx),StatusLabels,0)),""))))</f>
        <v/>
      </c>
      <c r="AX178" s="40">
        <f>IF(AND(AP178=1,OR(AW178="A",AW178="E")),COUNTIFS($AP$5:AP178,1,$AW$5:AW178,"A")+COUNTIFS($AP$5:AP178,1,$AW$5:AW178,"E"),"")</f>
        <v/>
      </c>
    </row>
    <row r="179">
      <c r="A179" s="148">
        <f>IF(B179="","",ROW()-4)</f>
        <v/>
      </c>
      <c r="B179" s="148">
        <f>IF('KG1-6'!$B33="","",'KG1-6'!$B33)</f>
        <v/>
      </c>
      <c r="C179" s="146">
        <f>IF('KG1-6'!$C33="","",'KG1-6'!$C33)</f>
        <v/>
      </c>
      <c r="D179" s="148">
        <f>IF(B179="","",'KG1-6'!$B$2)</f>
        <v/>
      </c>
      <c r="E179" s="148">
        <f>IF(B179="","",MID(D179,FIND("-",D179&amp;"-")+1,10))</f>
        <v/>
      </c>
      <c r="F179" s="148">
        <f>IF(B179="","","نشط")</f>
        <v/>
      </c>
      <c r="G179" s="157">
        <f>IF(B179="","","")</f>
        <v/>
      </c>
      <c r="H179" s="146">
        <f>IF('KG1-6'!$K33="","",'KG1-6'!$K33)</f>
        <v/>
      </c>
      <c r="I179" s="148">
        <f>IF('KG1-6'!$J33="","",'KG1-6'!$J33)</f>
        <v/>
      </c>
      <c r="J179" s="148">
        <f>IF('KG1-6'!$M33="","",'KG1-6'!$M33)</f>
        <v/>
      </c>
      <c r="K179" s="148">
        <f>IF('KG1-6'!$N33="","",'KG1-6'!$N33)</f>
        <v/>
      </c>
      <c r="L179" s="148">
        <f>IF('KG1-6'!$D33="","",'KG1-6'!$D33)</f>
        <v/>
      </c>
      <c r="M179" s="148">
        <f>IF('KG1-6'!$E33="","",'KG1-6'!$E33)</f>
        <v/>
      </c>
      <c r="N179" s="148">
        <f>IF('KG1-6'!$F33="","",'KG1-6'!$F33)</f>
        <v/>
      </c>
      <c r="O179" s="158">
        <f>IF('KG1-6'!$G33="","",'KG1-6'!$G33)</f>
        <v/>
      </c>
      <c r="P179" s="158">
        <f>IF('KG1-6'!$O33="","",'KG1-6'!$O33)</f>
        <v/>
      </c>
      <c r="Q179" s="148">
        <f>IF('KG1-6'!$T33="","",'KG1-6'!$T33)</f>
        <v/>
      </c>
      <c r="R179" s="146">
        <f>IF('KG1-6'!$H33="","",'KG1-6'!$H33)</f>
        <v/>
      </c>
      <c r="S179" s="157">
        <f>IF('KG1-6'!$P33="","",'KG1-6'!$P33)</f>
        <v/>
      </c>
      <c r="T179" s="157">
        <f>IF('KG1-6'!$V33="","",'KG1-6'!$V33)</f>
        <v/>
      </c>
      <c r="U179" s="157">
        <f>IF('KG1-6'!$W33="","",'KG1-6'!$W33)</f>
        <v/>
      </c>
      <c r="V179" s="157">
        <f>IF('KG1-6'!$X33="","",'KG1-6'!$X33)</f>
        <v/>
      </c>
      <c r="W179" s="157">
        <f>IF('KG1-6'!$Y33="","",'KG1-6'!$Y33)</f>
        <v/>
      </c>
      <c r="X179" s="157">
        <f>IF('KG1-6'!$R33="","",'KG1-6'!$R33)</f>
        <v/>
      </c>
      <c r="Y179" s="148">
        <f>IF('KG1-6'!$S33="","",'KG1-6'!$S33)</f>
        <v/>
      </c>
      <c r="Z179" s="148">
        <f>IF('KG1-6'!$Q33="","",'KG1-6'!$Q33)</f>
        <v/>
      </c>
      <c r="AA179" s="148">
        <f>IF('KG1-6'!$I33="","",'KG1-6'!$I33)</f>
        <v/>
      </c>
      <c r="AB179" s="146">
        <f>IF(Q179="","",INDEX(LevelActions,MATCH(Q179,LevelValues,0)))</f>
        <v/>
      </c>
      <c r="AC179" s="148">
        <f>IF(J179="","",IF(J179=0,"—",IF(AND(L179=0,M179=0),Cat_L1,IF(O179&gt;=Cat_95,Cat_L2,IF(O179&gt;=Cat_90,Cat_L3,Cat_L4)))))</f>
        <v/>
      </c>
      <c r="AD179" s="146">
        <f>IF('KG1-6'!$L33="","",'KG1-6'!$L33)</f>
        <v/>
      </c>
      <c r="AE179" s="148">
        <f>IF(B179="","",IF(COUNTIF($B$5:$B$214,B179)&gt;1,"مكرر!",""))</f>
        <v/>
      </c>
      <c r="AF179" s="148">
        <f>IF(AND(B179&lt;&gt;"",F179="نشط",OR(Dash_Class="الكل",D179=Dash_Class)),1,0)</f>
        <v/>
      </c>
      <c r="AG179" s="40">
        <f>IF(OR(AF179=0,Dash_DayIdx=0),"",IF(INDEX('KG1-6'!$AD$7:$IM$7,Dash_DayIdx)&lt;&gt;"✓","",IF(INDEX('KG1-6'!$AD33:$IM33,Dash_DayIdx)="","P",IFERROR(INDEX(StatusCodes,MATCH(INDEX('KG1-6'!$AD33:$IM33,Dash_DayIdx),StatusLabels,0)),""))))</f>
        <v/>
      </c>
      <c r="AH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IF(LateAsPresent="نعم",COUNTIFS('KG1-6'!$AD33:$IM33,"متأخر",'KG1-6'!$AD$7:$IM$7,"✓",'KG1-6'!$AD$6:$IM$6,1,'KG1-6'!$AD$5:$IM$5,"&gt;="&amp;MAX('KG1-6'!$U33,Dash_PStart),'KG1-6'!$AD$5:$IM$5,"&lt;="&amp;Dash_PEnd),0))</f>
        <v/>
      </c>
      <c r="AI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COUNTIFS('KG1-6'!$AD33:$IM33,"غياب بدون عذر",'KG1-6'!$AD$7:$IM$7,"✓",'KG1-6'!$AD$6:$IM$6,1,'KG1-6'!$AD$5:$IM$5,"&gt;="&amp;MAX('KG1-6'!$U33,Dash_PStart),'KG1-6'!$AD$5:$IM$5,"&lt;="&amp;Dash_PEnd)+COUNTIFS('KG1-6'!$AD33:$IM33,"غياب بعذر",'KG1-6'!$AD$7:$IM$7,"✓",'KG1-6'!$AD$6:$IM$6,1,'KG1-6'!$AD$5:$IM$5,"&gt;="&amp;MAX('KG1-6'!$U33,Dash_PStart),'KG1-6'!$AD$5:$IM$5,"&lt;="&amp;Dash_PEnd)+COUNTIFS('KG1-6'!$AD33:$IM33,"متأخر",'KG1-6'!$AD$7:$IM$7,"✓",'KG1-6'!$AD$6:$IM$6,1,'KG1-6'!$AD$5:$IM$5,"&gt;="&amp;MAX('KG1-6'!$U33,Dash_PStart),'KG1-6'!$AD$5:$IM$5,"&lt;="&amp;Dash_PEnd))</f>
        <v/>
      </c>
      <c r="AJ179" s="40">
        <f>IF(AF179=0,0,IF(W179=Dash_Date,Thr_Critical,IF(V179=Dash_Date,Thr_High,IF(U179=Dash_Date,Thr_Repeated,IF(T179=Dash_Date,Thr_FollowUp,0)))))</f>
        <v/>
      </c>
      <c r="AK179" s="40">
        <f>IF(AJ179&gt;0,COUNTIF($AJ$5:AJ179,"&gt;0"),"")</f>
        <v/>
      </c>
      <c r="AL179" s="40">
        <f>IF(AND(B179&lt;&gt;"",F179="نشط",Q179&lt;&gt;"",Q179&gt;0),L179*1000+(999-ROW()),"")</f>
        <v/>
      </c>
      <c r="AM179" s="40">
        <f>IF(AND(AF179=1,J179&lt;&gt;"",J179&gt;0),ROUND(O179*10000,0)*1000000+K179*1000+(999-ROW()),"")</f>
        <v/>
      </c>
      <c r="AN179" s="40">
        <f>IF(AND(AF179=1,J179&lt;&gt;"",J179&gt;0),(L179+M179)*10000000+ROUND((1-O179)*10000,0)*1000+(999-ROW()),"")</f>
        <v/>
      </c>
      <c r="AO179" s="40">
        <f>IF(AND(AF179=1,Q179&lt;&gt;"",Q179&gt;=Thr_Critical),L179*1000+(999-ROW()),"")</f>
        <v/>
      </c>
      <c r="AP179" s="40">
        <f>IF(AND(B179&lt;&gt;"",F179="نشط",OR(Rpt_Class="الكل",D179=Rpt_Class)),1,0)</f>
        <v/>
      </c>
      <c r="AQ179" s="40">
        <f>IF(AND(AP179=1,Q179&lt;&gt;"",Q179&gt;0),L179*1000+(999-ROW()),"")</f>
        <v/>
      </c>
      <c r="AR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IF(LateAsPresent="نعم",COUNTIFS('KG1-6'!$AD33:$IM33,"متأخر",'KG1-6'!$AD$7:$IM$7,"✓",'KG1-6'!$AD$6:$IM$6,1,'KG1-6'!$AD$5:$IM$5,"&gt;="&amp;MAX('KG1-6'!$U33,Rpt_PStart),'KG1-6'!$AD$5:$IM$5,"&lt;="&amp;Rpt_PEnd),0))</f>
        <v/>
      </c>
      <c r="AS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COUNTIFS('KG1-6'!$AD33:$IM33,"غياب بدون عذر",'KG1-6'!$AD$7:$IM$7,"✓",'KG1-6'!$AD$6:$IM$6,1,'KG1-6'!$AD$5:$IM$5,"&gt;="&amp;MAX('KG1-6'!$U33,Rpt_PStart),'KG1-6'!$AD$5:$IM$5,"&lt;="&amp;Rpt_PEnd)+COUNTIFS('KG1-6'!$AD33:$IM33,"غياب بعذر",'KG1-6'!$AD$7:$IM$7,"✓",'KG1-6'!$AD$6:$IM$6,1,'KG1-6'!$AD$5:$IM$5,"&gt;="&amp;MAX('KG1-6'!$U33,Rpt_PStart),'KG1-6'!$AD$5:$IM$5,"&lt;="&amp;Rpt_PEnd)+COUNTIFS('KG1-6'!$AD33:$IM33,"متأخر",'KG1-6'!$AD$7:$IM$7,"✓",'KG1-6'!$AD$6:$IM$6,1,'KG1-6'!$AD$5:$IM$5,"&gt;="&amp;MAX('KG1-6'!$U33,Rpt_PStart),'KG1-6'!$AD$5:$IM$5,"&lt;="&amp;Rpt_PEnd))</f>
        <v/>
      </c>
      <c r="AT179" s="40">
        <f>IF(AP179=0,"",COUNTIFS('KG1-6'!$AD33:$IM33,"غياب بدون عذر",'KG1-6'!$AD$7:$IM$7,"✓",'KG1-6'!$AD$6:$IM$6,1,'KG1-6'!$AD$5:$IM$5,"&gt;="&amp;MAX('KG1-6'!$U33,Rpt_PStart),'KG1-6'!$AD$5:$IM$5,"&lt;="&amp;Rpt_PEnd)+COUNTIFS('KG1-6'!$AD33:$IM33,"غياب بعذر",'KG1-6'!$AD$7:$IM$7,"✓",'KG1-6'!$AD$6:$IM$6,1,'KG1-6'!$AD$5:$IM$5,"&gt;="&amp;MAX('KG1-6'!$U33,Rpt_PStart),'KG1-6'!$AD$5:$IM$5,"&lt;="&amp;Rpt_PEnd))</f>
        <v/>
      </c>
      <c r="AU179" s="40" t="n">
        <v>6</v>
      </c>
      <c r="AV179" s="40" t="n">
        <v>25</v>
      </c>
      <c r="AW179" s="40">
        <f>IF(OR(AP179=0,Rpt_DayIdx=0),"",IF(INDEX('KG1-6'!$AD$7:$IM$7,Rpt_DayIdx)&lt;&gt;"✓","",IF(INDEX('KG1-6'!$AD33:$IM33,Rpt_DayIdx)="","P",IFERROR(INDEX(StatusCodes,MATCH(INDEX('KG1-6'!$AD33:$IM33,Rpt_DayIdx),StatusLabels,0)),""))))</f>
        <v/>
      </c>
      <c r="AX179" s="40">
        <f>IF(AND(AP179=1,OR(AW179="A",AW179="E")),COUNTIFS($AP$5:AP179,1,$AW$5:AW179,"A")+COUNTIFS($AP$5:AP179,1,$AW$5:AW179,"E"),"")</f>
        <v/>
      </c>
    </row>
    <row r="180">
      <c r="A180" s="148">
        <f>IF(B180="","",ROW()-4)</f>
        <v/>
      </c>
      <c r="B180" s="148">
        <f>IF('KG1-6'!$B34="","",'KG1-6'!$B34)</f>
        <v/>
      </c>
      <c r="C180" s="146">
        <f>IF('KG1-6'!$C34="","",'KG1-6'!$C34)</f>
        <v/>
      </c>
      <c r="D180" s="148">
        <f>IF(B180="","",'KG1-6'!$B$2)</f>
        <v/>
      </c>
      <c r="E180" s="148">
        <f>IF(B180="","",MID(D180,FIND("-",D180&amp;"-")+1,10))</f>
        <v/>
      </c>
      <c r="F180" s="148">
        <f>IF(B180="","","نشط")</f>
        <v/>
      </c>
      <c r="G180" s="157">
        <f>IF(B180="","","")</f>
        <v/>
      </c>
      <c r="H180" s="146">
        <f>IF('KG1-6'!$K34="","",'KG1-6'!$K34)</f>
        <v/>
      </c>
      <c r="I180" s="148">
        <f>IF('KG1-6'!$J34="","",'KG1-6'!$J34)</f>
        <v/>
      </c>
      <c r="J180" s="148">
        <f>IF('KG1-6'!$M34="","",'KG1-6'!$M34)</f>
        <v/>
      </c>
      <c r="K180" s="148">
        <f>IF('KG1-6'!$N34="","",'KG1-6'!$N34)</f>
        <v/>
      </c>
      <c r="L180" s="148">
        <f>IF('KG1-6'!$D34="","",'KG1-6'!$D34)</f>
        <v/>
      </c>
      <c r="M180" s="148">
        <f>IF('KG1-6'!$E34="","",'KG1-6'!$E34)</f>
        <v/>
      </c>
      <c r="N180" s="148">
        <f>IF('KG1-6'!$F34="","",'KG1-6'!$F34)</f>
        <v/>
      </c>
      <c r="O180" s="158">
        <f>IF('KG1-6'!$G34="","",'KG1-6'!$G34)</f>
        <v/>
      </c>
      <c r="P180" s="158">
        <f>IF('KG1-6'!$O34="","",'KG1-6'!$O34)</f>
        <v/>
      </c>
      <c r="Q180" s="148">
        <f>IF('KG1-6'!$T34="","",'KG1-6'!$T34)</f>
        <v/>
      </c>
      <c r="R180" s="146">
        <f>IF('KG1-6'!$H34="","",'KG1-6'!$H34)</f>
        <v/>
      </c>
      <c r="S180" s="157">
        <f>IF('KG1-6'!$P34="","",'KG1-6'!$P34)</f>
        <v/>
      </c>
      <c r="T180" s="157">
        <f>IF('KG1-6'!$V34="","",'KG1-6'!$V34)</f>
        <v/>
      </c>
      <c r="U180" s="157">
        <f>IF('KG1-6'!$W34="","",'KG1-6'!$W34)</f>
        <v/>
      </c>
      <c r="V180" s="157">
        <f>IF('KG1-6'!$X34="","",'KG1-6'!$X34)</f>
        <v/>
      </c>
      <c r="W180" s="157">
        <f>IF('KG1-6'!$Y34="","",'KG1-6'!$Y34)</f>
        <v/>
      </c>
      <c r="X180" s="157">
        <f>IF('KG1-6'!$R34="","",'KG1-6'!$R34)</f>
        <v/>
      </c>
      <c r="Y180" s="148">
        <f>IF('KG1-6'!$S34="","",'KG1-6'!$S34)</f>
        <v/>
      </c>
      <c r="Z180" s="148">
        <f>IF('KG1-6'!$Q34="","",'KG1-6'!$Q34)</f>
        <v/>
      </c>
      <c r="AA180" s="148">
        <f>IF('KG1-6'!$I34="","",'KG1-6'!$I34)</f>
        <v/>
      </c>
      <c r="AB180" s="146">
        <f>IF(Q180="","",INDEX(LevelActions,MATCH(Q180,LevelValues,0)))</f>
        <v/>
      </c>
      <c r="AC180" s="148">
        <f>IF(J180="","",IF(J180=0,"—",IF(AND(L180=0,M180=0),Cat_L1,IF(O180&gt;=Cat_95,Cat_L2,IF(O180&gt;=Cat_90,Cat_L3,Cat_L4)))))</f>
        <v/>
      </c>
      <c r="AD180" s="146">
        <f>IF('KG1-6'!$L34="","",'KG1-6'!$L34)</f>
        <v/>
      </c>
      <c r="AE180" s="148">
        <f>IF(B180="","",IF(COUNTIF($B$5:$B$214,B180)&gt;1,"مكرر!",""))</f>
        <v/>
      </c>
      <c r="AF180" s="148">
        <f>IF(AND(B180&lt;&gt;"",F180="نشط",OR(Dash_Class="الكل",D180=Dash_Class)),1,0)</f>
        <v/>
      </c>
      <c r="AG180" s="40">
        <f>IF(OR(AF180=0,Dash_DayIdx=0),"",IF(INDEX('KG1-6'!$AD$7:$IM$7,Dash_DayIdx)&lt;&gt;"✓","",IF(INDEX('KG1-6'!$AD34:$IM34,Dash_DayIdx)="","P",IFERROR(INDEX(StatusCodes,MATCH(INDEX('KG1-6'!$AD34:$IM34,Dash_DayIdx),StatusLabels,0)),""))))</f>
        <v/>
      </c>
      <c r="AH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IF(LateAsPresent="نعم",COUNTIFS('KG1-6'!$AD34:$IM34,"متأخر",'KG1-6'!$AD$7:$IM$7,"✓",'KG1-6'!$AD$6:$IM$6,1,'KG1-6'!$AD$5:$IM$5,"&gt;="&amp;MAX('KG1-6'!$U34,Dash_PStart),'KG1-6'!$AD$5:$IM$5,"&lt;="&amp;Dash_PEnd),0))</f>
        <v/>
      </c>
      <c r="AI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COUNTIFS('KG1-6'!$AD34:$IM34,"غياب بدون عذر",'KG1-6'!$AD$7:$IM$7,"✓",'KG1-6'!$AD$6:$IM$6,1,'KG1-6'!$AD$5:$IM$5,"&gt;="&amp;MAX('KG1-6'!$U34,Dash_PStart),'KG1-6'!$AD$5:$IM$5,"&lt;="&amp;Dash_PEnd)+COUNTIFS('KG1-6'!$AD34:$IM34,"غياب بعذر",'KG1-6'!$AD$7:$IM$7,"✓",'KG1-6'!$AD$6:$IM$6,1,'KG1-6'!$AD$5:$IM$5,"&gt;="&amp;MAX('KG1-6'!$U34,Dash_PStart),'KG1-6'!$AD$5:$IM$5,"&lt;="&amp;Dash_PEnd)+COUNTIFS('KG1-6'!$AD34:$IM34,"متأخر",'KG1-6'!$AD$7:$IM$7,"✓",'KG1-6'!$AD$6:$IM$6,1,'KG1-6'!$AD$5:$IM$5,"&gt;="&amp;MAX('KG1-6'!$U34,Dash_PStart),'KG1-6'!$AD$5:$IM$5,"&lt;="&amp;Dash_PEnd))</f>
        <v/>
      </c>
      <c r="AJ180" s="40">
        <f>IF(AF180=0,0,IF(W180=Dash_Date,Thr_Critical,IF(V180=Dash_Date,Thr_High,IF(U180=Dash_Date,Thr_Repeated,IF(T180=Dash_Date,Thr_FollowUp,0)))))</f>
        <v/>
      </c>
      <c r="AK180" s="40">
        <f>IF(AJ180&gt;0,COUNTIF($AJ$5:AJ180,"&gt;0"),"")</f>
        <v/>
      </c>
      <c r="AL180" s="40">
        <f>IF(AND(B180&lt;&gt;"",F180="نشط",Q180&lt;&gt;"",Q180&gt;0),L180*1000+(999-ROW()),"")</f>
        <v/>
      </c>
      <c r="AM180" s="40">
        <f>IF(AND(AF180=1,J180&lt;&gt;"",J180&gt;0),ROUND(O180*10000,0)*1000000+K180*1000+(999-ROW()),"")</f>
        <v/>
      </c>
      <c r="AN180" s="40">
        <f>IF(AND(AF180=1,J180&lt;&gt;"",J180&gt;0),(L180+M180)*10000000+ROUND((1-O180)*10000,0)*1000+(999-ROW()),"")</f>
        <v/>
      </c>
      <c r="AO180" s="40">
        <f>IF(AND(AF180=1,Q180&lt;&gt;"",Q180&gt;=Thr_Critical),L180*1000+(999-ROW()),"")</f>
        <v/>
      </c>
      <c r="AP180" s="40">
        <f>IF(AND(B180&lt;&gt;"",F180="نشط",OR(Rpt_Class="الكل",D180=Rpt_Class)),1,0)</f>
        <v/>
      </c>
      <c r="AQ180" s="40">
        <f>IF(AND(AP180=1,Q180&lt;&gt;"",Q180&gt;0),L180*1000+(999-ROW()),"")</f>
        <v/>
      </c>
      <c r="AR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IF(LateAsPresent="نعم",COUNTIFS('KG1-6'!$AD34:$IM34,"متأخر",'KG1-6'!$AD$7:$IM$7,"✓",'KG1-6'!$AD$6:$IM$6,1,'KG1-6'!$AD$5:$IM$5,"&gt;="&amp;MAX('KG1-6'!$U34,Rpt_PStart),'KG1-6'!$AD$5:$IM$5,"&lt;="&amp;Rpt_PEnd),0))</f>
        <v/>
      </c>
      <c r="AS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COUNTIFS('KG1-6'!$AD34:$IM34,"غياب بدون عذر",'KG1-6'!$AD$7:$IM$7,"✓",'KG1-6'!$AD$6:$IM$6,1,'KG1-6'!$AD$5:$IM$5,"&gt;="&amp;MAX('KG1-6'!$U34,Rpt_PStart),'KG1-6'!$AD$5:$IM$5,"&lt;="&amp;Rpt_PEnd)+COUNTIFS('KG1-6'!$AD34:$IM34,"غياب بعذر",'KG1-6'!$AD$7:$IM$7,"✓",'KG1-6'!$AD$6:$IM$6,1,'KG1-6'!$AD$5:$IM$5,"&gt;="&amp;MAX('KG1-6'!$U34,Rpt_PStart),'KG1-6'!$AD$5:$IM$5,"&lt;="&amp;Rpt_PEnd)+COUNTIFS('KG1-6'!$AD34:$IM34,"متأخر",'KG1-6'!$AD$7:$IM$7,"✓",'KG1-6'!$AD$6:$IM$6,1,'KG1-6'!$AD$5:$IM$5,"&gt;="&amp;MAX('KG1-6'!$U34,Rpt_PStart),'KG1-6'!$AD$5:$IM$5,"&lt;="&amp;Rpt_PEnd))</f>
        <v/>
      </c>
      <c r="AT180" s="40">
        <f>IF(AP180=0,"",COUNTIFS('KG1-6'!$AD34:$IM34,"غياب بدون عذر",'KG1-6'!$AD$7:$IM$7,"✓",'KG1-6'!$AD$6:$IM$6,1,'KG1-6'!$AD$5:$IM$5,"&gt;="&amp;MAX('KG1-6'!$U34,Rpt_PStart),'KG1-6'!$AD$5:$IM$5,"&lt;="&amp;Rpt_PEnd)+COUNTIFS('KG1-6'!$AD34:$IM34,"غياب بعذر",'KG1-6'!$AD$7:$IM$7,"✓",'KG1-6'!$AD$6:$IM$6,1,'KG1-6'!$AD$5:$IM$5,"&gt;="&amp;MAX('KG1-6'!$U34,Rpt_PStart),'KG1-6'!$AD$5:$IM$5,"&lt;="&amp;Rpt_PEnd))</f>
        <v/>
      </c>
      <c r="AU180" s="40" t="n">
        <v>6</v>
      </c>
      <c r="AV180" s="40" t="n">
        <v>26</v>
      </c>
      <c r="AW180" s="40">
        <f>IF(OR(AP180=0,Rpt_DayIdx=0),"",IF(INDEX('KG1-6'!$AD$7:$IM$7,Rpt_DayIdx)&lt;&gt;"✓","",IF(INDEX('KG1-6'!$AD34:$IM34,Rpt_DayIdx)="","P",IFERROR(INDEX(StatusCodes,MATCH(INDEX('KG1-6'!$AD34:$IM34,Rpt_DayIdx),StatusLabels,0)),""))))</f>
        <v/>
      </c>
      <c r="AX180" s="40">
        <f>IF(AND(AP180=1,OR(AW180="A",AW180="E")),COUNTIFS($AP$5:AP180,1,$AW$5:AW180,"A")+COUNTIFS($AP$5:AP180,1,$AW$5:AW180,"E"),"")</f>
        <v/>
      </c>
    </row>
    <row r="181">
      <c r="A181" s="148">
        <f>IF(B181="","",ROW()-4)</f>
        <v/>
      </c>
      <c r="B181" s="148">
        <f>IF('KG1-6'!$B35="","",'KG1-6'!$B35)</f>
        <v/>
      </c>
      <c r="C181" s="146">
        <f>IF('KG1-6'!$C35="","",'KG1-6'!$C35)</f>
        <v/>
      </c>
      <c r="D181" s="148">
        <f>IF(B181="","",'KG1-6'!$B$2)</f>
        <v/>
      </c>
      <c r="E181" s="148">
        <f>IF(B181="","",MID(D181,FIND("-",D181&amp;"-")+1,10))</f>
        <v/>
      </c>
      <c r="F181" s="148">
        <f>IF(B181="","","نشط")</f>
        <v/>
      </c>
      <c r="G181" s="157">
        <f>IF(B181="","","")</f>
        <v/>
      </c>
      <c r="H181" s="146">
        <f>IF('KG1-6'!$K35="","",'KG1-6'!$K35)</f>
        <v/>
      </c>
      <c r="I181" s="148">
        <f>IF('KG1-6'!$J35="","",'KG1-6'!$J35)</f>
        <v/>
      </c>
      <c r="J181" s="148">
        <f>IF('KG1-6'!$M35="","",'KG1-6'!$M35)</f>
        <v/>
      </c>
      <c r="K181" s="148">
        <f>IF('KG1-6'!$N35="","",'KG1-6'!$N35)</f>
        <v/>
      </c>
      <c r="L181" s="148">
        <f>IF('KG1-6'!$D35="","",'KG1-6'!$D35)</f>
        <v/>
      </c>
      <c r="M181" s="148">
        <f>IF('KG1-6'!$E35="","",'KG1-6'!$E35)</f>
        <v/>
      </c>
      <c r="N181" s="148">
        <f>IF('KG1-6'!$F35="","",'KG1-6'!$F35)</f>
        <v/>
      </c>
      <c r="O181" s="158">
        <f>IF('KG1-6'!$G35="","",'KG1-6'!$G35)</f>
        <v/>
      </c>
      <c r="P181" s="158">
        <f>IF('KG1-6'!$O35="","",'KG1-6'!$O35)</f>
        <v/>
      </c>
      <c r="Q181" s="148">
        <f>IF('KG1-6'!$T35="","",'KG1-6'!$T35)</f>
        <v/>
      </c>
      <c r="R181" s="146">
        <f>IF('KG1-6'!$H35="","",'KG1-6'!$H35)</f>
        <v/>
      </c>
      <c r="S181" s="157">
        <f>IF('KG1-6'!$P35="","",'KG1-6'!$P35)</f>
        <v/>
      </c>
      <c r="T181" s="157">
        <f>IF('KG1-6'!$V35="","",'KG1-6'!$V35)</f>
        <v/>
      </c>
      <c r="U181" s="157">
        <f>IF('KG1-6'!$W35="","",'KG1-6'!$W35)</f>
        <v/>
      </c>
      <c r="V181" s="157">
        <f>IF('KG1-6'!$X35="","",'KG1-6'!$X35)</f>
        <v/>
      </c>
      <c r="W181" s="157">
        <f>IF('KG1-6'!$Y35="","",'KG1-6'!$Y35)</f>
        <v/>
      </c>
      <c r="X181" s="157">
        <f>IF('KG1-6'!$R35="","",'KG1-6'!$R35)</f>
        <v/>
      </c>
      <c r="Y181" s="148">
        <f>IF('KG1-6'!$S35="","",'KG1-6'!$S35)</f>
        <v/>
      </c>
      <c r="Z181" s="148">
        <f>IF('KG1-6'!$Q35="","",'KG1-6'!$Q35)</f>
        <v/>
      </c>
      <c r="AA181" s="148">
        <f>IF('KG1-6'!$I35="","",'KG1-6'!$I35)</f>
        <v/>
      </c>
      <c r="AB181" s="146">
        <f>IF(Q181="","",INDEX(LevelActions,MATCH(Q181,LevelValues,0)))</f>
        <v/>
      </c>
      <c r="AC181" s="148">
        <f>IF(J181="","",IF(J181=0,"—",IF(AND(L181=0,M181=0),Cat_L1,IF(O181&gt;=Cat_95,Cat_L2,IF(O181&gt;=Cat_90,Cat_L3,Cat_L4)))))</f>
        <v/>
      </c>
      <c r="AD181" s="146">
        <f>IF('KG1-6'!$L35="","",'KG1-6'!$L35)</f>
        <v/>
      </c>
      <c r="AE181" s="148">
        <f>IF(B181="","",IF(COUNTIF($B$5:$B$214,B181)&gt;1,"مكرر!",""))</f>
        <v/>
      </c>
      <c r="AF181" s="148">
        <f>IF(AND(B181&lt;&gt;"",F181="نشط",OR(Dash_Class="الكل",D181=Dash_Class)),1,0)</f>
        <v/>
      </c>
      <c r="AG181" s="40">
        <f>IF(OR(AF181=0,Dash_DayIdx=0),"",IF(INDEX('KG1-6'!$AD$7:$IM$7,Dash_DayIdx)&lt;&gt;"✓","",IF(INDEX('KG1-6'!$AD35:$IM35,Dash_DayIdx)="","P",IFERROR(INDEX(StatusCodes,MATCH(INDEX('KG1-6'!$AD35:$IM35,Dash_DayIdx),StatusLabels,0)),""))))</f>
        <v/>
      </c>
      <c r="AH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IF(LateAsPresent="نعم",COUNTIFS('KG1-6'!$AD35:$IM35,"متأخر",'KG1-6'!$AD$7:$IM$7,"✓",'KG1-6'!$AD$6:$IM$6,1,'KG1-6'!$AD$5:$IM$5,"&gt;="&amp;MAX('KG1-6'!$U35,Dash_PStart),'KG1-6'!$AD$5:$IM$5,"&lt;="&amp;Dash_PEnd),0))</f>
        <v/>
      </c>
      <c r="AI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COUNTIFS('KG1-6'!$AD35:$IM35,"غياب بدون عذر",'KG1-6'!$AD$7:$IM$7,"✓",'KG1-6'!$AD$6:$IM$6,1,'KG1-6'!$AD$5:$IM$5,"&gt;="&amp;MAX('KG1-6'!$U35,Dash_PStart),'KG1-6'!$AD$5:$IM$5,"&lt;="&amp;Dash_PEnd)+COUNTIFS('KG1-6'!$AD35:$IM35,"غياب بعذر",'KG1-6'!$AD$7:$IM$7,"✓",'KG1-6'!$AD$6:$IM$6,1,'KG1-6'!$AD$5:$IM$5,"&gt;="&amp;MAX('KG1-6'!$U35,Dash_PStart),'KG1-6'!$AD$5:$IM$5,"&lt;="&amp;Dash_PEnd)+COUNTIFS('KG1-6'!$AD35:$IM35,"متأخر",'KG1-6'!$AD$7:$IM$7,"✓",'KG1-6'!$AD$6:$IM$6,1,'KG1-6'!$AD$5:$IM$5,"&gt;="&amp;MAX('KG1-6'!$U35,Dash_PStart),'KG1-6'!$AD$5:$IM$5,"&lt;="&amp;Dash_PEnd))</f>
        <v/>
      </c>
      <c r="AJ181" s="40">
        <f>IF(AF181=0,0,IF(W181=Dash_Date,Thr_Critical,IF(V181=Dash_Date,Thr_High,IF(U181=Dash_Date,Thr_Repeated,IF(T181=Dash_Date,Thr_FollowUp,0)))))</f>
        <v/>
      </c>
      <c r="AK181" s="40">
        <f>IF(AJ181&gt;0,COUNTIF($AJ$5:AJ181,"&gt;0"),"")</f>
        <v/>
      </c>
      <c r="AL181" s="40">
        <f>IF(AND(B181&lt;&gt;"",F181="نشط",Q181&lt;&gt;"",Q181&gt;0),L181*1000+(999-ROW()),"")</f>
        <v/>
      </c>
      <c r="AM181" s="40">
        <f>IF(AND(AF181=1,J181&lt;&gt;"",J181&gt;0),ROUND(O181*10000,0)*1000000+K181*1000+(999-ROW()),"")</f>
        <v/>
      </c>
      <c r="AN181" s="40">
        <f>IF(AND(AF181=1,J181&lt;&gt;"",J181&gt;0),(L181+M181)*10000000+ROUND((1-O181)*10000,0)*1000+(999-ROW()),"")</f>
        <v/>
      </c>
      <c r="AO181" s="40">
        <f>IF(AND(AF181=1,Q181&lt;&gt;"",Q181&gt;=Thr_Critical),L181*1000+(999-ROW()),"")</f>
        <v/>
      </c>
      <c r="AP181" s="40">
        <f>IF(AND(B181&lt;&gt;"",F181="نشط",OR(Rpt_Class="الكل",D181=Rpt_Class)),1,0)</f>
        <v/>
      </c>
      <c r="AQ181" s="40">
        <f>IF(AND(AP181=1,Q181&lt;&gt;"",Q181&gt;0),L181*1000+(999-ROW()),"")</f>
        <v/>
      </c>
      <c r="AR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IF(LateAsPresent="نعم",COUNTIFS('KG1-6'!$AD35:$IM35,"متأخر",'KG1-6'!$AD$7:$IM$7,"✓",'KG1-6'!$AD$6:$IM$6,1,'KG1-6'!$AD$5:$IM$5,"&gt;="&amp;MAX('KG1-6'!$U35,Rpt_PStart),'KG1-6'!$AD$5:$IM$5,"&lt;="&amp;Rpt_PEnd),0))</f>
        <v/>
      </c>
      <c r="AS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COUNTIFS('KG1-6'!$AD35:$IM35,"غياب بدون عذر",'KG1-6'!$AD$7:$IM$7,"✓",'KG1-6'!$AD$6:$IM$6,1,'KG1-6'!$AD$5:$IM$5,"&gt;="&amp;MAX('KG1-6'!$U35,Rpt_PStart),'KG1-6'!$AD$5:$IM$5,"&lt;="&amp;Rpt_PEnd)+COUNTIFS('KG1-6'!$AD35:$IM35,"غياب بعذر",'KG1-6'!$AD$7:$IM$7,"✓",'KG1-6'!$AD$6:$IM$6,1,'KG1-6'!$AD$5:$IM$5,"&gt;="&amp;MAX('KG1-6'!$U35,Rpt_PStart),'KG1-6'!$AD$5:$IM$5,"&lt;="&amp;Rpt_PEnd)+COUNTIFS('KG1-6'!$AD35:$IM35,"متأخر",'KG1-6'!$AD$7:$IM$7,"✓",'KG1-6'!$AD$6:$IM$6,1,'KG1-6'!$AD$5:$IM$5,"&gt;="&amp;MAX('KG1-6'!$U35,Rpt_PStart),'KG1-6'!$AD$5:$IM$5,"&lt;="&amp;Rpt_PEnd))</f>
        <v/>
      </c>
      <c r="AT181" s="40">
        <f>IF(AP181=0,"",COUNTIFS('KG1-6'!$AD35:$IM35,"غياب بدون عذر",'KG1-6'!$AD$7:$IM$7,"✓",'KG1-6'!$AD$6:$IM$6,1,'KG1-6'!$AD$5:$IM$5,"&gt;="&amp;MAX('KG1-6'!$U35,Rpt_PStart),'KG1-6'!$AD$5:$IM$5,"&lt;="&amp;Rpt_PEnd)+COUNTIFS('KG1-6'!$AD35:$IM35,"غياب بعذر",'KG1-6'!$AD$7:$IM$7,"✓",'KG1-6'!$AD$6:$IM$6,1,'KG1-6'!$AD$5:$IM$5,"&gt;="&amp;MAX('KG1-6'!$U35,Rpt_PStart),'KG1-6'!$AD$5:$IM$5,"&lt;="&amp;Rpt_PEnd))</f>
        <v/>
      </c>
      <c r="AU181" s="40" t="n">
        <v>6</v>
      </c>
      <c r="AV181" s="40" t="n">
        <v>27</v>
      </c>
      <c r="AW181" s="40">
        <f>IF(OR(AP181=0,Rpt_DayIdx=0),"",IF(INDEX('KG1-6'!$AD$7:$IM$7,Rpt_DayIdx)&lt;&gt;"✓","",IF(INDEX('KG1-6'!$AD35:$IM35,Rpt_DayIdx)="","P",IFERROR(INDEX(StatusCodes,MATCH(INDEX('KG1-6'!$AD35:$IM35,Rpt_DayIdx),StatusLabels,0)),""))))</f>
        <v/>
      </c>
      <c r="AX181" s="40">
        <f>IF(AND(AP181=1,OR(AW181="A",AW181="E")),COUNTIFS($AP$5:AP181,1,$AW$5:AW181,"A")+COUNTIFS($AP$5:AP181,1,$AW$5:AW181,"E"),"")</f>
        <v/>
      </c>
    </row>
    <row r="182">
      <c r="A182" s="148">
        <f>IF(B182="","",ROW()-4)</f>
        <v/>
      </c>
      <c r="B182" s="148">
        <f>IF('KG1-6'!$B36="","",'KG1-6'!$B36)</f>
        <v/>
      </c>
      <c r="C182" s="146">
        <f>IF('KG1-6'!$C36="","",'KG1-6'!$C36)</f>
        <v/>
      </c>
      <c r="D182" s="148">
        <f>IF(B182="","",'KG1-6'!$B$2)</f>
        <v/>
      </c>
      <c r="E182" s="148">
        <f>IF(B182="","",MID(D182,FIND("-",D182&amp;"-")+1,10))</f>
        <v/>
      </c>
      <c r="F182" s="148">
        <f>IF(B182="","","نشط")</f>
        <v/>
      </c>
      <c r="G182" s="157">
        <f>IF(B182="","","")</f>
        <v/>
      </c>
      <c r="H182" s="146">
        <f>IF('KG1-6'!$K36="","",'KG1-6'!$K36)</f>
        <v/>
      </c>
      <c r="I182" s="148">
        <f>IF('KG1-6'!$J36="","",'KG1-6'!$J36)</f>
        <v/>
      </c>
      <c r="J182" s="148">
        <f>IF('KG1-6'!$M36="","",'KG1-6'!$M36)</f>
        <v/>
      </c>
      <c r="K182" s="148">
        <f>IF('KG1-6'!$N36="","",'KG1-6'!$N36)</f>
        <v/>
      </c>
      <c r="L182" s="148">
        <f>IF('KG1-6'!$D36="","",'KG1-6'!$D36)</f>
        <v/>
      </c>
      <c r="M182" s="148">
        <f>IF('KG1-6'!$E36="","",'KG1-6'!$E36)</f>
        <v/>
      </c>
      <c r="N182" s="148">
        <f>IF('KG1-6'!$F36="","",'KG1-6'!$F36)</f>
        <v/>
      </c>
      <c r="O182" s="158">
        <f>IF('KG1-6'!$G36="","",'KG1-6'!$G36)</f>
        <v/>
      </c>
      <c r="P182" s="158">
        <f>IF('KG1-6'!$O36="","",'KG1-6'!$O36)</f>
        <v/>
      </c>
      <c r="Q182" s="148">
        <f>IF('KG1-6'!$T36="","",'KG1-6'!$T36)</f>
        <v/>
      </c>
      <c r="R182" s="146">
        <f>IF('KG1-6'!$H36="","",'KG1-6'!$H36)</f>
        <v/>
      </c>
      <c r="S182" s="157">
        <f>IF('KG1-6'!$P36="","",'KG1-6'!$P36)</f>
        <v/>
      </c>
      <c r="T182" s="157">
        <f>IF('KG1-6'!$V36="","",'KG1-6'!$V36)</f>
        <v/>
      </c>
      <c r="U182" s="157">
        <f>IF('KG1-6'!$W36="","",'KG1-6'!$W36)</f>
        <v/>
      </c>
      <c r="V182" s="157">
        <f>IF('KG1-6'!$X36="","",'KG1-6'!$X36)</f>
        <v/>
      </c>
      <c r="W182" s="157">
        <f>IF('KG1-6'!$Y36="","",'KG1-6'!$Y36)</f>
        <v/>
      </c>
      <c r="X182" s="157">
        <f>IF('KG1-6'!$R36="","",'KG1-6'!$R36)</f>
        <v/>
      </c>
      <c r="Y182" s="148">
        <f>IF('KG1-6'!$S36="","",'KG1-6'!$S36)</f>
        <v/>
      </c>
      <c r="Z182" s="148">
        <f>IF('KG1-6'!$Q36="","",'KG1-6'!$Q36)</f>
        <v/>
      </c>
      <c r="AA182" s="148">
        <f>IF('KG1-6'!$I36="","",'KG1-6'!$I36)</f>
        <v/>
      </c>
      <c r="AB182" s="146">
        <f>IF(Q182="","",INDEX(LevelActions,MATCH(Q182,LevelValues,0)))</f>
        <v/>
      </c>
      <c r="AC182" s="148">
        <f>IF(J182="","",IF(J182=0,"—",IF(AND(L182=0,M182=0),Cat_L1,IF(O182&gt;=Cat_95,Cat_L2,IF(O182&gt;=Cat_90,Cat_L3,Cat_L4)))))</f>
        <v/>
      </c>
      <c r="AD182" s="146">
        <f>IF('KG1-6'!$L36="","",'KG1-6'!$L36)</f>
        <v/>
      </c>
      <c r="AE182" s="148">
        <f>IF(B182="","",IF(COUNTIF($B$5:$B$214,B182)&gt;1,"مكرر!",""))</f>
        <v/>
      </c>
      <c r="AF182" s="148">
        <f>IF(AND(B182&lt;&gt;"",F182="نشط",OR(Dash_Class="الكل",D182=Dash_Class)),1,0)</f>
        <v/>
      </c>
      <c r="AG182" s="40">
        <f>IF(OR(AF182=0,Dash_DayIdx=0),"",IF(INDEX('KG1-6'!$AD$7:$IM$7,Dash_DayIdx)&lt;&gt;"✓","",IF(INDEX('KG1-6'!$AD36:$IM36,Dash_DayIdx)="","P",IFERROR(INDEX(StatusCodes,MATCH(INDEX('KG1-6'!$AD36:$IM36,Dash_DayIdx),StatusLabels,0)),""))))</f>
        <v/>
      </c>
      <c r="AH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IF(LateAsPresent="نعم",COUNTIFS('KG1-6'!$AD36:$IM36,"متأخر",'KG1-6'!$AD$7:$IM$7,"✓",'KG1-6'!$AD$6:$IM$6,1,'KG1-6'!$AD$5:$IM$5,"&gt;="&amp;MAX('KG1-6'!$U36,Dash_PStart),'KG1-6'!$AD$5:$IM$5,"&lt;="&amp;Dash_PEnd),0))</f>
        <v/>
      </c>
      <c r="AI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COUNTIFS('KG1-6'!$AD36:$IM36,"غياب بدون عذر",'KG1-6'!$AD$7:$IM$7,"✓",'KG1-6'!$AD$6:$IM$6,1,'KG1-6'!$AD$5:$IM$5,"&gt;="&amp;MAX('KG1-6'!$U36,Dash_PStart),'KG1-6'!$AD$5:$IM$5,"&lt;="&amp;Dash_PEnd)+COUNTIFS('KG1-6'!$AD36:$IM36,"غياب بعذر",'KG1-6'!$AD$7:$IM$7,"✓",'KG1-6'!$AD$6:$IM$6,1,'KG1-6'!$AD$5:$IM$5,"&gt;="&amp;MAX('KG1-6'!$U36,Dash_PStart),'KG1-6'!$AD$5:$IM$5,"&lt;="&amp;Dash_PEnd)+COUNTIFS('KG1-6'!$AD36:$IM36,"متأخر",'KG1-6'!$AD$7:$IM$7,"✓",'KG1-6'!$AD$6:$IM$6,1,'KG1-6'!$AD$5:$IM$5,"&gt;="&amp;MAX('KG1-6'!$U36,Dash_PStart),'KG1-6'!$AD$5:$IM$5,"&lt;="&amp;Dash_PEnd))</f>
        <v/>
      </c>
      <c r="AJ182" s="40">
        <f>IF(AF182=0,0,IF(W182=Dash_Date,Thr_Critical,IF(V182=Dash_Date,Thr_High,IF(U182=Dash_Date,Thr_Repeated,IF(T182=Dash_Date,Thr_FollowUp,0)))))</f>
        <v/>
      </c>
      <c r="AK182" s="40">
        <f>IF(AJ182&gt;0,COUNTIF($AJ$5:AJ182,"&gt;0"),"")</f>
        <v/>
      </c>
      <c r="AL182" s="40">
        <f>IF(AND(B182&lt;&gt;"",F182="نشط",Q182&lt;&gt;"",Q182&gt;0),L182*1000+(999-ROW()),"")</f>
        <v/>
      </c>
      <c r="AM182" s="40">
        <f>IF(AND(AF182=1,J182&lt;&gt;"",J182&gt;0),ROUND(O182*10000,0)*1000000+K182*1000+(999-ROW()),"")</f>
        <v/>
      </c>
      <c r="AN182" s="40">
        <f>IF(AND(AF182=1,J182&lt;&gt;"",J182&gt;0),(L182+M182)*10000000+ROUND((1-O182)*10000,0)*1000+(999-ROW()),"")</f>
        <v/>
      </c>
      <c r="AO182" s="40">
        <f>IF(AND(AF182=1,Q182&lt;&gt;"",Q182&gt;=Thr_Critical),L182*1000+(999-ROW()),"")</f>
        <v/>
      </c>
      <c r="AP182" s="40">
        <f>IF(AND(B182&lt;&gt;"",F182="نشط",OR(Rpt_Class="الكل",D182=Rpt_Class)),1,0)</f>
        <v/>
      </c>
      <c r="AQ182" s="40">
        <f>IF(AND(AP182=1,Q182&lt;&gt;"",Q182&gt;0),L182*1000+(999-ROW()),"")</f>
        <v/>
      </c>
      <c r="AR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IF(LateAsPresent="نعم",COUNTIFS('KG1-6'!$AD36:$IM36,"متأخر",'KG1-6'!$AD$7:$IM$7,"✓",'KG1-6'!$AD$6:$IM$6,1,'KG1-6'!$AD$5:$IM$5,"&gt;="&amp;MAX('KG1-6'!$U36,Rpt_PStart),'KG1-6'!$AD$5:$IM$5,"&lt;="&amp;Rpt_PEnd),0))</f>
        <v/>
      </c>
      <c r="AS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COUNTIFS('KG1-6'!$AD36:$IM36,"غياب بدون عذر",'KG1-6'!$AD$7:$IM$7,"✓",'KG1-6'!$AD$6:$IM$6,1,'KG1-6'!$AD$5:$IM$5,"&gt;="&amp;MAX('KG1-6'!$U36,Rpt_PStart),'KG1-6'!$AD$5:$IM$5,"&lt;="&amp;Rpt_PEnd)+COUNTIFS('KG1-6'!$AD36:$IM36,"غياب بعذر",'KG1-6'!$AD$7:$IM$7,"✓",'KG1-6'!$AD$6:$IM$6,1,'KG1-6'!$AD$5:$IM$5,"&gt;="&amp;MAX('KG1-6'!$U36,Rpt_PStart),'KG1-6'!$AD$5:$IM$5,"&lt;="&amp;Rpt_PEnd)+COUNTIFS('KG1-6'!$AD36:$IM36,"متأخر",'KG1-6'!$AD$7:$IM$7,"✓",'KG1-6'!$AD$6:$IM$6,1,'KG1-6'!$AD$5:$IM$5,"&gt;="&amp;MAX('KG1-6'!$U36,Rpt_PStart),'KG1-6'!$AD$5:$IM$5,"&lt;="&amp;Rpt_PEnd))</f>
        <v/>
      </c>
      <c r="AT182" s="40">
        <f>IF(AP182=0,"",COUNTIFS('KG1-6'!$AD36:$IM36,"غياب بدون عذر",'KG1-6'!$AD$7:$IM$7,"✓",'KG1-6'!$AD$6:$IM$6,1,'KG1-6'!$AD$5:$IM$5,"&gt;="&amp;MAX('KG1-6'!$U36,Rpt_PStart),'KG1-6'!$AD$5:$IM$5,"&lt;="&amp;Rpt_PEnd)+COUNTIFS('KG1-6'!$AD36:$IM36,"غياب بعذر",'KG1-6'!$AD$7:$IM$7,"✓",'KG1-6'!$AD$6:$IM$6,1,'KG1-6'!$AD$5:$IM$5,"&gt;="&amp;MAX('KG1-6'!$U36,Rpt_PStart),'KG1-6'!$AD$5:$IM$5,"&lt;="&amp;Rpt_PEnd))</f>
        <v/>
      </c>
      <c r="AU182" s="40" t="n">
        <v>6</v>
      </c>
      <c r="AV182" s="40" t="n">
        <v>28</v>
      </c>
      <c r="AW182" s="40">
        <f>IF(OR(AP182=0,Rpt_DayIdx=0),"",IF(INDEX('KG1-6'!$AD$7:$IM$7,Rpt_DayIdx)&lt;&gt;"✓","",IF(INDEX('KG1-6'!$AD36:$IM36,Rpt_DayIdx)="","P",IFERROR(INDEX(StatusCodes,MATCH(INDEX('KG1-6'!$AD36:$IM36,Rpt_DayIdx),StatusLabels,0)),""))))</f>
        <v/>
      </c>
      <c r="AX182" s="40">
        <f>IF(AND(AP182=1,OR(AW182="A",AW182="E")),COUNTIFS($AP$5:AP182,1,$AW$5:AW182,"A")+COUNTIFS($AP$5:AP182,1,$AW$5:AW182,"E"),"")</f>
        <v/>
      </c>
    </row>
    <row r="183">
      <c r="A183" s="148">
        <f>IF(B183="","",ROW()-4)</f>
        <v/>
      </c>
      <c r="B183" s="148">
        <f>IF('KG1-6'!$B37="","",'KG1-6'!$B37)</f>
        <v/>
      </c>
      <c r="C183" s="146">
        <f>IF('KG1-6'!$C37="","",'KG1-6'!$C37)</f>
        <v/>
      </c>
      <c r="D183" s="148">
        <f>IF(B183="","",'KG1-6'!$B$2)</f>
        <v/>
      </c>
      <c r="E183" s="148">
        <f>IF(B183="","",MID(D183,FIND("-",D183&amp;"-")+1,10))</f>
        <v/>
      </c>
      <c r="F183" s="148">
        <f>IF(B183="","","نشط")</f>
        <v/>
      </c>
      <c r="G183" s="157">
        <f>IF(B183="","","")</f>
        <v/>
      </c>
      <c r="H183" s="146">
        <f>IF('KG1-6'!$K37="","",'KG1-6'!$K37)</f>
        <v/>
      </c>
      <c r="I183" s="148">
        <f>IF('KG1-6'!$J37="","",'KG1-6'!$J37)</f>
        <v/>
      </c>
      <c r="J183" s="148">
        <f>IF('KG1-6'!$M37="","",'KG1-6'!$M37)</f>
        <v/>
      </c>
      <c r="K183" s="148">
        <f>IF('KG1-6'!$N37="","",'KG1-6'!$N37)</f>
        <v/>
      </c>
      <c r="L183" s="148">
        <f>IF('KG1-6'!$D37="","",'KG1-6'!$D37)</f>
        <v/>
      </c>
      <c r="M183" s="148">
        <f>IF('KG1-6'!$E37="","",'KG1-6'!$E37)</f>
        <v/>
      </c>
      <c r="N183" s="148">
        <f>IF('KG1-6'!$F37="","",'KG1-6'!$F37)</f>
        <v/>
      </c>
      <c r="O183" s="158">
        <f>IF('KG1-6'!$G37="","",'KG1-6'!$G37)</f>
        <v/>
      </c>
      <c r="P183" s="158">
        <f>IF('KG1-6'!$O37="","",'KG1-6'!$O37)</f>
        <v/>
      </c>
      <c r="Q183" s="148">
        <f>IF('KG1-6'!$T37="","",'KG1-6'!$T37)</f>
        <v/>
      </c>
      <c r="R183" s="146">
        <f>IF('KG1-6'!$H37="","",'KG1-6'!$H37)</f>
        <v/>
      </c>
      <c r="S183" s="157">
        <f>IF('KG1-6'!$P37="","",'KG1-6'!$P37)</f>
        <v/>
      </c>
      <c r="T183" s="157">
        <f>IF('KG1-6'!$V37="","",'KG1-6'!$V37)</f>
        <v/>
      </c>
      <c r="U183" s="157">
        <f>IF('KG1-6'!$W37="","",'KG1-6'!$W37)</f>
        <v/>
      </c>
      <c r="V183" s="157">
        <f>IF('KG1-6'!$X37="","",'KG1-6'!$X37)</f>
        <v/>
      </c>
      <c r="W183" s="157">
        <f>IF('KG1-6'!$Y37="","",'KG1-6'!$Y37)</f>
        <v/>
      </c>
      <c r="X183" s="157">
        <f>IF('KG1-6'!$R37="","",'KG1-6'!$R37)</f>
        <v/>
      </c>
      <c r="Y183" s="148">
        <f>IF('KG1-6'!$S37="","",'KG1-6'!$S37)</f>
        <v/>
      </c>
      <c r="Z183" s="148">
        <f>IF('KG1-6'!$Q37="","",'KG1-6'!$Q37)</f>
        <v/>
      </c>
      <c r="AA183" s="148">
        <f>IF('KG1-6'!$I37="","",'KG1-6'!$I37)</f>
        <v/>
      </c>
      <c r="AB183" s="146">
        <f>IF(Q183="","",INDEX(LevelActions,MATCH(Q183,LevelValues,0)))</f>
        <v/>
      </c>
      <c r="AC183" s="148">
        <f>IF(J183="","",IF(J183=0,"—",IF(AND(L183=0,M183=0),Cat_L1,IF(O183&gt;=Cat_95,Cat_L2,IF(O183&gt;=Cat_90,Cat_L3,Cat_L4)))))</f>
        <v/>
      </c>
      <c r="AD183" s="146">
        <f>IF('KG1-6'!$L37="","",'KG1-6'!$L37)</f>
        <v/>
      </c>
      <c r="AE183" s="148">
        <f>IF(B183="","",IF(COUNTIF($B$5:$B$214,B183)&gt;1,"مكرر!",""))</f>
        <v/>
      </c>
      <c r="AF183" s="148">
        <f>IF(AND(B183&lt;&gt;"",F183="نشط",OR(Dash_Class="الكل",D183=Dash_Class)),1,0)</f>
        <v/>
      </c>
      <c r="AG183" s="40">
        <f>IF(OR(AF183=0,Dash_DayIdx=0),"",IF(INDEX('KG1-6'!$AD$7:$IM$7,Dash_DayIdx)&lt;&gt;"✓","",IF(INDEX('KG1-6'!$AD37:$IM37,Dash_DayIdx)="","P",IFERROR(INDEX(StatusCodes,MATCH(INDEX('KG1-6'!$AD37:$IM37,Dash_DayIdx),StatusLabels,0)),""))))</f>
        <v/>
      </c>
      <c r="AH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IF(LateAsPresent="نعم",COUNTIFS('KG1-6'!$AD37:$IM37,"متأخر",'KG1-6'!$AD$7:$IM$7,"✓",'KG1-6'!$AD$6:$IM$6,1,'KG1-6'!$AD$5:$IM$5,"&gt;="&amp;MAX('KG1-6'!$U37,Dash_PStart),'KG1-6'!$AD$5:$IM$5,"&lt;="&amp;Dash_PEnd),0))</f>
        <v/>
      </c>
      <c r="AI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COUNTIFS('KG1-6'!$AD37:$IM37,"غياب بدون عذر",'KG1-6'!$AD$7:$IM$7,"✓",'KG1-6'!$AD$6:$IM$6,1,'KG1-6'!$AD$5:$IM$5,"&gt;="&amp;MAX('KG1-6'!$U37,Dash_PStart),'KG1-6'!$AD$5:$IM$5,"&lt;="&amp;Dash_PEnd)+COUNTIFS('KG1-6'!$AD37:$IM37,"غياب بعذر",'KG1-6'!$AD$7:$IM$7,"✓",'KG1-6'!$AD$6:$IM$6,1,'KG1-6'!$AD$5:$IM$5,"&gt;="&amp;MAX('KG1-6'!$U37,Dash_PStart),'KG1-6'!$AD$5:$IM$5,"&lt;="&amp;Dash_PEnd)+COUNTIFS('KG1-6'!$AD37:$IM37,"متأخر",'KG1-6'!$AD$7:$IM$7,"✓",'KG1-6'!$AD$6:$IM$6,1,'KG1-6'!$AD$5:$IM$5,"&gt;="&amp;MAX('KG1-6'!$U37,Dash_PStart),'KG1-6'!$AD$5:$IM$5,"&lt;="&amp;Dash_PEnd))</f>
        <v/>
      </c>
      <c r="AJ183" s="40">
        <f>IF(AF183=0,0,IF(W183=Dash_Date,Thr_Critical,IF(V183=Dash_Date,Thr_High,IF(U183=Dash_Date,Thr_Repeated,IF(T183=Dash_Date,Thr_FollowUp,0)))))</f>
        <v/>
      </c>
      <c r="AK183" s="40">
        <f>IF(AJ183&gt;0,COUNTIF($AJ$5:AJ183,"&gt;0"),"")</f>
        <v/>
      </c>
      <c r="AL183" s="40">
        <f>IF(AND(B183&lt;&gt;"",F183="نشط",Q183&lt;&gt;"",Q183&gt;0),L183*1000+(999-ROW()),"")</f>
        <v/>
      </c>
      <c r="AM183" s="40">
        <f>IF(AND(AF183=1,J183&lt;&gt;"",J183&gt;0),ROUND(O183*10000,0)*1000000+K183*1000+(999-ROW()),"")</f>
        <v/>
      </c>
      <c r="AN183" s="40">
        <f>IF(AND(AF183=1,J183&lt;&gt;"",J183&gt;0),(L183+M183)*10000000+ROUND((1-O183)*10000,0)*1000+(999-ROW()),"")</f>
        <v/>
      </c>
      <c r="AO183" s="40">
        <f>IF(AND(AF183=1,Q183&lt;&gt;"",Q183&gt;=Thr_Critical),L183*1000+(999-ROW()),"")</f>
        <v/>
      </c>
      <c r="AP183" s="40">
        <f>IF(AND(B183&lt;&gt;"",F183="نشط",OR(Rpt_Class="الكل",D183=Rpt_Class)),1,0)</f>
        <v/>
      </c>
      <c r="AQ183" s="40">
        <f>IF(AND(AP183=1,Q183&lt;&gt;"",Q183&gt;0),L183*1000+(999-ROW()),"")</f>
        <v/>
      </c>
      <c r="AR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IF(LateAsPresent="نعم",COUNTIFS('KG1-6'!$AD37:$IM37,"متأخر",'KG1-6'!$AD$7:$IM$7,"✓",'KG1-6'!$AD$6:$IM$6,1,'KG1-6'!$AD$5:$IM$5,"&gt;="&amp;MAX('KG1-6'!$U37,Rpt_PStart),'KG1-6'!$AD$5:$IM$5,"&lt;="&amp;Rpt_PEnd),0))</f>
        <v/>
      </c>
      <c r="AS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COUNTIFS('KG1-6'!$AD37:$IM37,"غياب بدون عذر",'KG1-6'!$AD$7:$IM$7,"✓",'KG1-6'!$AD$6:$IM$6,1,'KG1-6'!$AD$5:$IM$5,"&gt;="&amp;MAX('KG1-6'!$U37,Rpt_PStart),'KG1-6'!$AD$5:$IM$5,"&lt;="&amp;Rpt_PEnd)+COUNTIFS('KG1-6'!$AD37:$IM37,"غياب بعذر",'KG1-6'!$AD$7:$IM$7,"✓",'KG1-6'!$AD$6:$IM$6,1,'KG1-6'!$AD$5:$IM$5,"&gt;="&amp;MAX('KG1-6'!$U37,Rpt_PStart),'KG1-6'!$AD$5:$IM$5,"&lt;="&amp;Rpt_PEnd)+COUNTIFS('KG1-6'!$AD37:$IM37,"متأخر",'KG1-6'!$AD$7:$IM$7,"✓",'KG1-6'!$AD$6:$IM$6,1,'KG1-6'!$AD$5:$IM$5,"&gt;="&amp;MAX('KG1-6'!$U37,Rpt_PStart),'KG1-6'!$AD$5:$IM$5,"&lt;="&amp;Rpt_PEnd))</f>
        <v/>
      </c>
      <c r="AT183" s="40">
        <f>IF(AP183=0,"",COUNTIFS('KG1-6'!$AD37:$IM37,"غياب بدون عذر",'KG1-6'!$AD$7:$IM$7,"✓",'KG1-6'!$AD$6:$IM$6,1,'KG1-6'!$AD$5:$IM$5,"&gt;="&amp;MAX('KG1-6'!$U37,Rpt_PStart),'KG1-6'!$AD$5:$IM$5,"&lt;="&amp;Rpt_PEnd)+COUNTIFS('KG1-6'!$AD37:$IM37,"غياب بعذر",'KG1-6'!$AD$7:$IM$7,"✓",'KG1-6'!$AD$6:$IM$6,1,'KG1-6'!$AD$5:$IM$5,"&gt;="&amp;MAX('KG1-6'!$U37,Rpt_PStart),'KG1-6'!$AD$5:$IM$5,"&lt;="&amp;Rpt_PEnd))</f>
        <v/>
      </c>
      <c r="AU183" s="40" t="n">
        <v>6</v>
      </c>
      <c r="AV183" s="40" t="n">
        <v>29</v>
      </c>
      <c r="AW183" s="40">
        <f>IF(OR(AP183=0,Rpt_DayIdx=0),"",IF(INDEX('KG1-6'!$AD$7:$IM$7,Rpt_DayIdx)&lt;&gt;"✓","",IF(INDEX('KG1-6'!$AD37:$IM37,Rpt_DayIdx)="","P",IFERROR(INDEX(StatusCodes,MATCH(INDEX('KG1-6'!$AD37:$IM37,Rpt_DayIdx),StatusLabels,0)),""))))</f>
        <v/>
      </c>
      <c r="AX183" s="40">
        <f>IF(AND(AP183=1,OR(AW183="A",AW183="E")),COUNTIFS($AP$5:AP183,1,$AW$5:AW183,"A")+COUNTIFS($AP$5:AP183,1,$AW$5:AW183,"E"),"")</f>
        <v/>
      </c>
    </row>
    <row r="184">
      <c r="A184" s="148">
        <f>IF(B184="","",ROW()-4)</f>
        <v/>
      </c>
      <c r="B184" s="148">
        <f>IF('KG1-6'!$B38="","",'KG1-6'!$B38)</f>
        <v/>
      </c>
      <c r="C184" s="146">
        <f>IF('KG1-6'!$C38="","",'KG1-6'!$C38)</f>
        <v/>
      </c>
      <c r="D184" s="148">
        <f>IF(B184="","",'KG1-6'!$B$2)</f>
        <v/>
      </c>
      <c r="E184" s="148">
        <f>IF(B184="","",MID(D184,FIND("-",D184&amp;"-")+1,10))</f>
        <v/>
      </c>
      <c r="F184" s="148">
        <f>IF(B184="","","نشط")</f>
        <v/>
      </c>
      <c r="G184" s="157">
        <f>IF(B184="","","")</f>
        <v/>
      </c>
      <c r="H184" s="146">
        <f>IF('KG1-6'!$K38="","",'KG1-6'!$K38)</f>
        <v/>
      </c>
      <c r="I184" s="148">
        <f>IF('KG1-6'!$J38="","",'KG1-6'!$J38)</f>
        <v/>
      </c>
      <c r="J184" s="148">
        <f>IF('KG1-6'!$M38="","",'KG1-6'!$M38)</f>
        <v/>
      </c>
      <c r="K184" s="148">
        <f>IF('KG1-6'!$N38="","",'KG1-6'!$N38)</f>
        <v/>
      </c>
      <c r="L184" s="148">
        <f>IF('KG1-6'!$D38="","",'KG1-6'!$D38)</f>
        <v/>
      </c>
      <c r="M184" s="148">
        <f>IF('KG1-6'!$E38="","",'KG1-6'!$E38)</f>
        <v/>
      </c>
      <c r="N184" s="148">
        <f>IF('KG1-6'!$F38="","",'KG1-6'!$F38)</f>
        <v/>
      </c>
      <c r="O184" s="158">
        <f>IF('KG1-6'!$G38="","",'KG1-6'!$G38)</f>
        <v/>
      </c>
      <c r="P184" s="158">
        <f>IF('KG1-6'!$O38="","",'KG1-6'!$O38)</f>
        <v/>
      </c>
      <c r="Q184" s="148">
        <f>IF('KG1-6'!$T38="","",'KG1-6'!$T38)</f>
        <v/>
      </c>
      <c r="R184" s="146">
        <f>IF('KG1-6'!$H38="","",'KG1-6'!$H38)</f>
        <v/>
      </c>
      <c r="S184" s="157">
        <f>IF('KG1-6'!$P38="","",'KG1-6'!$P38)</f>
        <v/>
      </c>
      <c r="T184" s="157">
        <f>IF('KG1-6'!$V38="","",'KG1-6'!$V38)</f>
        <v/>
      </c>
      <c r="U184" s="157">
        <f>IF('KG1-6'!$W38="","",'KG1-6'!$W38)</f>
        <v/>
      </c>
      <c r="V184" s="157">
        <f>IF('KG1-6'!$X38="","",'KG1-6'!$X38)</f>
        <v/>
      </c>
      <c r="W184" s="157">
        <f>IF('KG1-6'!$Y38="","",'KG1-6'!$Y38)</f>
        <v/>
      </c>
      <c r="X184" s="157">
        <f>IF('KG1-6'!$R38="","",'KG1-6'!$R38)</f>
        <v/>
      </c>
      <c r="Y184" s="148">
        <f>IF('KG1-6'!$S38="","",'KG1-6'!$S38)</f>
        <v/>
      </c>
      <c r="Z184" s="148">
        <f>IF('KG1-6'!$Q38="","",'KG1-6'!$Q38)</f>
        <v/>
      </c>
      <c r="AA184" s="148">
        <f>IF('KG1-6'!$I38="","",'KG1-6'!$I38)</f>
        <v/>
      </c>
      <c r="AB184" s="146">
        <f>IF(Q184="","",INDEX(LevelActions,MATCH(Q184,LevelValues,0)))</f>
        <v/>
      </c>
      <c r="AC184" s="148">
        <f>IF(J184="","",IF(J184=0,"—",IF(AND(L184=0,M184=0),Cat_L1,IF(O184&gt;=Cat_95,Cat_L2,IF(O184&gt;=Cat_90,Cat_L3,Cat_L4)))))</f>
        <v/>
      </c>
      <c r="AD184" s="146">
        <f>IF('KG1-6'!$L38="","",'KG1-6'!$L38)</f>
        <v/>
      </c>
      <c r="AE184" s="148">
        <f>IF(B184="","",IF(COUNTIF($B$5:$B$214,B184)&gt;1,"مكرر!",""))</f>
        <v/>
      </c>
      <c r="AF184" s="148">
        <f>IF(AND(B184&lt;&gt;"",F184="نشط",OR(Dash_Class="الكل",D184=Dash_Class)),1,0)</f>
        <v/>
      </c>
      <c r="AG184" s="40">
        <f>IF(OR(AF184=0,Dash_DayIdx=0),"",IF(INDEX('KG1-6'!$AD$7:$IM$7,Dash_DayIdx)&lt;&gt;"✓","",IF(INDEX('KG1-6'!$AD38:$IM38,Dash_DayIdx)="","P",IFERROR(INDEX(StatusCodes,MATCH(INDEX('KG1-6'!$AD38:$IM38,Dash_DayIdx),StatusLabels,0)),""))))</f>
        <v/>
      </c>
      <c r="AH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IF(LateAsPresent="نعم",COUNTIFS('KG1-6'!$AD38:$IM38,"متأخر",'KG1-6'!$AD$7:$IM$7,"✓",'KG1-6'!$AD$6:$IM$6,1,'KG1-6'!$AD$5:$IM$5,"&gt;="&amp;MAX('KG1-6'!$U38,Dash_PStart),'KG1-6'!$AD$5:$IM$5,"&lt;="&amp;Dash_PEnd),0))</f>
        <v/>
      </c>
      <c r="AI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COUNTIFS('KG1-6'!$AD38:$IM38,"غياب بدون عذر",'KG1-6'!$AD$7:$IM$7,"✓",'KG1-6'!$AD$6:$IM$6,1,'KG1-6'!$AD$5:$IM$5,"&gt;="&amp;MAX('KG1-6'!$U38,Dash_PStart),'KG1-6'!$AD$5:$IM$5,"&lt;="&amp;Dash_PEnd)+COUNTIFS('KG1-6'!$AD38:$IM38,"غياب بعذر",'KG1-6'!$AD$7:$IM$7,"✓",'KG1-6'!$AD$6:$IM$6,1,'KG1-6'!$AD$5:$IM$5,"&gt;="&amp;MAX('KG1-6'!$U38,Dash_PStart),'KG1-6'!$AD$5:$IM$5,"&lt;="&amp;Dash_PEnd)+COUNTIFS('KG1-6'!$AD38:$IM38,"متأخر",'KG1-6'!$AD$7:$IM$7,"✓",'KG1-6'!$AD$6:$IM$6,1,'KG1-6'!$AD$5:$IM$5,"&gt;="&amp;MAX('KG1-6'!$U38,Dash_PStart),'KG1-6'!$AD$5:$IM$5,"&lt;="&amp;Dash_PEnd))</f>
        <v/>
      </c>
      <c r="AJ184" s="40">
        <f>IF(AF184=0,0,IF(W184=Dash_Date,Thr_Critical,IF(V184=Dash_Date,Thr_High,IF(U184=Dash_Date,Thr_Repeated,IF(T184=Dash_Date,Thr_FollowUp,0)))))</f>
        <v/>
      </c>
      <c r="AK184" s="40">
        <f>IF(AJ184&gt;0,COUNTIF($AJ$5:AJ184,"&gt;0"),"")</f>
        <v/>
      </c>
      <c r="AL184" s="40">
        <f>IF(AND(B184&lt;&gt;"",F184="نشط",Q184&lt;&gt;"",Q184&gt;0),L184*1000+(999-ROW()),"")</f>
        <v/>
      </c>
      <c r="AM184" s="40">
        <f>IF(AND(AF184=1,J184&lt;&gt;"",J184&gt;0),ROUND(O184*10000,0)*1000000+K184*1000+(999-ROW()),"")</f>
        <v/>
      </c>
      <c r="AN184" s="40">
        <f>IF(AND(AF184=1,J184&lt;&gt;"",J184&gt;0),(L184+M184)*10000000+ROUND((1-O184)*10000,0)*1000+(999-ROW()),"")</f>
        <v/>
      </c>
      <c r="AO184" s="40">
        <f>IF(AND(AF184=1,Q184&lt;&gt;"",Q184&gt;=Thr_Critical),L184*1000+(999-ROW()),"")</f>
        <v/>
      </c>
      <c r="AP184" s="40">
        <f>IF(AND(B184&lt;&gt;"",F184="نشط",OR(Rpt_Class="الكل",D184=Rpt_Class)),1,0)</f>
        <v/>
      </c>
      <c r="AQ184" s="40">
        <f>IF(AND(AP184=1,Q184&lt;&gt;"",Q184&gt;0),L184*1000+(999-ROW()),"")</f>
        <v/>
      </c>
      <c r="AR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IF(LateAsPresent="نعم",COUNTIFS('KG1-6'!$AD38:$IM38,"متأخر",'KG1-6'!$AD$7:$IM$7,"✓",'KG1-6'!$AD$6:$IM$6,1,'KG1-6'!$AD$5:$IM$5,"&gt;="&amp;MAX('KG1-6'!$U38,Rpt_PStart),'KG1-6'!$AD$5:$IM$5,"&lt;="&amp;Rpt_PEnd),0))</f>
        <v/>
      </c>
      <c r="AS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COUNTIFS('KG1-6'!$AD38:$IM38,"غياب بدون عذر",'KG1-6'!$AD$7:$IM$7,"✓",'KG1-6'!$AD$6:$IM$6,1,'KG1-6'!$AD$5:$IM$5,"&gt;="&amp;MAX('KG1-6'!$U38,Rpt_PStart),'KG1-6'!$AD$5:$IM$5,"&lt;="&amp;Rpt_PEnd)+COUNTIFS('KG1-6'!$AD38:$IM38,"غياب بعذر",'KG1-6'!$AD$7:$IM$7,"✓",'KG1-6'!$AD$6:$IM$6,1,'KG1-6'!$AD$5:$IM$5,"&gt;="&amp;MAX('KG1-6'!$U38,Rpt_PStart),'KG1-6'!$AD$5:$IM$5,"&lt;="&amp;Rpt_PEnd)+COUNTIFS('KG1-6'!$AD38:$IM38,"متأخر",'KG1-6'!$AD$7:$IM$7,"✓",'KG1-6'!$AD$6:$IM$6,1,'KG1-6'!$AD$5:$IM$5,"&gt;="&amp;MAX('KG1-6'!$U38,Rpt_PStart),'KG1-6'!$AD$5:$IM$5,"&lt;="&amp;Rpt_PEnd))</f>
        <v/>
      </c>
      <c r="AT184" s="40">
        <f>IF(AP184=0,"",COUNTIFS('KG1-6'!$AD38:$IM38,"غياب بدون عذر",'KG1-6'!$AD$7:$IM$7,"✓",'KG1-6'!$AD$6:$IM$6,1,'KG1-6'!$AD$5:$IM$5,"&gt;="&amp;MAX('KG1-6'!$U38,Rpt_PStart),'KG1-6'!$AD$5:$IM$5,"&lt;="&amp;Rpt_PEnd)+COUNTIFS('KG1-6'!$AD38:$IM38,"غياب بعذر",'KG1-6'!$AD$7:$IM$7,"✓",'KG1-6'!$AD$6:$IM$6,1,'KG1-6'!$AD$5:$IM$5,"&gt;="&amp;MAX('KG1-6'!$U38,Rpt_PStart),'KG1-6'!$AD$5:$IM$5,"&lt;="&amp;Rpt_PEnd))</f>
        <v/>
      </c>
      <c r="AU184" s="40" t="n">
        <v>6</v>
      </c>
      <c r="AV184" s="40" t="n">
        <v>30</v>
      </c>
      <c r="AW184" s="40">
        <f>IF(OR(AP184=0,Rpt_DayIdx=0),"",IF(INDEX('KG1-6'!$AD$7:$IM$7,Rpt_DayIdx)&lt;&gt;"✓","",IF(INDEX('KG1-6'!$AD38:$IM38,Rpt_DayIdx)="","P",IFERROR(INDEX(StatusCodes,MATCH(INDEX('KG1-6'!$AD38:$IM38,Rpt_DayIdx),StatusLabels,0)),""))))</f>
        <v/>
      </c>
      <c r="AX184" s="40">
        <f>IF(AND(AP184=1,OR(AW184="A",AW184="E")),COUNTIFS($AP$5:AP184,1,$AW$5:AW184,"A")+COUNTIFS($AP$5:AP184,1,$AW$5:AW184,"E"),"")</f>
        <v/>
      </c>
    </row>
    <row r="185">
      <c r="A185" s="148">
        <f>IF(B185="","",ROW()-4)</f>
        <v/>
      </c>
      <c r="B185" s="148">
        <f>IF('KG1-7'!$B9="","",'KG1-7'!$B9)</f>
        <v/>
      </c>
      <c r="C185" s="146">
        <f>IF('KG1-7'!$C9="","",'KG1-7'!$C9)</f>
        <v/>
      </c>
      <c r="D185" s="148">
        <f>IF(B185="","",'KG1-7'!$B$2)</f>
        <v/>
      </c>
      <c r="E185" s="148">
        <f>IF(B185="","",MID(D185,FIND("-",D185&amp;"-")+1,10))</f>
        <v/>
      </c>
      <c r="F185" s="148">
        <f>IF(B185="","","نشط")</f>
        <v/>
      </c>
      <c r="G185" s="157">
        <f>IF(B185="","","")</f>
        <v/>
      </c>
      <c r="H185" s="146">
        <f>IF('KG1-7'!$K9="","",'KG1-7'!$K9)</f>
        <v/>
      </c>
      <c r="I185" s="148">
        <f>IF('KG1-7'!$J9="","",'KG1-7'!$J9)</f>
        <v/>
      </c>
      <c r="J185" s="148">
        <f>IF('KG1-7'!$M9="","",'KG1-7'!$M9)</f>
        <v/>
      </c>
      <c r="K185" s="148">
        <f>IF('KG1-7'!$N9="","",'KG1-7'!$N9)</f>
        <v/>
      </c>
      <c r="L185" s="148">
        <f>IF('KG1-7'!$D9="","",'KG1-7'!$D9)</f>
        <v/>
      </c>
      <c r="M185" s="148">
        <f>IF('KG1-7'!$E9="","",'KG1-7'!$E9)</f>
        <v/>
      </c>
      <c r="N185" s="148">
        <f>IF('KG1-7'!$F9="","",'KG1-7'!$F9)</f>
        <v/>
      </c>
      <c r="O185" s="158">
        <f>IF('KG1-7'!$G9="","",'KG1-7'!$G9)</f>
        <v/>
      </c>
      <c r="P185" s="158">
        <f>IF('KG1-7'!$O9="","",'KG1-7'!$O9)</f>
        <v/>
      </c>
      <c r="Q185" s="148">
        <f>IF('KG1-7'!$T9="","",'KG1-7'!$T9)</f>
        <v/>
      </c>
      <c r="R185" s="146">
        <f>IF('KG1-7'!$H9="","",'KG1-7'!$H9)</f>
        <v/>
      </c>
      <c r="S185" s="157">
        <f>IF('KG1-7'!$P9="","",'KG1-7'!$P9)</f>
        <v/>
      </c>
      <c r="T185" s="157">
        <f>IF('KG1-7'!$V9="","",'KG1-7'!$V9)</f>
        <v/>
      </c>
      <c r="U185" s="157">
        <f>IF('KG1-7'!$W9="","",'KG1-7'!$W9)</f>
        <v/>
      </c>
      <c r="V185" s="157">
        <f>IF('KG1-7'!$X9="","",'KG1-7'!$X9)</f>
        <v/>
      </c>
      <c r="W185" s="157">
        <f>IF('KG1-7'!$Y9="","",'KG1-7'!$Y9)</f>
        <v/>
      </c>
      <c r="X185" s="157">
        <f>IF('KG1-7'!$R9="","",'KG1-7'!$R9)</f>
        <v/>
      </c>
      <c r="Y185" s="148">
        <f>IF('KG1-7'!$S9="","",'KG1-7'!$S9)</f>
        <v/>
      </c>
      <c r="Z185" s="148">
        <f>IF('KG1-7'!$Q9="","",'KG1-7'!$Q9)</f>
        <v/>
      </c>
      <c r="AA185" s="148">
        <f>IF('KG1-7'!$I9="","",'KG1-7'!$I9)</f>
        <v/>
      </c>
      <c r="AB185" s="146">
        <f>IF(Q185="","",INDEX(LevelActions,MATCH(Q185,LevelValues,0)))</f>
        <v/>
      </c>
      <c r="AC185" s="148">
        <f>IF(J185="","",IF(J185=0,"—",IF(AND(L185=0,M185=0),Cat_L1,IF(O185&gt;=Cat_95,Cat_L2,IF(O185&gt;=Cat_90,Cat_L3,Cat_L4)))))</f>
        <v/>
      </c>
      <c r="AD185" s="146">
        <f>IF('KG1-7'!$L9="","",'KG1-7'!$L9)</f>
        <v/>
      </c>
      <c r="AE185" s="148">
        <f>IF(B185="","",IF(COUNTIF($B$5:$B$214,B185)&gt;1,"مكرر!",""))</f>
        <v/>
      </c>
      <c r="AF185" s="148">
        <f>IF(AND(B185&lt;&gt;"",F185="نشط",OR(Dash_Class="الكل",D185=Dash_Class)),1,0)</f>
        <v/>
      </c>
      <c r="AG185" s="40">
        <f>IF(OR(AF185=0,Dash_DayIdx=0),"",IF(INDEX('KG1-7'!$AD$7:$IM$7,Dash_DayIdx)&lt;&gt;"✓","",IF(INDEX('KG1-7'!$AD9:$IM9,Dash_DayIdx)="","P",IFERROR(INDEX(StatusCodes,MATCH(INDEX('KG1-7'!$AD9:$IM9,Dash_DayIdx),StatusLabels,0)),""))))</f>
        <v/>
      </c>
      <c r="AH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IF(LateAsPresent="نعم",COUNTIFS('KG1-7'!$AD9:$IM9,"متأخر",'KG1-7'!$AD$7:$IM$7,"✓",'KG1-7'!$AD$6:$IM$6,1,'KG1-7'!$AD$5:$IM$5,"&gt;="&amp;MAX('KG1-7'!$U9,Dash_PStart),'KG1-7'!$AD$5:$IM$5,"&lt;="&amp;Dash_PEnd),0))</f>
        <v/>
      </c>
      <c r="AI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COUNTIFS('KG1-7'!$AD9:$IM9,"غياب بدون عذر",'KG1-7'!$AD$7:$IM$7,"✓",'KG1-7'!$AD$6:$IM$6,1,'KG1-7'!$AD$5:$IM$5,"&gt;="&amp;MAX('KG1-7'!$U9,Dash_PStart),'KG1-7'!$AD$5:$IM$5,"&lt;="&amp;Dash_PEnd)+COUNTIFS('KG1-7'!$AD9:$IM9,"غياب بعذر",'KG1-7'!$AD$7:$IM$7,"✓",'KG1-7'!$AD$6:$IM$6,1,'KG1-7'!$AD$5:$IM$5,"&gt;="&amp;MAX('KG1-7'!$U9,Dash_PStart),'KG1-7'!$AD$5:$IM$5,"&lt;="&amp;Dash_PEnd)+COUNTIFS('KG1-7'!$AD9:$IM9,"متأخر",'KG1-7'!$AD$7:$IM$7,"✓",'KG1-7'!$AD$6:$IM$6,1,'KG1-7'!$AD$5:$IM$5,"&gt;="&amp;MAX('KG1-7'!$U9,Dash_PStart),'KG1-7'!$AD$5:$IM$5,"&lt;="&amp;Dash_PEnd))</f>
        <v/>
      </c>
      <c r="AJ185" s="40">
        <f>IF(AF185=0,0,IF(W185=Dash_Date,Thr_Critical,IF(V185=Dash_Date,Thr_High,IF(U185=Dash_Date,Thr_Repeated,IF(T185=Dash_Date,Thr_FollowUp,0)))))</f>
        <v/>
      </c>
      <c r="AK185" s="40">
        <f>IF(AJ185&gt;0,COUNTIF($AJ$5:AJ185,"&gt;0"),"")</f>
        <v/>
      </c>
      <c r="AL185" s="40">
        <f>IF(AND(B185&lt;&gt;"",F185="نشط",Q185&lt;&gt;"",Q185&gt;0),L185*1000+(999-ROW()),"")</f>
        <v/>
      </c>
      <c r="AM185" s="40">
        <f>IF(AND(AF185=1,J185&lt;&gt;"",J185&gt;0),ROUND(O185*10000,0)*1000000+K185*1000+(999-ROW()),"")</f>
        <v/>
      </c>
      <c r="AN185" s="40">
        <f>IF(AND(AF185=1,J185&lt;&gt;"",J185&gt;0),(L185+M185)*10000000+ROUND((1-O185)*10000,0)*1000+(999-ROW()),"")</f>
        <v/>
      </c>
      <c r="AO185" s="40">
        <f>IF(AND(AF185=1,Q185&lt;&gt;"",Q185&gt;=Thr_Critical),L185*1000+(999-ROW()),"")</f>
        <v/>
      </c>
      <c r="AP185" s="40">
        <f>IF(AND(B185&lt;&gt;"",F185="نشط",OR(Rpt_Class="الكل",D185=Rpt_Class)),1,0)</f>
        <v/>
      </c>
      <c r="AQ185" s="40">
        <f>IF(AND(AP185=1,Q185&lt;&gt;"",Q185&gt;0),L185*1000+(999-ROW()),"")</f>
        <v/>
      </c>
      <c r="AR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IF(LateAsPresent="نعم",COUNTIFS('KG1-7'!$AD9:$IM9,"متأخر",'KG1-7'!$AD$7:$IM$7,"✓",'KG1-7'!$AD$6:$IM$6,1,'KG1-7'!$AD$5:$IM$5,"&gt;="&amp;MAX('KG1-7'!$U9,Rpt_PStart),'KG1-7'!$AD$5:$IM$5,"&lt;="&amp;Rpt_PEnd),0))</f>
        <v/>
      </c>
      <c r="AS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COUNTIFS('KG1-7'!$AD9:$IM9,"غياب بدون عذر",'KG1-7'!$AD$7:$IM$7,"✓",'KG1-7'!$AD$6:$IM$6,1,'KG1-7'!$AD$5:$IM$5,"&gt;="&amp;MAX('KG1-7'!$U9,Rpt_PStart),'KG1-7'!$AD$5:$IM$5,"&lt;="&amp;Rpt_PEnd)+COUNTIFS('KG1-7'!$AD9:$IM9,"غياب بعذر",'KG1-7'!$AD$7:$IM$7,"✓",'KG1-7'!$AD$6:$IM$6,1,'KG1-7'!$AD$5:$IM$5,"&gt;="&amp;MAX('KG1-7'!$U9,Rpt_PStart),'KG1-7'!$AD$5:$IM$5,"&lt;="&amp;Rpt_PEnd)+COUNTIFS('KG1-7'!$AD9:$IM9,"متأخر",'KG1-7'!$AD$7:$IM$7,"✓",'KG1-7'!$AD$6:$IM$6,1,'KG1-7'!$AD$5:$IM$5,"&gt;="&amp;MAX('KG1-7'!$U9,Rpt_PStart),'KG1-7'!$AD$5:$IM$5,"&lt;="&amp;Rpt_PEnd))</f>
        <v/>
      </c>
      <c r="AT185" s="40">
        <f>IF(AP185=0,"",COUNTIFS('KG1-7'!$AD9:$IM9,"غياب بدون عذر",'KG1-7'!$AD$7:$IM$7,"✓",'KG1-7'!$AD$6:$IM$6,1,'KG1-7'!$AD$5:$IM$5,"&gt;="&amp;MAX('KG1-7'!$U9,Rpt_PStart),'KG1-7'!$AD$5:$IM$5,"&lt;="&amp;Rpt_PEnd)+COUNTIFS('KG1-7'!$AD9:$IM9,"غياب بعذر",'KG1-7'!$AD$7:$IM$7,"✓",'KG1-7'!$AD$6:$IM$6,1,'KG1-7'!$AD$5:$IM$5,"&gt;="&amp;MAX('KG1-7'!$U9,Rpt_PStart),'KG1-7'!$AD$5:$IM$5,"&lt;="&amp;Rpt_PEnd))</f>
        <v/>
      </c>
      <c r="AU185" s="40" t="n">
        <v>7</v>
      </c>
      <c r="AV185" s="40" t="n">
        <v>1</v>
      </c>
      <c r="AW185" s="40">
        <f>IF(OR(AP185=0,Rpt_DayIdx=0),"",IF(INDEX('KG1-7'!$AD$7:$IM$7,Rpt_DayIdx)&lt;&gt;"✓","",IF(INDEX('KG1-7'!$AD9:$IM9,Rpt_DayIdx)="","P",IFERROR(INDEX(StatusCodes,MATCH(INDEX('KG1-7'!$AD9:$IM9,Rpt_DayIdx),StatusLabels,0)),""))))</f>
        <v/>
      </c>
      <c r="AX185" s="40">
        <f>IF(AND(AP185=1,OR(AW185="A",AW185="E")),COUNTIFS($AP$5:AP185,1,$AW$5:AW185,"A")+COUNTIFS($AP$5:AP185,1,$AW$5:AW185,"E"),"")</f>
        <v/>
      </c>
    </row>
    <row r="186">
      <c r="A186" s="148">
        <f>IF(B186="","",ROW()-4)</f>
        <v/>
      </c>
      <c r="B186" s="148">
        <f>IF('KG1-7'!$B10="","",'KG1-7'!$B10)</f>
        <v/>
      </c>
      <c r="C186" s="146">
        <f>IF('KG1-7'!$C10="","",'KG1-7'!$C10)</f>
        <v/>
      </c>
      <c r="D186" s="148">
        <f>IF(B186="","",'KG1-7'!$B$2)</f>
        <v/>
      </c>
      <c r="E186" s="148">
        <f>IF(B186="","",MID(D186,FIND("-",D186&amp;"-")+1,10))</f>
        <v/>
      </c>
      <c r="F186" s="148">
        <f>IF(B186="","","نشط")</f>
        <v/>
      </c>
      <c r="G186" s="157">
        <f>IF(B186="","","")</f>
        <v/>
      </c>
      <c r="H186" s="146">
        <f>IF('KG1-7'!$K10="","",'KG1-7'!$K10)</f>
        <v/>
      </c>
      <c r="I186" s="148">
        <f>IF('KG1-7'!$J10="","",'KG1-7'!$J10)</f>
        <v/>
      </c>
      <c r="J186" s="148">
        <f>IF('KG1-7'!$M10="","",'KG1-7'!$M10)</f>
        <v/>
      </c>
      <c r="K186" s="148">
        <f>IF('KG1-7'!$N10="","",'KG1-7'!$N10)</f>
        <v/>
      </c>
      <c r="L186" s="148">
        <f>IF('KG1-7'!$D10="","",'KG1-7'!$D10)</f>
        <v/>
      </c>
      <c r="M186" s="148">
        <f>IF('KG1-7'!$E10="","",'KG1-7'!$E10)</f>
        <v/>
      </c>
      <c r="N186" s="148">
        <f>IF('KG1-7'!$F10="","",'KG1-7'!$F10)</f>
        <v/>
      </c>
      <c r="O186" s="158">
        <f>IF('KG1-7'!$G10="","",'KG1-7'!$G10)</f>
        <v/>
      </c>
      <c r="P186" s="158">
        <f>IF('KG1-7'!$O10="","",'KG1-7'!$O10)</f>
        <v/>
      </c>
      <c r="Q186" s="148">
        <f>IF('KG1-7'!$T10="","",'KG1-7'!$T10)</f>
        <v/>
      </c>
      <c r="R186" s="146">
        <f>IF('KG1-7'!$H10="","",'KG1-7'!$H10)</f>
        <v/>
      </c>
      <c r="S186" s="157">
        <f>IF('KG1-7'!$P10="","",'KG1-7'!$P10)</f>
        <v/>
      </c>
      <c r="T186" s="157">
        <f>IF('KG1-7'!$V10="","",'KG1-7'!$V10)</f>
        <v/>
      </c>
      <c r="U186" s="157">
        <f>IF('KG1-7'!$W10="","",'KG1-7'!$W10)</f>
        <v/>
      </c>
      <c r="V186" s="157">
        <f>IF('KG1-7'!$X10="","",'KG1-7'!$X10)</f>
        <v/>
      </c>
      <c r="W186" s="157">
        <f>IF('KG1-7'!$Y10="","",'KG1-7'!$Y10)</f>
        <v/>
      </c>
      <c r="X186" s="157">
        <f>IF('KG1-7'!$R10="","",'KG1-7'!$R10)</f>
        <v/>
      </c>
      <c r="Y186" s="148">
        <f>IF('KG1-7'!$S10="","",'KG1-7'!$S10)</f>
        <v/>
      </c>
      <c r="Z186" s="148">
        <f>IF('KG1-7'!$Q10="","",'KG1-7'!$Q10)</f>
        <v/>
      </c>
      <c r="AA186" s="148">
        <f>IF('KG1-7'!$I10="","",'KG1-7'!$I10)</f>
        <v/>
      </c>
      <c r="AB186" s="146">
        <f>IF(Q186="","",INDEX(LevelActions,MATCH(Q186,LevelValues,0)))</f>
        <v/>
      </c>
      <c r="AC186" s="148">
        <f>IF(J186="","",IF(J186=0,"—",IF(AND(L186=0,M186=0),Cat_L1,IF(O186&gt;=Cat_95,Cat_L2,IF(O186&gt;=Cat_90,Cat_L3,Cat_L4)))))</f>
        <v/>
      </c>
      <c r="AD186" s="146">
        <f>IF('KG1-7'!$L10="","",'KG1-7'!$L10)</f>
        <v/>
      </c>
      <c r="AE186" s="148">
        <f>IF(B186="","",IF(COUNTIF($B$5:$B$214,B186)&gt;1,"مكرر!",""))</f>
        <v/>
      </c>
      <c r="AF186" s="148">
        <f>IF(AND(B186&lt;&gt;"",F186="نشط",OR(Dash_Class="الكل",D186=Dash_Class)),1,0)</f>
        <v/>
      </c>
      <c r="AG186" s="40">
        <f>IF(OR(AF186=0,Dash_DayIdx=0),"",IF(INDEX('KG1-7'!$AD$7:$IM$7,Dash_DayIdx)&lt;&gt;"✓","",IF(INDEX('KG1-7'!$AD10:$IM10,Dash_DayIdx)="","P",IFERROR(INDEX(StatusCodes,MATCH(INDEX('KG1-7'!$AD10:$IM10,Dash_DayIdx),StatusLabels,0)),""))))</f>
        <v/>
      </c>
      <c r="AH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IF(LateAsPresent="نعم",COUNTIFS('KG1-7'!$AD10:$IM10,"متأخر",'KG1-7'!$AD$7:$IM$7,"✓",'KG1-7'!$AD$6:$IM$6,1,'KG1-7'!$AD$5:$IM$5,"&gt;="&amp;MAX('KG1-7'!$U10,Dash_PStart),'KG1-7'!$AD$5:$IM$5,"&lt;="&amp;Dash_PEnd),0))</f>
        <v/>
      </c>
      <c r="AI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COUNTIFS('KG1-7'!$AD10:$IM10,"غياب بدون عذر",'KG1-7'!$AD$7:$IM$7,"✓",'KG1-7'!$AD$6:$IM$6,1,'KG1-7'!$AD$5:$IM$5,"&gt;="&amp;MAX('KG1-7'!$U10,Dash_PStart),'KG1-7'!$AD$5:$IM$5,"&lt;="&amp;Dash_PEnd)+COUNTIFS('KG1-7'!$AD10:$IM10,"غياب بعذر",'KG1-7'!$AD$7:$IM$7,"✓",'KG1-7'!$AD$6:$IM$6,1,'KG1-7'!$AD$5:$IM$5,"&gt;="&amp;MAX('KG1-7'!$U10,Dash_PStart),'KG1-7'!$AD$5:$IM$5,"&lt;="&amp;Dash_PEnd)+COUNTIFS('KG1-7'!$AD10:$IM10,"متأخر",'KG1-7'!$AD$7:$IM$7,"✓",'KG1-7'!$AD$6:$IM$6,1,'KG1-7'!$AD$5:$IM$5,"&gt;="&amp;MAX('KG1-7'!$U10,Dash_PStart),'KG1-7'!$AD$5:$IM$5,"&lt;="&amp;Dash_PEnd))</f>
        <v/>
      </c>
      <c r="AJ186" s="40">
        <f>IF(AF186=0,0,IF(W186=Dash_Date,Thr_Critical,IF(V186=Dash_Date,Thr_High,IF(U186=Dash_Date,Thr_Repeated,IF(T186=Dash_Date,Thr_FollowUp,0)))))</f>
        <v/>
      </c>
      <c r="AK186" s="40">
        <f>IF(AJ186&gt;0,COUNTIF($AJ$5:AJ186,"&gt;0"),"")</f>
        <v/>
      </c>
      <c r="AL186" s="40">
        <f>IF(AND(B186&lt;&gt;"",F186="نشط",Q186&lt;&gt;"",Q186&gt;0),L186*1000+(999-ROW()),"")</f>
        <v/>
      </c>
      <c r="AM186" s="40">
        <f>IF(AND(AF186=1,J186&lt;&gt;"",J186&gt;0),ROUND(O186*10000,0)*1000000+K186*1000+(999-ROW()),"")</f>
        <v/>
      </c>
      <c r="AN186" s="40">
        <f>IF(AND(AF186=1,J186&lt;&gt;"",J186&gt;0),(L186+M186)*10000000+ROUND((1-O186)*10000,0)*1000+(999-ROW()),"")</f>
        <v/>
      </c>
      <c r="AO186" s="40">
        <f>IF(AND(AF186=1,Q186&lt;&gt;"",Q186&gt;=Thr_Critical),L186*1000+(999-ROW()),"")</f>
        <v/>
      </c>
      <c r="AP186" s="40">
        <f>IF(AND(B186&lt;&gt;"",F186="نشط",OR(Rpt_Class="الكل",D186=Rpt_Class)),1,0)</f>
        <v/>
      </c>
      <c r="AQ186" s="40">
        <f>IF(AND(AP186=1,Q186&lt;&gt;"",Q186&gt;0),L186*1000+(999-ROW()),"")</f>
        <v/>
      </c>
      <c r="AR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IF(LateAsPresent="نعم",COUNTIFS('KG1-7'!$AD10:$IM10,"متأخر",'KG1-7'!$AD$7:$IM$7,"✓",'KG1-7'!$AD$6:$IM$6,1,'KG1-7'!$AD$5:$IM$5,"&gt;="&amp;MAX('KG1-7'!$U10,Rpt_PStart),'KG1-7'!$AD$5:$IM$5,"&lt;="&amp;Rpt_PEnd),0))</f>
        <v/>
      </c>
      <c r="AS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COUNTIFS('KG1-7'!$AD10:$IM10,"غياب بدون عذر",'KG1-7'!$AD$7:$IM$7,"✓",'KG1-7'!$AD$6:$IM$6,1,'KG1-7'!$AD$5:$IM$5,"&gt;="&amp;MAX('KG1-7'!$U10,Rpt_PStart),'KG1-7'!$AD$5:$IM$5,"&lt;="&amp;Rpt_PEnd)+COUNTIFS('KG1-7'!$AD10:$IM10,"غياب بعذر",'KG1-7'!$AD$7:$IM$7,"✓",'KG1-7'!$AD$6:$IM$6,1,'KG1-7'!$AD$5:$IM$5,"&gt;="&amp;MAX('KG1-7'!$U10,Rpt_PStart),'KG1-7'!$AD$5:$IM$5,"&lt;="&amp;Rpt_PEnd)+COUNTIFS('KG1-7'!$AD10:$IM10,"متأخر",'KG1-7'!$AD$7:$IM$7,"✓",'KG1-7'!$AD$6:$IM$6,1,'KG1-7'!$AD$5:$IM$5,"&gt;="&amp;MAX('KG1-7'!$U10,Rpt_PStart),'KG1-7'!$AD$5:$IM$5,"&lt;="&amp;Rpt_PEnd))</f>
        <v/>
      </c>
      <c r="AT186" s="40">
        <f>IF(AP186=0,"",COUNTIFS('KG1-7'!$AD10:$IM10,"غياب بدون عذر",'KG1-7'!$AD$7:$IM$7,"✓",'KG1-7'!$AD$6:$IM$6,1,'KG1-7'!$AD$5:$IM$5,"&gt;="&amp;MAX('KG1-7'!$U10,Rpt_PStart),'KG1-7'!$AD$5:$IM$5,"&lt;="&amp;Rpt_PEnd)+COUNTIFS('KG1-7'!$AD10:$IM10,"غياب بعذر",'KG1-7'!$AD$7:$IM$7,"✓",'KG1-7'!$AD$6:$IM$6,1,'KG1-7'!$AD$5:$IM$5,"&gt;="&amp;MAX('KG1-7'!$U10,Rpt_PStart),'KG1-7'!$AD$5:$IM$5,"&lt;="&amp;Rpt_PEnd))</f>
        <v/>
      </c>
      <c r="AU186" s="40" t="n">
        <v>7</v>
      </c>
      <c r="AV186" s="40" t="n">
        <v>2</v>
      </c>
      <c r="AW186" s="40">
        <f>IF(OR(AP186=0,Rpt_DayIdx=0),"",IF(INDEX('KG1-7'!$AD$7:$IM$7,Rpt_DayIdx)&lt;&gt;"✓","",IF(INDEX('KG1-7'!$AD10:$IM10,Rpt_DayIdx)="","P",IFERROR(INDEX(StatusCodes,MATCH(INDEX('KG1-7'!$AD10:$IM10,Rpt_DayIdx),StatusLabels,0)),""))))</f>
        <v/>
      </c>
      <c r="AX186" s="40">
        <f>IF(AND(AP186=1,OR(AW186="A",AW186="E")),COUNTIFS($AP$5:AP186,1,$AW$5:AW186,"A")+COUNTIFS($AP$5:AP186,1,$AW$5:AW186,"E"),"")</f>
        <v/>
      </c>
    </row>
    <row r="187">
      <c r="A187" s="148">
        <f>IF(B187="","",ROW()-4)</f>
        <v/>
      </c>
      <c r="B187" s="148">
        <f>IF('KG1-7'!$B11="","",'KG1-7'!$B11)</f>
        <v/>
      </c>
      <c r="C187" s="146">
        <f>IF('KG1-7'!$C11="","",'KG1-7'!$C11)</f>
        <v/>
      </c>
      <c r="D187" s="148">
        <f>IF(B187="","",'KG1-7'!$B$2)</f>
        <v/>
      </c>
      <c r="E187" s="148">
        <f>IF(B187="","",MID(D187,FIND("-",D187&amp;"-")+1,10))</f>
        <v/>
      </c>
      <c r="F187" s="148">
        <f>IF(B187="","","نشط")</f>
        <v/>
      </c>
      <c r="G187" s="157">
        <f>IF(B187="","","")</f>
        <v/>
      </c>
      <c r="H187" s="146">
        <f>IF('KG1-7'!$K11="","",'KG1-7'!$K11)</f>
        <v/>
      </c>
      <c r="I187" s="148">
        <f>IF('KG1-7'!$J11="","",'KG1-7'!$J11)</f>
        <v/>
      </c>
      <c r="J187" s="148">
        <f>IF('KG1-7'!$M11="","",'KG1-7'!$M11)</f>
        <v/>
      </c>
      <c r="K187" s="148">
        <f>IF('KG1-7'!$N11="","",'KG1-7'!$N11)</f>
        <v/>
      </c>
      <c r="L187" s="148">
        <f>IF('KG1-7'!$D11="","",'KG1-7'!$D11)</f>
        <v/>
      </c>
      <c r="M187" s="148">
        <f>IF('KG1-7'!$E11="","",'KG1-7'!$E11)</f>
        <v/>
      </c>
      <c r="N187" s="148">
        <f>IF('KG1-7'!$F11="","",'KG1-7'!$F11)</f>
        <v/>
      </c>
      <c r="O187" s="158">
        <f>IF('KG1-7'!$G11="","",'KG1-7'!$G11)</f>
        <v/>
      </c>
      <c r="P187" s="158">
        <f>IF('KG1-7'!$O11="","",'KG1-7'!$O11)</f>
        <v/>
      </c>
      <c r="Q187" s="148">
        <f>IF('KG1-7'!$T11="","",'KG1-7'!$T11)</f>
        <v/>
      </c>
      <c r="R187" s="146">
        <f>IF('KG1-7'!$H11="","",'KG1-7'!$H11)</f>
        <v/>
      </c>
      <c r="S187" s="157">
        <f>IF('KG1-7'!$P11="","",'KG1-7'!$P11)</f>
        <v/>
      </c>
      <c r="T187" s="157">
        <f>IF('KG1-7'!$V11="","",'KG1-7'!$V11)</f>
        <v/>
      </c>
      <c r="U187" s="157">
        <f>IF('KG1-7'!$W11="","",'KG1-7'!$W11)</f>
        <v/>
      </c>
      <c r="V187" s="157">
        <f>IF('KG1-7'!$X11="","",'KG1-7'!$X11)</f>
        <v/>
      </c>
      <c r="W187" s="157">
        <f>IF('KG1-7'!$Y11="","",'KG1-7'!$Y11)</f>
        <v/>
      </c>
      <c r="X187" s="157">
        <f>IF('KG1-7'!$R11="","",'KG1-7'!$R11)</f>
        <v/>
      </c>
      <c r="Y187" s="148">
        <f>IF('KG1-7'!$S11="","",'KG1-7'!$S11)</f>
        <v/>
      </c>
      <c r="Z187" s="148">
        <f>IF('KG1-7'!$Q11="","",'KG1-7'!$Q11)</f>
        <v/>
      </c>
      <c r="AA187" s="148">
        <f>IF('KG1-7'!$I11="","",'KG1-7'!$I11)</f>
        <v/>
      </c>
      <c r="AB187" s="146">
        <f>IF(Q187="","",INDEX(LevelActions,MATCH(Q187,LevelValues,0)))</f>
        <v/>
      </c>
      <c r="AC187" s="148">
        <f>IF(J187="","",IF(J187=0,"—",IF(AND(L187=0,M187=0),Cat_L1,IF(O187&gt;=Cat_95,Cat_L2,IF(O187&gt;=Cat_90,Cat_L3,Cat_L4)))))</f>
        <v/>
      </c>
      <c r="AD187" s="146">
        <f>IF('KG1-7'!$L11="","",'KG1-7'!$L11)</f>
        <v/>
      </c>
      <c r="AE187" s="148">
        <f>IF(B187="","",IF(COUNTIF($B$5:$B$214,B187)&gt;1,"مكرر!",""))</f>
        <v/>
      </c>
      <c r="AF187" s="148">
        <f>IF(AND(B187&lt;&gt;"",F187="نشط",OR(Dash_Class="الكل",D187=Dash_Class)),1,0)</f>
        <v/>
      </c>
      <c r="AG187" s="40">
        <f>IF(OR(AF187=0,Dash_DayIdx=0),"",IF(INDEX('KG1-7'!$AD$7:$IM$7,Dash_DayIdx)&lt;&gt;"✓","",IF(INDEX('KG1-7'!$AD11:$IM11,Dash_DayIdx)="","P",IFERROR(INDEX(StatusCodes,MATCH(INDEX('KG1-7'!$AD11:$IM11,Dash_DayIdx),StatusLabels,0)),""))))</f>
        <v/>
      </c>
      <c r="AH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IF(LateAsPresent="نعم",COUNTIFS('KG1-7'!$AD11:$IM11,"متأخر",'KG1-7'!$AD$7:$IM$7,"✓",'KG1-7'!$AD$6:$IM$6,1,'KG1-7'!$AD$5:$IM$5,"&gt;="&amp;MAX('KG1-7'!$U11,Dash_PStart),'KG1-7'!$AD$5:$IM$5,"&lt;="&amp;Dash_PEnd),0))</f>
        <v/>
      </c>
      <c r="AI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COUNTIFS('KG1-7'!$AD11:$IM11,"غياب بدون عذر",'KG1-7'!$AD$7:$IM$7,"✓",'KG1-7'!$AD$6:$IM$6,1,'KG1-7'!$AD$5:$IM$5,"&gt;="&amp;MAX('KG1-7'!$U11,Dash_PStart),'KG1-7'!$AD$5:$IM$5,"&lt;="&amp;Dash_PEnd)+COUNTIFS('KG1-7'!$AD11:$IM11,"غياب بعذر",'KG1-7'!$AD$7:$IM$7,"✓",'KG1-7'!$AD$6:$IM$6,1,'KG1-7'!$AD$5:$IM$5,"&gt;="&amp;MAX('KG1-7'!$U11,Dash_PStart),'KG1-7'!$AD$5:$IM$5,"&lt;="&amp;Dash_PEnd)+COUNTIFS('KG1-7'!$AD11:$IM11,"متأخر",'KG1-7'!$AD$7:$IM$7,"✓",'KG1-7'!$AD$6:$IM$6,1,'KG1-7'!$AD$5:$IM$5,"&gt;="&amp;MAX('KG1-7'!$U11,Dash_PStart),'KG1-7'!$AD$5:$IM$5,"&lt;="&amp;Dash_PEnd))</f>
        <v/>
      </c>
      <c r="AJ187" s="40">
        <f>IF(AF187=0,0,IF(W187=Dash_Date,Thr_Critical,IF(V187=Dash_Date,Thr_High,IF(U187=Dash_Date,Thr_Repeated,IF(T187=Dash_Date,Thr_FollowUp,0)))))</f>
        <v/>
      </c>
      <c r="AK187" s="40">
        <f>IF(AJ187&gt;0,COUNTIF($AJ$5:AJ187,"&gt;0"),"")</f>
        <v/>
      </c>
      <c r="AL187" s="40">
        <f>IF(AND(B187&lt;&gt;"",F187="نشط",Q187&lt;&gt;"",Q187&gt;0),L187*1000+(999-ROW()),"")</f>
        <v/>
      </c>
      <c r="AM187" s="40">
        <f>IF(AND(AF187=1,J187&lt;&gt;"",J187&gt;0),ROUND(O187*10000,0)*1000000+K187*1000+(999-ROW()),"")</f>
        <v/>
      </c>
      <c r="AN187" s="40">
        <f>IF(AND(AF187=1,J187&lt;&gt;"",J187&gt;0),(L187+M187)*10000000+ROUND((1-O187)*10000,0)*1000+(999-ROW()),"")</f>
        <v/>
      </c>
      <c r="AO187" s="40">
        <f>IF(AND(AF187=1,Q187&lt;&gt;"",Q187&gt;=Thr_Critical),L187*1000+(999-ROW()),"")</f>
        <v/>
      </c>
      <c r="AP187" s="40">
        <f>IF(AND(B187&lt;&gt;"",F187="نشط",OR(Rpt_Class="الكل",D187=Rpt_Class)),1,0)</f>
        <v/>
      </c>
      <c r="AQ187" s="40">
        <f>IF(AND(AP187=1,Q187&lt;&gt;"",Q187&gt;0),L187*1000+(999-ROW()),"")</f>
        <v/>
      </c>
      <c r="AR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IF(LateAsPresent="نعم",COUNTIFS('KG1-7'!$AD11:$IM11,"متأخر",'KG1-7'!$AD$7:$IM$7,"✓",'KG1-7'!$AD$6:$IM$6,1,'KG1-7'!$AD$5:$IM$5,"&gt;="&amp;MAX('KG1-7'!$U11,Rpt_PStart),'KG1-7'!$AD$5:$IM$5,"&lt;="&amp;Rpt_PEnd),0))</f>
        <v/>
      </c>
      <c r="AS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COUNTIFS('KG1-7'!$AD11:$IM11,"غياب بدون عذر",'KG1-7'!$AD$7:$IM$7,"✓",'KG1-7'!$AD$6:$IM$6,1,'KG1-7'!$AD$5:$IM$5,"&gt;="&amp;MAX('KG1-7'!$U11,Rpt_PStart),'KG1-7'!$AD$5:$IM$5,"&lt;="&amp;Rpt_PEnd)+COUNTIFS('KG1-7'!$AD11:$IM11,"غياب بعذر",'KG1-7'!$AD$7:$IM$7,"✓",'KG1-7'!$AD$6:$IM$6,1,'KG1-7'!$AD$5:$IM$5,"&gt;="&amp;MAX('KG1-7'!$U11,Rpt_PStart),'KG1-7'!$AD$5:$IM$5,"&lt;="&amp;Rpt_PEnd)+COUNTIFS('KG1-7'!$AD11:$IM11,"متأخر",'KG1-7'!$AD$7:$IM$7,"✓",'KG1-7'!$AD$6:$IM$6,1,'KG1-7'!$AD$5:$IM$5,"&gt;="&amp;MAX('KG1-7'!$U11,Rpt_PStart),'KG1-7'!$AD$5:$IM$5,"&lt;="&amp;Rpt_PEnd))</f>
        <v/>
      </c>
      <c r="AT187" s="40">
        <f>IF(AP187=0,"",COUNTIFS('KG1-7'!$AD11:$IM11,"غياب بدون عذر",'KG1-7'!$AD$7:$IM$7,"✓",'KG1-7'!$AD$6:$IM$6,1,'KG1-7'!$AD$5:$IM$5,"&gt;="&amp;MAX('KG1-7'!$U11,Rpt_PStart),'KG1-7'!$AD$5:$IM$5,"&lt;="&amp;Rpt_PEnd)+COUNTIFS('KG1-7'!$AD11:$IM11,"غياب بعذر",'KG1-7'!$AD$7:$IM$7,"✓",'KG1-7'!$AD$6:$IM$6,1,'KG1-7'!$AD$5:$IM$5,"&gt;="&amp;MAX('KG1-7'!$U11,Rpt_PStart),'KG1-7'!$AD$5:$IM$5,"&lt;="&amp;Rpt_PEnd))</f>
        <v/>
      </c>
      <c r="AU187" s="40" t="n">
        <v>7</v>
      </c>
      <c r="AV187" s="40" t="n">
        <v>3</v>
      </c>
      <c r="AW187" s="40">
        <f>IF(OR(AP187=0,Rpt_DayIdx=0),"",IF(INDEX('KG1-7'!$AD$7:$IM$7,Rpt_DayIdx)&lt;&gt;"✓","",IF(INDEX('KG1-7'!$AD11:$IM11,Rpt_DayIdx)="","P",IFERROR(INDEX(StatusCodes,MATCH(INDEX('KG1-7'!$AD11:$IM11,Rpt_DayIdx),StatusLabels,0)),""))))</f>
        <v/>
      </c>
      <c r="AX187" s="40">
        <f>IF(AND(AP187=1,OR(AW187="A",AW187="E")),COUNTIFS($AP$5:AP187,1,$AW$5:AW187,"A")+COUNTIFS($AP$5:AP187,1,$AW$5:AW187,"E"),"")</f>
        <v/>
      </c>
    </row>
    <row r="188">
      <c r="A188" s="148">
        <f>IF(B188="","",ROW()-4)</f>
        <v/>
      </c>
      <c r="B188" s="148">
        <f>IF('KG1-7'!$B12="","",'KG1-7'!$B12)</f>
        <v/>
      </c>
      <c r="C188" s="146">
        <f>IF('KG1-7'!$C12="","",'KG1-7'!$C12)</f>
        <v/>
      </c>
      <c r="D188" s="148">
        <f>IF(B188="","",'KG1-7'!$B$2)</f>
        <v/>
      </c>
      <c r="E188" s="148">
        <f>IF(B188="","",MID(D188,FIND("-",D188&amp;"-")+1,10))</f>
        <v/>
      </c>
      <c r="F188" s="148">
        <f>IF(B188="","","نشط")</f>
        <v/>
      </c>
      <c r="G188" s="157">
        <f>IF(B188="","","")</f>
        <v/>
      </c>
      <c r="H188" s="146">
        <f>IF('KG1-7'!$K12="","",'KG1-7'!$K12)</f>
        <v/>
      </c>
      <c r="I188" s="148">
        <f>IF('KG1-7'!$J12="","",'KG1-7'!$J12)</f>
        <v/>
      </c>
      <c r="J188" s="148">
        <f>IF('KG1-7'!$M12="","",'KG1-7'!$M12)</f>
        <v/>
      </c>
      <c r="K188" s="148">
        <f>IF('KG1-7'!$N12="","",'KG1-7'!$N12)</f>
        <v/>
      </c>
      <c r="L188" s="148">
        <f>IF('KG1-7'!$D12="","",'KG1-7'!$D12)</f>
        <v/>
      </c>
      <c r="M188" s="148">
        <f>IF('KG1-7'!$E12="","",'KG1-7'!$E12)</f>
        <v/>
      </c>
      <c r="N188" s="148">
        <f>IF('KG1-7'!$F12="","",'KG1-7'!$F12)</f>
        <v/>
      </c>
      <c r="O188" s="158">
        <f>IF('KG1-7'!$G12="","",'KG1-7'!$G12)</f>
        <v/>
      </c>
      <c r="P188" s="158">
        <f>IF('KG1-7'!$O12="","",'KG1-7'!$O12)</f>
        <v/>
      </c>
      <c r="Q188" s="148">
        <f>IF('KG1-7'!$T12="","",'KG1-7'!$T12)</f>
        <v/>
      </c>
      <c r="R188" s="146">
        <f>IF('KG1-7'!$H12="","",'KG1-7'!$H12)</f>
        <v/>
      </c>
      <c r="S188" s="157">
        <f>IF('KG1-7'!$P12="","",'KG1-7'!$P12)</f>
        <v/>
      </c>
      <c r="T188" s="157">
        <f>IF('KG1-7'!$V12="","",'KG1-7'!$V12)</f>
        <v/>
      </c>
      <c r="U188" s="157">
        <f>IF('KG1-7'!$W12="","",'KG1-7'!$W12)</f>
        <v/>
      </c>
      <c r="V188" s="157">
        <f>IF('KG1-7'!$X12="","",'KG1-7'!$X12)</f>
        <v/>
      </c>
      <c r="W188" s="157">
        <f>IF('KG1-7'!$Y12="","",'KG1-7'!$Y12)</f>
        <v/>
      </c>
      <c r="X188" s="157">
        <f>IF('KG1-7'!$R12="","",'KG1-7'!$R12)</f>
        <v/>
      </c>
      <c r="Y188" s="148">
        <f>IF('KG1-7'!$S12="","",'KG1-7'!$S12)</f>
        <v/>
      </c>
      <c r="Z188" s="148">
        <f>IF('KG1-7'!$Q12="","",'KG1-7'!$Q12)</f>
        <v/>
      </c>
      <c r="AA188" s="148">
        <f>IF('KG1-7'!$I12="","",'KG1-7'!$I12)</f>
        <v/>
      </c>
      <c r="AB188" s="146">
        <f>IF(Q188="","",INDEX(LevelActions,MATCH(Q188,LevelValues,0)))</f>
        <v/>
      </c>
      <c r="AC188" s="148">
        <f>IF(J188="","",IF(J188=0,"—",IF(AND(L188=0,M188=0),Cat_L1,IF(O188&gt;=Cat_95,Cat_L2,IF(O188&gt;=Cat_90,Cat_L3,Cat_L4)))))</f>
        <v/>
      </c>
      <c r="AD188" s="146">
        <f>IF('KG1-7'!$L12="","",'KG1-7'!$L12)</f>
        <v/>
      </c>
      <c r="AE188" s="148">
        <f>IF(B188="","",IF(COUNTIF($B$5:$B$214,B188)&gt;1,"مكرر!",""))</f>
        <v/>
      </c>
      <c r="AF188" s="148">
        <f>IF(AND(B188&lt;&gt;"",F188="نشط",OR(Dash_Class="الكل",D188=Dash_Class)),1,0)</f>
        <v/>
      </c>
      <c r="AG188" s="40">
        <f>IF(OR(AF188=0,Dash_DayIdx=0),"",IF(INDEX('KG1-7'!$AD$7:$IM$7,Dash_DayIdx)&lt;&gt;"✓","",IF(INDEX('KG1-7'!$AD12:$IM12,Dash_DayIdx)="","P",IFERROR(INDEX(StatusCodes,MATCH(INDEX('KG1-7'!$AD12:$IM12,Dash_DayIdx),StatusLabels,0)),""))))</f>
        <v/>
      </c>
      <c r="AH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IF(LateAsPresent="نعم",COUNTIFS('KG1-7'!$AD12:$IM12,"متأخر",'KG1-7'!$AD$7:$IM$7,"✓",'KG1-7'!$AD$6:$IM$6,1,'KG1-7'!$AD$5:$IM$5,"&gt;="&amp;MAX('KG1-7'!$U12,Dash_PStart),'KG1-7'!$AD$5:$IM$5,"&lt;="&amp;Dash_PEnd),0))</f>
        <v/>
      </c>
      <c r="AI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COUNTIFS('KG1-7'!$AD12:$IM12,"غياب بدون عذر",'KG1-7'!$AD$7:$IM$7,"✓",'KG1-7'!$AD$6:$IM$6,1,'KG1-7'!$AD$5:$IM$5,"&gt;="&amp;MAX('KG1-7'!$U12,Dash_PStart),'KG1-7'!$AD$5:$IM$5,"&lt;="&amp;Dash_PEnd)+COUNTIFS('KG1-7'!$AD12:$IM12,"غياب بعذر",'KG1-7'!$AD$7:$IM$7,"✓",'KG1-7'!$AD$6:$IM$6,1,'KG1-7'!$AD$5:$IM$5,"&gt;="&amp;MAX('KG1-7'!$U12,Dash_PStart),'KG1-7'!$AD$5:$IM$5,"&lt;="&amp;Dash_PEnd)+COUNTIFS('KG1-7'!$AD12:$IM12,"متأخر",'KG1-7'!$AD$7:$IM$7,"✓",'KG1-7'!$AD$6:$IM$6,1,'KG1-7'!$AD$5:$IM$5,"&gt;="&amp;MAX('KG1-7'!$U12,Dash_PStart),'KG1-7'!$AD$5:$IM$5,"&lt;="&amp;Dash_PEnd))</f>
        <v/>
      </c>
      <c r="AJ188" s="40">
        <f>IF(AF188=0,0,IF(W188=Dash_Date,Thr_Critical,IF(V188=Dash_Date,Thr_High,IF(U188=Dash_Date,Thr_Repeated,IF(T188=Dash_Date,Thr_FollowUp,0)))))</f>
        <v/>
      </c>
      <c r="AK188" s="40">
        <f>IF(AJ188&gt;0,COUNTIF($AJ$5:AJ188,"&gt;0"),"")</f>
        <v/>
      </c>
      <c r="AL188" s="40">
        <f>IF(AND(B188&lt;&gt;"",F188="نشط",Q188&lt;&gt;"",Q188&gt;0),L188*1000+(999-ROW()),"")</f>
        <v/>
      </c>
      <c r="AM188" s="40">
        <f>IF(AND(AF188=1,J188&lt;&gt;"",J188&gt;0),ROUND(O188*10000,0)*1000000+K188*1000+(999-ROW()),"")</f>
        <v/>
      </c>
      <c r="AN188" s="40">
        <f>IF(AND(AF188=1,J188&lt;&gt;"",J188&gt;0),(L188+M188)*10000000+ROUND((1-O188)*10000,0)*1000+(999-ROW()),"")</f>
        <v/>
      </c>
      <c r="AO188" s="40">
        <f>IF(AND(AF188=1,Q188&lt;&gt;"",Q188&gt;=Thr_Critical),L188*1000+(999-ROW()),"")</f>
        <v/>
      </c>
      <c r="AP188" s="40">
        <f>IF(AND(B188&lt;&gt;"",F188="نشط",OR(Rpt_Class="الكل",D188=Rpt_Class)),1,0)</f>
        <v/>
      </c>
      <c r="AQ188" s="40">
        <f>IF(AND(AP188=1,Q188&lt;&gt;"",Q188&gt;0),L188*1000+(999-ROW()),"")</f>
        <v/>
      </c>
      <c r="AR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IF(LateAsPresent="نعم",COUNTIFS('KG1-7'!$AD12:$IM12,"متأخر",'KG1-7'!$AD$7:$IM$7,"✓",'KG1-7'!$AD$6:$IM$6,1,'KG1-7'!$AD$5:$IM$5,"&gt;="&amp;MAX('KG1-7'!$U12,Rpt_PStart),'KG1-7'!$AD$5:$IM$5,"&lt;="&amp;Rpt_PEnd),0))</f>
        <v/>
      </c>
      <c r="AS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COUNTIFS('KG1-7'!$AD12:$IM12,"غياب بدون عذر",'KG1-7'!$AD$7:$IM$7,"✓",'KG1-7'!$AD$6:$IM$6,1,'KG1-7'!$AD$5:$IM$5,"&gt;="&amp;MAX('KG1-7'!$U12,Rpt_PStart),'KG1-7'!$AD$5:$IM$5,"&lt;="&amp;Rpt_PEnd)+COUNTIFS('KG1-7'!$AD12:$IM12,"غياب بعذر",'KG1-7'!$AD$7:$IM$7,"✓",'KG1-7'!$AD$6:$IM$6,1,'KG1-7'!$AD$5:$IM$5,"&gt;="&amp;MAX('KG1-7'!$U12,Rpt_PStart),'KG1-7'!$AD$5:$IM$5,"&lt;="&amp;Rpt_PEnd)+COUNTIFS('KG1-7'!$AD12:$IM12,"متأخر",'KG1-7'!$AD$7:$IM$7,"✓",'KG1-7'!$AD$6:$IM$6,1,'KG1-7'!$AD$5:$IM$5,"&gt;="&amp;MAX('KG1-7'!$U12,Rpt_PStart),'KG1-7'!$AD$5:$IM$5,"&lt;="&amp;Rpt_PEnd))</f>
        <v/>
      </c>
      <c r="AT188" s="40">
        <f>IF(AP188=0,"",COUNTIFS('KG1-7'!$AD12:$IM12,"غياب بدون عذر",'KG1-7'!$AD$7:$IM$7,"✓",'KG1-7'!$AD$6:$IM$6,1,'KG1-7'!$AD$5:$IM$5,"&gt;="&amp;MAX('KG1-7'!$U12,Rpt_PStart),'KG1-7'!$AD$5:$IM$5,"&lt;="&amp;Rpt_PEnd)+COUNTIFS('KG1-7'!$AD12:$IM12,"غياب بعذر",'KG1-7'!$AD$7:$IM$7,"✓",'KG1-7'!$AD$6:$IM$6,1,'KG1-7'!$AD$5:$IM$5,"&gt;="&amp;MAX('KG1-7'!$U12,Rpt_PStart),'KG1-7'!$AD$5:$IM$5,"&lt;="&amp;Rpt_PEnd))</f>
        <v/>
      </c>
      <c r="AU188" s="40" t="n">
        <v>7</v>
      </c>
      <c r="AV188" s="40" t="n">
        <v>4</v>
      </c>
      <c r="AW188" s="40">
        <f>IF(OR(AP188=0,Rpt_DayIdx=0),"",IF(INDEX('KG1-7'!$AD$7:$IM$7,Rpt_DayIdx)&lt;&gt;"✓","",IF(INDEX('KG1-7'!$AD12:$IM12,Rpt_DayIdx)="","P",IFERROR(INDEX(StatusCodes,MATCH(INDEX('KG1-7'!$AD12:$IM12,Rpt_DayIdx),StatusLabels,0)),""))))</f>
        <v/>
      </c>
      <c r="AX188" s="40">
        <f>IF(AND(AP188=1,OR(AW188="A",AW188="E")),COUNTIFS($AP$5:AP188,1,$AW$5:AW188,"A")+COUNTIFS($AP$5:AP188,1,$AW$5:AW188,"E"),"")</f>
        <v/>
      </c>
    </row>
    <row r="189">
      <c r="A189" s="148">
        <f>IF(B189="","",ROW()-4)</f>
        <v/>
      </c>
      <c r="B189" s="148">
        <f>IF('KG1-7'!$B13="","",'KG1-7'!$B13)</f>
        <v/>
      </c>
      <c r="C189" s="146">
        <f>IF('KG1-7'!$C13="","",'KG1-7'!$C13)</f>
        <v/>
      </c>
      <c r="D189" s="148">
        <f>IF(B189="","",'KG1-7'!$B$2)</f>
        <v/>
      </c>
      <c r="E189" s="148">
        <f>IF(B189="","",MID(D189,FIND("-",D189&amp;"-")+1,10))</f>
        <v/>
      </c>
      <c r="F189" s="148">
        <f>IF(B189="","","نشط")</f>
        <v/>
      </c>
      <c r="G189" s="157">
        <f>IF(B189="","","")</f>
        <v/>
      </c>
      <c r="H189" s="146">
        <f>IF('KG1-7'!$K13="","",'KG1-7'!$K13)</f>
        <v/>
      </c>
      <c r="I189" s="148">
        <f>IF('KG1-7'!$J13="","",'KG1-7'!$J13)</f>
        <v/>
      </c>
      <c r="J189" s="148">
        <f>IF('KG1-7'!$M13="","",'KG1-7'!$M13)</f>
        <v/>
      </c>
      <c r="K189" s="148">
        <f>IF('KG1-7'!$N13="","",'KG1-7'!$N13)</f>
        <v/>
      </c>
      <c r="L189" s="148">
        <f>IF('KG1-7'!$D13="","",'KG1-7'!$D13)</f>
        <v/>
      </c>
      <c r="M189" s="148">
        <f>IF('KG1-7'!$E13="","",'KG1-7'!$E13)</f>
        <v/>
      </c>
      <c r="N189" s="148">
        <f>IF('KG1-7'!$F13="","",'KG1-7'!$F13)</f>
        <v/>
      </c>
      <c r="O189" s="158">
        <f>IF('KG1-7'!$G13="","",'KG1-7'!$G13)</f>
        <v/>
      </c>
      <c r="P189" s="158">
        <f>IF('KG1-7'!$O13="","",'KG1-7'!$O13)</f>
        <v/>
      </c>
      <c r="Q189" s="148">
        <f>IF('KG1-7'!$T13="","",'KG1-7'!$T13)</f>
        <v/>
      </c>
      <c r="R189" s="146">
        <f>IF('KG1-7'!$H13="","",'KG1-7'!$H13)</f>
        <v/>
      </c>
      <c r="S189" s="157">
        <f>IF('KG1-7'!$P13="","",'KG1-7'!$P13)</f>
        <v/>
      </c>
      <c r="T189" s="157">
        <f>IF('KG1-7'!$V13="","",'KG1-7'!$V13)</f>
        <v/>
      </c>
      <c r="U189" s="157">
        <f>IF('KG1-7'!$W13="","",'KG1-7'!$W13)</f>
        <v/>
      </c>
      <c r="V189" s="157">
        <f>IF('KG1-7'!$X13="","",'KG1-7'!$X13)</f>
        <v/>
      </c>
      <c r="W189" s="157">
        <f>IF('KG1-7'!$Y13="","",'KG1-7'!$Y13)</f>
        <v/>
      </c>
      <c r="X189" s="157">
        <f>IF('KG1-7'!$R13="","",'KG1-7'!$R13)</f>
        <v/>
      </c>
      <c r="Y189" s="148">
        <f>IF('KG1-7'!$S13="","",'KG1-7'!$S13)</f>
        <v/>
      </c>
      <c r="Z189" s="148">
        <f>IF('KG1-7'!$Q13="","",'KG1-7'!$Q13)</f>
        <v/>
      </c>
      <c r="AA189" s="148">
        <f>IF('KG1-7'!$I13="","",'KG1-7'!$I13)</f>
        <v/>
      </c>
      <c r="AB189" s="146">
        <f>IF(Q189="","",INDEX(LevelActions,MATCH(Q189,LevelValues,0)))</f>
        <v/>
      </c>
      <c r="AC189" s="148">
        <f>IF(J189="","",IF(J189=0,"—",IF(AND(L189=0,M189=0),Cat_L1,IF(O189&gt;=Cat_95,Cat_L2,IF(O189&gt;=Cat_90,Cat_L3,Cat_L4)))))</f>
        <v/>
      </c>
      <c r="AD189" s="146">
        <f>IF('KG1-7'!$L13="","",'KG1-7'!$L13)</f>
        <v/>
      </c>
      <c r="AE189" s="148">
        <f>IF(B189="","",IF(COUNTIF($B$5:$B$214,B189)&gt;1,"مكرر!",""))</f>
        <v/>
      </c>
      <c r="AF189" s="148">
        <f>IF(AND(B189&lt;&gt;"",F189="نشط",OR(Dash_Class="الكل",D189=Dash_Class)),1,0)</f>
        <v/>
      </c>
      <c r="AG189" s="40">
        <f>IF(OR(AF189=0,Dash_DayIdx=0),"",IF(INDEX('KG1-7'!$AD$7:$IM$7,Dash_DayIdx)&lt;&gt;"✓","",IF(INDEX('KG1-7'!$AD13:$IM13,Dash_DayIdx)="","P",IFERROR(INDEX(StatusCodes,MATCH(INDEX('KG1-7'!$AD13:$IM13,Dash_DayIdx),StatusLabels,0)),""))))</f>
        <v/>
      </c>
      <c r="AH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IF(LateAsPresent="نعم",COUNTIFS('KG1-7'!$AD13:$IM13,"متأخر",'KG1-7'!$AD$7:$IM$7,"✓",'KG1-7'!$AD$6:$IM$6,1,'KG1-7'!$AD$5:$IM$5,"&gt;="&amp;MAX('KG1-7'!$U13,Dash_PStart),'KG1-7'!$AD$5:$IM$5,"&lt;="&amp;Dash_PEnd),0))</f>
        <v/>
      </c>
      <c r="AI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COUNTIFS('KG1-7'!$AD13:$IM13,"غياب بدون عذر",'KG1-7'!$AD$7:$IM$7,"✓",'KG1-7'!$AD$6:$IM$6,1,'KG1-7'!$AD$5:$IM$5,"&gt;="&amp;MAX('KG1-7'!$U13,Dash_PStart),'KG1-7'!$AD$5:$IM$5,"&lt;="&amp;Dash_PEnd)+COUNTIFS('KG1-7'!$AD13:$IM13,"غياب بعذر",'KG1-7'!$AD$7:$IM$7,"✓",'KG1-7'!$AD$6:$IM$6,1,'KG1-7'!$AD$5:$IM$5,"&gt;="&amp;MAX('KG1-7'!$U13,Dash_PStart),'KG1-7'!$AD$5:$IM$5,"&lt;="&amp;Dash_PEnd)+COUNTIFS('KG1-7'!$AD13:$IM13,"متأخر",'KG1-7'!$AD$7:$IM$7,"✓",'KG1-7'!$AD$6:$IM$6,1,'KG1-7'!$AD$5:$IM$5,"&gt;="&amp;MAX('KG1-7'!$U13,Dash_PStart),'KG1-7'!$AD$5:$IM$5,"&lt;="&amp;Dash_PEnd))</f>
        <v/>
      </c>
      <c r="AJ189" s="40">
        <f>IF(AF189=0,0,IF(W189=Dash_Date,Thr_Critical,IF(V189=Dash_Date,Thr_High,IF(U189=Dash_Date,Thr_Repeated,IF(T189=Dash_Date,Thr_FollowUp,0)))))</f>
        <v/>
      </c>
      <c r="AK189" s="40">
        <f>IF(AJ189&gt;0,COUNTIF($AJ$5:AJ189,"&gt;0"),"")</f>
        <v/>
      </c>
      <c r="AL189" s="40">
        <f>IF(AND(B189&lt;&gt;"",F189="نشط",Q189&lt;&gt;"",Q189&gt;0),L189*1000+(999-ROW()),"")</f>
        <v/>
      </c>
      <c r="AM189" s="40">
        <f>IF(AND(AF189=1,J189&lt;&gt;"",J189&gt;0),ROUND(O189*10000,0)*1000000+K189*1000+(999-ROW()),"")</f>
        <v/>
      </c>
      <c r="AN189" s="40">
        <f>IF(AND(AF189=1,J189&lt;&gt;"",J189&gt;0),(L189+M189)*10000000+ROUND((1-O189)*10000,0)*1000+(999-ROW()),"")</f>
        <v/>
      </c>
      <c r="AO189" s="40">
        <f>IF(AND(AF189=1,Q189&lt;&gt;"",Q189&gt;=Thr_Critical),L189*1000+(999-ROW()),"")</f>
        <v/>
      </c>
      <c r="AP189" s="40">
        <f>IF(AND(B189&lt;&gt;"",F189="نشط",OR(Rpt_Class="الكل",D189=Rpt_Class)),1,0)</f>
        <v/>
      </c>
      <c r="AQ189" s="40">
        <f>IF(AND(AP189=1,Q189&lt;&gt;"",Q189&gt;0),L189*1000+(999-ROW()),"")</f>
        <v/>
      </c>
      <c r="AR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IF(LateAsPresent="نعم",COUNTIFS('KG1-7'!$AD13:$IM13,"متأخر",'KG1-7'!$AD$7:$IM$7,"✓",'KG1-7'!$AD$6:$IM$6,1,'KG1-7'!$AD$5:$IM$5,"&gt;="&amp;MAX('KG1-7'!$U13,Rpt_PStart),'KG1-7'!$AD$5:$IM$5,"&lt;="&amp;Rpt_PEnd),0))</f>
        <v/>
      </c>
      <c r="AS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COUNTIFS('KG1-7'!$AD13:$IM13,"غياب بدون عذر",'KG1-7'!$AD$7:$IM$7,"✓",'KG1-7'!$AD$6:$IM$6,1,'KG1-7'!$AD$5:$IM$5,"&gt;="&amp;MAX('KG1-7'!$U13,Rpt_PStart),'KG1-7'!$AD$5:$IM$5,"&lt;="&amp;Rpt_PEnd)+COUNTIFS('KG1-7'!$AD13:$IM13,"غياب بعذر",'KG1-7'!$AD$7:$IM$7,"✓",'KG1-7'!$AD$6:$IM$6,1,'KG1-7'!$AD$5:$IM$5,"&gt;="&amp;MAX('KG1-7'!$U13,Rpt_PStart),'KG1-7'!$AD$5:$IM$5,"&lt;="&amp;Rpt_PEnd)+COUNTIFS('KG1-7'!$AD13:$IM13,"متأخر",'KG1-7'!$AD$7:$IM$7,"✓",'KG1-7'!$AD$6:$IM$6,1,'KG1-7'!$AD$5:$IM$5,"&gt;="&amp;MAX('KG1-7'!$U13,Rpt_PStart),'KG1-7'!$AD$5:$IM$5,"&lt;="&amp;Rpt_PEnd))</f>
        <v/>
      </c>
      <c r="AT189" s="40">
        <f>IF(AP189=0,"",COUNTIFS('KG1-7'!$AD13:$IM13,"غياب بدون عذر",'KG1-7'!$AD$7:$IM$7,"✓",'KG1-7'!$AD$6:$IM$6,1,'KG1-7'!$AD$5:$IM$5,"&gt;="&amp;MAX('KG1-7'!$U13,Rpt_PStart),'KG1-7'!$AD$5:$IM$5,"&lt;="&amp;Rpt_PEnd)+COUNTIFS('KG1-7'!$AD13:$IM13,"غياب بعذر",'KG1-7'!$AD$7:$IM$7,"✓",'KG1-7'!$AD$6:$IM$6,1,'KG1-7'!$AD$5:$IM$5,"&gt;="&amp;MAX('KG1-7'!$U13,Rpt_PStart),'KG1-7'!$AD$5:$IM$5,"&lt;="&amp;Rpt_PEnd))</f>
        <v/>
      </c>
      <c r="AU189" s="40" t="n">
        <v>7</v>
      </c>
      <c r="AV189" s="40" t="n">
        <v>5</v>
      </c>
      <c r="AW189" s="40">
        <f>IF(OR(AP189=0,Rpt_DayIdx=0),"",IF(INDEX('KG1-7'!$AD$7:$IM$7,Rpt_DayIdx)&lt;&gt;"✓","",IF(INDEX('KG1-7'!$AD13:$IM13,Rpt_DayIdx)="","P",IFERROR(INDEX(StatusCodes,MATCH(INDEX('KG1-7'!$AD13:$IM13,Rpt_DayIdx),StatusLabels,0)),""))))</f>
        <v/>
      </c>
      <c r="AX189" s="40">
        <f>IF(AND(AP189=1,OR(AW189="A",AW189="E")),COUNTIFS($AP$5:AP189,1,$AW$5:AW189,"A")+COUNTIFS($AP$5:AP189,1,$AW$5:AW189,"E"),"")</f>
        <v/>
      </c>
    </row>
    <row r="190">
      <c r="A190" s="148">
        <f>IF(B190="","",ROW()-4)</f>
        <v/>
      </c>
      <c r="B190" s="148">
        <f>IF('KG1-7'!$B14="","",'KG1-7'!$B14)</f>
        <v/>
      </c>
      <c r="C190" s="146">
        <f>IF('KG1-7'!$C14="","",'KG1-7'!$C14)</f>
        <v/>
      </c>
      <c r="D190" s="148">
        <f>IF(B190="","",'KG1-7'!$B$2)</f>
        <v/>
      </c>
      <c r="E190" s="148">
        <f>IF(B190="","",MID(D190,FIND("-",D190&amp;"-")+1,10))</f>
        <v/>
      </c>
      <c r="F190" s="148">
        <f>IF(B190="","","نشط")</f>
        <v/>
      </c>
      <c r="G190" s="157">
        <f>IF(B190="","","")</f>
        <v/>
      </c>
      <c r="H190" s="146">
        <f>IF('KG1-7'!$K14="","",'KG1-7'!$K14)</f>
        <v/>
      </c>
      <c r="I190" s="148">
        <f>IF('KG1-7'!$J14="","",'KG1-7'!$J14)</f>
        <v/>
      </c>
      <c r="J190" s="148">
        <f>IF('KG1-7'!$M14="","",'KG1-7'!$M14)</f>
        <v/>
      </c>
      <c r="K190" s="148">
        <f>IF('KG1-7'!$N14="","",'KG1-7'!$N14)</f>
        <v/>
      </c>
      <c r="L190" s="148">
        <f>IF('KG1-7'!$D14="","",'KG1-7'!$D14)</f>
        <v/>
      </c>
      <c r="M190" s="148">
        <f>IF('KG1-7'!$E14="","",'KG1-7'!$E14)</f>
        <v/>
      </c>
      <c r="N190" s="148">
        <f>IF('KG1-7'!$F14="","",'KG1-7'!$F14)</f>
        <v/>
      </c>
      <c r="O190" s="158">
        <f>IF('KG1-7'!$G14="","",'KG1-7'!$G14)</f>
        <v/>
      </c>
      <c r="P190" s="158">
        <f>IF('KG1-7'!$O14="","",'KG1-7'!$O14)</f>
        <v/>
      </c>
      <c r="Q190" s="148">
        <f>IF('KG1-7'!$T14="","",'KG1-7'!$T14)</f>
        <v/>
      </c>
      <c r="R190" s="146">
        <f>IF('KG1-7'!$H14="","",'KG1-7'!$H14)</f>
        <v/>
      </c>
      <c r="S190" s="157">
        <f>IF('KG1-7'!$P14="","",'KG1-7'!$P14)</f>
        <v/>
      </c>
      <c r="T190" s="157">
        <f>IF('KG1-7'!$V14="","",'KG1-7'!$V14)</f>
        <v/>
      </c>
      <c r="U190" s="157">
        <f>IF('KG1-7'!$W14="","",'KG1-7'!$W14)</f>
        <v/>
      </c>
      <c r="V190" s="157">
        <f>IF('KG1-7'!$X14="","",'KG1-7'!$X14)</f>
        <v/>
      </c>
      <c r="W190" s="157">
        <f>IF('KG1-7'!$Y14="","",'KG1-7'!$Y14)</f>
        <v/>
      </c>
      <c r="X190" s="157">
        <f>IF('KG1-7'!$R14="","",'KG1-7'!$R14)</f>
        <v/>
      </c>
      <c r="Y190" s="148">
        <f>IF('KG1-7'!$S14="","",'KG1-7'!$S14)</f>
        <v/>
      </c>
      <c r="Z190" s="148">
        <f>IF('KG1-7'!$Q14="","",'KG1-7'!$Q14)</f>
        <v/>
      </c>
      <c r="AA190" s="148">
        <f>IF('KG1-7'!$I14="","",'KG1-7'!$I14)</f>
        <v/>
      </c>
      <c r="AB190" s="146">
        <f>IF(Q190="","",INDEX(LevelActions,MATCH(Q190,LevelValues,0)))</f>
        <v/>
      </c>
      <c r="AC190" s="148">
        <f>IF(J190="","",IF(J190=0,"—",IF(AND(L190=0,M190=0),Cat_L1,IF(O190&gt;=Cat_95,Cat_L2,IF(O190&gt;=Cat_90,Cat_L3,Cat_L4)))))</f>
        <v/>
      </c>
      <c r="AD190" s="146">
        <f>IF('KG1-7'!$L14="","",'KG1-7'!$L14)</f>
        <v/>
      </c>
      <c r="AE190" s="148">
        <f>IF(B190="","",IF(COUNTIF($B$5:$B$214,B190)&gt;1,"مكرر!",""))</f>
        <v/>
      </c>
      <c r="AF190" s="148">
        <f>IF(AND(B190&lt;&gt;"",F190="نشط",OR(Dash_Class="الكل",D190=Dash_Class)),1,0)</f>
        <v/>
      </c>
      <c r="AG190" s="40">
        <f>IF(OR(AF190=0,Dash_DayIdx=0),"",IF(INDEX('KG1-7'!$AD$7:$IM$7,Dash_DayIdx)&lt;&gt;"✓","",IF(INDEX('KG1-7'!$AD14:$IM14,Dash_DayIdx)="","P",IFERROR(INDEX(StatusCodes,MATCH(INDEX('KG1-7'!$AD14:$IM14,Dash_DayIdx),StatusLabels,0)),""))))</f>
        <v/>
      </c>
      <c r="AH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IF(LateAsPresent="نعم",COUNTIFS('KG1-7'!$AD14:$IM14,"متأخر",'KG1-7'!$AD$7:$IM$7,"✓",'KG1-7'!$AD$6:$IM$6,1,'KG1-7'!$AD$5:$IM$5,"&gt;="&amp;MAX('KG1-7'!$U14,Dash_PStart),'KG1-7'!$AD$5:$IM$5,"&lt;="&amp;Dash_PEnd),0))</f>
        <v/>
      </c>
      <c r="AI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COUNTIFS('KG1-7'!$AD14:$IM14,"غياب بدون عذر",'KG1-7'!$AD$7:$IM$7,"✓",'KG1-7'!$AD$6:$IM$6,1,'KG1-7'!$AD$5:$IM$5,"&gt;="&amp;MAX('KG1-7'!$U14,Dash_PStart),'KG1-7'!$AD$5:$IM$5,"&lt;="&amp;Dash_PEnd)+COUNTIFS('KG1-7'!$AD14:$IM14,"غياب بعذر",'KG1-7'!$AD$7:$IM$7,"✓",'KG1-7'!$AD$6:$IM$6,1,'KG1-7'!$AD$5:$IM$5,"&gt;="&amp;MAX('KG1-7'!$U14,Dash_PStart),'KG1-7'!$AD$5:$IM$5,"&lt;="&amp;Dash_PEnd)+COUNTIFS('KG1-7'!$AD14:$IM14,"متأخر",'KG1-7'!$AD$7:$IM$7,"✓",'KG1-7'!$AD$6:$IM$6,1,'KG1-7'!$AD$5:$IM$5,"&gt;="&amp;MAX('KG1-7'!$U14,Dash_PStart),'KG1-7'!$AD$5:$IM$5,"&lt;="&amp;Dash_PEnd))</f>
        <v/>
      </c>
      <c r="AJ190" s="40">
        <f>IF(AF190=0,0,IF(W190=Dash_Date,Thr_Critical,IF(V190=Dash_Date,Thr_High,IF(U190=Dash_Date,Thr_Repeated,IF(T190=Dash_Date,Thr_FollowUp,0)))))</f>
        <v/>
      </c>
      <c r="AK190" s="40">
        <f>IF(AJ190&gt;0,COUNTIF($AJ$5:AJ190,"&gt;0"),"")</f>
        <v/>
      </c>
      <c r="AL190" s="40">
        <f>IF(AND(B190&lt;&gt;"",F190="نشط",Q190&lt;&gt;"",Q190&gt;0),L190*1000+(999-ROW()),"")</f>
        <v/>
      </c>
      <c r="AM190" s="40">
        <f>IF(AND(AF190=1,J190&lt;&gt;"",J190&gt;0),ROUND(O190*10000,0)*1000000+K190*1000+(999-ROW()),"")</f>
        <v/>
      </c>
      <c r="AN190" s="40">
        <f>IF(AND(AF190=1,J190&lt;&gt;"",J190&gt;0),(L190+M190)*10000000+ROUND((1-O190)*10000,0)*1000+(999-ROW()),"")</f>
        <v/>
      </c>
      <c r="AO190" s="40">
        <f>IF(AND(AF190=1,Q190&lt;&gt;"",Q190&gt;=Thr_Critical),L190*1000+(999-ROW()),"")</f>
        <v/>
      </c>
      <c r="AP190" s="40">
        <f>IF(AND(B190&lt;&gt;"",F190="نشط",OR(Rpt_Class="الكل",D190=Rpt_Class)),1,0)</f>
        <v/>
      </c>
      <c r="AQ190" s="40">
        <f>IF(AND(AP190=1,Q190&lt;&gt;"",Q190&gt;0),L190*1000+(999-ROW()),"")</f>
        <v/>
      </c>
      <c r="AR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IF(LateAsPresent="نعم",COUNTIFS('KG1-7'!$AD14:$IM14,"متأخر",'KG1-7'!$AD$7:$IM$7,"✓",'KG1-7'!$AD$6:$IM$6,1,'KG1-7'!$AD$5:$IM$5,"&gt;="&amp;MAX('KG1-7'!$U14,Rpt_PStart),'KG1-7'!$AD$5:$IM$5,"&lt;="&amp;Rpt_PEnd),0))</f>
        <v/>
      </c>
      <c r="AS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COUNTIFS('KG1-7'!$AD14:$IM14,"غياب بدون عذر",'KG1-7'!$AD$7:$IM$7,"✓",'KG1-7'!$AD$6:$IM$6,1,'KG1-7'!$AD$5:$IM$5,"&gt;="&amp;MAX('KG1-7'!$U14,Rpt_PStart),'KG1-7'!$AD$5:$IM$5,"&lt;="&amp;Rpt_PEnd)+COUNTIFS('KG1-7'!$AD14:$IM14,"غياب بعذر",'KG1-7'!$AD$7:$IM$7,"✓",'KG1-7'!$AD$6:$IM$6,1,'KG1-7'!$AD$5:$IM$5,"&gt;="&amp;MAX('KG1-7'!$U14,Rpt_PStart),'KG1-7'!$AD$5:$IM$5,"&lt;="&amp;Rpt_PEnd)+COUNTIFS('KG1-7'!$AD14:$IM14,"متأخر",'KG1-7'!$AD$7:$IM$7,"✓",'KG1-7'!$AD$6:$IM$6,1,'KG1-7'!$AD$5:$IM$5,"&gt;="&amp;MAX('KG1-7'!$U14,Rpt_PStart),'KG1-7'!$AD$5:$IM$5,"&lt;="&amp;Rpt_PEnd))</f>
        <v/>
      </c>
      <c r="AT190" s="40">
        <f>IF(AP190=0,"",COUNTIFS('KG1-7'!$AD14:$IM14,"غياب بدون عذر",'KG1-7'!$AD$7:$IM$7,"✓",'KG1-7'!$AD$6:$IM$6,1,'KG1-7'!$AD$5:$IM$5,"&gt;="&amp;MAX('KG1-7'!$U14,Rpt_PStart),'KG1-7'!$AD$5:$IM$5,"&lt;="&amp;Rpt_PEnd)+COUNTIFS('KG1-7'!$AD14:$IM14,"غياب بعذر",'KG1-7'!$AD$7:$IM$7,"✓",'KG1-7'!$AD$6:$IM$6,1,'KG1-7'!$AD$5:$IM$5,"&gt;="&amp;MAX('KG1-7'!$U14,Rpt_PStart),'KG1-7'!$AD$5:$IM$5,"&lt;="&amp;Rpt_PEnd))</f>
        <v/>
      </c>
      <c r="AU190" s="40" t="n">
        <v>7</v>
      </c>
      <c r="AV190" s="40" t="n">
        <v>6</v>
      </c>
      <c r="AW190" s="40">
        <f>IF(OR(AP190=0,Rpt_DayIdx=0),"",IF(INDEX('KG1-7'!$AD$7:$IM$7,Rpt_DayIdx)&lt;&gt;"✓","",IF(INDEX('KG1-7'!$AD14:$IM14,Rpt_DayIdx)="","P",IFERROR(INDEX(StatusCodes,MATCH(INDEX('KG1-7'!$AD14:$IM14,Rpt_DayIdx),StatusLabels,0)),""))))</f>
        <v/>
      </c>
      <c r="AX190" s="40">
        <f>IF(AND(AP190=1,OR(AW190="A",AW190="E")),COUNTIFS($AP$5:AP190,1,$AW$5:AW190,"A")+COUNTIFS($AP$5:AP190,1,$AW$5:AW190,"E"),"")</f>
        <v/>
      </c>
    </row>
    <row r="191">
      <c r="A191" s="148">
        <f>IF(B191="","",ROW()-4)</f>
        <v/>
      </c>
      <c r="B191" s="148">
        <f>IF('KG1-7'!$B15="","",'KG1-7'!$B15)</f>
        <v/>
      </c>
      <c r="C191" s="146">
        <f>IF('KG1-7'!$C15="","",'KG1-7'!$C15)</f>
        <v/>
      </c>
      <c r="D191" s="148">
        <f>IF(B191="","",'KG1-7'!$B$2)</f>
        <v/>
      </c>
      <c r="E191" s="148">
        <f>IF(B191="","",MID(D191,FIND("-",D191&amp;"-")+1,10))</f>
        <v/>
      </c>
      <c r="F191" s="148">
        <f>IF(B191="","","نشط")</f>
        <v/>
      </c>
      <c r="G191" s="157">
        <f>IF(B191="","","")</f>
        <v/>
      </c>
      <c r="H191" s="146">
        <f>IF('KG1-7'!$K15="","",'KG1-7'!$K15)</f>
        <v/>
      </c>
      <c r="I191" s="148">
        <f>IF('KG1-7'!$J15="","",'KG1-7'!$J15)</f>
        <v/>
      </c>
      <c r="J191" s="148">
        <f>IF('KG1-7'!$M15="","",'KG1-7'!$M15)</f>
        <v/>
      </c>
      <c r="K191" s="148">
        <f>IF('KG1-7'!$N15="","",'KG1-7'!$N15)</f>
        <v/>
      </c>
      <c r="L191" s="148">
        <f>IF('KG1-7'!$D15="","",'KG1-7'!$D15)</f>
        <v/>
      </c>
      <c r="M191" s="148">
        <f>IF('KG1-7'!$E15="","",'KG1-7'!$E15)</f>
        <v/>
      </c>
      <c r="N191" s="148">
        <f>IF('KG1-7'!$F15="","",'KG1-7'!$F15)</f>
        <v/>
      </c>
      <c r="O191" s="158">
        <f>IF('KG1-7'!$G15="","",'KG1-7'!$G15)</f>
        <v/>
      </c>
      <c r="P191" s="158">
        <f>IF('KG1-7'!$O15="","",'KG1-7'!$O15)</f>
        <v/>
      </c>
      <c r="Q191" s="148">
        <f>IF('KG1-7'!$T15="","",'KG1-7'!$T15)</f>
        <v/>
      </c>
      <c r="R191" s="146">
        <f>IF('KG1-7'!$H15="","",'KG1-7'!$H15)</f>
        <v/>
      </c>
      <c r="S191" s="157">
        <f>IF('KG1-7'!$P15="","",'KG1-7'!$P15)</f>
        <v/>
      </c>
      <c r="T191" s="157">
        <f>IF('KG1-7'!$V15="","",'KG1-7'!$V15)</f>
        <v/>
      </c>
      <c r="U191" s="157">
        <f>IF('KG1-7'!$W15="","",'KG1-7'!$W15)</f>
        <v/>
      </c>
      <c r="V191" s="157">
        <f>IF('KG1-7'!$X15="","",'KG1-7'!$X15)</f>
        <v/>
      </c>
      <c r="W191" s="157">
        <f>IF('KG1-7'!$Y15="","",'KG1-7'!$Y15)</f>
        <v/>
      </c>
      <c r="X191" s="157">
        <f>IF('KG1-7'!$R15="","",'KG1-7'!$R15)</f>
        <v/>
      </c>
      <c r="Y191" s="148">
        <f>IF('KG1-7'!$S15="","",'KG1-7'!$S15)</f>
        <v/>
      </c>
      <c r="Z191" s="148">
        <f>IF('KG1-7'!$Q15="","",'KG1-7'!$Q15)</f>
        <v/>
      </c>
      <c r="AA191" s="148">
        <f>IF('KG1-7'!$I15="","",'KG1-7'!$I15)</f>
        <v/>
      </c>
      <c r="AB191" s="146">
        <f>IF(Q191="","",INDEX(LevelActions,MATCH(Q191,LevelValues,0)))</f>
        <v/>
      </c>
      <c r="AC191" s="148">
        <f>IF(J191="","",IF(J191=0,"—",IF(AND(L191=0,M191=0),Cat_L1,IF(O191&gt;=Cat_95,Cat_L2,IF(O191&gt;=Cat_90,Cat_L3,Cat_L4)))))</f>
        <v/>
      </c>
      <c r="AD191" s="146">
        <f>IF('KG1-7'!$L15="","",'KG1-7'!$L15)</f>
        <v/>
      </c>
      <c r="AE191" s="148">
        <f>IF(B191="","",IF(COUNTIF($B$5:$B$214,B191)&gt;1,"مكرر!",""))</f>
        <v/>
      </c>
      <c r="AF191" s="148">
        <f>IF(AND(B191&lt;&gt;"",F191="نشط",OR(Dash_Class="الكل",D191=Dash_Class)),1,0)</f>
        <v/>
      </c>
      <c r="AG191" s="40">
        <f>IF(OR(AF191=0,Dash_DayIdx=0),"",IF(INDEX('KG1-7'!$AD$7:$IM$7,Dash_DayIdx)&lt;&gt;"✓","",IF(INDEX('KG1-7'!$AD15:$IM15,Dash_DayIdx)="","P",IFERROR(INDEX(StatusCodes,MATCH(INDEX('KG1-7'!$AD15:$IM15,Dash_DayIdx),StatusLabels,0)),""))))</f>
        <v/>
      </c>
      <c r="AH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IF(LateAsPresent="نعم",COUNTIFS('KG1-7'!$AD15:$IM15,"متأخر",'KG1-7'!$AD$7:$IM$7,"✓",'KG1-7'!$AD$6:$IM$6,1,'KG1-7'!$AD$5:$IM$5,"&gt;="&amp;MAX('KG1-7'!$U15,Dash_PStart),'KG1-7'!$AD$5:$IM$5,"&lt;="&amp;Dash_PEnd),0))</f>
        <v/>
      </c>
      <c r="AI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COUNTIFS('KG1-7'!$AD15:$IM15,"غياب بدون عذر",'KG1-7'!$AD$7:$IM$7,"✓",'KG1-7'!$AD$6:$IM$6,1,'KG1-7'!$AD$5:$IM$5,"&gt;="&amp;MAX('KG1-7'!$U15,Dash_PStart),'KG1-7'!$AD$5:$IM$5,"&lt;="&amp;Dash_PEnd)+COUNTIFS('KG1-7'!$AD15:$IM15,"غياب بعذر",'KG1-7'!$AD$7:$IM$7,"✓",'KG1-7'!$AD$6:$IM$6,1,'KG1-7'!$AD$5:$IM$5,"&gt;="&amp;MAX('KG1-7'!$U15,Dash_PStart),'KG1-7'!$AD$5:$IM$5,"&lt;="&amp;Dash_PEnd)+COUNTIFS('KG1-7'!$AD15:$IM15,"متأخر",'KG1-7'!$AD$7:$IM$7,"✓",'KG1-7'!$AD$6:$IM$6,1,'KG1-7'!$AD$5:$IM$5,"&gt;="&amp;MAX('KG1-7'!$U15,Dash_PStart),'KG1-7'!$AD$5:$IM$5,"&lt;="&amp;Dash_PEnd))</f>
        <v/>
      </c>
      <c r="AJ191" s="40">
        <f>IF(AF191=0,0,IF(W191=Dash_Date,Thr_Critical,IF(V191=Dash_Date,Thr_High,IF(U191=Dash_Date,Thr_Repeated,IF(T191=Dash_Date,Thr_FollowUp,0)))))</f>
        <v/>
      </c>
      <c r="AK191" s="40">
        <f>IF(AJ191&gt;0,COUNTIF($AJ$5:AJ191,"&gt;0"),"")</f>
        <v/>
      </c>
      <c r="AL191" s="40">
        <f>IF(AND(B191&lt;&gt;"",F191="نشط",Q191&lt;&gt;"",Q191&gt;0),L191*1000+(999-ROW()),"")</f>
        <v/>
      </c>
      <c r="AM191" s="40">
        <f>IF(AND(AF191=1,J191&lt;&gt;"",J191&gt;0),ROUND(O191*10000,0)*1000000+K191*1000+(999-ROW()),"")</f>
        <v/>
      </c>
      <c r="AN191" s="40">
        <f>IF(AND(AF191=1,J191&lt;&gt;"",J191&gt;0),(L191+M191)*10000000+ROUND((1-O191)*10000,0)*1000+(999-ROW()),"")</f>
        <v/>
      </c>
      <c r="AO191" s="40">
        <f>IF(AND(AF191=1,Q191&lt;&gt;"",Q191&gt;=Thr_Critical),L191*1000+(999-ROW()),"")</f>
        <v/>
      </c>
      <c r="AP191" s="40">
        <f>IF(AND(B191&lt;&gt;"",F191="نشط",OR(Rpt_Class="الكل",D191=Rpt_Class)),1,0)</f>
        <v/>
      </c>
      <c r="AQ191" s="40">
        <f>IF(AND(AP191=1,Q191&lt;&gt;"",Q191&gt;0),L191*1000+(999-ROW()),"")</f>
        <v/>
      </c>
      <c r="AR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IF(LateAsPresent="نعم",COUNTIFS('KG1-7'!$AD15:$IM15,"متأخر",'KG1-7'!$AD$7:$IM$7,"✓",'KG1-7'!$AD$6:$IM$6,1,'KG1-7'!$AD$5:$IM$5,"&gt;="&amp;MAX('KG1-7'!$U15,Rpt_PStart),'KG1-7'!$AD$5:$IM$5,"&lt;="&amp;Rpt_PEnd),0))</f>
        <v/>
      </c>
      <c r="AS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COUNTIFS('KG1-7'!$AD15:$IM15,"غياب بدون عذر",'KG1-7'!$AD$7:$IM$7,"✓",'KG1-7'!$AD$6:$IM$6,1,'KG1-7'!$AD$5:$IM$5,"&gt;="&amp;MAX('KG1-7'!$U15,Rpt_PStart),'KG1-7'!$AD$5:$IM$5,"&lt;="&amp;Rpt_PEnd)+COUNTIFS('KG1-7'!$AD15:$IM15,"غياب بعذر",'KG1-7'!$AD$7:$IM$7,"✓",'KG1-7'!$AD$6:$IM$6,1,'KG1-7'!$AD$5:$IM$5,"&gt;="&amp;MAX('KG1-7'!$U15,Rpt_PStart),'KG1-7'!$AD$5:$IM$5,"&lt;="&amp;Rpt_PEnd)+COUNTIFS('KG1-7'!$AD15:$IM15,"متأخر",'KG1-7'!$AD$7:$IM$7,"✓",'KG1-7'!$AD$6:$IM$6,1,'KG1-7'!$AD$5:$IM$5,"&gt;="&amp;MAX('KG1-7'!$U15,Rpt_PStart),'KG1-7'!$AD$5:$IM$5,"&lt;="&amp;Rpt_PEnd))</f>
        <v/>
      </c>
      <c r="AT191" s="40">
        <f>IF(AP191=0,"",COUNTIFS('KG1-7'!$AD15:$IM15,"غياب بدون عذر",'KG1-7'!$AD$7:$IM$7,"✓",'KG1-7'!$AD$6:$IM$6,1,'KG1-7'!$AD$5:$IM$5,"&gt;="&amp;MAX('KG1-7'!$U15,Rpt_PStart),'KG1-7'!$AD$5:$IM$5,"&lt;="&amp;Rpt_PEnd)+COUNTIFS('KG1-7'!$AD15:$IM15,"غياب بعذر",'KG1-7'!$AD$7:$IM$7,"✓",'KG1-7'!$AD$6:$IM$6,1,'KG1-7'!$AD$5:$IM$5,"&gt;="&amp;MAX('KG1-7'!$U15,Rpt_PStart),'KG1-7'!$AD$5:$IM$5,"&lt;="&amp;Rpt_PEnd))</f>
        <v/>
      </c>
      <c r="AU191" s="40" t="n">
        <v>7</v>
      </c>
      <c r="AV191" s="40" t="n">
        <v>7</v>
      </c>
      <c r="AW191" s="40">
        <f>IF(OR(AP191=0,Rpt_DayIdx=0),"",IF(INDEX('KG1-7'!$AD$7:$IM$7,Rpt_DayIdx)&lt;&gt;"✓","",IF(INDEX('KG1-7'!$AD15:$IM15,Rpt_DayIdx)="","P",IFERROR(INDEX(StatusCodes,MATCH(INDEX('KG1-7'!$AD15:$IM15,Rpt_DayIdx),StatusLabels,0)),""))))</f>
        <v/>
      </c>
      <c r="AX191" s="40">
        <f>IF(AND(AP191=1,OR(AW191="A",AW191="E")),COUNTIFS($AP$5:AP191,1,$AW$5:AW191,"A")+COUNTIFS($AP$5:AP191,1,$AW$5:AW191,"E"),"")</f>
        <v/>
      </c>
    </row>
    <row r="192">
      <c r="A192" s="148">
        <f>IF(B192="","",ROW()-4)</f>
        <v/>
      </c>
      <c r="B192" s="148">
        <f>IF('KG1-7'!$B16="","",'KG1-7'!$B16)</f>
        <v/>
      </c>
      <c r="C192" s="146">
        <f>IF('KG1-7'!$C16="","",'KG1-7'!$C16)</f>
        <v/>
      </c>
      <c r="D192" s="148">
        <f>IF(B192="","",'KG1-7'!$B$2)</f>
        <v/>
      </c>
      <c r="E192" s="148">
        <f>IF(B192="","",MID(D192,FIND("-",D192&amp;"-")+1,10))</f>
        <v/>
      </c>
      <c r="F192" s="148">
        <f>IF(B192="","","نشط")</f>
        <v/>
      </c>
      <c r="G192" s="157">
        <f>IF(B192="","","")</f>
        <v/>
      </c>
      <c r="H192" s="146">
        <f>IF('KG1-7'!$K16="","",'KG1-7'!$K16)</f>
        <v/>
      </c>
      <c r="I192" s="148">
        <f>IF('KG1-7'!$J16="","",'KG1-7'!$J16)</f>
        <v/>
      </c>
      <c r="J192" s="148">
        <f>IF('KG1-7'!$M16="","",'KG1-7'!$M16)</f>
        <v/>
      </c>
      <c r="K192" s="148">
        <f>IF('KG1-7'!$N16="","",'KG1-7'!$N16)</f>
        <v/>
      </c>
      <c r="L192" s="148">
        <f>IF('KG1-7'!$D16="","",'KG1-7'!$D16)</f>
        <v/>
      </c>
      <c r="M192" s="148">
        <f>IF('KG1-7'!$E16="","",'KG1-7'!$E16)</f>
        <v/>
      </c>
      <c r="N192" s="148">
        <f>IF('KG1-7'!$F16="","",'KG1-7'!$F16)</f>
        <v/>
      </c>
      <c r="O192" s="158">
        <f>IF('KG1-7'!$G16="","",'KG1-7'!$G16)</f>
        <v/>
      </c>
      <c r="P192" s="158">
        <f>IF('KG1-7'!$O16="","",'KG1-7'!$O16)</f>
        <v/>
      </c>
      <c r="Q192" s="148">
        <f>IF('KG1-7'!$T16="","",'KG1-7'!$T16)</f>
        <v/>
      </c>
      <c r="R192" s="146">
        <f>IF('KG1-7'!$H16="","",'KG1-7'!$H16)</f>
        <v/>
      </c>
      <c r="S192" s="157">
        <f>IF('KG1-7'!$P16="","",'KG1-7'!$P16)</f>
        <v/>
      </c>
      <c r="T192" s="157">
        <f>IF('KG1-7'!$V16="","",'KG1-7'!$V16)</f>
        <v/>
      </c>
      <c r="U192" s="157">
        <f>IF('KG1-7'!$W16="","",'KG1-7'!$W16)</f>
        <v/>
      </c>
      <c r="V192" s="157">
        <f>IF('KG1-7'!$X16="","",'KG1-7'!$X16)</f>
        <v/>
      </c>
      <c r="W192" s="157">
        <f>IF('KG1-7'!$Y16="","",'KG1-7'!$Y16)</f>
        <v/>
      </c>
      <c r="X192" s="157">
        <f>IF('KG1-7'!$R16="","",'KG1-7'!$R16)</f>
        <v/>
      </c>
      <c r="Y192" s="148">
        <f>IF('KG1-7'!$S16="","",'KG1-7'!$S16)</f>
        <v/>
      </c>
      <c r="Z192" s="148">
        <f>IF('KG1-7'!$Q16="","",'KG1-7'!$Q16)</f>
        <v/>
      </c>
      <c r="AA192" s="148">
        <f>IF('KG1-7'!$I16="","",'KG1-7'!$I16)</f>
        <v/>
      </c>
      <c r="AB192" s="146">
        <f>IF(Q192="","",INDEX(LevelActions,MATCH(Q192,LevelValues,0)))</f>
        <v/>
      </c>
      <c r="AC192" s="148">
        <f>IF(J192="","",IF(J192=0,"—",IF(AND(L192=0,M192=0),Cat_L1,IF(O192&gt;=Cat_95,Cat_L2,IF(O192&gt;=Cat_90,Cat_L3,Cat_L4)))))</f>
        <v/>
      </c>
      <c r="AD192" s="146">
        <f>IF('KG1-7'!$L16="","",'KG1-7'!$L16)</f>
        <v/>
      </c>
      <c r="AE192" s="148">
        <f>IF(B192="","",IF(COUNTIF($B$5:$B$214,B192)&gt;1,"مكرر!",""))</f>
        <v/>
      </c>
      <c r="AF192" s="148">
        <f>IF(AND(B192&lt;&gt;"",F192="نشط",OR(Dash_Class="الكل",D192=Dash_Class)),1,0)</f>
        <v/>
      </c>
      <c r="AG192" s="40">
        <f>IF(OR(AF192=0,Dash_DayIdx=0),"",IF(INDEX('KG1-7'!$AD$7:$IM$7,Dash_DayIdx)&lt;&gt;"✓","",IF(INDEX('KG1-7'!$AD16:$IM16,Dash_DayIdx)="","P",IFERROR(INDEX(StatusCodes,MATCH(INDEX('KG1-7'!$AD16:$IM16,Dash_DayIdx),StatusLabels,0)),""))))</f>
        <v/>
      </c>
      <c r="AH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IF(LateAsPresent="نعم",COUNTIFS('KG1-7'!$AD16:$IM16,"متأخر",'KG1-7'!$AD$7:$IM$7,"✓",'KG1-7'!$AD$6:$IM$6,1,'KG1-7'!$AD$5:$IM$5,"&gt;="&amp;MAX('KG1-7'!$U16,Dash_PStart),'KG1-7'!$AD$5:$IM$5,"&lt;="&amp;Dash_PEnd),0))</f>
        <v/>
      </c>
      <c r="AI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COUNTIFS('KG1-7'!$AD16:$IM16,"غياب بدون عذر",'KG1-7'!$AD$7:$IM$7,"✓",'KG1-7'!$AD$6:$IM$6,1,'KG1-7'!$AD$5:$IM$5,"&gt;="&amp;MAX('KG1-7'!$U16,Dash_PStart),'KG1-7'!$AD$5:$IM$5,"&lt;="&amp;Dash_PEnd)+COUNTIFS('KG1-7'!$AD16:$IM16,"غياب بعذر",'KG1-7'!$AD$7:$IM$7,"✓",'KG1-7'!$AD$6:$IM$6,1,'KG1-7'!$AD$5:$IM$5,"&gt;="&amp;MAX('KG1-7'!$U16,Dash_PStart),'KG1-7'!$AD$5:$IM$5,"&lt;="&amp;Dash_PEnd)+COUNTIFS('KG1-7'!$AD16:$IM16,"متأخر",'KG1-7'!$AD$7:$IM$7,"✓",'KG1-7'!$AD$6:$IM$6,1,'KG1-7'!$AD$5:$IM$5,"&gt;="&amp;MAX('KG1-7'!$U16,Dash_PStart),'KG1-7'!$AD$5:$IM$5,"&lt;="&amp;Dash_PEnd))</f>
        <v/>
      </c>
      <c r="AJ192" s="40">
        <f>IF(AF192=0,0,IF(W192=Dash_Date,Thr_Critical,IF(V192=Dash_Date,Thr_High,IF(U192=Dash_Date,Thr_Repeated,IF(T192=Dash_Date,Thr_FollowUp,0)))))</f>
        <v/>
      </c>
      <c r="AK192" s="40">
        <f>IF(AJ192&gt;0,COUNTIF($AJ$5:AJ192,"&gt;0"),"")</f>
        <v/>
      </c>
      <c r="AL192" s="40">
        <f>IF(AND(B192&lt;&gt;"",F192="نشط",Q192&lt;&gt;"",Q192&gt;0),L192*1000+(999-ROW()),"")</f>
        <v/>
      </c>
      <c r="AM192" s="40">
        <f>IF(AND(AF192=1,J192&lt;&gt;"",J192&gt;0),ROUND(O192*10000,0)*1000000+K192*1000+(999-ROW()),"")</f>
        <v/>
      </c>
      <c r="AN192" s="40">
        <f>IF(AND(AF192=1,J192&lt;&gt;"",J192&gt;0),(L192+M192)*10000000+ROUND((1-O192)*10000,0)*1000+(999-ROW()),"")</f>
        <v/>
      </c>
      <c r="AO192" s="40">
        <f>IF(AND(AF192=1,Q192&lt;&gt;"",Q192&gt;=Thr_Critical),L192*1000+(999-ROW()),"")</f>
        <v/>
      </c>
      <c r="AP192" s="40">
        <f>IF(AND(B192&lt;&gt;"",F192="نشط",OR(Rpt_Class="الكل",D192=Rpt_Class)),1,0)</f>
        <v/>
      </c>
      <c r="AQ192" s="40">
        <f>IF(AND(AP192=1,Q192&lt;&gt;"",Q192&gt;0),L192*1000+(999-ROW()),"")</f>
        <v/>
      </c>
      <c r="AR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IF(LateAsPresent="نعم",COUNTIFS('KG1-7'!$AD16:$IM16,"متأخر",'KG1-7'!$AD$7:$IM$7,"✓",'KG1-7'!$AD$6:$IM$6,1,'KG1-7'!$AD$5:$IM$5,"&gt;="&amp;MAX('KG1-7'!$U16,Rpt_PStart),'KG1-7'!$AD$5:$IM$5,"&lt;="&amp;Rpt_PEnd),0))</f>
        <v/>
      </c>
      <c r="AS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COUNTIFS('KG1-7'!$AD16:$IM16,"غياب بدون عذر",'KG1-7'!$AD$7:$IM$7,"✓",'KG1-7'!$AD$6:$IM$6,1,'KG1-7'!$AD$5:$IM$5,"&gt;="&amp;MAX('KG1-7'!$U16,Rpt_PStart),'KG1-7'!$AD$5:$IM$5,"&lt;="&amp;Rpt_PEnd)+COUNTIFS('KG1-7'!$AD16:$IM16,"غياب بعذر",'KG1-7'!$AD$7:$IM$7,"✓",'KG1-7'!$AD$6:$IM$6,1,'KG1-7'!$AD$5:$IM$5,"&gt;="&amp;MAX('KG1-7'!$U16,Rpt_PStart),'KG1-7'!$AD$5:$IM$5,"&lt;="&amp;Rpt_PEnd)+COUNTIFS('KG1-7'!$AD16:$IM16,"متأخر",'KG1-7'!$AD$7:$IM$7,"✓",'KG1-7'!$AD$6:$IM$6,1,'KG1-7'!$AD$5:$IM$5,"&gt;="&amp;MAX('KG1-7'!$U16,Rpt_PStart),'KG1-7'!$AD$5:$IM$5,"&lt;="&amp;Rpt_PEnd))</f>
        <v/>
      </c>
      <c r="AT192" s="40">
        <f>IF(AP192=0,"",COUNTIFS('KG1-7'!$AD16:$IM16,"غياب بدون عذر",'KG1-7'!$AD$7:$IM$7,"✓",'KG1-7'!$AD$6:$IM$6,1,'KG1-7'!$AD$5:$IM$5,"&gt;="&amp;MAX('KG1-7'!$U16,Rpt_PStart),'KG1-7'!$AD$5:$IM$5,"&lt;="&amp;Rpt_PEnd)+COUNTIFS('KG1-7'!$AD16:$IM16,"غياب بعذر",'KG1-7'!$AD$7:$IM$7,"✓",'KG1-7'!$AD$6:$IM$6,1,'KG1-7'!$AD$5:$IM$5,"&gt;="&amp;MAX('KG1-7'!$U16,Rpt_PStart),'KG1-7'!$AD$5:$IM$5,"&lt;="&amp;Rpt_PEnd))</f>
        <v/>
      </c>
      <c r="AU192" s="40" t="n">
        <v>7</v>
      </c>
      <c r="AV192" s="40" t="n">
        <v>8</v>
      </c>
      <c r="AW192" s="40">
        <f>IF(OR(AP192=0,Rpt_DayIdx=0),"",IF(INDEX('KG1-7'!$AD$7:$IM$7,Rpt_DayIdx)&lt;&gt;"✓","",IF(INDEX('KG1-7'!$AD16:$IM16,Rpt_DayIdx)="","P",IFERROR(INDEX(StatusCodes,MATCH(INDEX('KG1-7'!$AD16:$IM16,Rpt_DayIdx),StatusLabels,0)),""))))</f>
        <v/>
      </c>
      <c r="AX192" s="40">
        <f>IF(AND(AP192=1,OR(AW192="A",AW192="E")),COUNTIFS($AP$5:AP192,1,$AW$5:AW192,"A")+COUNTIFS($AP$5:AP192,1,$AW$5:AW192,"E"),"")</f>
        <v/>
      </c>
    </row>
    <row r="193">
      <c r="A193" s="148">
        <f>IF(B193="","",ROW()-4)</f>
        <v/>
      </c>
      <c r="B193" s="148">
        <f>IF('KG1-7'!$B17="","",'KG1-7'!$B17)</f>
        <v/>
      </c>
      <c r="C193" s="146">
        <f>IF('KG1-7'!$C17="","",'KG1-7'!$C17)</f>
        <v/>
      </c>
      <c r="D193" s="148">
        <f>IF(B193="","",'KG1-7'!$B$2)</f>
        <v/>
      </c>
      <c r="E193" s="148">
        <f>IF(B193="","",MID(D193,FIND("-",D193&amp;"-")+1,10))</f>
        <v/>
      </c>
      <c r="F193" s="148">
        <f>IF(B193="","","نشط")</f>
        <v/>
      </c>
      <c r="G193" s="157">
        <f>IF(B193="","","")</f>
        <v/>
      </c>
      <c r="H193" s="146">
        <f>IF('KG1-7'!$K17="","",'KG1-7'!$K17)</f>
        <v/>
      </c>
      <c r="I193" s="148">
        <f>IF('KG1-7'!$J17="","",'KG1-7'!$J17)</f>
        <v/>
      </c>
      <c r="J193" s="148">
        <f>IF('KG1-7'!$M17="","",'KG1-7'!$M17)</f>
        <v/>
      </c>
      <c r="K193" s="148">
        <f>IF('KG1-7'!$N17="","",'KG1-7'!$N17)</f>
        <v/>
      </c>
      <c r="L193" s="148">
        <f>IF('KG1-7'!$D17="","",'KG1-7'!$D17)</f>
        <v/>
      </c>
      <c r="M193" s="148">
        <f>IF('KG1-7'!$E17="","",'KG1-7'!$E17)</f>
        <v/>
      </c>
      <c r="N193" s="148">
        <f>IF('KG1-7'!$F17="","",'KG1-7'!$F17)</f>
        <v/>
      </c>
      <c r="O193" s="158">
        <f>IF('KG1-7'!$G17="","",'KG1-7'!$G17)</f>
        <v/>
      </c>
      <c r="P193" s="158">
        <f>IF('KG1-7'!$O17="","",'KG1-7'!$O17)</f>
        <v/>
      </c>
      <c r="Q193" s="148">
        <f>IF('KG1-7'!$T17="","",'KG1-7'!$T17)</f>
        <v/>
      </c>
      <c r="R193" s="146">
        <f>IF('KG1-7'!$H17="","",'KG1-7'!$H17)</f>
        <v/>
      </c>
      <c r="S193" s="157">
        <f>IF('KG1-7'!$P17="","",'KG1-7'!$P17)</f>
        <v/>
      </c>
      <c r="T193" s="157">
        <f>IF('KG1-7'!$V17="","",'KG1-7'!$V17)</f>
        <v/>
      </c>
      <c r="U193" s="157">
        <f>IF('KG1-7'!$W17="","",'KG1-7'!$W17)</f>
        <v/>
      </c>
      <c r="V193" s="157">
        <f>IF('KG1-7'!$X17="","",'KG1-7'!$X17)</f>
        <v/>
      </c>
      <c r="W193" s="157">
        <f>IF('KG1-7'!$Y17="","",'KG1-7'!$Y17)</f>
        <v/>
      </c>
      <c r="X193" s="157">
        <f>IF('KG1-7'!$R17="","",'KG1-7'!$R17)</f>
        <v/>
      </c>
      <c r="Y193" s="148">
        <f>IF('KG1-7'!$S17="","",'KG1-7'!$S17)</f>
        <v/>
      </c>
      <c r="Z193" s="148">
        <f>IF('KG1-7'!$Q17="","",'KG1-7'!$Q17)</f>
        <v/>
      </c>
      <c r="AA193" s="148">
        <f>IF('KG1-7'!$I17="","",'KG1-7'!$I17)</f>
        <v/>
      </c>
      <c r="AB193" s="146">
        <f>IF(Q193="","",INDEX(LevelActions,MATCH(Q193,LevelValues,0)))</f>
        <v/>
      </c>
      <c r="AC193" s="148">
        <f>IF(J193="","",IF(J193=0,"—",IF(AND(L193=0,M193=0),Cat_L1,IF(O193&gt;=Cat_95,Cat_L2,IF(O193&gt;=Cat_90,Cat_L3,Cat_L4)))))</f>
        <v/>
      </c>
      <c r="AD193" s="146">
        <f>IF('KG1-7'!$L17="","",'KG1-7'!$L17)</f>
        <v/>
      </c>
      <c r="AE193" s="148">
        <f>IF(B193="","",IF(COUNTIF($B$5:$B$214,B193)&gt;1,"مكرر!",""))</f>
        <v/>
      </c>
      <c r="AF193" s="148">
        <f>IF(AND(B193&lt;&gt;"",F193="نشط",OR(Dash_Class="الكل",D193=Dash_Class)),1,0)</f>
        <v/>
      </c>
      <c r="AG193" s="40">
        <f>IF(OR(AF193=0,Dash_DayIdx=0),"",IF(INDEX('KG1-7'!$AD$7:$IM$7,Dash_DayIdx)&lt;&gt;"✓","",IF(INDEX('KG1-7'!$AD17:$IM17,Dash_DayIdx)="","P",IFERROR(INDEX(StatusCodes,MATCH(INDEX('KG1-7'!$AD17:$IM17,Dash_DayIdx),StatusLabels,0)),""))))</f>
        <v/>
      </c>
      <c r="AH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IF(LateAsPresent="نعم",COUNTIFS('KG1-7'!$AD17:$IM17,"متأخر",'KG1-7'!$AD$7:$IM$7,"✓",'KG1-7'!$AD$6:$IM$6,1,'KG1-7'!$AD$5:$IM$5,"&gt;="&amp;MAX('KG1-7'!$U17,Dash_PStart),'KG1-7'!$AD$5:$IM$5,"&lt;="&amp;Dash_PEnd),0))</f>
        <v/>
      </c>
      <c r="AI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COUNTIFS('KG1-7'!$AD17:$IM17,"غياب بدون عذر",'KG1-7'!$AD$7:$IM$7,"✓",'KG1-7'!$AD$6:$IM$6,1,'KG1-7'!$AD$5:$IM$5,"&gt;="&amp;MAX('KG1-7'!$U17,Dash_PStart),'KG1-7'!$AD$5:$IM$5,"&lt;="&amp;Dash_PEnd)+COUNTIFS('KG1-7'!$AD17:$IM17,"غياب بعذر",'KG1-7'!$AD$7:$IM$7,"✓",'KG1-7'!$AD$6:$IM$6,1,'KG1-7'!$AD$5:$IM$5,"&gt;="&amp;MAX('KG1-7'!$U17,Dash_PStart),'KG1-7'!$AD$5:$IM$5,"&lt;="&amp;Dash_PEnd)+COUNTIFS('KG1-7'!$AD17:$IM17,"متأخر",'KG1-7'!$AD$7:$IM$7,"✓",'KG1-7'!$AD$6:$IM$6,1,'KG1-7'!$AD$5:$IM$5,"&gt;="&amp;MAX('KG1-7'!$U17,Dash_PStart),'KG1-7'!$AD$5:$IM$5,"&lt;="&amp;Dash_PEnd))</f>
        <v/>
      </c>
      <c r="AJ193" s="40">
        <f>IF(AF193=0,0,IF(W193=Dash_Date,Thr_Critical,IF(V193=Dash_Date,Thr_High,IF(U193=Dash_Date,Thr_Repeated,IF(T193=Dash_Date,Thr_FollowUp,0)))))</f>
        <v/>
      </c>
      <c r="AK193" s="40">
        <f>IF(AJ193&gt;0,COUNTIF($AJ$5:AJ193,"&gt;0"),"")</f>
        <v/>
      </c>
      <c r="AL193" s="40">
        <f>IF(AND(B193&lt;&gt;"",F193="نشط",Q193&lt;&gt;"",Q193&gt;0),L193*1000+(999-ROW()),"")</f>
        <v/>
      </c>
      <c r="AM193" s="40">
        <f>IF(AND(AF193=1,J193&lt;&gt;"",J193&gt;0),ROUND(O193*10000,0)*1000000+K193*1000+(999-ROW()),"")</f>
        <v/>
      </c>
      <c r="AN193" s="40">
        <f>IF(AND(AF193=1,J193&lt;&gt;"",J193&gt;0),(L193+M193)*10000000+ROUND((1-O193)*10000,0)*1000+(999-ROW()),"")</f>
        <v/>
      </c>
      <c r="AO193" s="40">
        <f>IF(AND(AF193=1,Q193&lt;&gt;"",Q193&gt;=Thr_Critical),L193*1000+(999-ROW()),"")</f>
        <v/>
      </c>
      <c r="AP193" s="40">
        <f>IF(AND(B193&lt;&gt;"",F193="نشط",OR(Rpt_Class="الكل",D193=Rpt_Class)),1,0)</f>
        <v/>
      </c>
      <c r="AQ193" s="40">
        <f>IF(AND(AP193=1,Q193&lt;&gt;"",Q193&gt;0),L193*1000+(999-ROW()),"")</f>
        <v/>
      </c>
      <c r="AR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IF(LateAsPresent="نعم",COUNTIFS('KG1-7'!$AD17:$IM17,"متأخر",'KG1-7'!$AD$7:$IM$7,"✓",'KG1-7'!$AD$6:$IM$6,1,'KG1-7'!$AD$5:$IM$5,"&gt;="&amp;MAX('KG1-7'!$U17,Rpt_PStart),'KG1-7'!$AD$5:$IM$5,"&lt;="&amp;Rpt_PEnd),0))</f>
        <v/>
      </c>
      <c r="AS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COUNTIFS('KG1-7'!$AD17:$IM17,"غياب بدون عذر",'KG1-7'!$AD$7:$IM$7,"✓",'KG1-7'!$AD$6:$IM$6,1,'KG1-7'!$AD$5:$IM$5,"&gt;="&amp;MAX('KG1-7'!$U17,Rpt_PStart),'KG1-7'!$AD$5:$IM$5,"&lt;="&amp;Rpt_PEnd)+COUNTIFS('KG1-7'!$AD17:$IM17,"غياب بعذر",'KG1-7'!$AD$7:$IM$7,"✓",'KG1-7'!$AD$6:$IM$6,1,'KG1-7'!$AD$5:$IM$5,"&gt;="&amp;MAX('KG1-7'!$U17,Rpt_PStart),'KG1-7'!$AD$5:$IM$5,"&lt;="&amp;Rpt_PEnd)+COUNTIFS('KG1-7'!$AD17:$IM17,"متأخر",'KG1-7'!$AD$7:$IM$7,"✓",'KG1-7'!$AD$6:$IM$6,1,'KG1-7'!$AD$5:$IM$5,"&gt;="&amp;MAX('KG1-7'!$U17,Rpt_PStart),'KG1-7'!$AD$5:$IM$5,"&lt;="&amp;Rpt_PEnd))</f>
        <v/>
      </c>
      <c r="AT193" s="40">
        <f>IF(AP193=0,"",COUNTIFS('KG1-7'!$AD17:$IM17,"غياب بدون عذر",'KG1-7'!$AD$7:$IM$7,"✓",'KG1-7'!$AD$6:$IM$6,1,'KG1-7'!$AD$5:$IM$5,"&gt;="&amp;MAX('KG1-7'!$U17,Rpt_PStart),'KG1-7'!$AD$5:$IM$5,"&lt;="&amp;Rpt_PEnd)+COUNTIFS('KG1-7'!$AD17:$IM17,"غياب بعذر",'KG1-7'!$AD$7:$IM$7,"✓",'KG1-7'!$AD$6:$IM$6,1,'KG1-7'!$AD$5:$IM$5,"&gt;="&amp;MAX('KG1-7'!$U17,Rpt_PStart),'KG1-7'!$AD$5:$IM$5,"&lt;="&amp;Rpt_PEnd))</f>
        <v/>
      </c>
      <c r="AU193" s="40" t="n">
        <v>7</v>
      </c>
      <c r="AV193" s="40" t="n">
        <v>9</v>
      </c>
      <c r="AW193" s="40">
        <f>IF(OR(AP193=0,Rpt_DayIdx=0),"",IF(INDEX('KG1-7'!$AD$7:$IM$7,Rpt_DayIdx)&lt;&gt;"✓","",IF(INDEX('KG1-7'!$AD17:$IM17,Rpt_DayIdx)="","P",IFERROR(INDEX(StatusCodes,MATCH(INDEX('KG1-7'!$AD17:$IM17,Rpt_DayIdx),StatusLabels,0)),""))))</f>
        <v/>
      </c>
      <c r="AX193" s="40">
        <f>IF(AND(AP193=1,OR(AW193="A",AW193="E")),COUNTIFS($AP$5:AP193,1,$AW$5:AW193,"A")+COUNTIFS($AP$5:AP193,1,$AW$5:AW193,"E"),"")</f>
        <v/>
      </c>
    </row>
    <row r="194">
      <c r="A194" s="148">
        <f>IF(B194="","",ROW()-4)</f>
        <v/>
      </c>
      <c r="B194" s="148">
        <f>IF('KG1-7'!$B18="","",'KG1-7'!$B18)</f>
        <v/>
      </c>
      <c r="C194" s="146">
        <f>IF('KG1-7'!$C18="","",'KG1-7'!$C18)</f>
        <v/>
      </c>
      <c r="D194" s="148">
        <f>IF(B194="","",'KG1-7'!$B$2)</f>
        <v/>
      </c>
      <c r="E194" s="148">
        <f>IF(B194="","",MID(D194,FIND("-",D194&amp;"-")+1,10))</f>
        <v/>
      </c>
      <c r="F194" s="148">
        <f>IF(B194="","","نشط")</f>
        <v/>
      </c>
      <c r="G194" s="157">
        <f>IF(B194="","","")</f>
        <v/>
      </c>
      <c r="H194" s="146">
        <f>IF('KG1-7'!$K18="","",'KG1-7'!$K18)</f>
        <v/>
      </c>
      <c r="I194" s="148">
        <f>IF('KG1-7'!$J18="","",'KG1-7'!$J18)</f>
        <v/>
      </c>
      <c r="J194" s="148">
        <f>IF('KG1-7'!$M18="","",'KG1-7'!$M18)</f>
        <v/>
      </c>
      <c r="K194" s="148">
        <f>IF('KG1-7'!$N18="","",'KG1-7'!$N18)</f>
        <v/>
      </c>
      <c r="L194" s="148">
        <f>IF('KG1-7'!$D18="","",'KG1-7'!$D18)</f>
        <v/>
      </c>
      <c r="M194" s="148">
        <f>IF('KG1-7'!$E18="","",'KG1-7'!$E18)</f>
        <v/>
      </c>
      <c r="N194" s="148">
        <f>IF('KG1-7'!$F18="","",'KG1-7'!$F18)</f>
        <v/>
      </c>
      <c r="O194" s="158">
        <f>IF('KG1-7'!$G18="","",'KG1-7'!$G18)</f>
        <v/>
      </c>
      <c r="P194" s="158">
        <f>IF('KG1-7'!$O18="","",'KG1-7'!$O18)</f>
        <v/>
      </c>
      <c r="Q194" s="148">
        <f>IF('KG1-7'!$T18="","",'KG1-7'!$T18)</f>
        <v/>
      </c>
      <c r="R194" s="146">
        <f>IF('KG1-7'!$H18="","",'KG1-7'!$H18)</f>
        <v/>
      </c>
      <c r="S194" s="157">
        <f>IF('KG1-7'!$P18="","",'KG1-7'!$P18)</f>
        <v/>
      </c>
      <c r="T194" s="157">
        <f>IF('KG1-7'!$V18="","",'KG1-7'!$V18)</f>
        <v/>
      </c>
      <c r="U194" s="157">
        <f>IF('KG1-7'!$W18="","",'KG1-7'!$W18)</f>
        <v/>
      </c>
      <c r="V194" s="157">
        <f>IF('KG1-7'!$X18="","",'KG1-7'!$X18)</f>
        <v/>
      </c>
      <c r="W194" s="157">
        <f>IF('KG1-7'!$Y18="","",'KG1-7'!$Y18)</f>
        <v/>
      </c>
      <c r="X194" s="157">
        <f>IF('KG1-7'!$R18="","",'KG1-7'!$R18)</f>
        <v/>
      </c>
      <c r="Y194" s="148">
        <f>IF('KG1-7'!$S18="","",'KG1-7'!$S18)</f>
        <v/>
      </c>
      <c r="Z194" s="148">
        <f>IF('KG1-7'!$Q18="","",'KG1-7'!$Q18)</f>
        <v/>
      </c>
      <c r="AA194" s="148">
        <f>IF('KG1-7'!$I18="","",'KG1-7'!$I18)</f>
        <v/>
      </c>
      <c r="AB194" s="146">
        <f>IF(Q194="","",INDEX(LevelActions,MATCH(Q194,LevelValues,0)))</f>
        <v/>
      </c>
      <c r="AC194" s="148">
        <f>IF(J194="","",IF(J194=0,"—",IF(AND(L194=0,M194=0),Cat_L1,IF(O194&gt;=Cat_95,Cat_L2,IF(O194&gt;=Cat_90,Cat_L3,Cat_L4)))))</f>
        <v/>
      </c>
      <c r="AD194" s="146">
        <f>IF('KG1-7'!$L18="","",'KG1-7'!$L18)</f>
        <v/>
      </c>
      <c r="AE194" s="148">
        <f>IF(B194="","",IF(COUNTIF($B$5:$B$214,B194)&gt;1,"مكرر!",""))</f>
        <v/>
      </c>
      <c r="AF194" s="148">
        <f>IF(AND(B194&lt;&gt;"",F194="نشط",OR(Dash_Class="الكل",D194=Dash_Class)),1,0)</f>
        <v/>
      </c>
      <c r="AG194" s="40">
        <f>IF(OR(AF194=0,Dash_DayIdx=0),"",IF(INDEX('KG1-7'!$AD$7:$IM$7,Dash_DayIdx)&lt;&gt;"✓","",IF(INDEX('KG1-7'!$AD18:$IM18,Dash_DayIdx)="","P",IFERROR(INDEX(StatusCodes,MATCH(INDEX('KG1-7'!$AD18:$IM18,Dash_DayIdx),StatusLabels,0)),""))))</f>
        <v/>
      </c>
      <c r="AH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IF(LateAsPresent="نعم",COUNTIFS('KG1-7'!$AD18:$IM18,"متأخر",'KG1-7'!$AD$7:$IM$7,"✓",'KG1-7'!$AD$6:$IM$6,1,'KG1-7'!$AD$5:$IM$5,"&gt;="&amp;MAX('KG1-7'!$U18,Dash_PStart),'KG1-7'!$AD$5:$IM$5,"&lt;="&amp;Dash_PEnd),0))</f>
        <v/>
      </c>
      <c r="AI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COUNTIFS('KG1-7'!$AD18:$IM18,"غياب بدون عذر",'KG1-7'!$AD$7:$IM$7,"✓",'KG1-7'!$AD$6:$IM$6,1,'KG1-7'!$AD$5:$IM$5,"&gt;="&amp;MAX('KG1-7'!$U18,Dash_PStart),'KG1-7'!$AD$5:$IM$5,"&lt;="&amp;Dash_PEnd)+COUNTIFS('KG1-7'!$AD18:$IM18,"غياب بعذر",'KG1-7'!$AD$7:$IM$7,"✓",'KG1-7'!$AD$6:$IM$6,1,'KG1-7'!$AD$5:$IM$5,"&gt;="&amp;MAX('KG1-7'!$U18,Dash_PStart),'KG1-7'!$AD$5:$IM$5,"&lt;="&amp;Dash_PEnd)+COUNTIFS('KG1-7'!$AD18:$IM18,"متأخر",'KG1-7'!$AD$7:$IM$7,"✓",'KG1-7'!$AD$6:$IM$6,1,'KG1-7'!$AD$5:$IM$5,"&gt;="&amp;MAX('KG1-7'!$U18,Dash_PStart),'KG1-7'!$AD$5:$IM$5,"&lt;="&amp;Dash_PEnd))</f>
        <v/>
      </c>
      <c r="AJ194" s="40">
        <f>IF(AF194=0,0,IF(W194=Dash_Date,Thr_Critical,IF(V194=Dash_Date,Thr_High,IF(U194=Dash_Date,Thr_Repeated,IF(T194=Dash_Date,Thr_FollowUp,0)))))</f>
        <v/>
      </c>
      <c r="AK194" s="40">
        <f>IF(AJ194&gt;0,COUNTIF($AJ$5:AJ194,"&gt;0"),"")</f>
        <v/>
      </c>
      <c r="AL194" s="40">
        <f>IF(AND(B194&lt;&gt;"",F194="نشط",Q194&lt;&gt;"",Q194&gt;0),L194*1000+(999-ROW()),"")</f>
        <v/>
      </c>
      <c r="AM194" s="40">
        <f>IF(AND(AF194=1,J194&lt;&gt;"",J194&gt;0),ROUND(O194*10000,0)*1000000+K194*1000+(999-ROW()),"")</f>
        <v/>
      </c>
      <c r="AN194" s="40">
        <f>IF(AND(AF194=1,J194&lt;&gt;"",J194&gt;0),(L194+M194)*10000000+ROUND((1-O194)*10000,0)*1000+(999-ROW()),"")</f>
        <v/>
      </c>
      <c r="AO194" s="40">
        <f>IF(AND(AF194=1,Q194&lt;&gt;"",Q194&gt;=Thr_Critical),L194*1000+(999-ROW()),"")</f>
        <v/>
      </c>
      <c r="AP194" s="40">
        <f>IF(AND(B194&lt;&gt;"",F194="نشط",OR(Rpt_Class="الكل",D194=Rpt_Class)),1,0)</f>
        <v/>
      </c>
      <c r="AQ194" s="40">
        <f>IF(AND(AP194=1,Q194&lt;&gt;"",Q194&gt;0),L194*1000+(999-ROW()),"")</f>
        <v/>
      </c>
      <c r="AR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IF(LateAsPresent="نعم",COUNTIFS('KG1-7'!$AD18:$IM18,"متأخر",'KG1-7'!$AD$7:$IM$7,"✓",'KG1-7'!$AD$6:$IM$6,1,'KG1-7'!$AD$5:$IM$5,"&gt;="&amp;MAX('KG1-7'!$U18,Rpt_PStart),'KG1-7'!$AD$5:$IM$5,"&lt;="&amp;Rpt_PEnd),0))</f>
        <v/>
      </c>
      <c r="AS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COUNTIFS('KG1-7'!$AD18:$IM18,"غياب بدون عذر",'KG1-7'!$AD$7:$IM$7,"✓",'KG1-7'!$AD$6:$IM$6,1,'KG1-7'!$AD$5:$IM$5,"&gt;="&amp;MAX('KG1-7'!$U18,Rpt_PStart),'KG1-7'!$AD$5:$IM$5,"&lt;="&amp;Rpt_PEnd)+COUNTIFS('KG1-7'!$AD18:$IM18,"غياب بعذر",'KG1-7'!$AD$7:$IM$7,"✓",'KG1-7'!$AD$6:$IM$6,1,'KG1-7'!$AD$5:$IM$5,"&gt;="&amp;MAX('KG1-7'!$U18,Rpt_PStart),'KG1-7'!$AD$5:$IM$5,"&lt;="&amp;Rpt_PEnd)+COUNTIFS('KG1-7'!$AD18:$IM18,"متأخر",'KG1-7'!$AD$7:$IM$7,"✓",'KG1-7'!$AD$6:$IM$6,1,'KG1-7'!$AD$5:$IM$5,"&gt;="&amp;MAX('KG1-7'!$U18,Rpt_PStart),'KG1-7'!$AD$5:$IM$5,"&lt;="&amp;Rpt_PEnd))</f>
        <v/>
      </c>
      <c r="AT194" s="40">
        <f>IF(AP194=0,"",COUNTIFS('KG1-7'!$AD18:$IM18,"غياب بدون عذر",'KG1-7'!$AD$7:$IM$7,"✓",'KG1-7'!$AD$6:$IM$6,1,'KG1-7'!$AD$5:$IM$5,"&gt;="&amp;MAX('KG1-7'!$U18,Rpt_PStart),'KG1-7'!$AD$5:$IM$5,"&lt;="&amp;Rpt_PEnd)+COUNTIFS('KG1-7'!$AD18:$IM18,"غياب بعذر",'KG1-7'!$AD$7:$IM$7,"✓",'KG1-7'!$AD$6:$IM$6,1,'KG1-7'!$AD$5:$IM$5,"&gt;="&amp;MAX('KG1-7'!$U18,Rpt_PStart),'KG1-7'!$AD$5:$IM$5,"&lt;="&amp;Rpt_PEnd))</f>
        <v/>
      </c>
      <c r="AU194" s="40" t="n">
        <v>7</v>
      </c>
      <c r="AV194" s="40" t="n">
        <v>10</v>
      </c>
      <c r="AW194" s="40">
        <f>IF(OR(AP194=0,Rpt_DayIdx=0),"",IF(INDEX('KG1-7'!$AD$7:$IM$7,Rpt_DayIdx)&lt;&gt;"✓","",IF(INDEX('KG1-7'!$AD18:$IM18,Rpt_DayIdx)="","P",IFERROR(INDEX(StatusCodes,MATCH(INDEX('KG1-7'!$AD18:$IM18,Rpt_DayIdx),StatusLabels,0)),""))))</f>
        <v/>
      </c>
      <c r="AX194" s="40">
        <f>IF(AND(AP194=1,OR(AW194="A",AW194="E")),COUNTIFS($AP$5:AP194,1,$AW$5:AW194,"A")+COUNTIFS($AP$5:AP194,1,$AW$5:AW194,"E"),"")</f>
        <v/>
      </c>
    </row>
    <row r="195">
      <c r="A195" s="148">
        <f>IF(B195="","",ROW()-4)</f>
        <v/>
      </c>
      <c r="B195" s="148">
        <f>IF('KG1-7'!$B19="","",'KG1-7'!$B19)</f>
        <v/>
      </c>
      <c r="C195" s="146">
        <f>IF('KG1-7'!$C19="","",'KG1-7'!$C19)</f>
        <v/>
      </c>
      <c r="D195" s="148">
        <f>IF(B195="","",'KG1-7'!$B$2)</f>
        <v/>
      </c>
      <c r="E195" s="148">
        <f>IF(B195="","",MID(D195,FIND("-",D195&amp;"-")+1,10))</f>
        <v/>
      </c>
      <c r="F195" s="148">
        <f>IF(B195="","","نشط")</f>
        <v/>
      </c>
      <c r="G195" s="157">
        <f>IF(B195="","","")</f>
        <v/>
      </c>
      <c r="H195" s="146">
        <f>IF('KG1-7'!$K19="","",'KG1-7'!$K19)</f>
        <v/>
      </c>
      <c r="I195" s="148">
        <f>IF('KG1-7'!$J19="","",'KG1-7'!$J19)</f>
        <v/>
      </c>
      <c r="J195" s="148">
        <f>IF('KG1-7'!$M19="","",'KG1-7'!$M19)</f>
        <v/>
      </c>
      <c r="K195" s="148">
        <f>IF('KG1-7'!$N19="","",'KG1-7'!$N19)</f>
        <v/>
      </c>
      <c r="L195" s="148">
        <f>IF('KG1-7'!$D19="","",'KG1-7'!$D19)</f>
        <v/>
      </c>
      <c r="M195" s="148">
        <f>IF('KG1-7'!$E19="","",'KG1-7'!$E19)</f>
        <v/>
      </c>
      <c r="N195" s="148">
        <f>IF('KG1-7'!$F19="","",'KG1-7'!$F19)</f>
        <v/>
      </c>
      <c r="O195" s="158">
        <f>IF('KG1-7'!$G19="","",'KG1-7'!$G19)</f>
        <v/>
      </c>
      <c r="P195" s="158">
        <f>IF('KG1-7'!$O19="","",'KG1-7'!$O19)</f>
        <v/>
      </c>
      <c r="Q195" s="148">
        <f>IF('KG1-7'!$T19="","",'KG1-7'!$T19)</f>
        <v/>
      </c>
      <c r="R195" s="146">
        <f>IF('KG1-7'!$H19="","",'KG1-7'!$H19)</f>
        <v/>
      </c>
      <c r="S195" s="157">
        <f>IF('KG1-7'!$P19="","",'KG1-7'!$P19)</f>
        <v/>
      </c>
      <c r="T195" s="157">
        <f>IF('KG1-7'!$V19="","",'KG1-7'!$V19)</f>
        <v/>
      </c>
      <c r="U195" s="157">
        <f>IF('KG1-7'!$W19="","",'KG1-7'!$W19)</f>
        <v/>
      </c>
      <c r="V195" s="157">
        <f>IF('KG1-7'!$X19="","",'KG1-7'!$X19)</f>
        <v/>
      </c>
      <c r="W195" s="157">
        <f>IF('KG1-7'!$Y19="","",'KG1-7'!$Y19)</f>
        <v/>
      </c>
      <c r="X195" s="157">
        <f>IF('KG1-7'!$R19="","",'KG1-7'!$R19)</f>
        <v/>
      </c>
      <c r="Y195" s="148">
        <f>IF('KG1-7'!$S19="","",'KG1-7'!$S19)</f>
        <v/>
      </c>
      <c r="Z195" s="148">
        <f>IF('KG1-7'!$Q19="","",'KG1-7'!$Q19)</f>
        <v/>
      </c>
      <c r="AA195" s="148">
        <f>IF('KG1-7'!$I19="","",'KG1-7'!$I19)</f>
        <v/>
      </c>
      <c r="AB195" s="146">
        <f>IF(Q195="","",INDEX(LevelActions,MATCH(Q195,LevelValues,0)))</f>
        <v/>
      </c>
      <c r="AC195" s="148">
        <f>IF(J195="","",IF(J195=0,"—",IF(AND(L195=0,M195=0),Cat_L1,IF(O195&gt;=Cat_95,Cat_L2,IF(O195&gt;=Cat_90,Cat_L3,Cat_L4)))))</f>
        <v/>
      </c>
      <c r="AD195" s="146">
        <f>IF('KG1-7'!$L19="","",'KG1-7'!$L19)</f>
        <v/>
      </c>
      <c r="AE195" s="148">
        <f>IF(B195="","",IF(COUNTIF($B$5:$B$214,B195)&gt;1,"مكرر!",""))</f>
        <v/>
      </c>
      <c r="AF195" s="148">
        <f>IF(AND(B195&lt;&gt;"",F195="نشط",OR(Dash_Class="الكل",D195=Dash_Class)),1,0)</f>
        <v/>
      </c>
      <c r="AG195" s="40">
        <f>IF(OR(AF195=0,Dash_DayIdx=0),"",IF(INDEX('KG1-7'!$AD$7:$IM$7,Dash_DayIdx)&lt;&gt;"✓","",IF(INDEX('KG1-7'!$AD19:$IM19,Dash_DayIdx)="","P",IFERROR(INDEX(StatusCodes,MATCH(INDEX('KG1-7'!$AD19:$IM19,Dash_DayIdx),StatusLabels,0)),""))))</f>
        <v/>
      </c>
      <c r="AH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IF(LateAsPresent="نعم",COUNTIFS('KG1-7'!$AD19:$IM19,"متأخر",'KG1-7'!$AD$7:$IM$7,"✓",'KG1-7'!$AD$6:$IM$6,1,'KG1-7'!$AD$5:$IM$5,"&gt;="&amp;MAX('KG1-7'!$U19,Dash_PStart),'KG1-7'!$AD$5:$IM$5,"&lt;="&amp;Dash_PEnd),0))</f>
        <v/>
      </c>
      <c r="AI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COUNTIFS('KG1-7'!$AD19:$IM19,"غياب بدون عذر",'KG1-7'!$AD$7:$IM$7,"✓",'KG1-7'!$AD$6:$IM$6,1,'KG1-7'!$AD$5:$IM$5,"&gt;="&amp;MAX('KG1-7'!$U19,Dash_PStart),'KG1-7'!$AD$5:$IM$5,"&lt;="&amp;Dash_PEnd)+COUNTIFS('KG1-7'!$AD19:$IM19,"غياب بعذر",'KG1-7'!$AD$7:$IM$7,"✓",'KG1-7'!$AD$6:$IM$6,1,'KG1-7'!$AD$5:$IM$5,"&gt;="&amp;MAX('KG1-7'!$U19,Dash_PStart),'KG1-7'!$AD$5:$IM$5,"&lt;="&amp;Dash_PEnd)+COUNTIFS('KG1-7'!$AD19:$IM19,"متأخر",'KG1-7'!$AD$7:$IM$7,"✓",'KG1-7'!$AD$6:$IM$6,1,'KG1-7'!$AD$5:$IM$5,"&gt;="&amp;MAX('KG1-7'!$U19,Dash_PStart),'KG1-7'!$AD$5:$IM$5,"&lt;="&amp;Dash_PEnd))</f>
        <v/>
      </c>
      <c r="AJ195" s="40">
        <f>IF(AF195=0,0,IF(W195=Dash_Date,Thr_Critical,IF(V195=Dash_Date,Thr_High,IF(U195=Dash_Date,Thr_Repeated,IF(T195=Dash_Date,Thr_FollowUp,0)))))</f>
        <v/>
      </c>
      <c r="AK195" s="40">
        <f>IF(AJ195&gt;0,COUNTIF($AJ$5:AJ195,"&gt;0"),"")</f>
        <v/>
      </c>
      <c r="AL195" s="40">
        <f>IF(AND(B195&lt;&gt;"",F195="نشط",Q195&lt;&gt;"",Q195&gt;0),L195*1000+(999-ROW()),"")</f>
        <v/>
      </c>
      <c r="AM195" s="40">
        <f>IF(AND(AF195=1,J195&lt;&gt;"",J195&gt;0),ROUND(O195*10000,0)*1000000+K195*1000+(999-ROW()),"")</f>
        <v/>
      </c>
      <c r="AN195" s="40">
        <f>IF(AND(AF195=1,J195&lt;&gt;"",J195&gt;0),(L195+M195)*10000000+ROUND((1-O195)*10000,0)*1000+(999-ROW()),"")</f>
        <v/>
      </c>
      <c r="AO195" s="40">
        <f>IF(AND(AF195=1,Q195&lt;&gt;"",Q195&gt;=Thr_Critical),L195*1000+(999-ROW()),"")</f>
        <v/>
      </c>
      <c r="AP195" s="40">
        <f>IF(AND(B195&lt;&gt;"",F195="نشط",OR(Rpt_Class="الكل",D195=Rpt_Class)),1,0)</f>
        <v/>
      </c>
      <c r="AQ195" s="40">
        <f>IF(AND(AP195=1,Q195&lt;&gt;"",Q195&gt;0),L195*1000+(999-ROW()),"")</f>
        <v/>
      </c>
      <c r="AR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IF(LateAsPresent="نعم",COUNTIFS('KG1-7'!$AD19:$IM19,"متأخر",'KG1-7'!$AD$7:$IM$7,"✓",'KG1-7'!$AD$6:$IM$6,1,'KG1-7'!$AD$5:$IM$5,"&gt;="&amp;MAX('KG1-7'!$U19,Rpt_PStart),'KG1-7'!$AD$5:$IM$5,"&lt;="&amp;Rpt_PEnd),0))</f>
        <v/>
      </c>
      <c r="AS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COUNTIFS('KG1-7'!$AD19:$IM19,"غياب بدون عذر",'KG1-7'!$AD$7:$IM$7,"✓",'KG1-7'!$AD$6:$IM$6,1,'KG1-7'!$AD$5:$IM$5,"&gt;="&amp;MAX('KG1-7'!$U19,Rpt_PStart),'KG1-7'!$AD$5:$IM$5,"&lt;="&amp;Rpt_PEnd)+COUNTIFS('KG1-7'!$AD19:$IM19,"غياب بعذر",'KG1-7'!$AD$7:$IM$7,"✓",'KG1-7'!$AD$6:$IM$6,1,'KG1-7'!$AD$5:$IM$5,"&gt;="&amp;MAX('KG1-7'!$U19,Rpt_PStart),'KG1-7'!$AD$5:$IM$5,"&lt;="&amp;Rpt_PEnd)+COUNTIFS('KG1-7'!$AD19:$IM19,"متأخر",'KG1-7'!$AD$7:$IM$7,"✓",'KG1-7'!$AD$6:$IM$6,1,'KG1-7'!$AD$5:$IM$5,"&gt;="&amp;MAX('KG1-7'!$U19,Rpt_PStart),'KG1-7'!$AD$5:$IM$5,"&lt;="&amp;Rpt_PEnd))</f>
        <v/>
      </c>
      <c r="AT195" s="40">
        <f>IF(AP195=0,"",COUNTIFS('KG1-7'!$AD19:$IM19,"غياب بدون عذر",'KG1-7'!$AD$7:$IM$7,"✓",'KG1-7'!$AD$6:$IM$6,1,'KG1-7'!$AD$5:$IM$5,"&gt;="&amp;MAX('KG1-7'!$U19,Rpt_PStart),'KG1-7'!$AD$5:$IM$5,"&lt;="&amp;Rpt_PEnd)+COUNTIFS('KG1-7'!$AD19:$IM19,"غياب بعذر",'KG1-7'!$AD$7:$IM$7,"✓",'KG1-7'!$AD$6:$IM$6,1,'KG1-7'!$AD$5:$IM$5,"&gt;="&amp;MAX('KG1-7'!$U19,Rpt_PStart),'KG1-7'!$AD$5:$IM$5,"&lt;="&amp;Rpt_PEnd))</f>
        <v/>
      </c>
      <c r="AU195" s="40" t="n">
        <v>7</v>
      </c>
      <c r="AV195" s="40" t="n">
        <v>11</v>
      </c>
      <c r="AW195" s="40">
        <f>IF(OR(AP195=0,Rpt_DayIdx=0),"",IF(INDEX('KG1-7'!$AD$7:$IM$7,Rpt_DayIdx)&lt;&gt;"✓","",IF(INDEX('KG1-7'!$AD19:$IM19,Rpt_DayIdx)="","P",IFERROR(INDEX(StatusCodes,MATCH(INDEX('KG1-7'!$AD19:$IM19,Rpt_DayIdx),StatusLabels,0)),""))))</f>
        <v/>
      </c>
      <c r="AX195" s="40">
        <f>IF(AND(AP195=1,OR(AW195="A",AW195="E")),COUNTIFS($AP$5:AP195,1,$AW$5:AW195,"A")+COUNTIFS($AP$5:AP195,1,$AW$5:AW195,"E"),"")</f>
        <v/>
      </c>
    </row>
    <row r="196">
      <c r="A196" s="148">
        <f>IF(B196="","",ROW()-4)</f>
        <v/>
      </c>
      <c r="B196" s="148">
        <f>IF('KG1-7'!$B20="","",'KG1-7'!$B20)</f>
        <v/>
      </c>
      <c r="C196" s="146">
        <f>IF('KG1-7'!$C20="","",'KG1-7'!$C20)</f>
        <v/>
      </c>
      <c r="D196" s="148">
        <f>IF(B196="","",'KG1-7'!$B$2)</f>
        <v/>
      </c>
      <c r="E196" s="148">
        <f>IF(B196="","",MID(D196,FIND("-",D196&amp;"-")+1,10))</f>
        <v/>
      </c>
      <c r="F196" s="148">
        <f>IF(B196="","","نشط")</f>
        <v/>
      </c>
      <c r="G196" s="157">
        <f>IF(B196="","","")</f>
        <v/>
      </c>
      <c r="H196" s="146">
        <f>IF('KG1-7'!$K20="","",'KG1-7'!$K20)</f>
        <v/>
      </c>
      <c r="I196" s="148">
        <f>IF('KG1-7'!$J20="","",'KG1-7'!$J20)</f>
        <v/>
      </c>
      <c r="J196" s="148">
        <f>IF('KG1-7'!$M20="","",'KG1-7'!$M20)</f>
        <v/>
      </c>
      <c r="K196" s="148">
        <f>IF('KG1-7'!$N20="","",'KG1-7'!$N20)</f>
        <v/>
      </c>
      <c r="L196" s="148">
        <f>IF('KG1-7'!$D20="","",'KG1-7'!$D20)</f>
        <v/>
      </c>
      <c r="M196" s="148">
        <f>IF('KG1-7'!$E20="","",'KG1-7'!$E20)</f>
        <v/>
      </c>
      <c r="N196" s="148">
        <f>IF('KG1-7'!$F20="","",'KG1-7'!$F20)</f>
        <v/>
      </c>
      <c r="O196" s="158">
        <f>IF('KG1-7'!$G20="","",'KG1-7'!$G20)</f>
        <v/>
      </c>
      <c r="P196" s="158">
        <f>IF('KG1-7'!$O20="","",'KG1-7'!$O20)</f>
        <v/>
      </c>
      <c r="Q196" s="148">
        <f>IF('KG1-7'!$T20="","",'KG1-7'!$T20)</f>
        <v/>
      </c>
      <c r="R196" s="146">
        <f>IF('KG1-7'!$H20="","",'KG1-7'!$H20)</f>
        <v/>
      </c>
      <c r="S196" s="157">
        <f>IF('KG1-7'!$P20="","",'KG1-7'!$P20)</f>
        <v/>
      </c>
      <c r="T196" s="157">
        <f>IF('KG1-7'!$V20="","",'KG1-7'!$V20)</f>
        <v/>
      </c>
      <c r="U196" s="157">
        <f>IF('KG1-7'!$W20="","",'KG1-7'!$W20)</f>
        <v/>
      </c>
      <c r="V196" s="157">
        <f>IF('KG1-7'!$X20="","",'KG1-7'!$X20)</f>
        <v/>
      </c>
      <c r="W196" s="157">
        <f>IF('KG1-7'!$Y20="","",'KG1-7'!$Y20)</f>
        <v/>
      </c>
      <c r="X196" s="157">
        <f>IF('KG1-7'!$R20="","",'KG1-7'!$R20)</f>
        <v/>
      </c>
      <c r="Y196" s="148">
        <f>IF('KG1-7'!$S20="","",'KG1-7'!$S20)</f>
        <v/>
      </c>
      <c r="Z196" s="148">
        <f>IF('KG1-7'!$Q20="","",'KG1-7'!$Q20)</f>
        <v/>
      </c>
      <c r="AA196" s="148">
        <f>IF('KG1-7'!$I20="","",'KG1-7'!$I20)</f>
        <v/>
      </c>
      <c r="AB196" s="146">
        <f>IF(Q196="","",INDEX(LevelActions,MATCH(Q196,LevelValues,0)))</f>
        <v/>
      </c>
      <c r="AC196" s="148">
        <f>IF(J196="","",IF(J196=0,"—",IF(AND(L196=0,M196=0),Cat_L1,IF(O196&gt;=Cat_95,Cat_L2,IF(O196&gt;=Cat_90,Cat_L3,Cat_L4)))))</f>
        <v/>
      </c>
      <c r="AD196" s="146">
        <f>IF('KG1-7'!$L20="","",'KG1-7'!$L20)</f>
        <v/>
      </c>
      <c r="AE196" s="148">
        <f>IF(B196="","",IF(COUNTIF($B$5:$B$214,B196)&gt;1,"مكرر!",""))</f>
        <v/>
      </c>
      <c r="AF196" s="148">
        <f>IF(AND(B196&lt;&gt;"",F196="نشط",OR(Dash_Class="الكل",D196=Dash_Class)),1,0)</f>
        <v/>
      </c>
      <c r="AG196" s="40">
        <f>IF(OR(AF196=0,Dash_DayIdx=0),"",IF(INDEX('KG1-7'!$AD$7:$IM$7,Dash_DayIdx)&lt;&gt;"✓","",IF(INDEX('KG1-7'!$AD20:$IM20,Dash_DayIdx)="","P",IFERROR(INDEX(StatusCodes,MATCH(INDEX('KG1-7'!$AD20:$IM20,Dash_DayIdx),StatusLabels,0)),""))))</f>
        <v/>
      </c>
      <c r="AH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IF(LateAsPresent="نعم",COUNTIFS('KG1-7'!$AD20:$IM20,"متأخر",'KG1-7'!$AD$7:$IM$7,"✓",'KG1-7'!$AD$6:$IM$6,1,'KG1-7'!$AD$5:$IM$5,"&gt;="&amp;MAX('KG1-7'!$U20,Dash_PStart),'KG1-7'!$AD$5:$IM$5,"&lt;="&amp;Dash_PEnd),0))</f>
        <v/>
      </c>
      <c r="AI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COUNTIFS('KG1-7'!$AD20:$IM20,"غياب بدون عذر",'KG1-7'!$AD$7:$IM$7,"✓",'KG1-7'!$AD$6:$IM$6,1,'KG1-7'!$AD$5:$IM$5,"&gt;="&amp;MAX('KG1-7'!$U20,Dash_PStart),'KG1-7'!$AD$5:$IM$5,"&lt;="&amp;Dash_PEnd)+COUNTIFS('KG1-7'!$AD20:$IM20,"غياب بعذر",'KG1-7'!$AD$7:$IM$7,"✓",'KG1-7'!$AD$6:$IM$6,1,'KG1-7'!$AD$5:$IM$5,"&gt;="&amp;MAX('KG1-7'!$U20,Dash_PStart),'KG1-7'!$AD$5:$IM$5,"&lt;="&amp;Dash_PEnd)+COUNTIFS('KG1-7'!$AD20:$IM20,"متأخر",'KG1-7'!$AD$7:$IM$7,"✓",'KG1-7'!$AD$6:$IM$6,1,'KG1-7'!$AD$5:$IM$5,"&gt;="&amp;MAX('KG1-7'!$U20,Dash_PStart),'KG1-7'!$AD$5:$IM$5,"&lt;="&amp;Dash_PEnd))</f>
        <v/>
      </c>
      <c r="AJ196" s="40">
        <f>IF(AF196=0,0,IF(W196=Dash_Date,Thr_Critical,IF(V196=Dash_Date,Thr_High,IF(U196=Dash_Date,Thr_Repeated,IF(T196=Dash_Date,Thr_FollowUp,0)))))</f>
        <v/>
      </c>
      <c r="AK196" s="40">
        <f>IF(AJ196&gt;0,COUNTIF($AJ$5:AJ196,"&gt;0"),"")</f>
        <v/>
      </c>
      <c r="AL196" s="40">
        <f>IF(AND(B196&lt;&gt;"",F196="نشط",Q196&lt;&gt;"",Q196&gt;0),L196*1000+(999-ROW()),"")</f>
        <v/>
      </c>
      <c r="AM196" s="40">
        <f>IF(AND(AF196=1,J196&lt;&gt;"",J196&gt;0),ROUND(O196*10000,0)*1000000+K196*1000+(999-ROW()),"")</f>
        <v/>
      </c>
      <c r="AN196" s="40">
        <f>IF(AND(AF196=1,J196&lt;&gt;"",J196&gt;0),(L196+M196)*10000000+ROUND((1-O196)*10000,0)*1000+(999-ROW()),"")</f>
        <v/>
      </c>
      <c r="AO196" s="40">
        <f>IF(AND(AF196=1,Q196&lt;&gt;"",Q196&gt;=Thr_Critical),L196*1000+(999-ROW()),"")</f>
        <v/>
      </c>
      <c r="AP196" s="40">
        <f>IF(AND(B196&lt;&gt;"",F196="نشط",OR(Rpt_Class="الكل",D196=Rpt_Class)),1,0)</f>
        <v/>
      </c>
      <c r="AQ196" s="40">
        <f>IF(AND(AP196=1,Q196&lt;&gt;"",Q196&gt;0),L196*1000+(999-ROW()),"")</f>
        <v/>
      </c>
      <c r="AR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IF(LateAsPresent="نعم",COUNTIFS('KG1-7'!$AD20:$IM20,"متأخر",'KG1-7'!$AD$7:$IM$7,"✓",'KG1-7'!$AD$6:$IM$6,1,'KG1-7'!$AD$5:$IM$5,"&gt;="&amp;MAX('KG1-7'!$U20,Rpt_PStart),'KG1-7'!$AD$5:$IM$5,"&lt;="&amp;Rpt_PEnd),0))</f>
        <v/>
      </c>
      <c r="AS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COUNTIFS('KG1-7'!$AD20:$IM20,"غياب بدون عذر",'KG1-7'!$AD$7:$IM$7,"✓",'KG1-7'!$AD$6:$IM$6,1,'KG1-7'!$AD$5:$IM$5,"&gt;="&amp;MAX('KG1-7'!$U20,Rpt_PStart),'KG1-7'!$AD$5:$IM$5,"&lt;="&amp;Rpt_PEnd)+COUNTIFS('KG1-7'!$AD20:$IM20,"غياب بعذر",'KG1-7'!$AD$7:$IM$7,"✓",'KG1-7'!$AD$6:$IM$6,1,'KG1-7'!$AD$5:$IM$5,"&gt;="&amp;MAX('KG1-7'!$U20,Rpt_PStart),'KG1-7'!$AD$5:$IM$5,"&lt;="&amp;Rpt_PEnd)+COUNTIFS('KG1-7'!$AD20:$IM20,"متأخر",'KG1-7'!$AD$7:$IM$7,"✓",'KG1-7'!$AD$6:$IM$6,1,'KG1-7'!$AD$5:$IM$5,"&gt;="&amp;MAX('KG1-7'!$U20,Rpt_PStart),'KG1-7'!$AD$5:$IM$5,"&lt;="&amp;Rpt_PEnd))</f>
        <v/>
      </c>
      <c r="AT196" s="40">
        <f>IF(AP196=0,"",COUNTIFS('KG1-7'!$AD20:$IM20,"غياب بدون عذر",'KG1-7'!$AD$7:$IM$7,"✓",'KG1-7'!$AD$6:$IM$6,1,'KG1-7'!$AD$5:$IM$5,"&gt;="&amp;MAX('KG1-7'!$U20,Rpt_PStart),'KG1-7'!$AD$5:$IM$5,"&lt;="&amp;Rpt_PEnd)+COUNTIFS('KG1-7'!$AD20:$IM20,"غياب بعذر",'KG1-7'!$AD$7:$IM$7,"✓",'KG1-7'!$AD$6:$IM$6,1,'KG1-7'!$AD$5:$IM$5,"&gt;="&amp;MAX('KG1-7'!$U20,Rpt_PStart),'KG1-7'!$AD$5:$IM$5,"&lt;="&amp;Rpt_PEnd))</f>
        <v/>
      </c>
      <c r="AU196" s="40" t="n">
        <v>7</v>
      </c>
      <c r="AV196" s="40" t="n">
        <v>12</v>
      </c>
      <c r="AW196" s="40">
        <f>IF(OR(AP196=0,Rpt_DayIdx=0),"",IF(INDEX('KG1-7'!$AD$7:$IM$7,Rpt_DayIdx)&lt;&gt;"✓","",IF(INDEX('KG1-7'!$AD20:$IM20,Rpt_DayIdx)="","P",IFERROR(INDEX(StatusCodes,MATCH(INDEX('KG1-7'!$AD20:$IM20,Rpt_DayIdx),StatusLabels,0)),""))))</f>
        <v/>
      </c>
      <c r="AX196" s="40">
        <f>IF(AND(AP196=1,OR(AW196="A",AW196="E")),COUNTIFS($AP$5:AP196,1,$AW$5:AW196,"A")+COUNTIFS($AP$5:AP196,1,$AW$5:AW196,"E"),"")</f>
        <v/>
      </c>
    </row>
    <row r="197">
      <c r="A197" s="148">
        <f>IF(B197="","",ROW()-4)</f>
        <v/>
      </c>
      <c r="B197" s="148">
        <f>IF('KG1-7'!$B21="","",'KG1-7'!$B21)</f>
        <v/>
      </c>
      <c r="C197" s="146">
        <f>IF('KG1-7'!$C21="","",'KG1-7'!$C21)</f>
        <v/>
      </c>
      <c r="D197" s="148">
        <f>IF(B197="","",'KG1-7'!$B$2)</f>
        <v/>
      </c>
      <c r="E197" s="148">
        <f>IF(B197="","",MID(D197,FIND("-",D197&amp;"-")+1,10))</f>
        <v/>
      </c>
      <c r="F197" s="148">
        <f>IF(B197="","","نشط")</f>
        <v/>
      </c>
      <c r="G197" s="157">
        <f>IF(B197="","","")</f>
        <v/>
      </c>
      <c r="H197" s="146">
        <f>IF('KG1-7'!$K21="","",'KG1-7'!$K21)</f>
        <v/>
      </c>
      <c r="I197" s="148">
        <f>IF('KG1-7'!$J21="","",'KG1-7'!$J21)</f>
        <v/>
      </c>
      <c r="J197" s="148">
        <f>IF('KG1-7'!$M21="","",'KG1-7'!$M21)</f>
        <v/>
      </c>
      <c r="K197" s="148">
        <f>IF('KG1-7'!$N21="","",'KG1-7'!$N21)</f>
        <v/>
      </c>
      <c r="L197" s="148">
        <f>IF('KG1-7'!$D21="","",'KG1-7'!$D21)</f>
        <v/>
      </c>
      <c r="M197" s="148">
        <f>IF('KG1-7'!$E21="","",'KG1-7'!$E21)</f>
        <v/>
      </c>
      <c r="N197" s="148">
        <f>IF('KG1-7'!$F21="","",'KG1-7'!$F21)</f>
        <v/>
      </c>
      <c r="O197" s="158">
        <f>IF('KG1-7'!$G21="","",'KG1-7'!$G21)</f>
        <v/>
      </c>
      <c r="P197" s="158">
        <f>IF('KG1-7'!$O21="","",'KG1-7'!$O21)</f>
        <v/>
      </c>
      <c r="Q197" s="148">
        <f>IF('KG1-7'!$T21="","",'KG1-7'!$T21)</f>
        <v/>
      </c>
      <c r="R197" s="146">
        <f>IF('KG1-7'!$H21="","",'KG1-7'!$H21)</f>
        <v/>
      </c>
      <c r="S197" s="157">
        <f>IF('KG1-7'!$P21="","",'KG1-7'!$P21)</f>
        <v/>
      </c>
      <c r="T197" s="157">
        <f>IF('KG1-7'!$V21="","",'KG1-7'!$V21)</f>
        <v/>
      </c>
      <c r="U197" s="157">
        <f>IF('KG1-7'!$W21="","",'KG1-7'!$W21)</f>
        <v/>
      </c>
      <c r="V197" s="157">
        <f>IF('KG1-7'!$X21="","",'KG1-7'!$X21)</f>
        <v/>
      </c>
      <c r="W197" s="157">
        <f>IF('KG1-7'!$Y21="","",'KG1-7'!$Y21)</f>
        <v/>
      </c>
      <c r="X197" s="157">
        <f>IF('KG1-7'!$R21="","",'KG1-7'!$R21)</f>
        <v/>
      </c>
      <c r="Y197" s="148">
        <f>IF('KG1-7'!$S21="","",'KG1-7'!$S21)</f>
        <v/>
      </c>
      <c r="Z197" s="148">
        <f>IF('KG1-7'!$Q21="","",'KG1-7'!$Q21)</f>
        <v/>
      </c>
      <c r="AA197" s="148">
        <f>IF('KG1-7'!$I21="","",'KG1-7'!$I21)</f>
        <v/>
      </c>
      <c r="AB197" s="146">
        <f>IF(Q197="","",INDEX(LevelActions,MATCH(Q197,LevelValues,0)))</f>
        <v/>
      </c>
      <c r="AC197" s="148">
        <f>IF(J197="","",IF(J197=0,"—",IF(AND(L197=0,M197=0),Cat_L1,IF(O197&gt;=Cat_95,Cat_L2,IF(O197&gt;=Cat_90,Cat_L3,Cat_L4)))))</f>
        <v/>
      </c>
      <c r="AD197" s="146">
        <f>IF('KG1-7'!$L21="","",'KG1-7'!$L21)</f>
        <v/>
      </c>
      <c r="AE197" s="148">
        <f>IF(B197="","",IF(COUNTIF($B$5:$B$214,B197)&gt;1,"مكرر!",""))</f>
        <v/>
      </c>
      <c r="AF197" s="148">
        <f>IF(AND(B197&lt;&gt;"",F197="نشط",OR(Dash_Class="الكل",D197=Dash_Class)),1,0)</f>
        <v/>
      </c>
      <c r="AG197" s="40">
        <f>IF(OR(AF197=0,Dash_DayIdx=0),"",IF(INDEX('KG1-7'!$AD$7:$IM$7,Dash_DayIdx)&lt;&gt;"✓","",IF(INDEX('KG1-7'!$AD21:$IM21,Dash_DayIdx)="","P",IFERROR(INDEX(StatusCodes,MATCH(INDEX('KG1-7'!$AD21:$IM21,Dash_DayIdx),StatusLabels,0)),""))))</f>
        <v/>
      </c>
      <c r="AH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IF(LateAsPresent="نعم",COUNTIFS('KG1-7'!$AD21:$IM21,"متأخر",'KG1-7'!$AD$7:$IM$7,"✓",'KG1-7'!$AD$6:$IM$6,1,'KG1-7'!$AD$5:$IM$5,"&gt;="&amp;MAX('KG1-7'!$U21,Dash_PStart),'KG1-7'!$AD$5:$IM$5,"&lt;="&amp;Dash_PEnd),0))</f>
        <v/>
      </c>
      <c r="AI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COUNTIFS('KG1-7'!$AD21:$IM21,"غياب بدون عذر",'KG1-7'!$AD$7:$IM$7,"✓",'KG1-7'!$AD$6:$IM$6,1,'KG1-7'!$AD$5:$IM$5,"&gt;="&amp;MAX('KG1-7'!$U21,Dash_PStart),'KG1-7'!$AD$5:$IM$5,"&lt;="&amp;Dash_PEnd)+COUNTIFS('KG1-7'!$AD21:$IM21,"غياب بعذر",'KG1-7'!$AD$7:$IM$7,"✓",'KG1-7'!$AD$6:$IM$6,1,'KG1-7'!$AD$5:$IM$5,"&gt;="&amp;MAX('KG1-7'!$U21,Dash_PStart),'KG1-7'!$AD$5:$IM$5,"&lt;="&amp;Dash_PEnd)+COUNTIFS('KG1-7'!$AD21:$IM21,"متأخر",'KG1-7'!$AD$7:$IM$7,"✓",'KG1-7'!$AD$6:$IM$6,1,'KG1-7'!$AD$5:$IM$5,"&gt;="&amp;MAX('KG1-7'!$U21,Dash_PStart),'KG1-7'!$AD$5:$IM$5,"&lt;="&amp;Dash_PEnd))</f>
        <v/>
      </c>
      <c r="AJ197" s="40">
        <f>IF(AF197=0,0,IF(W197=Dash_Date,Thr_Critical,IF(V197=Dash_Date,Thr_High,IF(U197=Dash_Date,Thr_Repeated,IF(T197=Dash_Date,Thr_FollowUp,0)))))</f>
        <v/>
      </c>
      <c r="AK197" s="40">
        <f>IF(AJ197&gt;0,COUNTIF($AJ$5:AJ197,"&gt;0"),"")</f>
        <v/>
      </c>
      <c r="AL197" s="40">
        <f>IF(AND(B197&lt;&gt;"",F197="نشط",Q197&lt;&gt;"",Q197&gt;0),L197*1000+(999-ROW()),"")</f>
        <v/>
      </c>
      <c r="AM197" s="40">
        <f>IF(AND(AF197=1,J197&lt;&gt;"",J197&gt;0),ROUND(O197*10000,0)*1000000+K197*1000+(999-ROW()),"")</f>
        <v/>
      </c>
      <c r="AN197" s="40">
        <f>IF(AND(AF197=1,J197&lt;&gt;"",J197&gt;0),(L197+M197)*10000000+ROUND((1-O197)*10000,0)*1000+(999-ROW()),"")</f>
        <v/>
      </c>
      <c r="AO197" s="40">
        <f>IF(AND(AF197=1,Q197&lt;&gt;"",Q197&gt;=Thr_Critical),L197*1000+(999-ROW()),"")</f>
        <v/>
      </c>
      <c r="AP197" s="40">
        <f>IF(AND(B197&lt;&gt;"",F197="نشط",OR(Rpt_Class="الكل",D197=Rpt_Class)),1,0)</f>
        <v/>
      </c>
      <c r="AQ197" s="40">
        <f>IF(AND(AP197=1,Q197&lt;&gt;"",Q197&gt;0),L197*1000+(999-ROW()),"")</f>
        <v/>
      </c>
      <c r="AR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IF(LateAsPresent="نعم",COUNTIFS('KG1-7'!$AD21:$IM21,"متأخر",'KG1-7'!$AD$7:$IM$7,"✓",'KG1-7'!$AD$6:$IM$6,1,'KG1-7'!$AD$5:$IM$5,"&gt;="&amp;MAX('KG1-7'!$U21,Rpt_PStart),'KG1-7'!$AD$5:$IM$5,"&lt;="&amp;Rpt_PEnd),0))</f>
        <v/>
      </c>
      <c r="AS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COUNTIFS('KG1-7'!$AD21:$IM21,"غياب بدون عذر",'KG1-7'!$AD$7:$IM$7,"✓",'KG1-7'!$AD$6:$IM$6,1,'KG1-7'!$AD$5:$IM$5,"&gt;="&amp;MAX('KG1-7'!$U21,Rpt_PStart),'KG1-7'!$AD$5:$IM$5,"&lt;="&amp;Rpt_PEnd)+COUNTIFS('KG1-7'!$AD21:$IM21,"غياب بعذر",'KG1-7'!$AD$7:$IM$7,"✓",'KG1-7'!$AD$6:$IM$6,1,'KG1-7'!$AD$5:$IM$5,"&gt;="&amp;MAX('KG1-7'!$U21,Rpt_PStart),'KG1-7'!$AD$5:$IM$5,"&lt;="&amp;Rpt_PEnd)+COUNTIFS('KG1-7'!$AD21:$IM21,"متأخر",'KG1-7'!$AD$7:$IM$7,"✓",'KG1-7'!$AD$6:$IM$6,1,'KG1-7'!$AD$5:$IM$5,"&gt;="&amp;MAX('KG1-7'!$U21,Rpt_PStart),'KG1-7'!$AD$5:$IM$5,"&lt;="&amp;Rpt_PEnd))</f>
        <v/>
      </c>
      <c r="AT197" s="40">
        <f>IF(AP197=0,"",COUNTIFS('KG1-7'!$AD21:$IM21,"غياب بدون عذر",'KG1-7'!$AD$7:$IM$7,"✓",'KG1-7'!$AD$6:$IM$6,1,'KG1-7'!$AD$5:$IM$5,"&gt;="&amp;MAX('KG1-7'!$U21,Rpt_PStart),'KG1-7'!$AD$5:$IM$5,"&lt;="&amp;Rpt_PEnd)+COUNTIFS('KG1-7'!$AD21:$IM21,"غياب بعذر",'KG1-7'!$AD$7:$IM$7,"✓",'KG1-7'!$AD$6:$IM$6,1,'KG1-7'!$AD$5:$IM$5,"&gt;="&amp;MAX('KG1-7'!$U21,Rpt_PStart),'KG1-7'!$AD$5:$IM$5,"&lt;="&amp;Rpt_PEnd))</f>
        <v/>
      </c>
      <c r="AU197" s="40" t="n">
        <v>7</v>
      </c>
      <c r="AV197" s="40" t="n">
        <v>13</v>
      </c>
      <c r="AW197" s="40">
        <f>IF(OR(AP197=0,Rpt_DayIdx=0),"",IF(INDEX('KG1-7'!$AD$7:$IM$7,Rpt_DayIdx)&lt;&gt;"✓","",IF(INDEX('KG1-7'!$AD21:$IM21,Rpt_DayIdx)="","P",IFERROR(INDEX(StatusCodes,MATCH(INDEX('KG1-7'!$AD21:$IM21,Rpt_DayIdx),StatusLabels,0)),""))))</f>
        <v/>
      </c>
      <c r="AX197" s="40">
        <f>IF(AND(AP197=1,OR(AW197="A",AW197="E")),COUNTIFS($AP$5:AP197,1,$AW$5:AW197,"A")+COUNTIFS($AP$5:AP197,1,$AW$5:AW197,"E"),"")</f>
        <v/>
      </c>
    </row>
    <row r="198">
      <c r="A198" s="148">
        <f>IF(B198="","",ROW()-4)</f>
        <v/>
      </c>
      <c r="B198" s="148">
        <f>IF('KG1-7'!$B22="","",'KG1-7'!$B22)</f>
        <v/>
      </c>
      <c r="C198" s="146">
        <f>IF('KG1-7'!$C22="","",'KG1-7'!$C22)</f>
        <v/>
      </c>
      <c r="D198" s="148">
        <f>IF(B198="","",'KG1-7'!$B$2)</f>
        <v/>
      </c>
      <c r="E198" s="148">
        <f>IF(B198="","",MID(D198,FIND("-",D198&amp;"-")+1,10))</f>
        <v/>
      </c>
      <c r="F198" s="148">
        <f>IF(B198="","","نشط")</f>
        <v/>
      </c>
      <c r="G198" s="157">
        <f>IF(B198="","","")</f>
        <v/>
      </c>
      <c r="H198" s="146">
        <f>IF('KG1-7'!$K22="","",'KG1-7'!$K22)</f>
        <v/>
      </c>
      <c r="I198" s="148">
        <f>IF('KG1-7'!$J22="","",'KG1-7'!$J22)</f>
        <v/>
      </c>
      <c r="J198" s="148">
        <f>IF('KG1-7'!$M22="","",'KG1-7'!$M22)</f>
        <v/>
      </c>
      <c r="K198" s="148">
        <f>IF('KG1-7'!$N22="","",'KG1-7'!$N22)</f>
        <v/>
      </c>
      <c r="L198" s="148">
        <f>IF('KG1-7'!$D22="","",'KG1-7'!$D22)</f>
        <v/>
      </c>
      <c r="M198" s="148">
        <f>IF('KG1-7'!$E22="","",'KG1-7'!$E22)</f>
        <v/>
      </c>
      <c r="N198" s="148">
        <f>IF('KG1-7'!$F22="","",'KG1-7'!$F22)</f>
        <v/>
      </c>
      <c r="O198" s="158">
        <f>IF('KG1-7'!$G22="","",'KG1-7'!$G22)</f>
        <v/>
      </c>
      <c r="P198" s="158">
        <f>IF('KG1-7'!$O22="","",'KG1-7'!$O22)</f>
        <v/>
      </c>
      <c r="Q198" s="148">
        <f>IF('KG1-7'!$T22="","",'KG1-7'!$T22)</f>
        <v/>
      </c>
      <c r="R198" s="146">
        <f>IF('KG1-7'!$H22="","",'KG1-7'!$H22)</f>
        <v/>
      </c>
      <c r="S198" s="157">
        <f>IF('KG1-7'!$P22="","",'KG1-7'!$P22)</f>
        <v/>
      </c>
      <c r="T198" s="157">
        <f>IF('KG1-7'!$V22="","",'KG1-7'!$V22)</f>
        <v/>
      </c>
      <c r="U198" s="157">
        <f>IF('KG1-7'!$W22="","",'KG1-7'!$W22)</f>
        <v/>
      </c>
      <c r="V198" s="157">
        <f>IF('KG1-7'!$X22="","",'KG1-7'!$X22)</f>
        <v/>
      </c>
      <c r="W198" s="157">
        <f>IF('KG1-7'!$Y22="","",'KG1-7'!$Y22)</f>
        <v/>
      </c>
      <c r="X198" s="157">
        <f>IF('KG1-7'!$R22="","",'KG1-7'!$R22)</f>
        <v/>
      </c>
      <c r="Y198" s="148">
        <f>IF('KG1-7'!$S22="","",'KG1-7'!$S22)</f>
        <v/>
      </c>
      <c r="Z198" s="148">
        <f>IF('KG1-7'!$Q22="","",'KG1-7'!$Q22)</f>
        <v/>
      </c>
      <c r="AA198" s="148">
        <f>IF('KG1-7'!$I22="","",'KG1-7'!$I22)</f>
        <v/>
      </c>
      <c r="AB198" s="146">
        <f>IF(Q198="","",INDEX(LevelActions,MATCH(Q198,LevelValues,0)))</f>
        <v/>
      </c>
      <c r="AC198" s="148">
        <f>IF(J198="","",IF(J198=0,"—",IF(AND(L198=0,M198=0),Cat_L1,IF(O198&gt;=Cat_95,Cat_L2,IF(O198&gt;=Cat_90,Cat_L3,Cat_L4)))))</f>
        <v/>
      </c>
      <c r="AD198" s="146">
        <f>IF('KG1-7'!$L22="","",'KG1-7'!$L22)</f>
        <v/>
      </c>
      <c r="AE198" s="148">
        <f>IF(B198="","",IF(COUNTIF($B$5:$B$214,B198)&gt;1,"مكرر!",""))</f>
        <v/>
      </c>
      <c r="AF198" s="148">
        <f>IF(AND(B198&lt;&gt;"",F198="نشط",OR(Dash_Class="الكل",D198=Dash_Class)),1,0)</f>
        <v/>
      </c>
      <c r="AG198" s="40">
        <f>IF(OR(AF198=0,Dash_DayIdx=0),"",IF(INDEX('KG1-7'!$AD$7:$IM$7,Dash_DayIdx)&lt;&gt;"✓","",IF(INDEX('KG1-7'!$AD22:$IM22,Dash_DayIdx)="","P",IFERROR(INDEX(StatusCodes,MATCH(INDEX('KG1-7'!$AD22:$IM22,Dash_DayIdx),StatusLabels,0)),""))))</f>
        <v/>
      </c>
      <c r="AH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IF(LateAsPresent="نعم",COUNTIFS('KG1-7'!$AD22:$IM22,"متأخر",'KG1-7'!$AD$7:$IM$7,"✓",'KG1-7'!$AD$6:$IM$6,1,'KG1-7'!$AD$5:$IM$5,"&gt;="&amp;MAX('KG1-7'!$U22,Dash_PStart),'KG1-7'!$AD$5:$IM$5,"&lt;="&amp;Dash_PEnd),0))</f>
        <v/>
      </c>
      <c r="AI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COUNTIFS('KG1-7'!$AD22:$IM22,"غياب بدون عذر",'KG1-7'!$AD$7:$IM$7,"✓",'KG1-7'!$AD$6:$IM$6,1,'KG1-7'!$AD$5:$IM$5,"&gt;="&amp;MAX('KG1-7'!$U22,Dash_PStart),'KG1-7'!$AD$5:$IM$5,"&lt;="&amp;Dash_PEnd)+COUNTIFS('KG1-7'!$AD22:$IM22,"غياب بعذر",'KG1-7'!$AD$7:$IM$7,"✓",'KG1-7'!$AD$6:$IM$6,1,'KG1-7'!$AD$5:$IM$5,"&gt;="&amp;MAX('KG1-7'!$U22,Dash_PStart),'KG1-7'!$AD$5:$IM$5,"&lt;="&amp;Dash_PEnd)+COUNTIFS('KG1-7'!$AD22:$IM22,"متأخر",'KG1-7'!$AD$7:$IM$7,"✓",'KG1-7'!$AD$6:$IM$6,1,'KG1-7'!$AD$5:$IM$5,"&gt;="&amp;MAX('KG1-7'!$U22,Dash_PStart),'KG1-7'!$AD$5:$IM$5,"&lt;="&amp;Dash_PEnd))</f>
        <v/>
      </c>
      <c r="AJ198" s="40">
        <f>IF(AF198=0,0,IF(W198=Dash_Date,Thr_Critical,IF(V198=Dash_Date,Thr_High,IF(U198=Dash_Date,Thr_Repeated,IF(T198=Dash_Date,Thr_FollowUp,0)))))</f>
        <v/>
      </c>
      <c r="AK198" s="40">
        <f>IF(AJ198&gt;0,COUNTIF($AJ$5:AJ198,"&gt;0"),"")</f>
        <v/>
      </c>
      <c r="AL198" s="40">
        <f>IF(AND(B198&lt;&gt;"",F198="نشط",Q198&lt;&gt;"",Q198&gt;0),L198*1000+(999-ROW()),"")</f>
        <v/>
      </c>
      <c r="AM198" s="40">
        <f>IF(AND(AF198=1,J198&lt;&gt;"",J198&gt;0),ROUND(O198*10000,0)*1000000+K198*1000+(999-ROW()),"")</f>
        <v/>
      </c>
      <c r="AN198" s="40">
        <f>IF(AND(AF198=1,J198&lt;&gt;"",J198&gt;0),(L198+M198)*10000000+ROUND((1-O198)*10000,0)*1000+(999-ROW()),"")</f>
        <v/>
      </c>
      <c r="AO198" s="40">
        <f>IF(AND(AF198=1,Q198&lt;&gt;"",Q198&gt;=Thr_Critical),L198*1000+(999-ROW()),"")</f>
        <v/>
      </c>
      <c r="AP198" s="40">
        <f>IF(AND(B198&lt;&gt;"",F198="نشط",OR(Rpt_Class="الكل",D198=Rpt_Class)),1,0)</f>
        <v/>
      </c>
      <c r="AQ198" s="40">
        <f>IF(AND(AP198=1,Q198&lt;&gt;"",Q198&gt;0),L198*1000+(999-ROW()),"")</f>
        <v/>
      </c>
      <c r="AR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IF(LateAsPresent="نعم",COUNTIFS('KG1-7'!$AD22:$IM22,"متأخر",'KG1-7'!$AD$7:$IM$7,"✓",'KG1-7'!$AD$6:$IM$6,1,'KG1-7'!$AD$5:$IM$5,"&gt;="&amp;MAX('KG1-7'!$U22,Rpt_PStart),'KG1-7'!$AD$5:$IM$5,"&lt;="&amp;Rpt_PEnd),0))</f>
        <v/>
      </c>
      <c r="AS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COUNTIFS('KG1-7'!$AD22:$IM22,"غياب بدون عذر",'KG1-7'!$AD$7:$IM$7,"✓",'KG1-7'!$AD$6:$IM$6,1,'KG1-7'!$AD$5:$IM$5,"&gt;="&amp;MAX('KG1-7'!$U22,Rpt_PStart),'KG1-7'!$AD$5:$IM$5,"&lt;="&amp;Rpt_PEnd)+COUNTIFS('KG1-7'!$AD22:$IM22,"غياب بعذر",'KG1-7'!$AD$7:$IM$7,"✓",'KG1-7'!$AD$6:$IM$6,1,'KG1-7'!$AD$5:$IM$5,"&gt;="&amp;MAX('KG1-7'!$U22,Rpt_PStart),'KG1-7'!$AD$5:$IM$5,"&lt;="&amp;Rpt_PEnd)+COUNTIFS('KG1-7'!$AD22:$IM22,"متأخر",'KG1-7'!$AD$7:$IM$7,"✓",'KG1-7'!$AD$6:$IM$6,1,'KG1-7'!$AD$5:$IM$5,"&gt;="&amp;MAX('KG1-7'!$U22,Rpt_PStart),'KG1-7'!$AD$5:$IM$5,"&lt;="&amp;Rpt_PEnd))</f>
        <v/>
      </c>
      <c r="AT198" s="40">
        <f>IF(AP198=0,"",COUNTIFS('KG1-7'!$AD22:$IM22,"غياب بدون عذر",'KG1-7'!$AD$7:$IM$7,"✓",'KG1-7'!$AD$6:$IM$6,1,'KG1-7'!$AD$5:$IM$5,"&gt;="&amp;MAX('KG1-7'!$U22,Rpt_PStart),'KG1-7'!$AD$5:$IM$5,"&lt;="&amp;Rpt_PEnd)+COUNTIFS('KG1-7'!$AD22:$IM22,"غياب بعذر",'KG1-7'!$AD$7:$IM$7,"✓",'KG1-7'!$AD$6:$IM$6,1,'KG1-7'!$AD$5:$IM$5,"&gt;="&amp;MAX('KG1-7'!$U22,Rpt_PStart),'KG1-7'!$AD$5:$IM$5,"&lt;="&amp;Rpt_PEnd))</f>
        <v/>
      </c>
      <c r="AU198" s="40" t="n">
        <v>7</v>
      </c>
      <c r="AV198" s="40" t="n">
        <v>14</v>
      </c>
      <c r="AW198" s="40">
        <f>IF(OR(AP198=0,Rpt_DayIdx=0),"",IF(INDEX('KG1-7'!$AD$7:$IM$7,Rpt_DayIdx)&lt;&gt;"✓","",IF(INDEX('KG1-7'!$AD22:$IM22,Rpt_DayIdx)="","P",IFERROR(INDEX(StatusCodes,MATCH(INDEX('KG1-7'!$AD22:$IM22,Rpt_DayIdx),StatusLabels,0)),""))))</f>
        <v/>
      </c>
      <c r="AX198" s="40">
        <f>IF(AND(AP198=1,OR(AW198="A",AW198="E")),COUNTIFS($AP$5:AP198,1,$AW$5:AW198,"A")+COUNTIFS($AP$5:AP198,1,$AW$5:AW198,"E"),"")</f>
        <v/>
      </c>
    </row>
    <row r="199">
      <c r="A199" s="148">
        <f>IF(B199="","",ROW()-4)</f>
        <v/>
      </c>
      <c r="B199" s="148">
        <f>IF('KG1-7'!$B23="","",'KG1-7'!$B23)</f>
        <v/>
      </c>
      <c r="C199" s="146">
        <f>IF('KG1-7'!$C23="","",'KG1-7'!$C23)</f>
        <v/>
      </c>
      <c r="D199" s="148">
        <f>IF(B199="","",'KG1-7'!$B$2)</f>
        <v/>
      </c>
      <c r="E199" s="148">
        <f>IF(B199="","",MID(D199,FIND("-",D199&amp;"-")+1,10))</f>
        <v/>
      </c>
      <c r="F199" s="148">
        <f>IF(B199="","","نشط")</f>
        <v/>
      </c>
      <c r="G199" s="157">
        <f>IF(B199="","","")</f>
        <v/>
      </c>
      <c r="H199" s="146">
        <f>IF('KG1-7'!$K23="","",'KG1-7'!$K23)</f>
        <v/>
      </c>
      <c r="I199" s="148">
        <f>IF('KG1-7'!$J23="","",'KG1-7'!$J23)</f>
        <v/>
      </c>
      <c r="J199" s="148">
        <f>IF('KG1-7'!$M23="","",'KG1-7'!$M23)</f>
        <v/>
      </c>
      <c r="K199" s="148">
        <f>IF('KG1-7'!$N23="","",'KG1-7'!$N23)</f>
        <v/>
      </c>
      <c r="L199" s="148">
        <f>IF('KG1-7'!$D23="","",'KG1-7'!$D23)</f>
        <v/>
      </c>
      <c r="M199" s="148">
        <f>IF('KG1-7'!$E23="","",'KG1-7'!$E23)</f>
        <v/>
      </c>
      <c r="N199" s="148">
        <f>IF('KG1-7'!$F23="","",'KG1-7'!$F23)</f>
        <v/>
      </c>
      <c r="O199" s="158">
        <f>IF('KG1-7'!$G23="","",'KG1-7'!$G23)</f>
        <v/>
      </c>
      <c r="P199" s="158">
        <f>IF('KG1-7'!$O23="","",'KG1-7'!$O23)</f>
        <v/>
      </c>
      <c r="Q199" s="148">
        <f>IF('KG1-7'!$T23="","",'KG1-7'!$T23)</f>
        <v/>
      </c>
      <c r="R199" s="146">
        <f>IF('KG1-7'!$H23="","",'KG1-7'!$H23)</f>
        <v/>
      </c>
      <c r="S199" s="157">
        <f>IF('KG1-7'!$P23="","",'KG1-7'!$P23)</f>
        <v/>
      </c>
      <c r="T199" s="157">
        <f>IF('KG1-7'!$V23="","",'KG1-7'!$V23)</f>
        <v/>
      </c>
      <c r="U199" s="157">
        <f>IF('KG1-7'!$W23="","",'KG1-7'!$W23)</f>
        <v/>
      </c>
      <c r="V199" s="157">
        <f>IF('KG1-7'!$X23="","",'KG1-7'!$X23)</f>
        <v/>
      </c>
      <c r="W199" s="157">
        <f>IF('KG1-7'!$Y23="","",'KG1-7'!$Y23)</f>
        <v/>
      </c>
      <c r="X199" s="157">
        <f>IF('KG1-7'!$R23="","",'KG1-7'!$R23)</f>
        <v/>
      </c>
      <c r="Y199" s="148">
        <f>IF('KG1-7'!$S23="","",'KG1-7'!$S23)</f>
        <v/>
      </c>
      <c r="Z199" s="148">
        <f>IF('KG1-7'!$Q23="","",'KG1-7'!$Q23)</f>
        <v/>
      </c>
      <c r="AA199" s="148">
        <f>IF('KG1-7'!$I23="","",'KG1-7'!$I23)</f>
        <v/>
      </c>
      <c r="AB199" s="146">
        <f>IF(Q199="","",INDEX(LevelActions,MATCH(Q199,LevelValues,0)))</f>
        <v/>
      </c>
      <c r="AC199" s="148">
        <f>IF(J199="","",IF(J199=0,"—",IF(AND(L199=0,M199=0),Cat_L1,IF(O199&gt;=Cat_95,Cat_L2,IF(O199&gt;=Cat_90,Cat_L3,Cat_L4)))))</f>
        <v/>
      </c>
      <c r="AD199" s="146">
        <f>IF('KG1-7'!$L23="","",'KG1-7'!$L23)</f>
        <v/>
      </c>
      <c r="AE199" s="148">
        <f>IF(B199="","",IF(COUNTIF($B$5:$B$214,B199)&gt;1,"مكرر!",""))</f>
        <v/>
      </c>
      <c r="AF199" s="148">
        <f>IF(AND(B199&lt;&gt;"",F199="نشط",OR(Dash_Class="الكل",D199=Dash_Class)),1,0)</f>
        <v/>
      </c>
      <c r="AG199" s="40">
        <f>IF(OR(AF199=0,Dash_DayIdx=0),"",IF(INDEX('KG1-7'!$AD$7:$IM$7,Dash_DayIdx)&lt;&gt;"✓","",IF(INDEX('KG1-7'!$AD23:$IM23,Dash_DayIdx)="","P",IFERROR(INDEX(StatusCodes,MATCH(INDEX('KG1-7'!$AD23:$IM23,Dash_DayIdx),StatusLabels,0)),""))))</f>
        <v/>
      </c>
      <c r="AH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IF(LateAsPresent="نعم",COUNTIFS('KG1-7'!$AD23:$IM23,"متأخر",'KG1-7'!$AD$7:$IM$7,"✓",'KG1-7'!$AD$6:$IM$6,1,'KG1-7'!$AD$5:$IM$5,"&gt;="&amp;MAX('KG1-7'!$U23,Dash_PStart),'KG1-7'!$AD$5:$IM$5,"&lt;="&amp;Dash_PEnd),0))</f>
        <v/>
      </c>
      <c r="AI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COUNTIFS('KG1-7'!$AD23:$IM23,"غياب بدون عذر",'KG1-7'!$AD$7:$IM$7,"✓",'KG1-7'!$AD$6:$IM$6,1,'KG1-7'!$AD$5:$IM$5,"&gt;="&amp;MAX('KG1-7'!$U23,Dash_PStart),'KG1-7'!$AD$5:$IM$5,"&lt;="&amp;Dash_PEnd)+COUNTIFS('KG1-7'!$AD23:$IM23,"غياب بعذر",'KG1-7'!$AD$7:$IM$7,"✓",'KG1-7'!$AD$6:$IM$6,1,'KG1-7'!$AD$5:$IM$5,"&gt;="&amp;MAX('KG1-7'!$U23,Dash_PStart),'KG1-7'!$AD$5:$IM$5,"&lt;="&amp;Dash_PEnd)+COUNTIFS('KG1-7'!$AD23:$IM23,"متأخر",'KG1-7'!$AD$7:$IM$7,"✓",'KG1-7'!$AD$6:$IM$6,1,'KG1-7'!$AD$5:$IM$5,"&gt;="&amp;MAX('KG1-7'!$U23,Dash_PStart),'KG1-7'!$AD$5:$IM$5,"&lt;="&amp;Dash_PEnd))</f>
        <v/>
      </c>
      <c r="AJ199" s="40">
        <f>IF(AF199=0,0,IF(W199=Dash_Date,Thr_Critical,IF(V199=Dash_Date,Thr_High,IF(U199=Dash_Date,Thr_Repeated,IF(T199=Dash_Date,Thr_FollowUp,0)))))</f>
        <v/>
      </c>
      <c r="AK199" s="40">
        <f>IF(AJ199&gt;0,COUNTIF($AJ$5:AJ199,"&gt;0"),"")</f>
        <v/>
      </c>
      <c r="AL199" s="40">
        <f>IF(AND(B199&lt;&gt;"",F199="نشط",Q199&lt;&gt;"",Q199&gt;0),L199*1000+(999-ROW()),"")</f>
        <v/>
      </c>
      <c r="AM199" s="40">
        <f>IF(AND(AF199=1,J199&lt;&gt;"",J199&gt;0),ROUND(O199*10000,0)*1000000+K199*1000+(999-ROW()),"")</f>
        <v/>
      </c>
      <c r="AN199" s="40">
        <f>IF(AND(AF199=1,J199&lt;&gt;"",J199&gt;0),(L199+M199)*10000000+ROUND((1-O199)*10000,0)*1000+(999-ROW()),"")</f>
        <v/>
      </c>
      <c r="AO199" s="40">
        <f>IF(AND(AF199=1,Q199&lt;&gt;"",Q199&gt;=Thr_Critical),L199*1000+(999-ROW()),"")</f>
        <v/>
      </c>
      <c r="AP199" s="40">
        <f>IF(AND(B199&lt;&gt;"",F199="نشط",OR(Rpt_Class="الكل",D199=Rpt_Class)),1,0)</f>
        <v/>
      </c>
      <c r="AQ199" s="40">
        <f>IF(AND(AP199=1,Q199&lt;&gt;"",Q199&gt;0),L199*1000+(999-ROW()),"")</f>
        <v/>
      </c>
      <c r="AR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IF(LateAsPresent="نعم",COUNTIFS('KG1-7'!$AD23:$IM23,"متأخر",'KG1-7'!$AD$7:$IM$7,"✓",'KG1-7'!$AD$6:$IM$6,1,'KG1-7'!$AD$5:$IM$5,"&gt;="&amp;MAX('KG1-7'!$U23,Rpt_PStart),'KG1-7'!$AD$5:$IM$5,"&lt;="&amp;Rpt_PEnd),0))</f>
        <v/>
      </c>
      <c r="AS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COUNTIFS('KG1-7'!$AD23:$IM23,"غياب بدون عذر",'KG1-7'!$AD$7:$IM$7,"✓",'KG1-7'!$AD$6:$IM$6,1,'KG1-7'!$AD$5:$IM$5,"&gt;="&amp;MAX('KG1-7'!$U23,Rpt_PStart),'KG1-7'!$AD$5:$IM$5,"&lt;="&amp;Rpt_PEnd)+COUNTIFS('KG1-7'!$AD23:$IM23,"غياب بعذر",'KG1-7'!$AD$7:$IM$7,"✓",'KG1-7'!$AD$6:$IM$6,1,'KG1-7'!$AD$5:$IM$5,"&gt;="&amp;MAX('KG1-7'!$U23,Rpt_PStart),'KG1-7'!$AD$5:$IM$5,"&lt;="&amp;Rpt_PEnd)+COUNTIFS('KG1-7'!$AD23:$IM23,"متأخر",'KG1-7'!$AD$7:$IM$7,"✓",'KG1-7'!$AD$6:$IM$6,1,'KG1-7'!$AD$5:$IM$5,"&gt;="&amp;MAX('KG1-7'!$U23,Rpt_PStart),'KG1-7'!$AD$5:$IM$5,"&lt;="&amp;Rpt_PEnd))</f>
        <v/>
      </c>
      <c r="AT199" s="40">
        <f>IF(AP199=0,"",COUNTIFS('KG1-7'!$AD23:$IM23,"غياب بدون عذر",'KG1-7'!$AD$7:$IM$7,"✓",'KG1-7'!$AD$6:$IM$6,1,'KG1-7'!$AD$5:$IM$5,"&gt;="&amp;MAX('KG1-7'!$U23,Rpt_PStart),'KG1-7'!$AD$5:$IM$5,"&lt;="&amp;Rpt_PEnd)+COUNTIFS('KG1-7'!$AD23:$IM23,"غياب بعذر",'KG1-7'!$AD$7:$IM$7,"✓",'KG1-7'!$AD$6:$IM$6,1,'KG1-7'!$AD$5:$IM$5,"&gt;="&amp;MAX('KG1-7'!$U23,Rpt_PStart),'KG1-7'!$AD$5:$IM$5,"&lt;="&amp;Rpt_PEnd))</f>
        <v/>
      </c>
      <c r="AU199" s="40" t="n">
        <v>7</v>
      </c>
      <c r="AV199" s="40" t="n">
        <v>15</v>
      </c>
      <c r="AW199" s="40">
        <f>IF(OR(AP199=0,Rpt_DayIdx=0),"",IF(INDEX('KG1-7'!$AD$7:$IM$7,Rpt_DayIdx)&lt;&gt;"✓","",IF(INDEX('KG1-7'!$AD23:$IM23,Rpt_DayIdx)="","P",IFERROR(INDEX(StatusCodes,MATCH(INDEX('KG1-7'!$AD23:$IM23,Rpt_DayIdx),StatusLabels,0)),""))))</f>
        <v/>
      </c>
      <c r="AX199" s="40">
        <f>IF(AND(AP199=1,OR(AW199="A",AW199="E")),COUNTIFS($AP$5:AP199,1,$AW$5:AW199,"A")+COUNTIFS($AP$5:AP199,1,$AW$5:AW199,"E"),"")</f>
        <v/>
      </c>
    </row>
    <row r="200">
      <c r="A200" s="148">
        <f>IF(B200="","",ROW()-4)</f>
        <v/>
      </c>
      <c r="B200" s="148">
        <f>IF('KG1-7'!$B24="","",'KG1-7'!$B24)</f>
        <v/>
      </c>
      <c r="C200" s="146">
        <f>IF('KG1-7'!$C24="","",'KG1-7'!$C24)</f>
        <v/>
      </c>
      <c r="D200" s="148">
        <f>IF(B200="","",'KG1-7'!$B$2)</f>
        <v/>
      </c>
      <c r="E200" s="148">
        <f>IF(B200="","",MID(D200,FIND("-",D200&amp;"-")+1,10))</f>
        <v/>
      </c>
      <c r="F200" s="148">
        <f>IF(B200="","","نشط")</f>
        <v/>
      </c>
      <c r="G200" s="157">
        <f>IF(B200="","","")</f>
        <v/>
      </c>
      <c r="H200" s="146">
        <f>IF('KG1-7'!$K24="","",'KG1-7'!$K24)</f>
        <v/>
      </c>
      <c r="I200" s="148">
        <f>IF('KG1-7'!$J24="","",'KG1-7'!$J24)</f>
        <v/>
      </c>
      <c r="J200" s="148">
        <f>IF('KG1-7'!$M24="","",'KG1-7'!$M24)</f>
        <v/>
      </c>
      <c r="K200" s="148">
        <f>IF('KG1-7'!$N24="","",'KG1-7'!$N24)</f>
        <v/>
      </c>
      <c r="L200" s="148">
        <f>IF('KG1-7'!$D24="","",'KG1-7'!$D24)</f>
        <v/>
      </c>
      <c r="M200" s="148">
        <f>IF('KG1-7'!$E24="","",'KG1-7'!$E24)</f>
        <v/>
      </c>
      <c r="N200" s="148">
        <f>IF('KG1-7'!$F24="","",'KG1-7'!$F24)</f>
        <v/>
      </c>
      <c r="O200" s="158">
        <f>IF('KG1-7'!$G24="","",'KG1-7'!$G24)</f>
        <v/>
      </c>
      <c r="P200" s="158">
        <f>IF('KG1-7'!$O24="","",'KG1-7'!$O24)</f>
        <v/>
      </c>
      <c r="Q200" s="148">
        <f>IF('KG1-7'!$T24="","",'KG1-7'!$T24)</f>
        <v/>
      </c>
      <c r="R200" s="146">
        <f>IF('KG1-7'!$H24="","",'KG1-7'!$H24)</f>
        <v/>
      </c>
      <c r="S200" s="157">
        <f>IF('KG1-7'!$P24="","",'KG1-7'!$P24)</f>
        <v/>
      </c>
      <c r="T200" s="157">
        <f>IF('KG1-7'!$V24="","",'KG1-7'!$V24)</f>
        <v/>
      </c>
      <c r="U200" s="157">
        <f>IF('KG1-7'!$W24="","",'KG1-7'!$W24)</f>
        <v/>
      </c>
      <c r="V200" s="157">
        <f>IF('KG1-7'!$X24="","",'KG1-7'!$X24)</f>
        <v/>
      </c>
      <c r="W200" s="157">
        <f>IF('KG1-7'!$Y24="","",'KG1-7'!$Y24)</f>
        <v/>
      </c>
      <c r="X200" s="157">
        <f>IF('KG1-7'!$R24="","",'KG1-7'!$R24)</f>
        <v/>
      </c>
      <c r="Y200" s="148">
        <f>IF('KG1-7'!$S24="","",'KG1-7'!$S24)</f>
        <v/>
      </c>
      <c r="Z200" s="148">
        <f>IF('KG1-7'!$Q24="","",'KG1-7'!$Q24)</f>
        <v/>
      </c>
      <c r="AA200" s="148">
        <f>IF('KG1-7'!$I24="","",'KG1-7'!$I24)</f>
        <v/>
      </c>
      <c r="AB200" s="146">
        <f>IF(Q200="","",INDEX(LevelActions,MATCH(Q200,LevelValues,0)))</f>
        <v/>
      </c>
      <c r="AC200" s="148">
        <f>IF(J200="","",IF(J200=0,"—",IF(AND(L200=0,M200=0),Cat_L1,IF(O200&gt;=Cat_95,Cat_L2,IF(O200&gt;=Cat_90,Cat_L3,Cat_L4)))))</f>
        <v/>
      </c>
      <c r="AD200" s="146">
        <f>IF('KG1-7'!$L24="","",'KG1-7'!$L24)</f>
        <v/>
      </c>
      <c r="AE200" s="148">
        <f>IF(B200="","",IF(COUNTIF($B$5:$B$214,B200)&gt;1,"مكرر!",""))</f>
        <v/>
      </c>
      <c r="AF200" s="148">
        <f>IF(AND(B200&lt;&gt;"",F200="نشط",OR(Dash_Class="الكل",D200=Dash_Class)),1,0)</f>
        <v/>
      </c>
      <c r="AG200" s="40">
        <f>IF(OR(AF200=0,Dash_DayIdx=0),"",IF(INDEX('KG1-7'!$AD$7:$IM$7,Dash_DayIdx)&lt;&gt;"✓","",IF(INDEX('KG1-7'!$AD24:$IM24,Dash_DayIdx)="","P",IFERROR(INDEX(StatusCodes,MATCH(INDEX('KG1-7'!$AD24:$IM24,Dash_DayIdx),StatusLabels,0)),""))))</f>
        <v/>
      </c>
      <c r="AH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IF(LateAsPresent="نعم",COUNTIFS('KG1-7'!$AD24:$IM24,"متأخر",'KG1-7'!$AD$7:$IM$7,"✓",'KG1-7'!$AD$6:$IM$6,1,'KG1-7'!$AD$5:$IM$5,"&gt;="&amp;MAX('KG1-7'!$U24,Dash_PStart),'KG1-7'!$AD$5:$IM$5,"&lt;="&amp;Dash_PEnd),0))</f>
        <v/>
      </c>
      <c r="AI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COUNTIFS('KG1-7'!$AD24:$IM24,"غياب بدون عذر",'KG1-7'!$AD$7:$IM$7,"✓",'KG1-7'!$AD$6:$IM$6,1,'KG1-7'!$AD$5:$IM$5,"&gt;="&amp;MAX('KG1-7'!$U24,Dash_PStart),'KG1-7'!$AD$5:$IM$5,"&lt;="&amp;Dash_PEnd)+COUNTIFS('KG1-7'!$AD24:$IM24,"غياب بعذر",'KG1-7'!$AD$7:$IM$7,"✓",'KG1-7'!$AD$6:$IM$6,1,'KG1-7'!$AD$5:$IM$5,"&gt;="&amp;MAX('KG1-7'!$U24,Dash_PStart),'KG1-7'!$AD$5:$IM$5,"&lt;="&amp;Dash_PEnd)+COUNTIFS('KG1-7'!$AD24:$IM24,"متأخر",'KG1-7'!$AD$7:$IM$7,"✓",'KG1-7'!$AD$6:$IM$6,1,'KG1-7'!$AD$5:$IM$5,"&gt;="&amp;MAX('KG1-7'!$U24,Dash_PStart),'KG1-7'!$AD$5:$IM$5,"&lt;="&amp;Dash_PEnd))</f>
        <v/>
      </c>
      <c r="AJ200" s="40">
        <f>IF(AF200=0,0,IF(W200=Dash_Date,Thr_Critical,IF(V200=Dash_Date,Thr_High,IF(U200=Dash_Date,Thr_Repeated,IF(T200=Dash_Date,Thr_FollowUp,0)))))</f>
        <v/>
      </c>
      <c r="AK200" s="40">
        <f>IF(AJ200&gt;0,COUNTIF($AJ$5:AJ200,"&gt;0"),"")</f>
        <v/>
      </c>
      <c r="AL200" s="40">
        <f>IF(AND(B200&lt;&gt;"",F200="نشط",Q200&lt;&gt;"",Q200&gt;0),L200*1000+(999-ROW()),"")</f>
        <v/>
      </c>
      <c r="AM200" s="40">
        <f>IF(AND(AF200=1,J200&lt;&gt;"",J200&gt;0),ROUND(O200*10000,0)*1000000+K200*1000+(999-ROW()),"")</f>
        <v/>
      </c>
      <c r="AN200" s="40">
        <f>IF(AND(AF200=1,J200&lt;&gt;"",J200&gt;0),(L200+M200)*10000000+ROUND((1-O200)*10000,0)*1000+(999-ROW()),"")</f>
        <v/>
      </c>
      <c r="AO200" s="40">
        <f>IF(AND(AF200=1,Q200&lt;&gt;"",Q200&gt;=Thr_Critical),L200*1000+(999-ROW()),"")</f>
        <v/>
      </c>
      <c r="AP200" s="40">
        <f>IF(AND(B200&lt;&gt;"",F200="نشط",OR(Rpt_Class="الكل",D200=Rpt_Class)),1,0)</f>
        <v/>
      </c>
      <c r="AQ200" s="40">
        <f>IF(AND(AP200=1,Q200&lt;&gt;"",Q200&gt;0),L200*1000+(999-ROW()),"")</f>
        <v/>
      </c>
      <c r="AR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IF(LateAsPresent="نعم",COUNTIFS('KG1-7'!$AD24:$IM24,"متأخر",'KG1-7'!$AD$7:$IM$7,"✓",'KG1-7'!$AD$6:$IM$6,1,'KG1-7'!$AD$5:$IM$5,"&gt;="&amp;MAX('KG1-7'!$U24,Rpt_PStart),'KG1-7'!$AD$5:$IM$5,"&lt;="&amp;Rpt_PEnd),0))</f>
        <v/>
      </c>
      <c r="AS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COUNTIFS('KG1-7'!$AD24:$IM24,"غياب بدون عذر",'KG1-7'!$AD$7:$IM$7,"✓",'KG1-7'!$AD$6:$IM$6,1,'KG1-7'!$AD$5:$IM$5,"&gt;="&amp;MAX('KG1-7'!$U24,Rpt_PStart),'KG1-7'!$AD$5:$IM$5,"&lt;="&amp;Rpt_PEnd)+COUNTIFS('KG1-7'!$AD24:$IM24,"غياب بعذر",'KG1-7'!$AD$7:$IM$7,"✓",'KG1-7'!$AD$6:$IM$6,1,'KG1-7'!$AD$5:$IM$5,"&gt;="&amp;MAX('KG1-7'!$U24,Rpt_PStart),'KG1-7'!$AD$5:$IM$5,"&lt;="&amp;Rpt_PEnd)+COUNTIFS('KG1-7'!$AD24:$IM24,"متأخر",'KG1-7'!$AD$7:$IM$7,"✓",'KG1-7'!$AD$6:$IM$6,1,'KG1-7'!$AD$5:$IM$5,"&gt;="&amp;MAX('KG1-7'!$U24,Rpt_PStart),'KG1-7'!$AD$5:$IM$5,"&lt;="&amp;Rpt_PEnd))</f>
        <v/>
      </c>
      <c r="AT200" s="40">
        <f>IF(AP200=0,"",COUNTIFS('KG1-7'!$AD24:$IM24,"غياب بدون عذر",'KG1-7'!$AD$7:$IM$7,"✓",'KG1-7'!$AD$6:$IM$6,1,'KG1-7'!$AD$5:$IM$5,"&gt;="&amp;MAX('KG1-7'!$U24,Rpt_PStart),'KG1-7'!$AD$5:$IM$5,"&lt;="&amp;Rpt_PEnd)+COUNTIFS('KG1-7'!$AD24:$IM24,"غياب بعذر",'KG1-7'!$AD$7:$IM$7,"✓",'KG1-7'!$AD$6:$IM$6,1,'KG1-7'!$AD$5:$IM$5,"&gt;="&amp;MAX('KG1-7'!$U24,Rpt_PStart),'KG1-7'!$AD$5:$IM$5,"&lt;="&amp;Rpt_PEnd))</f>
        <v/>
      </c>
      <c r="AU200" s="40" t="n">
        <v>7</v>
      </c>
      <c r="AV200" s="40" t="n">
        <v>16</v>
      </c>
      <c r="AW200" s="40">
        <f>IF(OR(AP200=0,Rpt_DayIdx=0),"",IF(INDEX('KG1-7'!$AD$7:$IM$7,Rpt_DayIdx)&lt;&gt;"✓","",IF(INDEX('KG1-7'!$AD24:$IM24,Rpt_DayIdx)="","P",IFERROR(INDEX(StatusCodes,MATCH(INDEX('KG1-7'!$AD24:$IM24,Rpt_DayIdx),StatusLabels,0)),""))))</f>
        <v/>
      </c>
      <c r="AX200" s="40">
        <f>IF(AND(AP200=1,OR(AW200="A",AW200="E")),COUNTIFS($AP$5:AP200,1,$AW$5:AW200,"A")+COUNTIFS($AP$5:AP200,1,$AW$5:AW200,"E"),"")</f>
        <v/>
      </c>
    </row>
    <row r="201">
      <c r="A201" s="148">
        <f>IF(B201="","",ROW()-4)</f>
        <v/>
      </c>
      <c r="B201" s="148">
        <f>IF('KG1-7'!$B25="","",'KG1-7'!$B25)</f>
        <v/>
      </c>
      <c r="C201" s="146">
        <f>IF('KG1-7'!$C25="","",'KG1-7'!$C25)</f>
        <v/>
      </c>
      <c r="D201" s="148">
        <f>IF(B201="","",'KG1-7'!$B$2)</f>
        <v/>
      </c>
      <c r="E201" s="148">
        <f>IF(B201="","",MID(D201,FIND("-",D201&amp;"-")+1,10))</f>
        <v/>
      </c>
      <c r="F201" s="148">
        <f>IF(B201="","","نشط")</f>
        <v/>
      </c>
      <c r="G201" s="157">
        <f>IF(B201="","","")</f>
        <v/>
      </c>
      <c r="H201" s="146">
        <f>IF('KG1-7'!$K25="","",'KG1-7'!$K25)</f>
        <v/>
      </c>
      <c r="I201" s="148">
        <f>IF('KG1-7'!$J25="","",'KG1-7'!$J25)</f>
        <v/>
      </c>
      <c r="J201" s="148">
        <f>IF('KG1-7'!$M25="","",'KG1-7'!$M25)</f>
        <v/>
      </c>
      <c r="K201" s="148">
        <f>IF('KG1-7'!$N25="","",'KG1-7'!$N25)</f>
        <v/>
      </c>
      <c r="L201" s="148">
        <f>IF('KG1-7'!$D25="","",'KG1-7'!$D25)</f>
        <v/>
      </c>
      <c r="M201" s="148">
        <f>IF('KG1-7'!$E25="","",'KG1-7'!$E25)</f>
        <v/>
      </c>
      <c r="N201" s="148">
        <f>IF('KG1-7'!$F25="","",'KG1-7'!$F25)</f>
        <v/>
      </c>
      <c r="O201" s="158">
        <f>IF('KG1-7'!$G25="","",'KG1-7'!$G25)</f>
        <v/>
      </c>
      <c r="P201" s="158">
        <f>IF('KG1-7'!$O25="","",'KG1-7'!$O25)</f>
        <v/>
      </c>
      <c r="Q201" s="148">
        <f>IF('KG1-7'!$T25="","",'KG1-7'!$T25)</f>
        <v/>
      </c>
      <c r="R201" s="146">
        <f>IF('KG1-7'!$H25="","",'KG1-7'!$H25)</f>
        <v/>
      </c>
      <c r="S201" s="157">
        <f>IF('KG1-7'!$P25="","",'KG1-7'!$P25)</f>
        <v/>
      </c>
      <c r="T201" s="157">
        <f>IF('KG1-7'!$V25="","",'KG1-7'!$V25)</f>
        <v/>
      </c>
      <c r="U201" s="157">
        <f>IF('KG1-7'!$W25="","",'KG1-7'!$W25)</f>
        <v/>
      </c>
      <c r="V201" s="157">
        <f>IF('KG1-7'!$X25="","",'KG1-7'!$X25)</f>
        <v/>
      </c>
      <c r="W201" s="157">
        <f>IF('KG1-7'!$Y25="","",'KG1-7'!$Y25)</f>
        <v/>
      </c>
      <c r="X201" s="157">
        <f>IF('KG1-7'!$R25="","",'KG1-7'!$R25)</f>
        <v/>
      </c>
      <c r="Y201" s="148">
        <f>IF('KG1-7'!$S25="","",'KG1-7'!$S25)</f>
        <v/>
      </c>
      <c r="Z201" s="148">
        <f>IF('KG1-7'!$Q25="","",'KG1-7'!$Q25)</f>
        <v/>
      </c>
      <c r="AA201" s="148">
        <f>IF('KG1-7'!$I25="","",'KG1-7'!$I25)</f>
        <v/>
      </c>
      <c r="AB201" s="146">
        <f>IF(Q201="","",INDEX(LevelActions,MATCH(Q201,LevelValues,0)))</f>
        <v/>
      </c>
      <c r="AC201" s="148">
        <f>IF(J201="","",IF(J201=0,"—",IF(AND(L201=0,M201=0),Cat_L1,IF(O201&gt;=Cat_95,Cat_L2,IF(O201&gt;=Cat_90,Cat_L3,Cat_L4)))))</f>
        <v/>
      </c>
      <c r="AD201" s="146">
        <f>IF('KG1-7'!$L25="","",'KG1-7'!$L25)</f>
        <v/>
      </c>
      <c r="AE201" s="148">
        <f>IF(B201="","",IF(COUNTIF($B$5:$B$214,B201)&gt;1,"مكرر!",""))</f>
        <v/>
      </c>
      <c r="AF201" s="148">
        <f>IF(AND(B201&lt;&gt;"",F201="نشط",OR(Dash_Class="الكل",D201=Dash_Class)),1,0)</f>
        <v/>
      </c>
      <c r="AG201" s="40">
        <f>IF(OR(AF201=0,Dash_DayIdx=0),"",IF(INDEX('KG1-7'!$AD$7:$IM$7,Dash_DayIdx)&lt;&gt;"✓","",IF(INDEX('KG1-7'!$AD25:$IM25,Dash_DayIdx)="","P",IFERROR(INDEX(StatusCodes,MATCH(INDEX('KG1-7'!$AD25:$IM25,Dash_DayIdx),StatusLabels,0)),""))))</f>
        <v/>
      </c>
      <c r="AH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IF(LateAsPresent="نعم",COUNTIFS('KG1-7'!$AD25:$IM25,"متأخر",'KG1-7'!$AD$7:$IM$7,"✓",'KG1-7'!$AD$6:$IM$6,1,'KG1-7'!$AD$5:$IM$5,"&gt;="&amp;MAX('KG1-7'!$U25,Dash_PStart),'KG1-7'!$AD$5:$IM$5,"&lt;="&amp;Dash_PEnd),0))</f>
        <v/>
      </c>
      <c r="AI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COUNTIFS('KG1-7'!$AD25:$IM25,"غياب بدون عذر",'KG1-7'!$AD$7:$IM$7,"✓",'KG1-7'!$AD$6:$IM$6,1,'KG1-7'!$AD$5:$IM$5,"&gt;="&amp;MAX('KG1-7'!$U25,Dash_PStart),'KG1-7'!$AD$5:$IM$5,"&lt;="&amp;Dash_PEnd)+COUNTIFS('KG1-7'!$AD25:$IM25,"غياب بعذر",'KG1-7'!$AD$7:$IM$7,"✓",'KG1-7'!$AD$6:$IM$6,1,'KG1-7'!$AD$5:$IM$5,"&gt;="&amp;MAX('KG1-7'!$U25,Dash_PStart),'KG1-7'!$AD$5:$IM$5,"&lt;="&amp;Dash_PEnd)+COUNTIFS('KG1-7'!$AD25:$IM25,"متأخر",'KG1-7'!$AD$7:$IM$7,"✓",'KG1-7'!$AD$6:$IM$6,1,'KG1-7'!$AD$5:$IM$5,"&gt;="&amp;MAX('KG1-7'!$U25,Dash_PStart),'KG1-7'!$AD$5:$IM$5,"&lt;="&amp;Dash_PEnd))</f>
        <v/>
      </c>
      <c r="AJ201" s="40">
        <f>IF(AF201=0,0,IF(W201=Dash_Date,Thr_Critical,IF(V201=Dash_Date,Thr_High,IF(U201=Dash_Date,Thr_Repeated,IF(T201=Dash_Date,Thr_FollowUp,0)))))</f>
        <v/>
      </c>
      <c r="AK201" s="40">
        <f>IF(AJ201&gt;0,COUNTIF($AJ$5:AJ201,"&gt;0"),"")</f>
        <v/>
      </c>
      <c r="AL201" s="40">
        <f>IF(AND(B201&lt;&gt;"",F201="نشط",Q201&lt;&gt;"",Q201&gt;0),L201*1000+(999-ROW()),"")</f>
        <v/>
      </c>
      <c r="AM201" s="40">
        <f>IF(AND(AF201=1,J201&lt;&gt;"",J201&gt;0),ROUND(O201*10000,0)*1000000+K201*1000+(999-ROW()),"")</f>
        <v/>
      </c>
      <c r="AN201" s="40">
        <f>IF(AND(AF201=1,J201&lt;&gt;"",J201&gt;0),(L201+M201)*10000000+ROUND((1-O201)*10000,0)*1000+(999-ROW()),"")</f>
        <v/>
      </c>
      <c r="AO201" s="40">
        <f>IF(AND(AF201=1,Q201&lt;&gt;"",Q201&gt;=Thr_Critical),L201*1000+(999-ROW()),"")</f>
        <v/>
      </c>
      <c r="AP201" s="40">
        <f>IF(AND(B201&lt;&gt;"",F201="نشط",OR(Rpt_Class="الكل",D201=Rpt_Class)),1,0)</f>
        <v/>
      </c>
      <c r="AQ201" s="40">
        <f>IF(AND(AP201=1,Q201&lt;&gt;"",Q201&gt;0),L201*1000+(999-ROW()),"")</f>
        <v/>
      </c>
      <c r="AR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IF(LateAsPresent="نعم",COUNTIFS('KG1-7'!$AD25:$IM25,"متأخر",'KG1-7'!$AD$7:$IM$7,"✓",'KG1-7'!$AD$6:$IM$6,1,'KG1-7'!$AD$5:$IM$5,"&gt;="&amp;MAX('KG1-7'!$U25,Rpt_PStart),'KG1-7'!$AD$5:$IM$5,"&lt;="&amp;Rpt_PEnd),0))</f>
        <v/>
      </c>
      <c r="AS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COUNTIFS('KG1-7'!$AD25:$IM25,"غياب بدون عذر",'KG1-7'!$AD$7:$IM$7,"✓",'KG1-7'!$AD$6:$IM$6,1,'KG1-7'!$AD$5:$IM$5,"&gt;="&amp;MAX('KG1-7'!$U25,Rpt_PStart),'KG1-7'!$AD$5:$IM$5,"&lt;="&amp;Rpt_PEnd)+COUNTIFS('KG1-7'!$AD25:$IM25,"غياب بعذر",'KG1-7'!$AD$7:$IM$7,"✓",'KG1-7'!$AD$6:$IM$6,1,'KG1-7'!$AD$5:$IM$5,"&gt;="&amp;MAX('KG1-7'!$U25,Rpt_PStart),'KG1-7'!$AD$5:$IM$5,"&lt;="&amp;Rpt_PEnd)+COUNTIFS('KG1-7'!$AD25:$IM25,"متأخر",'KG1-7'!$AD$7:$IM$7,"✓",'KG1-7'!$AD$6:$IM$6,1,'KG1-7'!$AD$5:$IM$5,"&gt;="&amp;MAX('KG1-7'!$U25,Rpt_PStart),'KG1-7'!$AD$5:$IM$5,"&lt;="&amp;Rpt_PEnd))</f>
        <v/>
      </c>
      <c r="AT201" s="40">
        <f>IF(AP201=0,"",COUNTIFS('KG1-7'!$AD25:$IM25,"غياب بدون عذر",'KG1-7'!$AD$7:$IM$7,"✓",'KG1-7'!$AD$6:$IM$6,1,'KG1-7'!$AD$5:$IM$5,"&gt;="&amp;MAX('KG1-7'!$U25,Rpt_PStart),'KG1-7'!$AD$5:$IM$5,"&lt;="&amp;Rpt_PEnd)+COUNTIFS('KG1-7'!$AD25:$IM25,"غياب بعذر",'KG1-7'!$AD$7:$IM$7,"✓",'KG1-7'!$AD$6:$IM$6,1,'KG1-7'!$AD$5:$IM$5,"&gt;="&amp;MAX('KG1-7'!$U25,Rpt_PStart),'KG1-7'!$AD$5:$IM$5,"&lt;="&amp;Rpt_PEnd))</f>
        <v/>
      </c>
      <c r="AU201" s="40" t="n">
        <v>7</v>
      </c>
      <c r="AV201" s="40" t="n">
        <v>17</v>
      </c>
      <c r="AW201" s="40">
        <f>IF(OR(AP201=0,Rpt_DayIdx=0),"",IF(INDEX('KG1-7'!$AD$7:$IM$7,Rpt_DayIdx)&lt;&gt;"✓","",IF(INDEX('KG1-7'!$AD25:$IM25,Rpt_DayIdx)="","P",IFERROR(INDEX(StatusCodes,MATCH(INDEX('KG1-7'!$AD25:$IM25,Rpt_DayIdx),StatusLabels,0)),""))))</f>
        <v/>
      </c>
      <c r="AX201" s="40">
        <f>IF(AND(AP201=1,OR(AW201="A",AW201="E")),COUNTIFS($AP$5:AP201,1,$AW$5:AW201,"A")+COUNTIFS($AP$5:AP201,1,$AW$5:AW201,"E"),"")</f>
        <v/>
      </c>
    </row>
    <row r="202">
      <c r="A202" s="148">
        <f>IF(B202="","",ROW()-4)</f>
        <v/>
      </c>
      <c r="B202" s="148">
        <f>IF('KG1-7'!$B26="","",'KG1-7'!$B26)</f>
        <v/>
      </c>
      <c r="C202" s="146">
        <f>IF('KG1-7'!$C26="","",'KG1-7'!$C26)</f>
        <v/>
      </c>
      <c r="D202" s="148">
        <f>IF(B202="","",'KG1-7'!$B$2)</f>
        <v/>
      </c>
      <c r="E202" s="148">
        <f>IF(B202="","",MID(D202,FIND("-",D202&amp;"-")+1,10))</f>
        <v/>
      </c>
      <c r="F202" s="148">
        <f>IF(B202="","","نشط")</f>
        <v/>
      </c>
      <c r="G202" s="157">
        <f>IF(B202="","","")</f>
        <v/>
      </c>
      <c r="H202" s="146">
        <f>IF('KG1-7'!$K26="","",'KG1-7'!$K26)</f>
        <v/>
      </c>
      <c r="I202" s="148">
        <f>IF('KG1-7'!$J26="","",'KG1-7'!$J26)</f>
        <v/>
      </c>
      <c r="J202" s="148">
        <f>IF('KG1-7'!$M26="","",'KG1-7'!$M26)</f>
        <v/>
      </c>
      <c r="K202" s="148">
        <f>IF('KG1-7'!$N26="","",'KG1-7'!$N26)</f>
        <v/>
      </c>
      <c r="L202" s="148">
        <f>IF('KG1-7'!$D26="","",'KG1-7'!$D26)</f>
        <v/>
      </c>
      <c r="M202" s="148">
        <f>IF('KG1-7'!$E26="","",'KG1-7'!$E26)</f>
        <v/>
      </c>
      <c r="N202" s="148">
        <f>IF('KG1-7'!$F26="","",'KG1-7'!$F26)</f>
        <v/>
      </c>
      <c r="O202" s="158">
        <f>IF('KG1-7'!$G26="","",'KG1-7'!$G26)</f>
        <v/>
      </c>
      <c r="P202" s="158">
        <f>IF('KG1-7'!$O26="","",'KG1-7'!$O26)</f>
        <v/>
      </c>
      <c r="Q202" s="148">
        <f>IF('KG1-7'!$T26="","",'KG1-7'!$T26)</f>
        <v/>
      </c>
      <c r="R202" s="146">
        <f>IF('KG1-7'!$H26="","",'KG1-7'!$H26)</f>
        <v/>
      </c>
      <c r="S202" s="157">
        <f>IF('KG1-7'!$P26="","",'KG1-7'!$P26)</f>
        <v/>
      </c>
      <c r="T202" s="157">
        <f>IF('KG1-7'!$V26="","",'KG1-7'!$V26)</f>
        <v/>
      </c>
      <c r="U202" s="157">
        <f>IF('KG1-7'!$W26="","",'KG1-7'!$W26)</f>
        <v/>
      </c>
      <c r="V202" s="157">
        <f>IF('KG1-7'!$X26="","",'KG1-7'!$X26)</f>
        <v/>
      </c>
      <c r="W202" s="157">
        <f>IF('KG1-7'!$Y26="","",'KG1-7'!$Y26)</f>
        <v/>
      </c>
      <c r="X202" s="157">
        <f>IF('KG1-7'!$R26="","",'KG1-7'!$R26)</f>
        <v/>
      </c>
      <c r="Y202" s="148">
        <f>IF('KG1-7'!$S26="","",'KG1-7'!$S26)</f>
        <v/>
      </c>
      <c r="Z202" s="148">
        <f>IF('KG1-7'!$Q26="","",'KG1-7'!$Q26)</f>
        <v/>
      </c>
      <c r="AA202" s="148">
        <f>IF('KG1-7'!$I26="","",'KG1-7'!$I26)</f>
        <v/>
      </c>
      <c r="AB202" s="146">
        <f>IF(Q202="","",INDEX(LevelActions,MATCH(Q202,LevelValues,0)))</f>
        <v/>
      </c>
      <c r="AC202" s="148">
        <f>IF(J202="","",IF(J202=0,"—",IF(AND(L202=0,M202=0),Cat_L1,IF(O202&gt;=Cat_95,Cat_L2,IF(O202&gt;=Cat_90,Cat_L3,Cat_L4)))))</f>
        <v/>
      </c>
      <c r="AD202" s="146">
        <f>IF('KG1-7'!$L26="","",'KG1-7'!$L26)</f>
        <v/>
      </c>
      <c r="AE202" s="148">
        <f>IF(B202="","",IF(COUNTIF($B$5:$B$214,B202)&gt;1,"مكرر!",""))</f>
        <v/>
      </c>
      <c r="AF202" s="148">
        <f>IF(AND(B202&lt;&gt;"",F202="نشط",OR(Dash_Class="الكل",D202=Dash_Class)),1,0)</f>
        <v/>
      </c>
      <c r="AG202" s="40">
        <f>IF(OR(AF202=0,Dash_DayIdx=0),"",IF(INDEX('KG1-7'!$AD$7:$IM$7,Dash_DayIdx)&lt;&gt;"✓","",IF(INDEX('KG1-7'!$AD26:$IM26,Dash_DayIdx)="","P",IFERROR(INDEX(StatusCodes,MATCH(INDEX('KG1-7'!$AD26:$IM26,Dash_DayIdx),StatusLabels,0)),""))))</f>
        <v/>
      </c>
      <c r="AH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IF(LateAsPresent="نعم",COUNTIFS('KG1-7'!$AD26:$IM26,"متأخر",'KG1-7'!$AD$7:$IM$7,"✓",'KG1-7'!$AD$6:$IM$6,1,'KG1-7'!$AD$5:$IM$5,"&gt;="&amp;MAX('KG1-7'!$U26,Dash_PStart),'KG1-7'!$AD$5:$IM$5,"&lt;="&amp;Dash_PEnd),0))</f>
        <v/>
      </c>
      <c r="AI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COUNTIFS('KG1-7'!$AD26:$IM26,"غياب بدون عذر",'KG1-7'!$AD$7:$IM$7,"✓",'KG1-7'!$AD$6:$IM$6,1,'KG1-7'!$AD$5:$IM$5,"&gt;="&amp;MAX('KG1-7'!$U26,Dash_PStart),'KG1-7'!$AD$5:$IM$5,"&lt;="&amp;Dash_PEnd)+COUNTIFS('KG1-7'!$AD26:$IM26,"غياب بعذر",'KG1-7'!$AD$7:$IM$7,"✓",'KG1-7'!$AD$6:$IM$6,1,'KG1-7'!$AD$5:$IM$5,"&gt;="&amp;MAX('KG1-7'!$U26,Dash_PStart),'KG1-7'!$AD$5:$IM$5,"&lt;="&amp;Dash_PEnd)+COUNTIFS('KG1-7'!$AD26:$IM26,"متأخر",'KG1-7'!$AD$7:$IM$7,"✓",'KG1-7'!$AD$6:$IM$6,1,'KG1-7'!$AD$5:$IM$5,"&gt;="&amp;MAX('KG1-7'!$U26,Dash_PStart),'KG1-7'!$AD$5:$IM$5,"&lt;="&amp;Dash_PEnd))</f>
        <v/>
      </c>
      <c r="AJ202" s="40">
        <f>IF(AF202=0,0,IF(W202=Dash_Date,Thr_Critical,IF(V202=Dash_Date,Thr_High,IF(U202=Dash_Date,Thr_Repeated,IF(T202=Dash_Date,Thr_FollowUp,0)))))</f>
        <v/>
      </c>
      <c r="AK202" s="40">
        <f>IF(AJ202&gt;0,COUNTIF($AJ$5:AJ202,"&gt;0"),"")</f>
        <v/>
      </c>
      <c r="AL202" s="40">
        <f>IF(AND(B202&lt;&gt;"",F202="نشط",Q202&lt;&gt;"",Q202&gt;0),L202*1000+(999-ROW()),"")</f>
        <v/>
      </c>
      <c r="AM202" s="40">
        <f>IF(AND(AF202=1,J202&lt;&gt;"",J202&gt;0),ROUND(O202*10000,0)*1000000+K202*1000+(999-ROW()),"")</f>
        <v/>
      </c>
      <c r="AN202" s="40">
        <f>IF(AND(AF202=1,J202&lt;&gt;"",J202&gt;0),(L202+M202)*10000000+ROUND((1-O202)*10000,0)*1000+(999-ROW()),"")</f>
        <v/>
      </c>
      <c r="AO202" s="40">
        <f>IF(AND(AF202=1,Q202&lt;&gt;"",Q202&gt;=Thr_Critical),L202*1000+(999-ROW()),"")</f>
        <v/>
      </c>
      <c r="AP202" s="40">
        <f>IF(AND(B202&lt;&gt;"",F202="نشط",OR(Rpt_Class="الكل",D202=Rpt_Class)),1,0)</f>
        <v/>
      </c>
      <c r="AQ202" s="40">
        <f>IF(AND(AP202=1,Q202&lt;&gt;"",Q202&gt;0),L202*1000+(999-ROW()),"")</f>
        <v/>
      </c>
      <c r="AR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IF(LateAsPresent="نعم",COUNTIFS('KG1-7'!$AD26:$IM26,"متأخر",'KG1-7'!$AD$7:$IM$7,"✓",'KG1-7'!$AD$6:$IM$6,1,'KG1-7'!$AD$5:$IM$5,"&gt;="&amp;MAX('KG1-7'!$U26,Rpt_PStart),'KG1-7'!$AD$5:$IM$5,"&lt;="&amp;Rpt_PEnd),0))</f>
        <v/>
      </c>
      <c r="AS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COUNTIFS('KG1-7'!$AD26:$IM26,"غياب بدون عذر",'KG1-7'!$AD$7:$IM$7,"✓",'KG1-7'!$AD$6:$IM$6,1,'KG1-7'!$AD$5:$IM$5,"&gt;="&amp;MAX('KG1-7'!$U26,Rpt_PStart),'KG1-7'!$AD$5:$IM$5,"&lt;="&amp;Rpt_PEnd)+COUNTIFS('KG1-7'!$AD26:$IM26,"غياب بعذر",'KG1-7'!$AD$7:$IM$7,"✓",'KG1-7'!$AD$6:$IM$6,1,'KG1-7'!$AD$5:$IM$5,"&gt;="&amp;MAX('KG1-7'!$U26,Rpt_PStart),'KG1-7'!$AD$5:$IM$5,"&lt;="&amp;Rpt_PEnd)+COUNTIFS('KG1-7'!$AD26:$IM26,"متأخر",'KG1-7'!$AD$7:$IM$7,"✓",'KG1-7'!$AD$6:$IM$6,1,'KG1-7'!$AD$5:$IM$5,"&gt;="&amp;MAX('KG1-7'!$U26,Rpt_PStart),'KG1-7'!$AD$5:$IM$5,"&lt;="&amp;Rpt_PEnd))</f>
        <v/>
      </c>
      <c r="AT202" s="40">
        <f>IF(AP202=0,"",COUNTIFS('KG1-7'!$AD26:$IM26,"غياب بدون عذر",'KG1-7'!$AD$7:$IM$7,"✓",'KG1-7'!$AD$6:$IM$6,1,'KG1-7'!$AD$5:$IM$5,"&gt;="&amp;MAX('KG1-7'!$U26,Rpt_PStart),'KG1-7'!$AD$5:$IM$5,"&lt;="&amp;Rpt_PEnd)+COUNTIFS('KG1-7'!$AD26:$IM26,"غياب بعذر",'KG1-7'!$AD$7:$IM$7,"✓",'KG1-7'!$AD$6:$IM$6,1,'KG1-7'!$AD$5:$IM$5,"&gt;="&amp;MAX('KG1-7'!$U26,Rpt_PStart),'KG1-7'!$AD$5:$IM$5,"&lt;="&amp;Rpt_PEnd))</f>
        <v/>
      </c>
      <c r="AU202" s="40" t="n">
        <v>7</v>
      </c>
      <c r="AV202" s="40" t="n">
        <v>18</v>
      </c>
      <c r="AW202" s="40">
        <f>IF(OR(AP202=0,Rpt_DayIdx=0),"",IF(INDEX('KG1-7'!$AD$7:$IM$7,Rpt_DayIdx)&lt;&gt;"✓","",IF(INDEX('KG1-7'!$AD26:$IM26,Rpt_DayIdx)="","P",IFERROR(INDEX(StatusCodes,MATCH(INDEX('KG1-7'!$AD26:$IM26,Rpt_DayIdx),StatusLabels,0)),""))))</f>
        <v/>
      </c>
      <c r="AX202" s="40">
        <f>IF(AND(AP202=1,OR(AW202="A",AW202="E")),COUNTIFS($AP$5:AP202,1,$AW$5:AW202,"A")+COUNTIFS($AP$5:AP202,1,$AW$5:AW202,"E"),"")</f>
        <v/>
      </c>
    </row>
    <row r="203">
      <c r="A203" s="148">
        <f>IF(B203="","",ROW()-4)</f>
        <v/>
      </c>
      <c r="B203" s="148">
        <f>IF('KG1-7'!$B27="","",'KG1-7'!$B27)</f>
        <v/>
      </c>
      <c r="C203" s="146">
        <f>IF('KG1-7'!$C27="","",'KG1-7'!$C27)</f>
        <v/>
      </c>
      <c r="D203" s="148">
        <f>IF(B203="","",'KG1-7'!$B$2)</f>
        <v/>
      </c>
      <c r="E203" s="148">
        <f>IF(B203="","",MID(D203,FIND("-",D203&amp;"-")+1,10))</f>
        <v/>
      </c>
      <c r="F203" s="148">
        <f>IF(B203="","","نشط")</f>
        <v/>
      </c>
      <c r="G203" s="157">
        <f>IF(B203="","","")</f>
        <v/>
      </c>
      <c r="H203" s="146">
        <f>IF('KG1-7'!$K27="","",'KG1-7'!$K27)</f>
        <v/>
      </c>
      <c r="I203" s="148">
        <f>IF('KG1-7'!$J27="","",'KG1-7'!$J27)</f>
        <v/>
      </c>
      <c r="J203" s="148">
        <f>IF('KG1-7'!$M27="","",'KG1-7'!$M27)</f>
        <v/>
      </c>
      <c r="K203" s="148">
        <f>IF('KG1-7'!$N27="","",'KG1-7'!$N27)</f>
        <v/>
      </c>
      <c r="L203" s="148">
        <f>IF('KG1-7'!$D27="","",'KG1-7'!$D27)</f>
        <v/>
      </c>
      <c r="M203" s="148">
        <f>IF('KG1-7'!$E27="","",'KG1-7'!$E27)</f>
        <v/>
      </c>
      <c r="N203" s="148">
        <f>IF('KG1-7'!$F27="","",'KG1-7'!$F27)</f>
        <v/>
      </c>
      <c r="O203" s="158">
        <f>IF('KG1-7'!$G27="","",'KG1-7'!$G27)</f>
        <v/>
      </c>
      <c r="P203" s="158">
        <f>IF('KG1-7'!$O27="","",'KG1-7'!$O27)</f>
        <v/>
      </c>
      <c r="Q203" s="148">
        <f>IF('KG1-7'!$T27="","",'KG1-7'!$T27)</f>
        <v/>
      </c>
      <c r="R203" s="146">
        <f>IF('KG1-7'!$H27="","",'KG1-7'!$H27)</f>
        <v/>
      </c>
      <c r="S203" s="157">
        <f>IF('KG1-7'!$P27="","",'KG1-7'!$P27)</f>
        <v/>
      </c>
      <c r="T203" s="157">
        <f>IF('KG1-7'!$V27="","",'KG1-7'!$V27)</f>
        <v/>
      </c>
      <c r="U203" s="157">
        <f>IF('KG1-7'!$W27="","",'KG1-7'!$W27)</f>
        <v/>
      </c>
      <c r="V203" s="157">
        <f>IF('KG1-7'!$X27="","",'KG1-7'!$X27)</f>
        <v/>
      </c>
      <c r="W203" s="157">
        <f>IF('KG1-7'!$Y27="","",'KG1-7'!$Y27)</f>
        <v/>
      </c>
      <c r="X203" s="157">
        <f>IF('KG1-7'!$R27="","",'KG1-7'!$R27)</f>
        <v/>
      </c>
      <c r="Y203" s="148">
        <f>IF('KG1-7'!$S27="","",'KG1-7'!$S27)</f>
        <v/>
      </c>
      <c r="Z203" s="148">
        <f>IF('KG1-7'!$Q27="","",'KG1-7'!$Q27)</f>
        <v/>
      </c>
      <c r="AA203" s="148">
        <f>IF('KG1-7'!$I27="","",'KG1-7'!$I27)</f>
        <v/>
      </c>
      <c r="AB203" s="146">
        <f>IF(Q203="","",INDEX(LevelActions,MATCH(Q203,LevelValues,0)))</f>
        <v/>
      </c>
      <c r="AC203" s="148">
        <f>IF(J203="","",IF(J203=0,"—",IF(AND(L203=0,M203=0),Cat_L1,IF(O203&gt;=Cat_95,Cat_L2,IF(O203&gt;=Cat_90,Cat_L3,Cat_L4)))))</f>
        <v/>
      </c>
      <c r="AD203" s="146">
        <f>IF('KG1-7'!$L27="","",'KG1-7'!$L27)</f>
        <v/>
      </c>
      <c r="AE203" s="148">
        <f>IF(B203="","",IF(COUNTIF($B$5:$B$214,B203)&gt;1,"مكرر!",""))</f>
        <v/>
      </c>
      <c r="AF203" s="148">
        <f>IF(AND(B203&lt;&gt;"",F203="نشط",OR(Dash_Class="الكل",D203=Dash_Class)),1,0)</f>
        <v/>
      </c>
      <c r="AG203" s="40">
        <f>IF(OR(AF203=0,Dash_DayIdx=0),"",IF(INDEX('KG1-7'!$AD$7:$IM$7,Dash_DayIdx)&lt;&gt;"✓","",IF(INDEX('KG1-7'!$AD27:$IM27,Dash_DayIdx)="","P",IFERROR(INDEX(StatusCodes,MATCH(INDEX('KG1-7'!$AD27:$IM27,Dash_DayIdx),StatusLabels,0)),""))))</f>
        <v/>
      </c>
      <c r="AH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IF(LateAsPresent="نعم",COUNTIFS('KG1-7'!$AD27:$IM27,"متأخر",'KG1-7'!$AD$7:$IM$7,"✓",'KG1-7'!$AD$6:$IM$6,1,'KG1-7'!$AD$5:$IM$5,"&gt;="&amp;MAX('KG1-7'!$U27,Dash_PStart),'KG1-7'!$AD$5:$IM$5,"&lt;="&amp;Dash_PEnd),0))</f>
        <v/>
      </c>
      <c r="AI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COUNTIFS('KG1-7'!$AD27:$IM27,"غياب بدون عذر",'KG1-7'!$AD$7:$IM$7,"✓",'KG1-7'!$AD$6:$IM$6,1,'KG1-7'!$AD$5:$IM$5,"&gt;="&amp;MAX('KG1-7'!$U27,Dash_PStart),'KG1-7'!$AD$5:$IM$5,"&lt;="&amp;Dash_PEnd)+COUNTIFS('KG1-7'!$AD27:$IM27,"غياب بعذر",'KG1-7'!$AD$7:$IM$7,"✓",'KG1-7'!$AD$6:$IM$6,1,'KG1-7'!$AD$5:$IM$5,"&gt;="&amp;MAX('KG1-7'!$U27,Dash_PStart),'KG1-7'!$AD$5:$IM$5,"&lt;="&amp;Dash_PEnd)+COUNTIFS('KG1-7'!$AD27:$IM27,"متأخر",'KG1-7'!$AD$7:$IM$7,"✓",'KG1-7'!$AD$6:$IM$6,1,'KG1-7'!$AD$5:$IM$5,"&gt;="&amp;MAX('KG1-7'!$U27,Dash_PStart),'KG1-7'!$AD$5:$IM$5,"&lt;="&amp;Dash_PEnd))</f>
        <v/>
      </c>
      <c r="AJ203" s="40">
        <f>IF(AF203=0,0,IF(W203=Dash_Date,Thr_Critical,IF(V203=Dash_Date,Thr_High,IF(U203=Dash_Date,Thr_Repeated,IF(T203=Dash_Date,Thr_FollowUp,0)))))</f>
        <v/>
      </c>
      <c r="AK203" s="40">
        <f>IF(AJ203&gt;0,COUNTIF($AJ$5:AJ203,"&gt;0"),"")</f>
        <v/>
      </c>
      <c r="AL203" s="40">
        <f>IF(AND(B203&lt;&gt;"",F203="نشط",Q203&lt;&gt;"",Q203&gt;0),L203*1000+(999-ROW()),"")</f>
        <v/>
      </c>
      <c r="AM203" s="40">
        <f>IF(AND(AF203=1,J203&lt;&gt;"",J203&gt;0),ROUND(O203*10000,0)*1000000+K203*1000+(999-ROW()),"")</f>
        <v/>
      </c>
      <c r="AN203" s="40">
        <f>IF(AND(AF203=1,J203&lt;&gt;"",J203&gt;0),(L203+M203)*10000000+ROUND((1-O203)*10000,0)*1000+(999-ROW()),"")</f>
        <v/>
      </c>
      <c r="AO203" s="40">
        <f>IF(AND(AF203=1,Q203&lt;&gt;"",Q203&gt;=Thr_Critical),L203*1000+(999-ROW()),"")</f>
        <v/>
      </c>
      <c r="AP203" s="40">
        <f>IF(AND(B203&lt;&gt;"",F203="نشط",OR(Rpt_Class="الكل",D203=Rpt_Class)),1,0)</f>
        <v/>
      </c>
      <c r="AQ203" s="40">
        <f>IF(AND(AP203=1,Q203&lt;&gt;"",Q203&gt;0),L203*1000+(999-ROW()),"")</f>
        <v/>
      </c>
      <c r="AR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IF(LateAsPresent="نعم",COUNTIFS('KG1-7'!$AD27:$IM27,"متأخر",'KG1-7'!$AD$7:$IM$7,"✓",'KG1-7'!$AD$6:$IM$6,1,'KG1-7'!$AD$5:$IM$5,"&gt;="&amp;MAX('KG1-7'!$U27,Rpt_PStart),'KG1-7'!$AD$5:$IM$5,"&lt;="&amp;Rpt_PEnd),0))</f>
        <v/>
      </c>
      <c r="AS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COUNTIFS('KG1-7'!$AD27:$IM27,"غياب بدون عذر",'KG1-7'!$AD$7:$IM$7,"✓",'KG1-7'!$AD$6:$IM$6,1,'KG1-7'!$AD$5:$IM$5,"&gt;="&amp;MAX('KG1-7'!$U27,Rpt_PStart),'KG1-7'!$AD$5:$IM$5,"&lt;="&amp;Rpt_PEnd)+COUNTIFS('KG1-7'!$AD27:$IM27,"غياب بعذر",'KG1-7'!$AD$7:$IM$7,"✓",'KG1-7'!$AD$6:$IM$6,1,'KG1-7'!$AD$5:$IM$5,"&gt;="&amp;MAX('KG1-7'!$U27,Rpt_PStart),'KG1-7'!$AD$5:$IM$5,"&lt;="&amp;Rpt_PEnd)+COUNTIFS('KG1-7'!$AD27:$IM27,"متأخر",'KG1-7'!$AD$7:$IM$7,"✓",'KG1-7'!$AD$6:$IM$6,1,'KG1-7'!$AD$5:$IM$5,"&gt;="&amp;MAX('KG1-7'!$U27,Rpt_PStart),'KG1-7'!$AD$5:$IM$5,"&lt;="&amp;Rpt_PEnd))</f>
        <v/>
      </c>
      <c r="AT203" s="40">
        <f>IF(AP203=0,"",COUNTIFS('KG1-7'!$AD27:$IM27,"غياب بدون عذر",'KG1-7'!$AD$7:$IM$7,"✓",'KG1-7'!$AD$6:$IM$6,1,'KG1-7'!$AD$5:$IM$5,"&gt;="&amp;MAX('KG1-7'!$U27,Rpt_PStart),'KG1-7'!$AD$5:$IM$5,"&lt;="&amp;Rpt_PEnd)+COUNTIFS('KG1-7'!$AD27:$IM27,"غياب بعذر",'KG1-7'!$AD$7:$IM$7,"✓",'KG1-7'!$AD$6:$IM$6,1,'KG1-7'!$AD$5:$IM$5,"&gt;="&amp;MAX('KG1-7'!$U27,Rpt_PStart),'KG1-7'!$AD$5:$IM$5,"&lt;="&amp;Rpt_PEnd))</f>
        <v/>
      </c>
      <c r="AU203" s="40" t="n">
        <v>7</v>
      </c>
      <c r="AV203" s="40" t="n">
        <v>19</v>
      </c>
      <c r="AW203" s="40">
        <f>IF(OR(AP203=0,Rpt_DayIdx=0),"",IF(INDEX('KG1-7'!$AD$7:$IM$7,Rpt_DayIdx)&lt;&gt;"✓","",IF(INDEX('KG1-7'!$AD27:$IM27,Rpt_DayIdx)="","P",IFERROR(INDEX(StatusCodes,MATCH(INDEX('KG1-7'!$AD27:$IM27,Rpt_DayIdx),StatusLabels,0)),""))))</f>
        <v/>
      </c>
      <c r="AX203" s="40">
        <f>IF(AND(AP203=1,OR(AW203="A",AW203="E")),COUNTIFS($AP$5:AP203,1,$AW$5:AW203,"A")+COUNTIFS($AP$5:AP203,1,$AW$5:AW203,"E"),"")</f>
        <v/>
      </c>
    </row>
    <row r="204">
      <c r="A204" s="148">
        <f>IF(B204="","",ROW()-4)</f>
        <v/>
      </c>
      <c r="B204" s="148">
        <f>IF('KG1-7'!$B28="","",'KG1-7'!$B28)</f>
        <v/>
      </c>
      <c r="C204" s="146">
        <f>IF('KG1-7'!$C28="","",'KG1-7'!$C28)</f>
        <v/>
      </c>
      <c r="D204" s="148">
        <f>IF(B204="","",'KG1-7'!$B$2)</f>
        <v/>
      </c>
      <c r="E204" s="148">
        <f>IF(B204="","",MID(D204,FIND("-",D204&amp;"-")+1,10))</f>
        <v/>
      </c>
      <c r="F204" s="148">
        <f>IF(B204="","","نشط")</f>
        <v/>
      </c>
      <c r="G204" s="157">
        <f>IF(B204="","","")</f>
        <v/>
      </c>
      <c r="H204" s="146">
        <f>IF('KG1-7'!$K28="","",'KG1-7'!$K28)</f>
        <v/>
      </c>
      <c r="I204" s="148">
        <f>IF('KG1-7'!$J28="","",'KG1-7'!$J28)</f>
        <v/>
      </c>
      <c r="J204" s="148">
        <f>IF('KG1-7'!$M28="","",'KG1-7'!$M28)</f>
        <v/>
      </c>
      <c r="K204" s="148">
        <f>IF('KG1-7'!$N28="","",'KG1-7'!$N28)</f>
        <v/>
      </c>
      <c r="L204" s="148">
        <f>IF('KG1-7'!$D28="","",'KG1-7'!$D28)</f>
        <v/>
      </c>
      <c r="M204" s="148">
        <f>IF('KG1-7'!$E28="","",'KG1-7'!$E28)</f>
        <v/>
      </c>
      <c r="N204" s="148">
        <f>IF('KG1-7'!$F28="","",'KG1-7'!$F28)</f>
        <v/>
      </c>
      <c r="O204" s="158">
        <f>IF('KG1-7'!$G28="","",'KG1-7'!$G28)</f>
        <v/>
      </c>
      <c r="P204" s="158">
        <f>IF('KG1-7'!$O28="","",'KG1-7'!$O28)</f>
        <v/>
      </c>
      <c r="Q204" s="148">
        <f>IF('KG1-7'!$T28="","",'KG1-7'!$T28)</f>
        <v/>
      </c>
      <c r="R204" s="146">
        <f>IF('KG1-7'!$H28="","",'KG1-7'!$H28)</f>
        <v/>
      </c>
      <c r="S204" s="157">
        <f>IF('KG1-7'!$P28="","",'KG1-7'!$P28)</f>
        <v/>
      </c>
      <c r="T204" s="157">
        <f>IF('KG1-7'!$V28="","",'KG1-7'!$V28)</f>
        <v/>
      </c>
      <c r="U204" s="157">
        <f>IF('KG1-7'!$W28="","",'KG1-7'!$W28)</f>
        <v/>
      </c>
      <c r="V204" s="157">
        <f>IF('KG1-7'!$X28="","",'KG1-7'!$X28)</f>
        <v/>
      </c>
      <c r="W204" s="157">
        <f>IF('KG1-7'!$Y28="","",'KG1-7'!$Y28)</f>
        <v/>
      </c>
      <c r="X204" s="157">
        <f>IF('KG1-7'!$R28="","",'KG1-7'!$R28)</f>
        <v/>
      </c>
      <c r="Y204" s="148">
        <f>IF('KG1-7'!$S28="","",'KG1-7'!$S28)</f>
        <v/>
      </c>
      <c r="Z204" s="148">
        <f>IF('KG1-7'!$Q28="","",'KG1-7'!$Q28)</f>
        <v/>
      </c>
      <c r="AA204" s="148">
        <f>IF('KG1-7'!$I28="","",'KG1-7'!$I28)</f>
        <v/>
      </c>
      <c r="AB204" s="146">
        <f>IF(Q204="","",INDEX(LevelActions,MATCH(Q204,LevelValues,0)))</f>
        <v/>
      </c>
      <c r="AC204" s="148">
        <f>IF(J204="","",IF(J204=0,"—",IF(AND(L204=0,M204=0),Cat_L1,IF(O204&gt;=Cat_95,Cat_L2,IF(O204&gt;=Cat_90,Cat_L3,Cat_L4)))))</f>
        <v/>
      </c>
      <c r="AD204" s="146">
        <f>IF('KG1-7'!$L28="","",'KG1-7'!$L28)</f>
        <v/>
      </c>
      <c r="AE204" s="148">
        <f>IF(B204="","",IF(COUNTIF($B$5:$B$214,B204)&gt;1,"مكرر!",""))</f>
        <v/>
      </c>
      <c r="AF204" s="148">
        <f>IF(AND(B204&lt;&gt;"",F204="نشط",OR(Dash_Class="الكل",D204=Dash_Class)),1,0)</f>
        <v/>
      </c>
      <c r="AG204" s="40">
        <f>IF(OR(AF204=0,Dash_DayIdx=0),"",IF(INDEX('KG1-7'!$AD$7:$IM$7,Dash_DayIdx)&lt;&gt;"✓","",IF(INDEX('KG1-7'!$AD28:$IM28,Dash_DayIdx)="","P",IFERROR(INDEX(StatusCodes,MATCH(INDEX('KG1-7'!$AD28:$IM28,Dash_DayIdx),StatusLabels,0)),""))))</f>
        <v/>
      </c>
      <c r="AH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IF(LateAsPresent="نعم",COUNTIFS('KG1-7'!$AD28:$IM28,"متأخر",'KG1-7'!$AD$7:$IM$7,"✓",'KG1-7'!$AD$6:$IM$6,1,'KG1-7'!$AD$5:$IM$5,"&gt;="&amp;MAX('KG1-7'!$U28,Dash_PStart),'KG1-7'!$AD$5:$IM$5,"&lt;="&amp;Dash_PEnd),0))</f>
        <v/>
      </c>
      <c r="AI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COUNTIFS('KG1-7'!$AD28:$IM28,"غياب بدون عذر",'KG1-7'!$AD$7:$IM$7,"✓",'KG1-7'!$AD$6:$IM$6,1,'KG1-7'!$AD$5:$IM$5,"&gt;="&amp;MAX('KG1-7'!$U28,Dash_PStart),'KG1-7'!$AD$5:$IM$5,"&lt;="&amp;Dash_PEnd)+COUNTIFS('KG1-7'!$AD28:$IM28,"غياب بعذر",'KG1-7'!$AD$7:$IM$7,"✓",'KG1-7'!$AD$6:$IM$6,1,'KG1-7'!$AD$5:$IM$5,"&gt;="&amp;MAX('KG1-7'!$U28,Dash_PStart),'KG1-7'!$AD$5:$IM$5,"&lt;="&amp;Dash_PEnd)+COUNTIFS('KG1-7'!$AD28:$IM28,"متأخر",'KG1-7'!$AD$7:$IM$7,"✓",'KG1-7'!$AD$6:$IM$6,1,'KG1-7'!$AD$5:$IM$5,"&gt;="&amp;MAX('KG1-7'!$U28,Dash_PStart),'KG1-7'!$AD$5:$IM$5,"&lt;="&amp;Dash_PEnd))</f>
        <v/>
      </c>
      <c r="AJ204" s="40">
        <f>IF(AF204=0,0,IF(W204=Dash_Date,Thr_Critical,IF(V204=Dash_Date,Thr_High,IF(U204=Dash_Date,Thr_Repeated,IF(T204=Dash_Date,Thr_FollowUp,0)))))</f>
        <v/>
      </c>
      <c r="AK204" s="40">
        <f>IF(AJ204&gt;0,COUNTIF($AJ$5:AJ204,"&gt;0"),"")</f>
        <v/>
      </c>
      <c r="AL204" s="40">
        <f>IF(AND(B204&lt;&gt;"",F204="نشط",Q204&lt;&gt;"",Q204&gt;0),L204*1000+(999-ROW()),"")</f>
        <v/>
      </c>
      <c r="AM204" s="40">
        <f>IF(AND(AF204=1,J204&lt;&gt;"",J204&gt;0),ROUND(O204*10000,0)*1000000+K204*1000+(999-ROW()),"")</f>
        <v/>
      </c>
      <c r="AN204" s="40">
        <f>IF(AND(AF204=1,J204&lt;&gt;"",J204&gt;0),(L204+M204)*10000000+ROUND((1-O204)*10000,0)*1000+(999-ROW()),"")</f>
        <v/>
      </c>
      <c r="AO204" s="40">
        <f>IF(AND(AF204=1,Q204&lt;&gt;"",Q204&gt;=Thr_Critical),L204*1000+(999-ROW()),"")</f>
        <v/>
      </c>
      <c r="AP204" s="40">
        <f>IF(AND(B204&lt;&gt;"",F204="نشط",OR(Rpt_Class="الكل",D204=Rpt_Class)),1,0)</f>
        <v/>
      </c>
      <c r="AQ204" s="40">
        <f>IF(AND(AP204=1,Q204&lt;&gt;"",Q204&gt;0),L204*1000+(999-ROW()),"")</f>
        <v/>
      </c>
      <c r="AR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IF(LateAsPresent="نعم",COUNTIFS('KG1-7'!$AD28:$IM28,"متأخر",'KG1-7'!$AD$7:$IM$7,"✓",'KG1-7'!$AD$6:$IM$6,1,'KG1-7'!$AD$5:$IM$5,"&gt;="&amp;MAX('KG1-7'!$U28,Rpt_PStart),'KG1-7'!$AD$5:$IM$5,"&lt;="&amp;Rpt_PEnd),0))</f>
        <v/>
      </c>
      <c r="AS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COUNTIFS('KG1-7'!$AD28:$IM28,"غياب بدون عذر",'KG1-7'!$AD$7:$IM$7,"✓",'KG1-7'!$AD$6:$IM$6,1,'KG1-7'!$AD$5:$IM$5,"&gt;="&amp;MAX('KG1-7'!$U28,Rpt_PStart),'KG1-7'!$AD$5:$IM$5,"&lt;="&amp;Rpt_PEnd)+COUNTIFS('KG1-7'!$AD28:$IM28,"غياب بعذر",'KG1-7'!$AD$7:$IM$7,"✓",'KG1-7'!$AD$6:$IM$6,1,'KG1-7'!$AD$5:$IM$5,"&gt;="&amp;MAX('KG1-7'!$U28,Rpt_PStart),'KG1-7'!$AD$5:$IM$5,"&lt;="&amp;Rpt_PEnd)+COUNTIFS('KG1-7'!$AD28:$IM28,"متأخر",'KG1-7'!$AD$7:$IM$7,"✓",'KG1-7'!$AD$6:$IM$6,1,'KG1-7'!$AD$5:$IM$5,"&gt;="&amp;MAX('KG1-7'!$U28,Rpt_PStart),'KG1-7'!$AD$5:$IM$5,"&lt;="&amp;Rpt_PEnd))</f>
        <v/>
      </c>
      <c r="AT204" s="40">
        <f>IF(AP204=0,"",COUNTIFS('KG1-7'!$AD28:$IM28,"غياب بدون عذر",'KG1-7'!$AD$7:$IM$7,"✓",'KG1-7'!$AD$6:$IM$6,1,'KG1-7'!$AD$5:$IM$5,"&gt;="&amp;MAX('KG1-7'!$U28,Rpt_PStart),'KG1-7'!$AD$5:$IM$5,"&lt;="&amp;Rpt_PEnd)+COUNTIFS('KG1-7'!$AD28:$IM28,"غياب بعذر",'KG1-7'!$AD$7:$IM$7,"✓",'KG1-7'!$AD$6:$IM$6,1,'KG1-7'!$AD$5:$IM$5,"&gt;="&amp;MAX('KG1-7'!$U28,Rpt_PStart),'KG1-7'!$AD$5:$IM$5,"&lt;="&amp;Rpt_PEnd))</f>
        <v/>
      </c>
      <c r="AU204" s="40" t="n">
        <v>7</v>
      </c>
      <c r="AV204" s="40" t="n">
        <v>20</v>
      </c>
      <c r="AW204" s="40">
        <f>IF(OR(AP204=0,Rpt_DayIdx=0),"",IF(INDEX('KG1-7'!$AD$7:$IM$7,Rpt_DayIdx)&lt;&gt;"✓","",IF(INDEX('KG1-7'!$AD28:$IM28,Rpt_DayIdx)="","P",IFERROR(INDEX(StatusCodes,MATCH(INDEX('KG1-7'!$AD28:$IM28,Rpt_DayIdx),StatusLabels,0)),""))))</f>
        <v/>
      </c>
      <c r="AX204" s="40">
        <f>IF(AND(AP204=1,OR(AW204="A",AW204="E")),COUNTIFS($AP$5:AP204,1,$AW$5:AW204,"A")+COUNTIFS($AP$5:AP204,1,$AW$5:AW204,"E"),"")</f>
        <v/>
      </c>
    </row>
    <row r="205">
      <c r="A205" s="148">
        <f>IF(B205="","",ROW()-4)</f>
        <v/>
      </c>
      <c r="B205" s="148">
        <f>IF('KG1-7'!$B29="","",'KG1-7'!$B29)</f>
        <v/>
      </c>
      <c r="C205" s="146">
        <f>IF('KG1-7'!$C29="","",'KG1-7'!$C29)</f>
        <v/>
      </c>
      <c r="D205" s="148">
        <f>IF(B205="","",'KG1-7'!$B$2)</f>
        <v/>
      </c>
      <c r="E205" s="148">
        <f>IF(B205="","",MID(D205,FIND("-",D205&amp;"-")+1,10))</f>
        <v/>
      </c>
      <c r="F205" s="148">
        <f>IF(B205="","","نشط")</f>
        <v/>
      </c>
      <c r="G205" s="157">
        <f>IF(B205="","","")</f>
        <v/>
      </c>
      <c r="H205" s="146">
        <f>IF('KG1-7'!$K29="","",'KG1-7'!$K29)</f>
        <v/>
      </c>
      <c r="I205" s="148">
        <f>IF('KG1-7'!$J29="","",'KG1-7'!$J29)</f>
        <v/>
      </c>
      <c r="J205" s="148">
        <f>IF('KG1-7'!$M29="","",'KG1-7'!$M29)</f>
        <v/>
      </c>
      <c r="K205" s="148">
        <f>IF('KG1-7'!$N29="","",'KG1-7'!$N29)</f>
        <v/>
      </c>
      <c r="L205" s="148">
        <f>IF('KG1-7'!$D29="","",'KG1-7'!$D29)</f>
        <v/>
      </c>
      <c r="M205" s="148">
        <f>IF('KG1-7'!$E29="","",'KG1-7'!$E29)</f>
        <v/>
      </c>
      <c r="N205" s="148">
        <f>IF('KG1-7'!$F29="","",'KG1-7'!$F29)</f>
        <v/>
      </c>
      <c r="O205" s="158">
        <f>IF('KG1-7'!$G29="","",'KG1-7'!$G29)</f>
        <v/>
      </c>
      <c r="P205" s="158">
        <f>IF('KG1-7'!$O29="","",'KG1-7'!$O29)</f>
        <v/>
      </c>
      <c r="Q205" s="148">
        <f>IF('KG1-7'!$T29="","",'KG1-7'!$T29)</f>
        <v/>
      </c>
      <c r="R205" s="146">
        <f>IF('KG1-7'!$H29="","",'KG1-7'!$H29)</f>
        <v/>
      </c>
      <c r="S205" s="157">
        <f>IF('KG1-7'!$P29="","",'KG1-7'!$P29)</f>
        <v/>
      </c>
      <c r="T205" s="157">
        <f>IF('KG1-7'!$V29="","",'KG1-7'!$V29)</f>
        <v/>
      </c>
      <c r="U205" s="157">
        <f>IF('KG1-7'!$W29="","",'KG1-7'!$W29)</f>
        <v/>
      </c>
      <c r="V205" s="157">
        <f>IF('KG1-7'!$X29="","",'KG1-7'!$X29)</f>
        <v/>
      </c>
      <c r="W205" s="157">
        <f>IF('KG1-7'!$Y29="","",'KG1-7'!$Y29)</f>
        <v/>
      </c>
      <c r="X205" s="157">
        <f>IF('KG1-7'!$R29="","",'KG1-7'!$R29)</f>
        <v/>
      </c>
      <c r="Y205" s="148">
        <f>IF('KG1-7'!$S29="","",'KG1-7'!$S29)</f>
        <v/>
      </c>
      <c r="Z205" s="148">
        <f>IF('KG1-7'!$Q29="","",'KG1-7'!$Q29)</f>
        <v/>
      </c>
      <c r="AA205" s="148">
        <f>IF('KG1-7'!$I29="","",'KG1-7'!$I29)</f>
        <v/>
      </c>
      <c r="AB205" s="146">
        <f>IF(Q205="","",INDEX(LevelActions,MATCH(Q205,LevelValues,0)))</f>
        <v/>
      </c>
      <c r="AC205" s="148">
        <f>IF(J205="","",IF(J205=0,"—",IF(AND(L205=0,M205=0),Cat_L1,IF(O205&gt;=Cat_95,Cat_L2,IF(O205&gt;=Cat_90,Cat_L3,Cat_L4)))))</f>
        <v/>
      </c>
      <c r="AD205" s="146">
        <f>IF('KG1-7'!$L29="","",'KG1-7'!$L29)</f>
        <v/>
      </c>
      <c r="AE205" s="148">
        <f>IF(B205="","",IF(COUNTIF($B$5:$B$214,B205)&gt;1,"مكرر!",""))</f>
        <v/>
      </c>
      <c r="AF205" s="148">
        <f>IF(AND(B205&lt;&gt;"",F205="نشط",OR(Dash_Class="الكل",D205=Dash_Class)),1,0)</f>
        <v/>
      </c>
      <c r="AG205" s="40">
        <f>IF(OR(AF205=0,Dash_DayIdx=0),"",IF(INDEX('KG1-7'!$AD$7:$IM$7,Dash_DayIdx)&lt;&gt;"✓","",IF(INDEX('KG1-7'!$AD29:$IM29,Dash_DayIdx)="","P",IFERROR(INDEX(StatusCodes,MATCH(INDEX('KG1-7'!$AD29:$IM29,Dash_DayIdx),StatusLabels,0)),""))))</f>
        <v/>
      </c>
      <c r="AH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IF(LateAsPresent="نعم",COUNTIFS('KG1-7'!$AD29:$IM29,"متأخر",'KG1-7'!$AD$7:$IM$7,"✓",'KG1-7'!$AD$6:$IM$6,1,'KG1-7'!$AD$5:$IM$5,"&gt;="&amp;MAX('KG1-7'!$U29,Dash_PStart),'KG1-7'!$AD$5:$IM$5,"&lt;="&amp;Dash_PEnd),0))</f>
        <v/>
      </c>
      <c r="AI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COUNTIFS('KG1-7'!$AD29:$IM29,"غياب بدون عذر",'KG1-7'!$AD$7:$IM$7,"✓",'KG1-7'!$AD$6:$IM$6,1,'KG1-7'!$AD$5:$IM$5,"&gt;="&amp;MAX('KG1-7'!$U29,Dash_PStart),'KG1-7'!$AD$5:$IM$5,"&lt;="&amp;Dash_PEnd)+COUNTIFS('KG1-7'!$AD29:$IM29,"غياب بعذر",'KG1-7'!$AD$7:$IM$7,"✓",'KG1-7'!$AD$6:$IM$6,1,'KG1-7'!$AD$5:$IM$5,"&gt;="&amp;MAX('KG1-7'!$U29,Dash_PStart),'KG1-7'!$AD$5:$IM$5,"&lt;="&amp;Dash_PEnd)+COUNTIFS('KG1-7'!$AD29:$IM29,"متأخر",'KG1-7'!$AD$7:$IM$7,"✓",'KG1-7'!$AD$6:$IM$6,1,'KG1-7'!$AD$5:$IM$5,"&gt;="&amp;MAX('KG1-7'!$U29,Dash_PStart),'KG1-7'!$AD$5:$IM$5,"&lt;="&amp;Dash_PEnd))</f>
        <v/>
      </c>
      <c r="AJ205" s="40">
        <f>IF(AF205=0,0,IF(W205=Dash_Date,Thr_Critical,IF(V205=Dash_Date,Thr_High,IF(U205=Dash_Date,Thr_Repeated,IF(T205=Dash_Date,Thr_FollowUp,0)))))</f>
        <v/>
      </c>
      <c r="AK205" s="40">
        <f>IF(AJ205&gt;0,COUNTIF($AJ$5:AJ205,"&gt;0"),"")</f>
        <v/>
      </c>
      <c r="AL205" s="40">
        <f>IF(AND(B205&lt;&gt;"",F205="نشط",Q205&lt;&gt;"",Q205&gt;0),L205*1000+(999-ROW()),"")</f>
        <v/>
      </c>
      <c r="AM205" s="40">
        <f>IF(AND(AF205=1,J205&lt;&gt;"",J205&gt;0),ROUND(O205*10000,0)*1000000+K205*1000+(999-ROW()),"")</f>
        <v/>
      </c>
      <c r="AN205" s="40">
        <f>IF(AND(AF205=1,J205&lt;&gt;"",J205&gt;0),(L205+M205)*10000000+ROUND((1-O205)*10000,0)*1000+(999-ROW()),"")</f>
        <v/>
      </c>
      <c r="AO205" s="40">
        <f>IF(AND(AF205=1,Q205&lt;&gt;"",Q205&gt;=Thr_Critical),L205*1000+(999-ROW()),"")</f>
        <v/>
      </c>
      <c r="AP205" s="40">
        <f>IF(AND(B205&lt;&gt;"",F205="نشط",OR(Rpt_Class="الكل",D205=Rpt_Class)),1,0)</f>
        <v/>
      </c>
      <c r="AQ205" s="40">
        <f>IF(AND(AP205=1,Q205&lt;&gt;"",Q205&gt;0),L205*1000+(999-ROW()),"")</f>
        <v/>
      </c>
      <c r="AR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IF(LateAsPresent="نعم",COUNTIFS('KG1-7'!$AD29:$IM29,"متأخر",'KG1-7'!$AD$7:$IM$7,"✓",'KG1-7'!$AD$6:$IM$6,1,'KG1-7'!$AD$5:$IM$5,"&gt;="&amp;MAX('KG1-7'!$U29,Rpt_PStart),'KG1-7'!$AD$5:$IM$5,"&lt;="&amp;Rpt_PEnd),0))</f>
        <v/>
      </c>
      <c r="AS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COUNTIFS('KG1-7'!$AD29:$IM29,"غياب بدون عذر",'KG1-7'!$AD$7:$IM$7,"✓",'KG1-7'!$AD$6:$IM$6,1,'KG1-7'!$AD$5:$IM$5,"&gt;="&amp;MAX('KG1-7'!$U29,Rpt_PStart),'KG1-7'!$AD$5:$IM$5,"&lt;="&amp;Rpt_PEnd)+COUNTIFS('KG1-7'!$AD29:$IM29,"غياب بعذر",'KG1-7'!$AD$7:$IM$7,"✓",'KG1-7'!$AD$6:$IM$6,1,'KG1-7'!$AD$5:$IM$5,"&gt;="&amp;MAX('KG1-7'!$U29,Rpt_PStart),'KG1-7'!$AD$5:$IM$5,"&lt;="&amp;Rpt_PEnd)+COUNTIFS('KG1-7'!$AD29:$IM29,"متأخر",'KG1-7'!$AD$7:$IM$7,"✓",'KG1-7'!$AD$6:$IM$6,1,'KG1-7'!$AD$5:$IM$5,"&gt;="&amp;MAX('KG1-7'!$U29,Rpt_PStart),'KG1-7'!$AD$5:$IM$5,"&lt;="&amp;Rpt_PEnd))</f>
        <v/>
      </c>
      <c r="AT205" s="40">
        <f>IF(AP205=0,"",COUNTIFS('KG1-7'!$AD29:$IM29,"غياب بدون عذر",'KG1-7'!$AD$7:$IM$7,"✓",'KG1-7'!$AD$6:$IM$6,1,'KG1-7'!$AD$5:$IM$5,"&gt;="&amp;MAX('KG1-7'!$U29,Rpt_PStart),'KG1-7'!$AD$5:$IM$5,"&lt;="&amp;Rpt_PEnd)+COUNTIFS('KG1-7'!$AD29:$IM29,"غياب بعذر",'KG1-7'!$AD$7:$IM$7,"✓",'KG1-7'!$AD$6:$IM$6,1,'KG1-7'!$AD$5:$IM$5,"&gt;="&amp;MAX('KG1-7'!$U29,Rpt_PStart),'KG1-7'!$AD$5:$IM$5,"&lt;="&amp;Rpt_PEnd))</f>
        <v/>
      </c>
      <c r="AU205" s="40" t="n">
        <v>7</v>
      </c>
      <c r="AV205" s="40" t="n">
        <v>21</v>
      </c>
      <c r="AW205" s="40">
        <f>IF(OR(AP205=0,Rpt_DayIdx=0),"",IF(INDEX('KG1-7'!$AD$7:$IM$7,Rpt_DayIdx)&lt;&gt;"✓","",IF(INDEX('KG1-7'!$AD29:$IM29,Rpt_DayIdx)="","P",IFERROR(INDEX(StatusCodes,MATCH(INDEX('KG1-7'!$AD29:$IM29,Rpt_DayIdx),StatusLabels,0)),""))))</f>
        <v/>
      </c>
      <c r="AX205" s="40">
        <f>IF(AND(AP205=1,OR(AW205="A",AW205="E")),COUNTIFS($AP$5:AP205,1,$AW$5:AW205,"A")+COUNTIFS($AP$5:AP205,1,$AW$5:AW205,"E"),"")</f>
        <v/>
      </c>
    </row>
    <row r="206">
      <c r="A206" s="148">
        <f>IF(B206="","",ROW()-4)</f>
        <v/>
      </c>
      <c r="B206" s="148">
        <f>IF('KG1-7'!$B30="","",'KG1-7'!$B30)</f>
        <v/>
      </c>
      <c r="C206" s="146">
        <f>IF('KG1-7'!$C30="","",'KG1-7'!$C30)</f>
        <v/>
      </c>
      <c r="D206" s="148">
        <f>IF(B206="","",'KG1-7'!$B$2)</f>
        <v/>
      </c>
      <c r="E206" s="148">
        <f>IF(B206="","",MID(D206,FIND("-",D206&amp;"-")+1,10))</f>
        <v/>
      </c>
      <c r="F206" s="148">
        <f>IF(B206="","","نشط")</f>
        <v/>
      </c>
      <c r="G206" s="157">
        <f>IF(B206="","","")</f>
        <v/>
      </c>
      <c r="H206" s="146">
        <f>IF('KG1-7'!$K30="","",'KG1-7'!$K30)</f>
        <v/>
      </c>
      <c r="I206" s="148">
        <f>IF('KG1-7'!$J30="","",'KG1-7'!$J30)</f>
        <v/>
      </c>
      <c r="J206" s="148">
        <f>IF('KG1-7'!$M30="","",'KG1-7'!$M30)</f>
        <v/>
      </c>
      <c r="K206" s="148">
        <f>IF('KG1-7'!$N30="","",'KG1-7'!$N30)</f>
        <v/>
      </c>
      <c r="L206" s="148">
        <f>IF('KG1-7'!$D30="","",'KG1-7'!$D30)</f>
        <v/>
      </c>
      <c r="M206" s="148">
        <f>IF('KG1-7'!$E30="","",'KG1-7'!$E30)</f>
        <v/>
      </c>
      <c r="N206" s="148">
        <f>IF('KG1-7'!$F30="","",'KG1-7'!$F30)</f>
        <v/>
      </c>
      <c r="O206" s="158">
        <f>IF('KG1-7'!$G30="","",'KG1-7'!$G30)</f>
        <v/>
      </c>
      <c r="P206" s="158">
        <f>IF('KG1-7'!$O30="","",'KG1-7'!$O30)</f>
        <v/>
      </c>
      <c r="Q206" s="148">
        <f>IF('KG1-7'!$T30="","",'KG1-7'!$T30)</f>
        <v/>
      </c>
      <c r="R206" s="146">
        <f>IF('KG1-7'!$H30="","",'KG1-7'!$H30)</f>
        <v/>
      </c>
      <c r="S206" s="157">
        <f>IF('KG1-7'!$P30="","",'KG1-7'!$P30)</f>
        <v/>
      </c>
      <c r="T206" s="157">
        <f>IF('KG1-7'!$V30="","",'KG1-7'!$V30)</f>
        <v/>
      </c>
      <c r="U206" s="157">
        <f>IF('KG1-7'!$W30="","",'KG1-7'!$W30)</f>
        <v/>
      </c>
      <c r="V206" s="157">
        <f>IF('KG1-7'!$X30="","",'KG1-7'!$X30)</f>
        <v/>
      </c>
      <c r="W206" s="157">
        <f>IF('KG1-7'!$Y30="","",'KG1-7'!$Y30)</f>
        <v/>
      </c>
      <c r="X206" s="157">
        <f>IF('KG1-7'!$R30="","",'KG1-7'!$R30)</f>
        <v/>
      </c>
      <c r="Y206" s="148">
        <f>IF('KG1-7'!$S30="","",'KG1-7'!$S30)</f>
        <v/>
      </c>
      <c r="Z206" s="148">
        <f>IF('KG1-7'!$Q30="","",'KG1-7'!$Q30)</f>
        <v/>
      </c>
      <c r="AA206" s="148">
        <f>IF('KG1-7'!$I30="","",'KG1-7'!$I30)</f>
        <v/>
      </c>
      <c r="AB206" s="146">
        <f>IF(Q206="","",INDEX(LevelActions,MATCH(Q206,LevelValues,0)))</f>
        <v/>
      </c>
      <c r="AC206" s="148">
        <f>IF(J206="","",IF(J206=0,"—",IF(AND(L206=0,M206=0),Cat_L1,IF(O206&gt;=Cat_95,Cat_L2,IF(O206&gt;=Cat_90,Cat_L3,Cat_L4)))))</f>
        <v/>
      </c>
      <c r="AD206" s="146">
        <f>IF('KG1-7'!$L30="","",'KG1-7'!$L30)</f>
        <v/>
      </c>
      <c r="AE206" s="148">
        <f>IF(B206="","",IF(COUNTIF($B$5:$B$214,B206)&gt;1,"مكرر!",""))</f>
        <v/>
      </c>
      <c r="AF206" s="148">
        <f>IF(AND(B206&lt;&gt;"",F206="نشط",OR(Dash_Class="الكل",D206=Dash_Class)),1,0)</f>
        <v/>
      </c>
      <c r="AG206" s="40">
        <f>IF(OR(AF206=0,Dash_DayIdx=0),"",IF(INDEX('KG1-7'!$AD$7:$IM$7,Dash_DayIdx)&lt;&gt;"✓","",IF(INDEX('KG1-7'!$AD30:$IM30,Dash_DayIdx)="","P",IFERROR(INDEX(StatusCodes,MATCH(INDEX('KG1-7'!$AD30:$IM30,Dash_DayIdx),StatusLabels,0)),""))))</f>
        <v/>
      </c>
      <c r="AH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IF(LateAsPresent="نعم",COUNTIFS('KG1-7'!$AD30:$IM30,"متأخر",'KG1-7'!$AD$7:$IM$7,"✓",'KG1-7'!$AD$6:$IM$6,1,'KG1-7'!$AD$5:$IM$5,"&gt;="&amp;MAX('KG1-7'!$U30,Dash_PStart),'KG1-7'!$AD$5:$IM$5,"&lt;="&amp;Dash_PEnd),0))</f>
        <v/>
      </c>
      <c r="AI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COUNTIFS('KG1-7'!$AD30:$IM30,"غياب بدون عذر",'KG1-7'!$AD$7:$IM$7,"✓",'KG1-7'!$AD$6:$IM$6,1,'KG1-7'!$AD$5:$IM$5,"&gt;="&amp;MAX('KG1-7'!$U30,Dash_PStart),'KG1-7'!$AD$5:$IM$5,"&lt;="&amp;Dash_PEnd)+COUNTIFS('KG1-7'!$AD30:$IM30,"غياب بعذر",'KG1-7'!$AD$7:$IM$7,"✓",'KG1-7'!$AD$6:$IM$6,1,'KG1-7'!$AD$5:$IM$5,"&gt;="&amp;MAX('KG1-7'!$U30,Dash_PStart),'KG1-7'!$AD$5:$IM$5,"&lt;="&amp;Dash_PEnd)+COUNTIFS('KG1-7'!$AD30:$IM30,"متأخر",'KG1-7'!$AD$7:$IM$7,"✓",'KG1-7'!$AD$6:$IM$6,1,'KG1-7'!$AD$5:$IM$5,"&gt;="&amp;MAX('KG1-7'!$U30,Dash_PStart),'KG1-7'!$AD$5:$IM$5,"&lt;="&amp;Dash_PEnd))</f>
        <v/>
      </c>
      <c r="AJ206" s="40">
        <f>IF(AF206=0,0,IF(W206=Dash_Date,Thr_Critical,IF(V206=Dash_Date,Thr_High,IF(U206=Dash_Date,Thr_Repeated,IF(T206=Dash_Date,Thr_FollowUp,0)))))</f>
        <v/>
      </c>
      <c r="AK206" s="40">
        <f>IF(AJ206&gt;0,COUNTIF($AJ$5:AJ206,"&gt;0"),"")</f>
        <v/>
      </c>
      <c r="AL206" s="40">
        <f>IF(AND(B206&lt;&gt;"",F206="نشط",Q206&lt;&gt;"",Q206&gt;0),L206*1000+(999-ROW()),"")</f>
        <v/>
      </c>
      <c r="AM206" s="40">
        <f>IF(AND(AF206=1,J206&lt;&gt;"",J206&gt;0),ROUND(O206*10000,0)*1000000+K206*1000+(999-ROW()),"")</f>
        <v/>
      </c>
      <c r="AN206" s="40">
        <f>IF(AND(AF206=1,J206&lt;&gt;"",J206&gt;0),(L206+M206)*10000000+ROUND((1-O206)*10000,0)*1000+(999-ROW()),"")</f>
        <v/>
      </c>
      <c r="AO206" s="40">
        <f>IF(AND(AF206=1,Q206&lt;&gt;"",Q206&gt;=Thr_Critical),L206*1000+(999-ROW()),"")</f>
        <v/>
      </c>
      <c r="AP206" s="40">
        <f>IF(AND(B206&lt;&gt;"",F206="نشط",OR(Rpt_Class="الكل",D206=Rpt_Class)),1,0)</f>
        <v/>
      </c>
      <c r="AQ206" s="40">
        <f>IF(AND(AP206=1,Q206&lt;&gt;"",Q206&gt;0),L206*1000+(999-ROW()),"")</f>
        <v/>
      </c>
      <c r="AR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IF(LateAsPresent="نعم",COUNTIFS('KG1-7'!$AD30:$IM30,"متأخر",'KG1-7'!$AD$7:$IM$7,"✓",'KG1-7'!$AD$6:$IM$6,1,'KG1-7'!$AD$5:$IM$5,"&gt;="&amp;MAX('KG1-7'!$U30,Rpt_PStart),'KG1-7'!$AD$5:$IM$5,"&lt;="&amp;Rpt_PEnd),0))</f>
        <v/>
      </c>
      <c r="AS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COUNTIFS('KG1-7'!$AD30:$IM30,"غياب بدون عذر",'KG1-7'!$AD$7:$IM$7,"✓",'KG1-7'!$AD$6:$IM$6,1,'KG1-7'!$AD$5:$IM$5,"&gt;="&amp;MAX('KG1-7'!$U30,Rpt_PStart),'KG1-7'!$AD$5:$IM$5,"&lt;="&amp;Rpt_PEnd)+COUNTIFS('KG1-7'!$AD30:$IM30,"غياب بعذر",'KG1-7'!$AD$7:$IM$7,"✓",'KG1-7'!$AD$6:$IM$6,1,'KG1-7'!$AD$5:$IM$5,"&gt;="&amp;MAX('KG1-7'!$U30,Rpt_PStart),'KG1-7'!$AD$5:$IM$5,"&lt;="&amp;Rpt_PEnd)+COUNTIFS('KG1-7'!$AD30:$IM30,"متأخر",'KG1-7'!$AD$7:$IM$7,"✓",'KG1-7'!$AD$6:$IM$6,1,'KG1-7'!$AD$5:$IM$5,"&gt;="&amp;MAX('KG1-7'!$U30,Rpt_PStart),'KG1-7'!$AD$5:$IM$5,"&lt;="&amp;Rpt_PEnd))</f>
        <v/>
      </c>
      <c r="AT206" s="40">
        <f>IF(AP206=0,"",COUNTIFS('KG1-7'!$AD30:$IM30,"غياب بدون عذر",'KG1-7'!$AD$7:$IM$7,"✓",'KG1-7'!$AD$6:$IM$6,1,'KG1-7'!$AD$5:$IM$5,"&gt;="&amp;MAX('KG1-7'!$U30,Rpt_PStart),'KG1-7'!$AD$5:$IM$5,"&lt;="&amp;Rpt_PEnd)+COUNTIFS('KG1-7'!$AD30:$IM30,"غياب بعذر",'KG1-7'!$AD$7:$IM$7,"✓",'KG1-7'!$AD$6:$IM$6,1,'KG1-7'!$AD$5:$IM$5,"&gt;="&amp;MAX('KG1-7'!$U30,Rpt_PStart),'KG1-7'!$AD$5:$IM$5,"&lt;="&amp;Rpt_PEnd))</f>
        <v/>
      </c>
      <c r="AU206" s="40" t="n">
        <v>7</v>
      </c>
      <c r="AV206" s="40" t="n">
        <v>22</v>
      </c>
      <c r="AW206" s="40">
        <f>IF(OR(AP206=0,Rpt_DayIdx=0),"",IF(INDEX('KG1-7'!$AD$7:$IM$7,Rpt_DayIdx)&lt;&gt;"✓","",IF(INDEX('KG1-7'!$AD30:$IM30,Rpt_DayIdx)="","P",IFERROR(INDEX(StatusCodes,MATCH(INDEX('KG1-7'!$AD30:$IM30,Rpt_DayIdx),StatusLabels,0)),""))))</f>
        <v/>
      </c>
      <c r="AX206" s="40">
        <f>IF(AND(AP206=1,OR(AW206="A",AW206="E")),COUNTIFS($AP$5:AP206,1,$AW$5:AW206,"A")+COUNTIFS($AP$5:AP206,1,$AW$5:AW206,"E"),"")</f>
        <v/>
      </c>
    </row>
    <row r="207">
      <c r="A207" s="148">
        <f>IF(B207="","",ROW()-4)</f>
        <v/>
      </c>
      <c r="B207" s="148">
        <f>IF('KG1-7'!$B31="","",'KG1-7'!$B31)</f>
        <v/>
      </c>
      <c r="C207" s="146">
        <f>IF('KG1-7'!$C31="","",'KG1-7'!$C31)</f>
        <v/>
      </c>
      <c r="D207" s="148">
        <f>IF(B207="","",'KG1-7'!$B$2)</f>
        <v/>
      </c>
      <c r="E207" s="148">
        <f>IF(B207="","",MID(D207,FIND("-",D207&amp;"-")+1,10))</f>
        <v/>
      </c>
      <c r="F207" s="148">
        <f>IF(B207="","","نشط")</f>
        <v/>
      </c>
      <c r="G207" s="157">
        <f>IF(B207="","","")</f>
        <v/>
      </c>
      <c r="H207" s="146">
        <f>IF('KG1-7'!$K31="","",'KG1-7'!$K31)</f>
        <v/>
      </c>
      <c r="I207" s="148">
        <f>IF('KG1-7'!$J31="","",'KG1-7'!$J31)</f>
        <v/>
      </c>
      <c r="J207" s="148">
        <f>IF('KG1-7'!$M31="","",'KG1-7'!$M31)</f>
        <v/>
      </c>
      <c r="K207" s="148">
        <f>IF('KG1-7'!$N31="","",'KG1-7'!$N31)</f>
        <v/>
      </c>
      <c r="L207" s="148">
        <f>IF('KG1-7'!$D31="","",'KG1-7'!$D31)</f>
        <v/>
      </c>
      <c r="M207" s="148">
        <f>IF('KG1-7'!$E31="","",'KG1-7'!$E31)</f>
        <v/>
      </c>
      <c r="N207" s="148">
        <f>IF('KG1-7'!$F31="","",'KG1-7'!$F31)</f>
        <v/>
      </c>
      <c r="O207" s="158">
        <f>IF('KG1-7'!$G31="","",'KG1-7'!$G31)</f>
        <v/>
      </c>
      <c r="P207" s="158">
        <f>IF('KG1-7'!$O31="","",'KG1-7'!$O31)</f>
        <v/>
      </c>
      <c r="Q207" s="148">
        <f>IF('KG1-7'!$T31="","",'KG1-7'!$T31)</f>
        <v/>
      </c>
      <c r="R207" s="146">
        <f>IF('KG1-7'!$H31="","",'KG1-7'!$H31)</f>
        <v/>
      </c>
      <c r="S207" s="157">
        <f>IF('KG1-7'!$P31="","",'KG1-7'!$P31)</f>
        <v/>
      </c>
      <c r="T207" s="157">
        <f>IF('KG1-7'!$V31="","",'KG1-7'!$V31)</f>
        <v/>
      </c>
      <c r="U207" s="157">
        <f>IF('KG1-7'!$W31="","",'KG1-7'!$W31)</f>
        <v/>
      </c>
      <c r="V207" s="157">
        <f>IF('KG1-7'!$X31="","",'KG1-7'!$X31)</f>
        <v/>
      </c>
      <c r="W207" s="157">
        <f>IF('KG1-7'!$Y31="","",'KG1-7'!$Y31)</f>
        <v/>
      </c>
      <c r="X207" s="157">
        <f>IF('KG1-7'!$R31="","",'KG1-7'!$R31)</f>
        <v/>
      </c>
      <c r="Y207" s="148">
        <f>IF('KG1-7'!$S31="","",'KG1-7'!$S31)</f>
        <v/>
      </c>
      <c r="Z207" s="148">
        <f>IF('KG1-7'!$Q31="","",'KG1-7'!$Q31)</f>
        <v/>
      </c>
      <c r="AA207" s="148">
        <f>IF('KG1-7'!$I31="","",'KG1-7'!$I31)</f>
        <v/>
      </c>
      <c r="AB207" s="146">
        <f>IF(Q207="","",INDEX(LevelActions,MATCH(Q207,LevelValues,0)))</f>
        <v/>
      </c>
      <c r="AC207" s="148">
        <f>IF(J207="","",IF(J207=0,"—",IF(AND(L207=0,M207=0),Cat_L1,IF(O207&gt;=Cat_95,Cat_L2,IF(O207&gt;=Cat_90,Cat_L3,Cat_L4)))))</f>
        <v/>
      </c>
      <c r="AD207" s="146">
        <f>IF('KG1-7'!$L31="","",'KG1-7'!$L31)</f>
        <v/>
      </c>
      <c r="AE207" s="148">
        <f>IF(B207="","",IF(COUNTIF($B$5:$B$214,B207)&gt;1,"مكرر!",""))</f>
        <v/>
      </c>
      <c r="AF207" s="148">
        <f>IF(AND(B207&lt;&gt;"",F207="نشط",OR(Dash_Class="الكل",D207=Dash_Class)),1,0)</f>
        <v/>
      </c>
      <c r="AG207" s="40">
        <f>IF(OR(AF207=0,Dash_DayIdx=0),"",IF(INDEX('KG1-7'!$AD$7:$IM$7,Dash_DayIdx)&lt;&gt;"✓","",IF(INDEX('KG1-7'!$AD31:$IM31,Dash_DayIdx)="","P",IFERROR(INDEX(StatusCodes,MATCH(INDEX('KG1-7'!$AD31:$IM31,Dash_DayIdx),StatusLabels,0)),""))))</f>
        <v/>
      </c>
      <c r="AH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IF(LateAsPresent="نعم",COUNTIFS('KG1-7'!$AD31:$IM31,"متأخر",'KG1-7'!$AD$7:$IM$7,"✓",'KG1-7'!$AD$6:$IM$6,1,'KG1-7'!$AD$5:$IM$5,"&gt;="&amp;MAX('KG1-7'!$U31,Dash_PStart),'KG1-7'!$AD$5:$IM$5,"&lt;="&amp;Dash_PEnd),0))</f>
        <v/>
      </c>
      <c r="AI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COUNTIFS('KG1-7'!$AD31:$IM31,"غياب بدون عذر",'KG1-7'!$AD$7:$IM$7,"✓",'KG1-7'!$AD$6:$IM$6,1,'KG1-7'!$AD$5:$IM$5,"&gt;="&amp;MAX('KG1-7'!$U31,Dash_PStart),'KG1-7'!$AD$5:$IM$5,"&lt;="&amp;Dash_PEnd)+COUNTIFS('KG1-7'!$AD31:$IM31,"غياب بعذر",'KG1-7'!$AD$7:$IM$7,"✓",'KG1-7'!$AD$6:$IM$6,1,'KG1-7'!$AD$5:$IM$5,"&gt;="&amp;MAX('KG1-7'!$U31,Dash_PStart),'KG1-7'!$AD$5:$IM$5,"&lt;="&amp;Dash_PEnd)+COUNTIFS('KG1-7'!$AD31:$IM31,"متأخر",'KG1-7'!$AD$7:$IM$7,"✓",'KG1-7'!$AD$6:$IM$6,1,'KG1-7'!$AD$5:$IM$5,"&gt;="&amp;MAX('KG1-7'!$U31,Dash_PStart),'KG1-7'!$AD$5:$IM$5,"&lt;="&amp;Dash_PEnd))</f>
        <v/>
      </c>
      <c r="AJ207" s="40">
        <f>IF(AF207=0,0,IF(W207=Dash_Date,Thr_Critical,IF(V207=Dash_Date,Thr_High,IF(U207=Dash_Date,Thr_Repeated,IF(T207=Dash_Date,Thr_FollowUp,0)))))</f>
        <v/>
      </c>
      <c r="AK207" s="40">
        <f>IF(AJ207&gt;0,COUNTIF($AJ$5:AJ207,"&gt;0"),"")</f>
        <v/>
      </c>
      <c r="AL207" s="40">
        <f>IF(AND(B207&lt;&gt;"",F207="نشط",Q207&lt;&gt;"",Q207&gt;0),L207*1000+(999-ROW()),"")</f>
        <v/>
      </c>
      <c r="AM207" s="40">
        <f>IF(AND(AF207=1,J207&lt;&gt;"",J207&gt;0),ROUND(O207*10000,0)*1000000+K207*1000+(999-ROW()),"")</f>
        <v/>
      </c>
      <c r="AN207" s="40">
        <f>IF(AND(AF207=1,J207&lt;&gt;"",J207&gt;0),(L207+M207)*10000000+ROUND((1-O207)*10000,0)*1000+(999-ROW()),"")</f>
        <v/>
      </c>
      <c r="AO207" s="40">
        <f>IF(AND(AF207=1,Q207&lt;&gt;"",Q207&gt;=Thr_Critical),L207*1000+(999-ROW()),"")</f>
        <v/>
      </c>
      <c r="AP207" s="40">
        <f>IF(AND(B207&lt;&gt;"",F207="نشط",OR(Rpt_Class="الكل",D207=Rpt_Class)),1,0)</f>
        <v/>
      </c>
      <c r="AQ207" s="40">
        <f>IF(AND(AP207=1,Q207&lt;&gt;"",Q207&gt;0),L207*1000+(999-ROW()),"")</f>
        <v/>
      </c>
      <c r="AR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IF(LateAsPresent="نعم",COUNTIFS('KG1-7'!$AD31:$IM31,"متأخر",'KG1-7'!$AD$7:$IM$7,"✓",'KG1-7'!$AD$6:$IM$6,1,'KG1-7'!$AD$5:$IM$5,"&gt;="&amp;MAX('KG1-7'!$U31,Rpt_PStart),'KG1-7'!$AD$5:$IM$5,"&lt;="&amp;Rpt_PEnd),0))</f>
        <v/>
      </c>
      <c r="AS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COUNTIFS('KG1-7'!$AD31:$IM31,"غياب بدون عذر",'KG1-7'!$AD$7:$IM$7,"✓",'KG1-7'!$AD$6:$IM$6,1,'KG1-7'!$AD$5:$IM$5,"&gt;="&amp;MAX('KG1-7'!$U31,Rpt_PStart),'KG1-7'!$AD$5:$IM$5,"&lt;="&amp;Rpt_PEnd)+COUNTIFS('KG1-7'!$AD31:$IM31,"غياب بعذر",'KG1-7'!$AD$7:$IM$7,"✓",'KG1-7'!$AD$6:$IM$6,1,'KG1-7'!$AD$5:$IM$5,"&gt;="&amp;MAX('KG1-7'!$U31,Rpt_PStart),'KG1-7'!$AD$5:$IM$5,"&lt;="&amp;Rpt_PEnd)+COUNTIFS('KG1-7'!$AD31:$IM31,"متأخر",'KG1-7'!$AD$7:$IM$7,"✓",'KG1-7'!$AD$6:$IM$6,1,'KG1-7'!$AD$5:$IM$5,"&gt;="&amp;MAX('KG1-7'!$U31,Rpt_PStart),'KG1-7'!$AD$5:$IM$5,"&lt;="&amp;Rpt_PEnd))</f>
        <v/>
      </c>
      <c r="AT207" s="40">
        <f>IF(AP207=0,"",COUNTIFS('KG1-7'!$AD31:$IM31,"غياب بدون عذر",'KG1-7'!$AD$7:$IM$7,"✓",'KG1-7'!$AD$6:$IM$6,1,'KG1-7'!$AD$5:$IM$5,"&gt;="&amp;MAX('KG1-7'!$U31,Rpt_PStart),'KG1-7'!$AD$5:$IM$5,"&lt;="&amp;Rpt_PEnd)+COUNTIFS('KG1-7'!$AD31:$IM31,"غياب بعذر",'KG1-7'!$AD$7:$IM$7,"✓",'KG1-7'!$AD$6:$IM$6,1,'KG1-7'!$AD$5:$IM$5,"&gt;="&amp;MAX('KG1-7'!$U31,Rpt_PStart),'KG1-7'!$AD$5:$IM$5,"&lt;="&amp;Rpt_PEnd))</f>
        <v/>
      </c>
      <c r="AU207" s="40" t="n">
        <v>7</v>
      </c>
      <c r="AV207" s="40" t="n">
        <v>23</v>
      </c>
      <c r="AW207" s="40">
        <f>IF(OR(AP207=0,Rpt_DayIdx=0),"",IF(INDEX('KG1-7'!$AD$7:$IM$7,Rpt_DayIdx)&lt;&gt;"✓","",IF(INDEX('KG1-7'!$AD31:$IM31,Rpt_DayIdx)="","P",IFERROR(INDEX(StatusCodes,MATCH(INDEX('KG1-7'!$AD31:$IM31,Rpt_DayIdx),StatusLabels,0)),""))))</f>
        <v/>
      </c>
      <c r="AX207" s="40">
        <f>IF(AND(AP207=1,OR(AW207="A",AW207="E")),COUNTIFS($AP$5:AP207,1,$AW$5:AW207,"A")+COUNTIFS($AP$5:AP207,1,$AW$5:AW207,"E"),"")</f>
        <v/>
      </c>
    </row>
    <row r="208">
      <c r="A208" s="148">
        <f>IF(B208="","",ROW()-4)</f>
        <v/>
      </c>
      <c r="B208" s="148">
        <f>IF('KG1-7'!$B32="","",'KG1-7'!$B32)</f>
        <v/>
      </c>
      <c r="C208" s="146">
        <f>IF('KG1-7'!$C32="","",'KG1-7'!$C32)</f>
        <v/>
      </c>
      <c r="D208" s="148">
        <f>IF(B208="","",'KG1-7'!$B$2)</f>
        <v/>
      </c>
      <c r="E208" s="148">
        <f>IF(B208="","",MID(D208,FIND("-",D208&amp;"-")+1,10))</f>
        <v/>
      </c>
      <c r="F208" s="148">
        <f>IF(B208="","","نشط")</f>
        <v/>
      </c>
      <c r="G208" s="157">
        <f>IF(B208="","","")</f>
        <v/>
      </c>
      <c r="H208" s="146">
        <f>IF('KG1-7'!$K32="","",'KG1-7'!$K32)</f>
        <v/>
      </c>
      <c r="I208" s="148">
        <f>IF('KG1-7'!$J32="","",'KG1-7'!$J32)</f>
        <v/>
      </c>
      <c r="J208" s="148">
        <f>IF('KG1-7'!$M32="","",'KG1-7'!$M32)</f>
        <v/>
      </c>
      <c r="K208" s="148">
        <f>IF('KG1-7'!$N32="","",'KG1-7'!$N32)</f>
        <v/>
      </c>
      <c r="L208" s="148">
        <f>IF('KG1-7'!$D32="","",'KG1-7'!$D32)</f>
        <v/>
      </c>
      <c r="M208" s="148">
        <f>IF('KG1-7'!$E32="","",'KG1-7'!$E32)</f>
        <v/>
      </c>
      <c r="N208" s="148">
        <f>IF('KG1-7'!$F32="","",'KG1-7'!$F32)</f>
        <v/>
      </c>
      <c r="O208" s="158">
        <f>IF('KG1-7'!$G32="","",'KG1-7'!$G32)</f>
        <v/>
      </c>
      <c r="P208" s="158">
        <f>IF('KG1-7'!$O32="","",'KG1-7'!$O32)</f>
        <v/>
      </c>
      <c r="Q208" s="148">
        <f>IF('KG1-7'!$T32="","",'KG1-7'!$T32)</f>
        <v/>
      </c>
      <c r="R208" s="146">
        <f>IF('KG1-7'!$H32="","",'KG1-7'!$H32)</f>
        <v/>
      </c>
      <c r="S208" s="157">
        <f>IF('KG1-7'!$P32="","",'KG1-7'!$P32)</f>
        <v/>
      </c>
      <c r="T208" s="157">
        <f>IF('KG1-7'!$V32="","",'KG1-7'!$V32)</f>
        <v/>
      </c>
      <c r="U208" s="157">
        <f>IF('KG1-7'!$W32="","",'KG1-7'!$W32)</f>
        <v/>
      </c>
      <c r="V208" s="157">
        <f>IF('KG1-7'!$X32="","",'KG1-7'!$X32)</f>
        <v/>
      </c>
      <c r="W208" s="157">
        <f>IF('KG1-7'!$Y32="","",'KG1-7'!$Y32)</f>
        <v/>
      </c>
      <c r="X208" s="157">
        <f>IF('KG1-7'!$R32="","",'KG1-7'!$R32)</f>
        <v/>
      </c>
      <c r="Y208" s="148">
        <f>IF('KG1-7'!$S32="","",'KG1-7'!$S32)</f>
        <v/>
      </c>
      <c r="Z208" s="148">
        <f>IF('KG1-7'!$Q32="","",'KG1-7'!$Q32)</f>
        <v/>
      </c>
      <c r="AA208" s="148">
        <f>IF('KG1-7'!$I32="","",'KG1-7'!$I32)</f>
        <v/>
      </c>
      <c r="AB208" s="146">
        <f>IF(Q208="","",INDEX(LevelActions,MATCH(Q208,LevelValues,0)))</f>
        <v/>
      </c>
      <c r="AC208" s="148">
        <f>IF(J208="","",IF(J208=0,"—",IF(AND(L208=0,M208=0),Cat_L1,IF(O208&gt;=Cat_95,Cat_L2,IF(O208&gt;=Cat_90,Cat_L3,Cat_L4)))))</f>
        <v/>
      </c>
      <c r="AD208" s="146">
        <f>IF('KG1-7'!$L32="","",'KG1-7'!$L32)</f>
        <v/>
      </c>
      <c r="AE208" s="148">
        <f>IF(B208="","",IF(COUNTIF($B$5:$B$214,B208)&gt;1,"مكرر!",""))</f>
        <v/>
      </c>
      <c r="AF208" s="148">
        <f>IF(AND(B208&lt;&gt;"",F208="نشط",OR(Dash_Class="الكل",D208=Dash_Class)),1,0)</f>
        <v/>
      </c>
      <c r="AG208" s="40">
        <f>IF(OR(AF208=0,Dash_DayIdx=0),"",IF(INDEX('KG1-7'!$AD$7:$IM$7,Dash_DayIdx)&lt;&gt;"✓","",IF(INDEX('KG1-7'!$AD32:$IM32,Dash_DayIdx)="","P",IFERROR(INDEX(StatusCodes,MATCH(INDEX('KG1-7'!$AD32:$IM32,Dash_DayIdx),StatusLabels,0)),""))))</f>
        <v/>
      </c>
      <c r="AH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IF(LateAsPresent="نعم",COUNTIFS('KG1-7'!$AD32:$IM32,"متأخر",'KG1-7'!$AD$7:$IM$7,"✓",'KG1-7'!$AD$6:$IM$6,1,'KG1-7'!$AD$5:$IM$5,"&gt;="&amp;MAX('KG1-7'!$U32,Dash_PStart),'KG1-7'!$AD$5:$IM$5,"&lt;="&amp;Dash_PEnd),0))</f>
        <v/>
      </c>
      <c r="AI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COUNTIFS('KG1-7'!$AD32:$IM32,"غياب بدون عذر",'KG1-7'!$AD$7:$IM$7,"✓",'KG1-7'!$AD$6:$IM$6,1,'KG1-7'!$AD$5:$IM$5,"&gt;="&amp;MAX('KG1-7'!$U32,Dash_PStart),'KG1-7'!$AD$5:$IM$5,"&lt;="&amp;Dash_PEnd)+COUNTIFS('KG1-7'!$AD32:$IM32,"غياب بعذر",'KG1-7'!$AD$7:$IM$7,"✓",'KG1-7'!$AD$6:$IM$6,1,'KG1-7'!$AD$5:$IM$5,"&gt;="&amp;MAX('KG1-7'!$U32,Dash_PStart),'KG1-7'!$AD$5:$IM$5,"&lt;="&amp;Dash_PEnd)+COUNTIFS('KG1-7'!$AD32:$IM32,"متأخر",'KG1-7'!$AD$7:$IM$7,"✓",'KG1-7'!$AD$6:$IM$6,1,'KG1-7'!$AD$5:$IM$5,"&gt;="&amp;MAX('KG1-7'!$U32,Dash_PStart),'KG1-7'!$AD$5:$IM$5,"&lt;="&amp;Dash_PEnd))</f>
        <v/>
      </c>
      <c r="AJ208" s="40">
        <f>IF(AF208=0,0,IF(W208=Dash_Date,Thr_Critical,IF(V208=Dash_Date,Thr_High,IF(U208=Dash_Date,Thr_Repeated,IF(T208=Dash_Date,Thr_FollowUp,0)))))</f>
        <v/>
      </c>
      <c r="AK208" s="40">
        <f>IF(AJ208&gt;0,COUNTIF($AJ$5:AJ208,"&gt;0"),"")</f>
        <v/>
      </c>
      <c r="AL208" s="40">
        <f>IF(AND(B208&lt;&gt;"",F208="نشط",Q208&lt;&gt;"",Q208&gt;0),L208*1000+(999-ROW()),"")</f>
        <v/>
      </c>
      <c r="AM208" s="40">
        <f>IF(AND(AF208=1,J208&lt;&gt;"",J208&gt;0),ROUND(O208*10000,0)*1000000+K208*1000+(999-ROW()),"")</f>
        <v/>
      </c>
      <c r="AN208" s="40">
        <f>IF(AND(AF208=1,J208&lt;&gt;"",J208&gt;0),(L208+M208)*10000000+ROUND((1-O208)*10000,0)*1000+(999-ROW()),"")</f>
        <v/>
      </c>
      <c r="AO208" s="40">
        <f>IF(AND(AF208=1,Q208&lt;&gt;"",Q208&gt;=Thr_Critical),L208*1000+(999-ROW()),"")</f>
        <v/>
      </c>
      <c r="AP208" s="40">
        <f>IF(AND(B208&lt;&gt;"",F208="نشط",OR(Rpt_Class="الكل",D208=Rpt_Class)),1,0)</f>
        <v/>
      </c>
      <c r="AQ208" s="40">
        <f>IF(AND(AP208=1,Q208&lt;&gt;"",Q208&gt;0),L208*1000+(999-ROW()),"")</f>
        <v/>
      </c>
      <c r="AR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IF(LateAsPresent="نعم",COUNTIFS('KG1-7'!$AD32:$IM32,"متأخر",'KG1-7'!$AD$7:$IM$7,"✓",'KG1-7'!$AD$6:$IM$6,1,'KG1-7'!$AD$5:$IM$5,"&gt;="&amp;MAX('KG1-7'!$U32,Rpt_PStart),'KG1-7'!$AD$5:$IM$5,"&lt;="&amp;Rpt_PEnd),0))</f>
        <v/>
      </c>
      <c r="AS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COUNTIFS('KG1-7'!$AD32:$IM32,"غياب بدون عذر",'KG1-7'!$AD$7:$IM$7,"✓",'KG1-7'!$AD$6:$IM$6,1,'KG1-7'!$AD$5:$IM$5,"&gt;="&amp;MAX('KG1-7'!$U32,Rpt_PStart),'KG1-7'!$AD$5:$IM$5,"&lt;="&amp;Rpt_PEnd)+COUNTIFS('KG1-7'!$AD32:$IM32,"غياب بعذر",'KG1-7'!$AD$7:$IM$7,"✓",'KG1-7'!$AD$6:$IM$6,1,'KG1-7'!$AD$5:$IM$5,"&gt;="&amp;MAX('KG1-7'!$U32,Rpt_PStart),'KG1-7'!$AD$5:$IM$5,"&lt;="&amp;Rpt_PEnd)+COUNTIFS('KG1-7'!$AD32:$IM32,"متأخر",'KG1-7'!$AD$7:$IM$7,"✓",'KG1-7'!$AD$6:$IM$6,1,'KG1-7'!$AD$5:$IM$5,"&gt;="&amp;MAX('KG1-7'!$U32,Rpt_PStart),'KG1-7'!$AD$5:$IM$5,"&lt;="&amp;Rpt_PEnd))</f>
        <v/>
      </c>
      <c r="AT208" s="40">
        <f>IF(AP208=0,"",COUNTIFS('KG1-7'!$AD32:$IM32,"غياب بدون عذر",'KG1-7'!$AD$7:$IM$7,"✓",'KG1-7'!$AD$6:$IM$6,1,'KG1-7'!$AD$5:$IM$5,"&gt;="&amp;MAX('KG1-7'!$U32,Rpt_PStart),'KG1-7'!$AD$5:$IM$5,"&lt;="&amp;Rpt_PEnd)+COUNTIFS('KG1-7'!$AD32:$IM32,"غياب بعذر",'KG1-7'!$AD$7:$IM$7,"✓",'KG1-7'!$AD$6:$IM$6,1,'KG1-7'!$AD$5:$IM$5,"&gt;="&amp;MAX('KG1-7'!$U32,Rpt_PStart),'KG1-7'!$AD$5:$IM$5,"&lt;="&amp;Rpt_PEnd))</f>
        <v/>
      </c>
      <c r="AU208" s="40" t="n">
        <v>7</v>
      </c>
      <c r="AV208" s="40" t="n">
        <v>24</v>
      </c>
      <c r="AW208" s="40">
        <f>IF(OR(AP208=0,Rpt_DayIdx=0),"",IF(INDEX('KG1-7'!$AD$7:$IM$7,Rpt_DayIdx)&lt;&gt;"✓","",IF(INDEX('KG1-7'!$AD32:$IM32,Rpt_DayIdx)="","P",IFERROR(INDEX(StatusCodes,MATCH(INDEX('KG1-7'!$AD32:$IM32,Rpt_DayIdx),StatusLabels,0)),""))))</f>
        <v/>
      </c>
      <c r="AX208" s="40">
        <f>IF(AND(AP208=1,OR(AW208="A",AW208="E")),COUNTIFS($AP$5:AP208,1,$AW$5:AW208,"A")+COUNTIFS($AP$5:AP208,1,$AW$5:AW208,"E"),"")</f>
        <v/>
      </c>
    </row>
    <row r="209">
      <c r="A209" s="148">
        <f>IF(B209="","",ROW()-4)</f>
        <v/>
      </c>
      <c r="B209" s="148">
        <f>IF('KG1-7'!$B33="","",'KG1-7'!$B33)</f>
        <v/>
      </c>
      <c r="C209" s="146">
        <f>IF('KG1-7'!$C33="","",'KG1-7'!$C33)</f>
        <v/>
      </c>
      <c r="D209" s="148">
        <f>IF(B209="","",'KG1-7'!$B$2)</f>
        <v/>
      </c>
      <c r="E209" s="148">
        <f>IF(B209="","",MID(D209,FIND("-",D209&amp;"-")+1,10))</f>
        <v/>
      </c>
      <c r="F209" s="148">
        <f>IF(B209="","","نشط")</f>
        <v/>
      </c>
      <c r="G209" s="157">
        <f>IF(B209="","","")</f>
        <v/>
      </c>
      <c r="H209" s="146">
        <f>IF('KG1-7'!$K33="","",'KG1-7'!$K33)</f>
        <v/>
      </c>
      <c r="I209" s="148">
        <f>IF('KG1-7'!$J33="","",'KG1-7'!$J33)</f>
        <v/>
      </c>
      <c r="J209" s="148">
        <f>IF('KG1-7'!$M33="","",'KG1-7'!$M33)</f>
        <v/>
      </c>
      <c r="K209" s="148">
        <f>IF('KG1-7'!$N33="","",'KG1-7'!$N33)</f>
        <v/>
      </c>
      <c r="L209" s="148">
        <f>IF('KG1-7'!$D33="","",'KG1-7'!$D33)</f>
        <v/>
      </c>
      <c r="M209" s="148">
        <f>IF('KG1-7'!$E33="","",'KG1-7'!$E33)</f>
        <v/>
      </c>
      <c r="N209" s="148">
        <f>IF('KG1-7'!$F33="","",'KG1-7'!$F33)</f>
        <v/>
      </c>
      <c r="O209" s="158">
        <f>IF('KG1-7'!$G33="","",'KG1-7'!$G33)</f>
        <v/>
      </c>
      <c r="P209" s="158">
        <f>IF('KG1-7'!$O33="","",'KG1-7'!$O33)</f>
        <v/>
      </c>
      <c r="Q209" s="148">
        <f>IF('KG1-7'!$T33="","",'KG1-7'!$T33)</f>
        <v/>
      </c>
      <c r="R209" s="146">
        <f>IF('KG1-7'!$H33="","",'KG1-7'!$H33)</f>
        <v/>
      </c>
      <c r="S209" s="157">
        <f>IF('KG1-7'!$P33="","",'KG1-7'!$P33)</f>
        <v/>
      </c>
      <c r="T209" s="157">
        <f>IF('KG1-7'!$V33="","",'KG1-7'!$V33)</f>
        <v/>
      </c>
      <c r="U209" s="157">
        <f>IF('KG1-7'!$W33="","",'KG1-7'!$W33)</f>
        <v/>
      </c>
      <c r="V209" s="157">
        <f>IF('KG1-7'!$X33="","",'KG1-7'!$X33)</f>
        <v/>
      </c>
      <c r="W209" s="157">
        <f>IF('KG1-7'!$Y33="","",'KG1-7'!$Y33)</f>
        <v/>
      </c>
      <c r="X209" s="157">
        <f>IF('KG1-7'!$R33="","",'KG1-7'!$R33)</f>
        <v/>
      </c>
      <c r="Y209" s="148">
        <f>IF('KG1-7'!$S33="","",'KG1-7'!$S33)</f>
        <v/>
      </c>
      <c r="Z209" s="148">
        <f>IF('KG1-7'!$Q33="","",'KG1-7'!$Q33)</f>
        <v/>
      </c>
      <c r="AA209" s="148">
        <f>IF('KG1-7'!$I33="","",'KG1-7'!$I33)</f>
        <v/>
      </c>
      <c r="AB209" s="146">
        <f>IF(Q209="","",INDEX(LevelActions,MATCH(Q209,LevelValues,0)))</f>
        <v/>
      </c>
      <c r="AC209" s="148">
        <f>IF(J209="","",IF(J209=0,"—",IF(AND(L209=0,M209=0),Cat_L1,IF(O209&gt;=Cat_95,Cat_L2,IF(O209&gt;=Cat_90,Cat_L3,Cat_L4)))))</f>
        <v/>
      </c>
      <c r="AD209" s="146">
        <f>IF('KG1-7'!$L33="","",'KG1-7'!$L33)</f>
        <v/>
      </c>
      <c r="AE209" s="148">
        <f>IF(B209="","",IF(COUNTIF($B$5:$B$214,B209)&gt;1,"مكرر!",""))</f>
        <v/>
      </c>
      <c r="AF209" s="148">
        <f>IF(AND(B209&lt;&gt;"",F209="نشط",OR(Dash_Class="الكل",D209=Dash_Class)),1,0)</f>
        <v/>
      </c>
      <c r="AG209" s="40">
        <f>IF(OR(AF209=0,Dash_DayIdx=0),"",IF(INDEX('KG1-7'!$AD$7:$IM$7,Dash_DayIdx)&lt;&gt;"✓","",IF(INDEX('KG1-7'!$AD33:$IM33,Dash_DayIdx)="","P",IFERROR(INDEX(StatusCodes,MATCH(INDEX('KG1-7'!$AD33:$IM33,Dash_DayIdx),StatusLabels,0)),""))))</f>
        <v/>
      </c>
      <c r="AH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IF(LateAsPresent="نعم",COUNTIFS('KG1-7'!$AD33:$IM33,"متأخر",'KG1-7'!$AD$7:$IM$7,"✓",'KG1-7'!$AD$6:$IM$6,1,'KG1-7'!$AD$5:$IM$5,"&gt;="&amp;MAX('KG1-7'!$U33,Dash_PStart),'KG1-7'!$AD$5:$IM$5,"&lt;="&amp;Dash_PEnd),0))</f>
        <v/>
      </c>
      <c r="AI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COUNTIFS('KG1-7'!$AD33:$IM33,"غياب بدون عذر",'KG1-7'!$AD$7:$IM$7,"✓",'KG1-7'!$AD$6:$IM$6,1,'KG1-7'!$AD$5:$IM$5,"&gt;="&amp;MAX('KG1-7'!$U33,Dash_PStart),'KG1-7'!$AD$5:$IM$5,"&lt;="&amp;Dash_PEnd)+COUNTIFS('KG1-7'!$AD33:$IM33,"غياب بعذر",'KG1-7'!$AD$7:$IM$7,"✓",'KG1-7'!$AD$6:$IM$6,1,'KG1-7'!$AD$5:$IM$5,"&gt;="&amp;MAX('KG1-7'!$U33,Dash_PStart),'KG1-7'!$AD$5:$IM$5,"&lt;="&amp;Dash_PEnd)+COUNTIFS('KG1-7'!$AD33:$IM33,"متأخر",'KG1-7'!$AD$7:$IM$7,"✓",'KG1-7'!$AD$6:$IM$6,1,'KG1-7'!$AD$5:$IM$5,"&gt;="&amp;MAX('KG1-7'!$U33,Dash_PStart),'KG1-7'!$AD$5:$IM$5,"&lt;="&amp;Dash_PEnd))</f>
        <v/>
      </c>
      <c r="AJ209" s="40">
        <f>IF(AF209=0,0,IF(W209=Dash_Date,Thr_Critical,IF(V209=Dash_Date,Thr_High,IF(U209=Dash_Date,Thr_Repeated,IF(T209=Dash_Date,Thr_FollowUp,0)))))</f>
        <v/>
      </c>
      <c r="AK209" s="40">
        <f>IF(AJ209&gt;0,COUNTIF($AJ$5:AJ209,"&gt;0"),"")</f>
        <v/>
      </c>
      <c r="AL209" s="40">
        <f>IF(AND(B209&lt;&gt;"",F209="نشط",Q209&lt;&gt;"",Q209&gt;0),L209*1000+(999-ROW()),"")</f>
        <v/>
      </c>
      <c r="AM209" s="40">
        <f>IF(AND(AF209=1,J209&lt;&gt;"",J209&gt;0),ROUND(O209*10000,0)*1000000+K209*1000+(999-ROW()),"")</f>
        <v/>
      </c>
      <c r="AN209" s="40">
        <f>IF(AND(AF209=1,J209&lt;&gt;"",J209&gt;0),(L209+M209)*10000000+ROUND((1-O209)*10000,0)*1000+(999-ROW()),"")</f>
        <v/>
      </c>
      <c r="AO209" s="40">
        <f>IF(AND(AF209=1,Q209&lt;&gt;"",Q209&gt;=Thr_Critical),L209*1000+(999-ROW()),"")</f>
        <v/>
      </c>
      <c r="AP209" s="40">
        <f>IF(AND(B209&lt;&gt;"",F209="نشط",OR(Rpt_Class="الكل",D209=Rpt_Class)),1,0)</f>
        <v/>
      </c>
      <c r="AQ209" s="40">
        <f>IF(AND(AP209=1,Q209&lt;&gt;"",Q209&gt;0),L209*1000+(999-ROW()),"")</f>
        <v/>
      </c>
      <c r="AR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IF(LateAsPresent="نعم",COUNTIFS('KG1-7'!$AD33:$IM33,"متأخر",'KG1-7'!$AD$7:$IM$7,"✓",'KG1-7'!$AD$6:$IM$6,1,'KG1-7'!$AD$5:$IM$5,"&gt;="&amp;MAX('KG1-7'!$U33,Rpt_PStart),'KG1-7'!$AD$5:$IM$5,"&lt;="&amp;Rpt_PEnd),0))</f>
        <v/>
      </c>
      <c r="AS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COUNTIFS('KG1-7'!$AD33:$IM33,"غياب بدون عذر",'KG1-7'!$AD$7:$IM$7,"✓",'KG1-7'!$AD$6:$IM$6,1,'KG1-7'!$AD$5:$IM$5,"&gt;="&amp;MAX('KG1-7'!$U33,Rpt_PStart),'KG1-7'!$AD$5:$IM$5,"&lt;="&amp;Rpt_PEnd)+COUNTIFS('KG1-7'!$AD33:$IM33,"غياب بعذر",'KG1-7'!$AD$7:$IM$7,"✓",'KG1-7'!$AD$6:$IM$6,1,'KG1-7'!$AD$5:$IM$5,"&gt;="&amp;MAX('KG1-7'!$U33,Rpt_PStart),'KG1-7'!$AD$5:$IM$5,"&lt;="&amp;Rpt_PEnd)+COUNTIFS('KG1-7'!$AD33:$IM33,"متأخر",'KG1-7'!$AD$7:$IM$7,"✓",'KG1-7'!$AD$6:$IM$6,1,'KG1-7'!$AD$5:$IM$5,"&gt;="&amp;MAX('KG1-7'!$U33,Rpt_PStart),'KG1-7'!$AD$5:$IM$5,"&lt;="&amp;Rpt_PEnd))</f>
        <v/>
      </c>
      <c r="AT209" s="40">
        <f>IF(AP209=0,"",COUNTIFS('KG1-7'!$AD33:$IM33,"غياب بدون عذر",'KG1-7'!$AD$7:$IM$7,"✓",'KG1-7'!$AD$6:$IM$6,1,'KG1-7'!$AD$5:$IM$5,"&gt;="&amp;MAX('KG1-7'!$U33,Rpt_PStart),'KG1-7'!$AD$5:$IM$5,"&lt;="&amp;Rpt_PEnd)+COUNTIFS('KG1-7'!$AD33:$IM33,"غياب بعذر",'KG1-7'!$AD$7:$IM$7,"✓",'KG1-7'!$AD$6:$IM$6,1,'KG1-7'!$AD$5:$IM$5,"&gt;="&amp;MAX('KG1-7'!$U33,Rpt_PStart),'KG1-7'!$AD$5:$IM$5,"&lt;="&amp;Rpt_PEnd))</f>
        <v/>
      </c>
      <c r="AU209" s="40" t="n">
        <v>7</v>
      </c>
      <c r="AV209" s="40" t="n">
        <v>25</v>
      </c>
      <c r="AW209" s="40">
        <f>IF(OR(AP209=0,Rpt_DayIdx=0),"",IF(INDEX('KG1-7'!$AD$7:$IM$7,Rpt_DayIdx)&lt;&gt;"✓","",IF(INDEX('KG1-7'!$AD33:$IM33,Rpt_DayIdx)="","P",IFERROR(INDEX(StatusCodes,MATCH(INDEX('KG1-7'!$AD33:$IM33,Rpt_DayIdx),StatusLabels,0)),""))))</f>
        <v/>
      </c>
      <c r="AX209" s="40">
        <f>IF(AND(AP209=1,OR(AW209="A",AW209="E")),COUNTIFS($AP$5:AP209,1,$AW$5:AW209,"A")+COUNTIFS($AP$5:AP209,1,$AW$5:AW209,"E"),"")</f>
        <v/>
      </c>
    </row>
    <row r="210">
      <c r="A210" s="148">
        <f>IF(B210="","",ROW()-4)</f>
        <v/>
      </c>
      <c r="B210" s="148">
        <f>IF('KG1-7'!$B34="","",'KG1-7'!$B34)</f>
        <v/>
      </c>
      <c r="C210" s="146">
        <f>IF('KG1-7'!$C34="","",'KG1-7'!$C34)</f>
        <v/>
      </c>
      <c r="D210" s="148">
        <f>IF(B210="","",'KG1-7'!$B$2)</f>
        <v/>
      </c>
      <c r="E210" s="148">
        <f>IF(B210="","",MID(D210,FIND("-",D210&amp;"-")+1,10))</f>
        <v/>
      </c>
      <c r="F210" s="148">
        <f>IF(B210="","","نشط")</f>
        <v/>
      </c>
      <c r="G210" s="157">
        <f>IF(B210="","","")</f>
        <v/>
      </c>
      <c r="H210" s="146">
        <f>IF('KG1-7'!$K34="","",'KG1-7'!$K34)</f>
        <v/>
      </c>
      <c r="I210" s="148">
        <f>IF('KG1-7'!$J34="","",'KG1-7'!$J34)</f>
        <v/>
      </c>
      <c r="J210" s="148">
        <f>IF('KG1-7'!$M34="","",'KG1-7'!$M34)</f>
        <v/>
      </c>
      <c r="K210" s="148">
        <f>IF('KG1-7'!$N34="","",'KG1-7'!$N34)</f>
        <v/>
      </c>
      <c r="L210" s="148">
        <f>IF('KG1-7'!$D34="","",'KG1-7'!$D34)</f>
        <v/>
      </c>
      <c r="M210" s="148">
        <f>IF('KG1-7'!$E34="","",'KG1-7'!$E34)</f>
        <v/>
      </c>
      <c r="N210" s="148">
        <f>IF('KG1-7'!$F34="","",'KG1-7'!$F34)</f>
        <v/>
      </c>
      <c r="O210" s="158">
        <f>IF('KG1-7'!$G34="","",'KG1-7'!$G34)</f>
        <v/>
      </c>
      <c r="P210" s="158">
        <f>IF('KG1-7'!$O34="","",'KG1-7'!$O34)</f>
        <v/>
      </c>
      <c r="Q210" s="148">
        <f>IF('KG1-7'!$T34="","",'KG1-7'!$T34)</f>
        <v/>
      </c>
      <c r="R210" s="146">
        <f>IF('KG1-7'!$H34="","",'KG1-7'!$H34)</f>
        <v/>
      </c>
      <c r="S210" s="157">
        <f>IF('KG1-7'!$P34="","",'KG1-7'!$P34)</f>
        <v/>
      </c>
      <c r="T210" s="157">
        <f>IF('KG1-7'!$V34="","",'KG1-7'!$V34)</f>
        <v/>
      </c>
      <c r="U210" s="157">
        <f>IF('KG1-7'!$W34="","",'KG1-7'!$W34)</f>
        <v/>
      </c>
      <c r="V210" s="157">
        <f>IF('KG1-7'!$X34="","",'KG1-7'!$X34)</f>
        <v/>
      </c>
      <c r="W210" s="157">
        <f>IF('KG1-7'!$Y34="","",'KG1-7'!$Y34)</f>
        <v/>
      </c>
      <c r="X210" s="157">
        <f>IF('KG1-7'!$R34="","",'KG1-7'!$R34)</f>
        <v/>
      </c>
      <c r="Y210" s="148">
        <f>IF('KG1-7'!$S34="","",'KG1-7'!$S34)</f>
        <v/>
      </c>
      <c r="Z210" s="148">
        <f>IF('KG1-7'!$Q34="","",'KG1-7'!$Q34)</f>
        <v/>
      </c>
      <c r="AA210" s="148">
        <f>IF('KG1-7'!$I34="","",'KG1-7'!$I34)</f>
        <v/>
      </c>
      <c r="AB210" s="146">
        <f>IF(Q210="","",INDEX(LevelActions,MATCH(Q210,LevelValues,0)))</f>
        <v/>
      </c>
      <c r="AC210" s="148">
        <f>IF(J210="","",IF(J210=0,"—",IF(AND(L210=0,M210=0),Cat_L1,IF(O210&gt;=Cat_95,Cat_L2,IF(O210&gt;=Cat_90,Cat_L3,Cat_L4)))))</f>
        <v/>
      </c>
      <c r="AD210" s="146">
        <f>IF('KG1-7'!$L34="","",'KG1-7'!$L34)</f>
        <v/>
      </c>
      <c r="AE210" s="148">
        <f>IF(B210="","",IF(COUNTIF($B$5:$B$214,B210)&gt;1,"مكرر!",""))</f>
        <v/>
      </c>
      <c r="AF210" s="148">
        <f>IF(AND(B210&lt;&gt;"",F210="نشط",OR(Dash_Class="الكل",D210=Dash_Class)),1,0)</f>
        <v/>
      </c>
      <c r="AG210" s="40">
        <f>IF(OR(AF210=0,Dash_DayIdx=0),"",IF(INDEX('KG1-7'!$AD$7:$IM$7,Dash_DayIdx)&lt;&gt;"✓","",IF(INDEX('KG1-7'!$AD34:$IM34,Dash_DayIdx)="","P",IFERROR(INDEX(StatusCodes,MATCH(INDEX('KG1-7'!$AD34:$IM34,Dash_DayIdx),StatusLabels,0)),""))))</f>
        <v/>
      </c>
      <c r="AH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IF(LateAsPresent="نعم",COUNTIFS('KG1-7'!$AD34:$IM34,"متأخر",'KG1-7'!$AD$7:$IM$7,"✓",'KG1-7'!$AD$6:$IM$6,1,'KG1-7'!$AD$5:$IM$5,"&gt;="&amp;MAX('KG1-7'!$U34,Dash_PStart),'KG1-7'!$AD$5:$IM$5,"&lt;="&amp;Dash_PEnd),0))</f>
        <v/>
      </c>
      <c r="AI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COUNTIFS('KG1-7'!$AD34:$IM34,"غياب بدون عذر",'KG1-7'!$AD$7:$IM$7,"✓",'KG1-7'!$AD$6:$IM$6,1,'KG1-7'!$AD$5:$IM$5,"&gt;="&amp;MAX('KG1-7'!$U34,Dash_PStart),'KG1-7'!$AD$5:$IM$5,"&lt;="&amp;Dash_PEnd)+COUNTIFS('KG1-7'!$AD34:$IM34,"غياب بعذر",'KG1-7'!$AD$7:$IM$7,"✓",'KG1-7'!$AD$6:$IM$6,1,'KG1-7'!$AD$5:$IM$5,"&gt;="&amp;MAX('KG1-7'!$U34,Dash_PStart),'KG1-7'!$AD$5:$IM$5,"&lt;="&amp;Dash_PEnd)+COUNTIFS('KG1-7'!$AD34:$IM34,"متأخر",'KG1-7'!$AD$7:$IM$7,"✓",'KG1-7'!$AD$6:$IM$6,1,'KG1-7'!$AD$5:$IM$5,"&gt;="&amp;MAX('KG1-7'!$U34,Dash_PStart),'KG1-7'!$AD$5:$IM$5,"&lt;="&amp;Dash_PEnd))</f>
        <v/>
      </c>
      <c r="AJ210" s="40">
        <f>IF(AF210=0,0,IF(W210=Dash_Date,Thr_Critical,IF(V210=Dash_Date,Thr_High,IF(U210=Dash_Date,Thr_Repeated,IF(T210=Dash_Date,Thr_FollowUp,0)))))</f>
        <v/>
      </c>
      <c r="AK210" s="40">
        <f>IF(AJ210&gt;0,COUNTIF($AJ$5:AJ210,"&gt;0"),"")</f>
        <v/>
      </c>
      <c r="AL210" s="40">
        <f>IF(AND(B210&lt;&gt;"",F210="نشط",Q210&lt;&gt;"",Q210&gt;0),L210*1000+(999-ROW()),"")</f>
        <v/>
      </c>
      <c r="AM210" s="40">
        <f>IF(AND(AF210=1,J210&lt;&gt;"",J210&gt;0),ROUND(O210*10000,0)*1000000+K210*1000+(999-ROW()),"")</f>
        <v/>
      </c>
      <c r="AN210" s="40">
        <f>IF(AND(AF210=1,J210&lt;&gt;"",J210&gt;0),(L210+M210)*10000000+ROUND((1-O210)*10000,0)*1000+(999-ROW()),"")</f>
        <v/>
      </c>
      <c r="AO210" s="40">
        <f>IF(AND(AF210=1,Q210&lt;&gt;"",Q210&gt;=Thr_Critical),L210*1000+(999-ROW()),"")</f>
        <v/>
      </c>
      <c r="AP210" s="40">
        <f>IF(AND(B210&lt;&gt;"",F210="نشط",OR(Rpt_Class="الكل",D210=Rpt_Class)),1,0)</f>
        <v/>
      </c>
      <c r="AQ210" s="40">
        <f>IF(AND(AP210=1,Q210&lt;&gt;"",Q210&gt;0),L210*1000+(999-ROW()),"")</f>
        <v/>
      </c>
      <c r="AR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IF(LateAsPresent="نعم",COUNTIFS('KG1-7'!$AD34:$IM34,"متأخر",'KG1-7'!$AD$7:$IM$7,"✓",'KG1-7'!$AD$6:$IM$6,1,'KG1-7'!$AD$5:$IM$5,"&gt;="&amp;MAX('KG1-7'!$U34,Rpt_PStart),'KG1-7'!$AD$5:$IM$5,"&lt;="&amp;Rpt_PEnd),0))</f>
        <v/>
      </c>
      <c r="AS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COUNTIFS('KG1-7'!$AD34:$IM34,"غياب بدون عذر",'KG1-7'!$AD$7:$IM$7,"✓",'KG1-7'!$AD$6:$IM$6,1,'KG1-7'!$AD$5:$IM$5,"&gt;="&amp;MAX('KG1-7'!$U34,Rpt_PStart),'KG1-7'!$AD$5:$IM$5,"&lt;="&amp;Rpt_PEnd)+COUNTIFS('KG1-7'!$AD34:$IM34,"غياب بعذر",'KG1-7'!$AD$7:$IM$7,"✓",'KG1-7'!$AD$6:$IM$6,1,'KG1-7'!$AD$5:$IM$5,"&gt;="&amp;MAX('KG1-7'!$U34,Rpt_PStart),'KG1-7'!$AD$5:$IM$5,"&lt;="&amp;Rpt_PEnd)+COUNTIFS('KG1-7'!$AD34:$IM34,"متأخر",'KG1-7'!$AD$7:$IM$7,"✓",'KG1-7'!$AD$6:$IM$6,1,'KG1-7'!$AD$5:$IM$5,"&gt;="&amp;MAX('KG1-7'!$U34,Rpt_PStart),'KG1-7'!$AD$5:$IM$5,"&lt;="&amp;Rpt_PEnd))</f>
        <v/>
      </c>
      <c r="AT210" s="40">
        <f>IF(AP210=0,"",COUNTIFS('KG1-7'!$AD34:$IM34,"غياب بدون عذر",'KG1-7'!$AD$7:$IM$7,"✓",'KG1-7'!$AD$6:$IM$6,1,'KG1-7'!$AD$5:$IM$5,"&gt;="&amp;MAX('KG1-7'!$U34,Rpt_PStart),'KG1-7'!$AD$5:$IM$5,"&lt;="&amp;Rpt_PEnd)+COUNTIFS('KG1-7'!$AD34:$IM34,"غياب بعذر",'KG1-7'!$AD$7:$IM$7,"✓",'KG1-7'!$AD$6:$IM$6,1,'KG1-7'!$AD$5:$IM$5,"&gt;="&amp;MAX('KG1-7'!$U34,Rpt_PStart),'KG1-7'!$AD$5:$IM$5,"&lt;="&amp;Rpt_PEnd))</f>
        <v/>
      </c>
      <c r="AU210" s="40" t="n">
        <v>7</v>
      </c>
      <c r="AV210" s="40" t="n">
        <v>26</v>
      </c>
      <c r="AW210" s="40">
        <f>IF(OR(AP210=0,Rpt_DayIdx=0),"",IF(INDEX('KG1-7'!$AD$7:$IM$7,Rpt_DayIdx)&lt;&gt;"✓","",IF(INDEX('KG1-7'!$AD34:$IM34,Rpt_DayIdx)="","P",IFERROR(INDEX(StatusCodes,MATCH(INDEX('KG1-7'!$AD34:$IM34,Rpt_DayIdx),StatusLabels,0)),""))))</f>
        <v/>
      </c>
      <c r="AX210" s="40">
        <f>IF(AND(AP210=1,OR(AW210="A",AW210="E")),COUNTIFS($AP$5:AP210,1,$AW$5:AW210,"A")+COUNTIFS($AP$5:AP210,1,$AW$5:AW210,"E"),"")</f>
        <v/>
      </c>
    </row>
    <row r="211">
      <c r="A211" s="148">
        <f>IF(B211="","",ROW()-4)</f>
        <v/>
      </c>
      <c r="B211" s="148">
        <f>IF('KG1-7'!$B35="","",'KG1-7'!$B35)</f>
        <v/>
      </c>
      <c r="C211" s="146">
        <f>IF('KG1-7'!$C35="","",'KG1-7'!$C35)</f>
        <v/>
      </c>
      <c r="D211" s="148">
        <f>IF(B211="","",'KG1-7'!$B$2)</f>
        <v/>
      </c>
      <c r="E211" s="148">
        <f>IF(B211="","",MID(D211,FIND("-",D211&amp;"-")+1,10))</f>
        <v/>
      </c>
      <c r="F211" s="148">
        <f>IF(B211="","","نشط")</f>
        <v/>
      </c>
      <c r="G211" s="157">
        <f>IF(B211="","","")</f>
        <v/>
      </c>
      <c r="H211" s="146">
        <f>IF('KG1-7'!$K35="","",'KG1-7'!$K35)</f>
        <v/>
      </c>
      <c r="I211" s="148">
        <f>IF('KG1-7'!$J35="","",'KG1-7'!$J35)</f>
        <v/>
      </c>
      <c r="J211" s="148">
        <f>IF('KG1-7'!$M35="","",'KG1-7'!$M35)</f>
        <v/>
      </c>
      <c r="K211" s="148">
        <f>IF('KG1-7'!$N35="","",'KG1-7'!$N35)</f>
        <v/>
      </c>
      <c r="L211" s="148">
        <f>IF('KG1-7'!$D35="","",'KG1-7'!$D35)</f>
        <v/>
      </c>
      <c r="M211" s="148">
        <f>IF('KG1-7'!$E35="","",'KG1-7'!$E35)</f>
        <v/>
      </c>
      <c r="N211" s="148">
        <f>IF('KG1-7'!$F35="","",'KG1-7'!$F35)</f>
        <v/>
      </c>
      <c r="O211" s="158">
        <f>IF('KG1-7'!$G35="","",'KG1-7'!$G35)</f>
        <v/>
      </c>
      <c r="P211" s="158">
        <f>IF('KG1-7'!$O35="","",'KG1-7'!$O35)</f>
        <v/>
      </c>
      <c r="Q211" s="148">
        <f>IF('KG1-7'!$T35="","",'KG1-7'!$T35)</f>
        <v/>
      </c>
      <c r="R211" s="146">
        <f>IF('KG1-7'!$H35="","",'KG1-7'!$H35)</f>
        <v/>
      </c>
      <c r="S211" s="157">
        <f>IF('KG1-7'!$P35="","",'KG1-7'!$P35)</f>
        <v/>
      </c>
      <c r="T211" s="157">
        <f>IF('KG1-7'!$V35="","",'KG1-7'!$V35)</f>
        <v/>
      </c>
      <c r="U211" s="157">
        <f>IF('KG1-7'!$W35="","",'KG1-7'!$W35)</f>
        <v/>
      </c>
      <c r="V211" s="157">
        <f>IF('KG1-7'!$X35="","",'KG1-7'!$X35)</f>
        <v/>
      </c>
      <c r="W211" s="157">
        <f>IF('KG1-7'!$Y35="","",'KG1-7'!$Y35)</f>
        <v/>
      </c>
      <c r="X211" s="157">
        <f>IF('KG1-7'!$R35="","",'KG1-7'!$R35)</f>
        <v/>
      </c>
      <c r="Y211" s="148">
        <f>IF('KG1-7'!$S35="","",'KG1-7'!$S35)</f>
        <v/>
      </c>
      <c r="Z211" s="148">
        <f>IF('KG1-7'!$Q35="","",'KG1-7'!$Q35)</f>
        <v/>
      </c>
      <c r="AA211" s="148">
        <f>IF('KG1-7'!$I35="","",'KG1-7'!$I35)</f>
        <v/>
      </c>
      <c r="AB211" s="146">
        <f>IF(Q211="","",INDEX(LevelActions,MATCH(Q211,LevelValues,0)))</f>
        <v/>
      </c>
      <c r="AC211" s="148">
        <f>IF(J211="","",IF(J211=0,"—",IF(AND(L211=0,M211=0),Cat_L1,IF(O211&gt;=Cat_95,Cat_L2,IF(O211&gt;=Cat_90,Cat_L3,Cat_L4)))))</f>
        <v/>
      </c>
      <c r="AD211" s="146">
        <f>IF('KG1-7'!$L35="","",'KG1-7'!$L35)</f>
        <v/>
      </c>
      <c r="AE211" s="148">
        <f>IF(B211="","",IF(COUNTIF($B$5:$B$214,B211)&gt;1,"مكرر!",""))</f>
        <v/>
      </c>
      <c r="AF211" s="148">
        <f>IF(AND(B211&lt;&gt;"",F211="نشط",OR(Dash_Class="الكل",D211=Dash_Class)),1,0)</f>
        <v/>
      </c>
      <c r="AG211" s="40">
        <f>IF(OR(AF211=0,Dash_DayIdx=0),"",IF(INDEX('KG1-7'!$AD$7:$IM$7,Dash_DayIdx)&lt;&gt;"✓","",IF(INDEX('KG1-7'!$AD35:$IM35,Dash_DayIdx)="","P",IFERROR(INDEX(StatusCodes,MATCH(INDEX('KG1-7'!$AD35:$IM35,Dash_DayIdx),StatusLabels,0)),""))))</f>
        <v/>
      </c>
      <c r="AH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IF(LateAsPresent="نعم",COUNTIFS('KG1-7'!$AD35:$IM35,"متأخر",'KG1-7'!$AD$7:$IM$7,"✓",'KG1-7'!$AD$6:$IM$6,1,'KG1-7'!$AD$5:$IM$5,"&gt;="&amp;MAX('KG1-7'!$U35,Dash_PStart),'KG1-7'!$AD$5:$IM$5,"&lt;="&amp;Dash_PEnd),0))</f>
        <v/>
      </c>
      <c r="AI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COUNTIFS('KG1-7'!$AD35:$IM35,"غياب بدون عذر",'KG1-7'!$AD$7:$IM$7,"✓",'KG1-7'!$AD$6:$IM$6,1,'KG1-7'!$AD$5:$IM$5,"&gt;="&amp;MAX('KG1-7'!$U35,Dash_PStart),'KG1-7'!$AD$5:$IM$5,"&lt;="&amp;Dash_PEnd)+COUNTIFS('KG1-7'!$AD35:$IM35,"غياب بعذر",'KG1-7'!$AD$7:$IM$7,"✓",'KG1-7'!$AD$6:$IM$6,1,'KG1-7'!$AD$5:$IM$5,"&gt;="&amp;MAX('KG1-7'!$U35,Dash_PStart),'KG1-7'!$AD$5:$IM$5,"&lt;="&amp;Dash_PEnd)+COUNTIFS('KG1-7'!$AD35:$IM35,"متأخر",'KG1-7'!$AD$7:$IM$7,"✓",'KG1-7'!$AD$6:$IM$6,1,'KG1-7'!$AD$5:$IM$5,"&gt;="&amp;MAX('KG1-7'!$U35,Dash_PStart),'KG1-7'!$AD$5:$IM$5,"&lt;="&amp;Dash_PEnd))</f>
        <v/>
      </c>
      <c r="AJ211" s="40">
        <f>IF(AF211=0,0,IF(W211=Dash_Date,Thr_Critical,IF(V211=Dash_Date,Thr_High,IF(U211=Dash_Date,Thr_Repeated,IF(T211=Dash_Date,Thr_FollowUp,0)))))</f>
        <v/>
      </c>
      <c r="AK211" s="40">
        <f>IF(AJ211&gt;0,COUNTIF($AJ$5:AJ211,"&gt;0"),"")</f>
        <v/>
      </c>
      <c r="AL211" s="40">
        <f>IF(AND(B211&lt;&gt;"",F211="نشط",Q211&lt;&gt;"",Q211&gt;0),L211*1000+(999-ROW()),"")</f>
        <v/>
      </c>
      <c r="AM211" s="40">
        <f>IF(AND(AF211=1,J211&lt;&gt;"",J211&gt;0),ROUND(O211*10000,0)*1000000+K211*1000+(999-ROW()),"")</f>
        <v/>
      </c>
      <c r="AN211" s="40">
        <f>IF(AND(AF211=1,J211&lt;&gt;"",J211&gt;0),(L211+M211)*10000000+ROUND((1-O211)*10000,0)*1000+(999-ROW()),"")</f>
        <v/>
      </c>
      <c r="AO211" s="40">
        <f>IF(AND(AF211=1,Q211&lt;&gt;"",Q211&gt;=Thr_Critical),L211*1000+(999-ROW()),"")</f>
        <v/>
      </c>
      <c r="AP211" s="40">
        <f>IF(AND(B211&lt;&gt;"",F211="نشط",OR(Rpt_Class="الكل",D211=Rpt_Class)),1,0)</f>
        <v/>
      </c>
      <c r="AQ211" s="40">
        <f>IF(AND(AP211=1,Q211&lt;&gt;"",Q211&gt;0),L211*1000+(999-ROW()),"")</f>
        <v/>
      </c>
      <c r="AR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IF(LateAsPresent="نعم",COUNTIFS('KG1-7'!$AD35:$IM35,"متأخر",'KG1-7'!$AD$7:$IM$7,"✓",'KG1-7'!$AD$6:$IM$6,1,'KG1-7'!$AD$5:$IM$5,"&gt;="&amp;MAX('KG1-7'!$U35,Rpt_PStart),'KG1-7'!$AD$5:$IM$5,"&lt;="&amp;Rpt_PEnd),0))</f>
        <v/>
      </c>
      <c r="AS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COUNTIFS('KG1-7'!$AD35:$IM35,"غياب بدون عذر",'KG1-7'!$AD$7:$IM$7,"✓",'KG1-7'!$AD$6:$IM$6,1,'KG1-7'!$AD$5:$IM$5,"&gt;="&amp;MAX('KG1-7'!$U35,Rpt_PStart),'KG1-7'!$AD$5:$IM$5,"&lt;="&amp;Rpt_PEnd)+COUNTIFS('KG1-7'!$AD35:$IM35,"غياب بعذر",'KG1-7'!$AD$7:$IM$7,"✓",'KG1-7'!$AD$6:$IM$6,1,'KG1-7'!$AD$5:$IM$5,"&gt;="&amp;MAX('KG1-7'!$U35,Rpt_PStart),'KG1-7'!$AD$5:$IM$5,"&lt;="&amp;Rpt_PEnd)+COUNTIFS('KG1-7'!$AD35:$IM35,"متأخر",'KG1-7'!$AD$7:$IM$7,"✓",'KG1-7'!$AD$6:$IM$6,1,'KG1-7'!$AD$5:$IM$5,"&gt;="&amp;MAX('KG1-7'!$U35,Rpt_PStart),'KG1-7'!$AD$5:$IM$5,"&lt;="&amp;Rpt_PEnd))</f>
        <v/>
      </c>
      <c r="AT211" s="40">
        <f>IF(AP211=0,"",COUNTIFS('KG1-7'!$AD35:$IM35,"غياب بدون عذر",'KG1-7'!$AD$7:$IM$7,"✓",'KG1-7'!$AD$6:$IM$6,1,'KG1-7'!$AD$5:$IM$5,"&gt;="&amp;MAX('KG1-7'!$U35,Rpt_PStart),'KG1-7'!$AD$5:$IM$5,"&lt;="&amp;Rpt_PEnd)+COUNTIFS('KG1-7'!$AD35:$IM35,"غياب بعذر",'KG1-7'!$AD$7:$IM$7,"✓",'KG1-7'!$AD$6:$IM$6,1,'KG1-7'!$AD$5:$IM$5,"&gt;="&amp;MAX('KG1-7'!$U35,Rpt_PStart),'KG1-7'!$AD$5:$IM$5,"&lt;="&amp;Rpt_PEnd))</f>
        <v/>
      </c>
      <c r="AU211" s="40" t="n">
        <v>7</v>
      </c>
      <c r="AV211" s="40" t="n">
        <v>27</v>
      </c>
      <c r="AW211" s="40">
        <f>IF(OR(AP211=0,Rpt_DayIdx=0),"",IF(INDEX('KG1-7'!$AD$7:$IM$7,Rpt_DayIdx)&lt;&gt;"✓","",IF(INDEX('KG1-7'!$AD35:$IM35,Rpt_DayIdx)="","P",IFERROR(INDEX(StatusCodes,MATCH(INDEX('KG1-7'!$AD35:$IM35,Rpt_DayIdx),StatusLabels,0)),""))))</f>
        <v/>
      </c>
      <c r="AX211" s="40">
        <f>IF(AND(AP211=1,OR(AW211="A",AW211="E")),COUNTIFS($AP$5:AP211,1,$AW$5:AW211,"A")+COUNTIFS($AP$5:AP211,1,$AW$5:AW211,"E"),"")</f>
        <v/>
      </c>
    </row>
    <row r="212">
      <c r="A212" s="148">
        <f>IF(B212="","",ROW()-4)</f>
        <v/>
      </c>
      <c r="B212" s="148">
        <f>IF('KG1-7'!$B36="","",'KG1-7'!$B36)</f>
        <v/>
      </c>
      <c r="C212" s="146">
        <f>IF('KG1-7'!$C36="","",'KG1-7'!$C36)</f>
        <v/>
      </c>
      <c r="D212" s="148">
        <f>IF(B212="","",'KG1-7'!$B$2)</f>
        <v/>
      </c>
      <c r="E212" s="148">
        <f>IF(B212="","",MID(D212,FIND("-",D212&amp;"-")+1,10))</f>
        <v/>
      </c>
      <c r="F212" s="148">
        <f>IF(B212="","","نشط")</f>
        <v/>
      </c>
      <c r="G212" s="157">
        <f>IF(B212="","","")</f>
        <v/>
      </c>
      <c r="H212" s="146">
        <f>IF('KG1-7'!$K36="","",'KG1-7'!$K36)</f>
        <v/>
      </c>
      <c r="I212" s="148">
        <f>IF('KG1-7'!$J36="","",'KG1-7'!$J36)</f>
        <v/>
      </c>
      <c r="J212" s="148">
        <f>IF('KG1-7'!$M36="","",'KG1-7'!$M36)</f>
        <v/>
      </c>
      <c r="K212" s="148">
        <f>IF('KG1-7'!$N36="","",'KG1-7'!$N36)</f>
        <v/>
      </c>
      <c r="L212" s="148">
        <f>IF('KG1-7'!$D36="","",'KG1-7'!$D36)</f>
        <v/>
      </c>
      <c r="M212" s="148">
        <f>IF('KG1-7'!$E36="","",'KG1-7'!$E36)</f>
        <v/>
      </c>
      <c r="N212" s="148">
        <f>IF('KG1-7'!$F36="","",'KG1-7'!$F36)</f>
        <v/>
      </c>
      <c r="O212" s="158">
        <f>IF('KG1-7'!$G36="","",'KG1-7'!$G36)</f>
        <v/>
      </c>
      <c r="P212" s="158">
        <f>IF('KG1-7'!$O36="","",'KG1-7'!$O36)</f>
        <v/>
      </c>
      <c r="Q212" s="148">
        <f>IF('KG1-7'!$T36="","",'KG1-7'!$T36)</f>
        <v/>
      </c>
      <c r="R212" s="146">
        <f>IF('KG1-7'!$H36="","",'KG1-7'!$H36)</f>
        <v/>
      </c>
      <c r="S212" s="157">
        <f>IF('KG1-7'!$P36="","",'KG1-7'!$P36)</f>
        <v/>
      </c>
      <c r="T212" s="157">
        <f>IF('KG1-7'!$V36="","",'KG1-7'!$V36)</f>
        <v/>
      </c>
      <c r="U212" s="157">
        <f>IF('KG1-7'!$W36="","",'KG1-7'!$W36)</f>
        <v/>
      </c>
      <c r="V212" s="157">
        <f>IF('KG1-7'!$X36="","",'KG1-7'!$X36)</f>
        <v/>
      </c>
      <c r="W212" s="157">
        <f>IF('KG1-7'!$Y36="","",'KG1-7'!$Y36)</f>
        <v/>
      </c>
      <c r="X212" s="157">
        <f>IF('KG1-7'!$R36="","",'KG1-7'!$R36)</f>
        <v/>
      </c>
      <c r="Y212" s="148">
        <f>IF('KG1-7'!$S36="","",'KG1-7'!$S36)</f>
        <v/>
      </c>
      <c r="Z212" s="148">
        <f>IF('KG1-7'!$Q36="","",'KG1-7'!$Q36)</f>
        <v/>
      </c>
      <c r="AA212" s="148">
        <f>IF('KG1-7'!$I36="","",'KG1-7'!$I36)</f>
        <v/>
      </c>
      <c r="AB212" s="146">
        <f>IF(Q212="","",INDEX(LevelActions,MATCH(Q212,LevelValues,0)))</f>
        <v/>
      </c>
      <c r="AC212" s="148">
        <f>IF(J212="","",IF(J212=0,"—",IF(AND(L212=0,M212=0),Cat_L1,IF(O212&gt;=Cat_95,Cat_L2,IF(O212&gt;=Cat_90,Cat_L3,Cat_L4)))))</f>
        <v/>
      </c>
      <c r="AD212" s="146">
        <f>IF('KG1-7'!$L36="","",'KG1-7'!$L36)</f>
        <v/>
      </c>
      <c r="AE212" s="148">
        <f>IF(B212="","",IF(COUNTIF($B$5:$B$214,B212)&gt;1,"مكرر!",""))</f>
        <v/>
      </c>
      <c r="AF212" s="148">
        <f>IF(AND(B212&lt;&gt;"",F212="نشط",OR(Dash_Class="الكل",D212=Dash_Class)),1,0)</f>
        <v/>
      </c>
      <c r="AG212" s="40">
        <f>IF(OR(AF212=0,Dash_DayIdx=0),"",IF(INDEX('KG1-7'!$AD$7:$IM$7,Dash_DayIdx)&lt;&gt;"✓","",IF(INDEX('KG1-7'!$AD36:$IM36,Dash_DayIdx)="","P",IFERROR(INDEX(StatusCodes,MATCH(INDEX('KG1-7'!$AD36:$IM36,Dash_DayIdx),StatusLabels,0)),""))))</f>
        <v/>
      </c>
      <c r="AH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IF(LateAsPresent="نعم",COUNTIFS('KG1-7'!$AD36:$IM36,"متأخر",'KG1-7'!$AD$7:$IM$7,"✓",'KG1-7'!$AD$6:$IM$6,1,'KG1-7'!$AD$5:$IM$5,"&gt;="&amp;MAX('KG1-7'!$U36,Dash_PStart),'KG1-7'!$AD$5:$IM$5,"&lt;="&amp;Dash_PEnd),0))</f>
        <v/>
      </c>
      <c r="AI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COUNTIFS('KG1-7'!$AD36:$IM36,"غياب بدون عذر",'KG1-7'!$AD$7:$IM$7,"✓",'KG1-7'!$AD$6:$IM$6,1,'KG1-7'!$AD$5:$IM$5,"&gt;="&amp;MAX('KG1-7'!$U36,Dash_PStart),'KG1-7'!$AD$5:$IM$5,"&lt;="&amp;Dash_PEnd)+COUNTIFS('KG1-7'!$AD36:$IM36,"غياب بعذر",'KG1-7'!$AD$7:$IM$7,"✓",'KG1-7'!$AD$6:$IM$6,1,'KG1-7'!$AD$5:$IM$5,"&gt;="&amp;MAX('KG1-7'!$U36,Dash_PStart),'KG1-7'!$AD$5:$IM$5,"&lt;="&amp;Dash_PEnd)+COUNTIFS('KG1-7'!$AD36:$IM36,"متأخر",'KG1-7'!$AD$7:$IM$7,"✓",'KG1-7'!$AD$6:$IM$6,1,'KG1-7'!$AD$5:$IM$5,"&gt;="&amp;MAX('KG1-7'!$U36,Dash_PStart),'KG1-7'!$AD$5:$IM$5,"&lt;="&amp;Dash_PEnd))</f>
        <v/>
      </c>
      <c r="AJ212" s="40">
        <f>IF(AF212=0,0,IF(W212=Dash_Date,Thr_Critical,IF(V212=Dash_Date,Thr_High,IF(U212=Dash_Date,Thr_Repeated,IF(T212=Dash_Date,Thr_FollowUp,0)))))</f>
        <v/>
      </c>
      <c r="AK212" s="40">
        <f>IF(AJ212&gt;0,COUNTIF($AJ$5:AJ212,"&gt;0"),"")</f>
        <v/>
      </c>
      <c r="AL212" s="40">
        <f>IF(AND(B212&lt;&gt;"",F212="نشط",Q212&lt;&gt;"",Q212&gt;0),L212*1000+(999-ROW()),"")</f>
        <v/>
      </c>
      <c r="AM212" s="40">
        <f>IF(AND(AF212=1,J212&lt;&gt;"",J212&gt;0),ROUND(O212*10000,0)*1000000+K212*1000+(999-ROW()),"")</f>
        <v/>
      </c>
      <c r="AN212" s="40">
        <f>IF(AND(AF212=1,J212&lt;&gt;"",J212&gt;0),(L212+M212)*10000000+ROUND((1-O212)*10000,0)*1000+(999-ROW()),"")</f>
        <v/>
      </c>
      <c r="AO212" s="40">
        <f>IF(AND(AF212=1,Q212&lt;&gt;"",Q212&gt;=Thr_Critical),L212*1000+(999-ROW()),"")</f>
        <v/>
      </c>
      <c r="AP212" s="40">
        <f>IF(AND(B212&lt;&gt;"",F212="نشط",OR(Rpt_Class="الكل",D212=Rpt_Class)),1,0)</f>
        <v/>
      </c>
      <c r="AQ212" s="40">
        <f>IF(AND(AP212=1,Q212&lt;&gt;"",Q212&gt;0),L212*1000+(999-ROW()),"")</f>
        <v/>
      </c>
      <c r="AR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IF(LateAsPresent="نعم",COUNTIFS('KG1-7'!$AD36:$IM36,"متأخر",'KG1-7'!$AD$7:$IM$7,"✓",'KG1-7'!$AD$6:$IM$6,1,'KG1-7'!$AD$5:$IM$5,"&gt;="&amp;MAX('KG1-7'!$U36,Rpt_PStart),'KG1-7'!$AD$5:$IM$5,"&lt;="&amp;Rpt_PEnd),0))</f>
        <v/>
      </c>
      <c r="AS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COUNTIFS('KG1-7'!$AD36:$IM36,"غياب بدون عذر",'KG1-7'!$AD$7:$IM$7,"✓",'KG1-7'!$AD$6:$IM$6,1,'KG1-7'!$AD$5:$IM$5,"&gt;="&amp;MAX('KG1-7'!$U36,Rpt_PStart),'KG1-7'!$AD$5:$IM$5,"&lt;="&amp;Rpt_PEnd)+COUNTIFS('KG1-7'!$AD36:$IM36,"غياب بعذر",'KG1-7'!$AD$7:$IM$7,"✓",'KG1-7'!$AD$6:$IM$6,1,'KG1-7'!$AD$5:$IM$5,"&gt;="&amp;MAX('KG1-7'!$U36,Rpt_PStart),'KG1-7'!$AD$5:$IM$5,"&lt;="&amp;Rpt_PEnd)+COUNTIFS('KG1-7'!$AD36:$IM36,"متأخر",'KG1-7'!$AD$7:$IM$7,"✓",'KG1-7'!$AD$6:$IM$6,1,'KG1-7'!$AD$5:$IM$5,"&gt;="&amp;MAX('KG1-7'!$U36,Rpt_PStart),'KG1-7'!$AD$5:$IM$5,"&lt;="&amp;Rpt_PEnd))</f>
        <v/>
      </c>
      <c r="AT212" s="40">
        <f>IF(AP212=0,"",COUNTIFS('KG1-7'!$AD36:$IM36,"غياب بدون عذر",'KG1-7'!$AD$7:$IM$7,"✓",'KG1-7'!$AD$6:$IM$6,1,'KG1-7'!$AD$5:$IM$5,"&gt;="&amp;MAX('KG1-7'!$U36,Rpt_PStart),'KG1-7'!$AD$5:$IM$5,"&lt;="&amp;Rpt_PEnd)+COUNTIFS('KG1-7'!$AD36:$IM36,"غياب بعذر",'KG1-7'!$AD$7:$IM$7,"✓",'KG1-7'!$AD$6:$IM$6,1,'KG1-7'!$AD$5:$IM$5,"&gt;="&amp;MAX('KG1-7'!$U36,Rpt_PStart),'KG1-7'!$AD$5:$IM$5,"&lt;="&amp;Rpt_PEnd))</f>
        <v/>
      </c>
      <c r="AU212" s="40" t="n">
        <v>7</v>
      </c>
      <c r="AV212" s="40" t="n">
        <v>28</v>
      </c>
      <c r="AW212" s="40">
        <f>IF(OR(AP212=0,Rpt_DayIdx=0),"",IF(INDEX('KG1-7'!$AD$7:$IM$7,Rpt_DayIdx)&lt;&gt;"✓","",IF(INDEX('KG1-7'!$AD36:$IM36,Rpt_DayIdx)="","P",IFERROR(INDEX(StatusCodes,MATCH(INDEX('KG1-7'!$AD36:$IM36,Rpt_DayIdx),StatusLabels,0)),""))))</f>
        <v/>
      </c>
      <c r="AX212" s="40">
        <f>IF(AND(AP212=1,OR(AW212="A",AW212="E")),COUNTIFS($AP$5:AP212,1,$AW$5:AW212,"A")+COUNTIFS($AP$5:AP212,1,$AW$5:AW212,"E"),"")</f>
        <v/>
      </c>
    </row>
    <row r="213">
      <c r="A213" s="148">
        <f>IF(B213="","",ROW()-4)</f>
        <v/>
      </c>
      <c r="B213" s="148">
        <f>IF('KG1-7'!$B37="","",'KG1-7'!$B37)</f>
        <v/>
      </c>
      <c r="C213" s="146">
        <f>IF('KG1-7'!$C37="","",'KG1-7'!$C37)</f>
        <v/>
      </c>
      <c r="D213" s="148">
        <f>IF(B213="","",'KG1-7'!$B$2)</f>
        <v/>
      </c>
      <c r="E213" s="148">
        <f>IF(B213="","",MID(D213,FIND("-",D213&amp;"-")+1,10))</f>
        <v/>
      </c>
      <c r="F213" s="148">
        <f>IF(B213="","","نشط")</f>
        <v/>
      </c>
      <c r="G213" s="157">
        <f>IF(B213="","","")</f>
        <v/>
      </c>
      <c r="H213" s="146">
        <f>IF('KG1-7'!$K37="","",'KG1-7'!$K37)</f>
        <v/>
      </c>
      <c r="I213" s="148">
        <f>IF('KG1-7'!$J37="","",'KG1-7'!$J37)</f>
        <v/>
      </c>
      <c r="J213" s="148">
        <f>IF('KG1-7'!$M37="","",'KG1-7'!$M37)</f>
        <v/>
      </c>
      <c r="K213" s="148">
        <f>IF('KG1-7'!$N37="","",'KG1-7'!$N37)</f>
        <v/>
      </c>
      <c r="L213" s="148">
        <f>IF('KG1-7'!$D37="","",'KG1-7'!$D37)</f>
        <v/>
      </c>
      <c r="M213" s="148">
        <f>IF('KG1-7'!$E37="","",'KG1-7'!$E37)</f>
        <v/>
      </c>
      <c r="N213" s="148">
        <f>IF('KG1-7'!$F37="","",'KG1-7'!$F37)</f>
        <v/>
      </c>
      <c r="O213" s="158">
        <f>IF('KG1-7'!$G37="","",'KG1-7'!$G37)</f>
        <v/>
      </c>
      <c r="P213" s="158">
        <f>IF('KG1-7'!$O37="","",'KG1-7'!$O37)</f>
        <v/>
      </c>
      <c r="Q213" s="148">
        <f>IF('KG1-7'!$T37="","",'KG1-7'!$T37)</f>
        <v/>
      </c>
      <c r="R213" s="146">
        <f>IF('KG1-7'!$H37="","",'KG1-7'!$H37)</f>
        <v/>
      </c>
      <c r="S213" s="157">
        <f>IF('KG1-7'!$P37="","",'KG1-7'!$P37)</f>
        <v/>
      </c>
      <c r="T213" s="157">
        <f>IF('KG1-7'!$V37="","",'KG1-7'!$V37)</f>
        <v/>
      </c>
      <c r="U213" s="157">
        <f>IF('KG1-7'!$W37="","",'KG1-7'!$W37)</f>
        <v/>
      </c>
      <c r="V213" s="157">
        <f>IF('KG1-7'!$X37="","",'KG1-7'!$X37)</f>
        <v/>
      </c>
      <c r="W213" s="157">
        <f>IF('KG1-7'!$Y37="","",'KG1-7'!$Y37)</f>
        <v/>
      </c>
      <c r="X213" s="157">
        <f>IF('KG1-7'!$R37="","",'KG1-7'!$R37)</f>
        <v/>
      </c>
      <c r="Y213" s="148">
        <f>IF('KG1-7'!$S37="","",'KG1-7'!$S37)</f>
        <v/>
      </c>
      <c r="Z213" s="148">
        <f>IF('KG1-7'!$Q37="","",'KG1-7'!$Q37)</f>
        <v/>
      </c>
      <c r="AA213" s="148">
        <f>IF('KG1-7'!$I37="","",'KG1-7'!$I37)</f>
        <v/>
      </c>
      <c r="AB213" s="146">
        <f>IF(Q213="","",INDEX(LevelActions,MATCH(Q213,LevelValues,0)))</f>
        <v/>
      </c>
      <c r="AC213" s="148">
        <f>IF(J213="","",IF(J213=0,"—",IF(AND(L213=0,M213=0),Cat_L1,IF(O213&gt;=Cat_95,Cat_L2,IF(O213&gt;=Cat_90,Cat_L3,Cat_L4)))))</f>
        <v/>
      </c>
      <c r="AD213" s="146">
        <f>IF('KG1-7'!$L37="","",'KG1-7'!$L37)</f>
        <v/>
      </c>
      <c r="AE213" s="148">
        <f>IF(B213="","",IF(COUNTIF($B$5:$B$214,B213)&gt;1,"مكرر!",""))</f>
        <v/>
      </c>
      <c r="AF213" s="148">
        <f>IF(AND(B213&lt;&gt;"",F213="نشط",OR(Dash_Class="الكل",D213=Dash_Class)),1,0)</f>
        <v/>
      </c>
      <c r="AG213" s="40">
        <f>IF(OR(AF213=0,Dash_DayIdx=0),"",IF(INDEX('KG1-7'!$AD$7:$IM$7,Dash_DayIdx)&lt;&gt;"✓","",IF(INDEX('KG1-7'!$AD37:$IM37,Dash_DayIdx)="","P",IFERROR(INDEX(StatusCodes,MATCH(INDEX('KG1-7'!$AD37:$IM37,Dash_DayIdx),StatusLabels,0)),""))))</f>
        <v/>
      </c>
      <c r="AH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IF(LateAsPresent="نعم",COUNTIFS('KG1-7'!$AD37:$IM37,"متأخر",'KG1-7'!$AD$7:$IM$7,"✓",'KG1-7'!$AD$6:$IM$6,1,'KG1-7'!$AD$5:$IM$5,"&gt;="&amp;MAX('KG1-7'!$U37,Dash_PStart),'KG1-7'!$AD$5:$IM$5,"&lt;="&amp;Dash_PEnd),0))</f>
        <v/>
      </c>
      <c r="AI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COUNTIFS('KG1-7'!$AD37:$IM37,"غياب بدون عذر",'KG1-7'!$AD$7:$IM$7,"✓",'KG1-7'!$AD$6:$IM$6,1,'KG1-7'!$AD$5:$IM$5,"&gt;="&amp;MAX('KG1-7'!$U37,Dash_PStart),'KG1-7'!$AD$5:$IM$5,"&lt;="&amp;Dash_PEnd)+COUNTIFS('KG1-7'!$AD37:$IM37,"غياب بعذر",'KG1-7'!$AD$7:$IM$7,"✓",'KG1-7'!$AD$6:$IM$6,1,'KG1-7'!$AD$5:$IM$5,"&gt;="&amp;MAX('KG1-7'!$U37,Dash_PStart),'KG1-7'!$AD$5:$IM$5,"&lt;="&amp;Dash_PEnd)+COUNTIFS('KG1-7'!$AD37:$IM37,"متأخر",'KG1-7'!$AD$7:$IM$7,"✓",'KG1-7'!$AD$6:$IM$6,1,'KG1-7'!$AD$5:$IM$5,"&gt;="&amp;MAX('KG1-7'!$U37,Dash_PStart),'KG1-7'!$AD$5:$IM$5,"&lt;="&amp;Dash_PEnd))</f>
        <v/>
      </c>
      <c r="AJ213" s="40">
        <f>IF(AF213=0,0,IF(W213=Dash_Date,Thr_Critical,IF(V213=Dash_Date,Thr_High,IF(U213=Dash_Date,Thr_Repeated,IF(T213=Dash_Date,Thr_FollowUp,0)))))</f>
        <v/>
      </c>
      <c r="AK213" s="40">
        <f>IF(AJ213&gt;0,COUNTIF($AJ$5:AJ213,"&gt;0"),"")</f>
        <v/>
      </c>
      <c r="AL213" s="40">
        <f>IF(AND(B213&lt;&gt;"",F213="نشط",Q213&lt;&gt;"",Q213&gt;0),L213*1000+(999-ROW()),"")</f>
        <v/>
      </c>
      <c r="AM213" s="40">
        <f>IF(AND(AF213=1,J213&lt;&gt;"",J213&gt;0),ROUND(O213*10000,0)*1000000+K213*1000+(999-ROW()),"")</f>
        <v/>
      </c>
      <c r="AN213" s="40">
        <f>IF(AND(AF213=1,J213&lt;&gt;"",J213&gt;0),(L213+M213)*10000000+ROUND((1-O213)*10000,0)*1000+(999-ROW()),"")</f>
        <v/>
      </c>
      <c r="AO213" s="40">
        <f>IF(AND(AF213=1,Q213&lt;&gt;"",Q213&gt;=Thr_Critical),L213*1000+(999-ROW()),"")</f>
        <v/>
      </c>
      <c r="AP213" s="40">
        <f>IF(AND(B213&lt;&gt;"",F213="نشط",OR(Rpt_Class="الكل",D213=Rpt_Class)),1,0)</f>
        <v/>
      </c>
      <c r="AQ213" s="40">
        <f>IF(AND(AP213=1,Q213&lt;&gt;"",Q213&gt;0),L213*1000+(999-ROW()),"")</f>
        <v/>
      </c>
      <c r="AR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IF(LateAsPresent="نعم",COUNTIFS('KG1-7'!$AD37:$IM37,"متأخر",'KG1-7'!$AD$7:$IM$7,"✓",'KG1-7'!$AD$6:$IM$6,1,'KG1-7'!$AD$5:$IM$5,"&gt;="&amp;MAX('KG1-7'!$U37,Rpt_PStart),'KG1-7'!$AD$5:$IM$5,"&lt;="&amp;Rpt_PEnd),0))</f>
        <v/>
      </c>
      <c r="AS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COUNTIFS('KG1-7'!$AD37:$IM37,"غياب بدون عذر",'KG1-7'!$AD$7:$IM$7,"✓",'KG1-7'!$AD$6:$IM$6,1,'KG1-7'!$AD$5:$IM$5,"&gt;="&amp;MAX('KG1-7'!$U37,Rpt_PStart),'KG1-7'!$AD$5:$IM$5,"&lt;="&amp;Rpt_PEnd)+COUNTIFS('KG1-7'!$AD37:$IM37,"غياب بعذر",'KG1-7'!$AD$7:$IM$7,"✓",'KG1-7'!$AD$6:$IM$6,1,'KG1-7'!$AD$5:$IM$5,"&gt;="&amp;MAX('KG1-7'!$U37,Rpt_PStart),'KG1-7'!$AD$5:$IM$5,"&lt;="&amp;Rpt_PEnd)+COUNTIFS('KG1-7'!$AD37:$IM37,"متأخر",'KG1-7'!$AD$7:$IM$7,"✓",'KG1-7'!$AD$6:$IM$6,1,'KG1-7'!$AD$5:$IM$5,"&gt;="&amp;MAX('KG1-7'!$U37,Rpt_PStart),'KG1-7'!$AD$5:$IM$5,"&lt;="&amp;Rpt_PEnd))</f>
        <v/>
      </c>
      <c r="AT213" s="40">
        <f>IF(AP213=0,"",COUNTIFS('KG1-7'!$AD37:$IM37,"غياب بدون عذر",'KG1-7'!$AD$7:$IM$7,"✓",'KG1-7'!$AD$6:$IM$6,1,'KG1-7'!$AD$5:$IM$5,"&gt;="&amp;MAX('KG1-7'!$U37,Rpt_PStart),'KG1-7'!$AD$5:$IM$5,"&lt;="&amp;Rpt_PEnd)+COUNTIFS('KG1-7'!$AD37:$IM37,"غياب بعذر",'KG1-7'!$AD$7:$IM$7,"✓",'KG1-7'!$AD$6:$IM$6,1,'KG1-7'!$AD$5:$IM$5,"&gt;="&amp;MAX('KG1-7'!$U37,Rpt_PStart),'KG1-7'!$AD$5:$IM$5,"&lt;="&amp;Rpt_PEnd))</f>
        <v/>
      </c>
      <c r="AU213" s="40" t="n">
        <v>7</v>
      </c>
      <c r="AV213" s="40" t="n">
        <v>29</v>
      </c>
      <c r="AW213" s="40">
        <f>IF(OR(AP213=0,Rpt_DayIdx=0),"",IF(INDEX('KG1-7'!$AD$7:$IM$7,Rpt_DayIdx)&lt;&gt;"✓","",IF(INDEX('KG1-7'!$AD37:$IM37,Rpt_DayIdx)="","P",IFERROR(INDEX(StatusCodes,MATCH(INDEX('KG1-7'!$AD37:$IM37,Rpt_DayIdx),StatusLabels,0)),""))))</f>
        <v/>
      </c>
      <c r="AX213" s="40">
        <f>IF(AND(AP213=1,OR(AW213="A",AW213="E")),COUNTIFS($AP$5:AP213,1,$AW$5:AW213,"A")+COUNTIFS($AP$5:AP213,1,$AW$5:AW213,"E"),"")</f>
        <v/>
      </c>
    </row>
    <row r="214">
      <c r="A214" s="148">
        <f>IF(B214="","",ROW()-4)</f>
        <v/>
      </c>
      <c r="B214" s="148">
        <f>IF('KG1-7'!$B38="","",'KG1-7'!$B38)</f>
        <v/>
      </c>
      <c r="C214" s="146">
        <f>IF('KG1-7'!$C38="","",'KG1-7'!$C38)</f>
        <v/>
      </c>
      <c r="D214" s="148">
        <f>IF(B214="","",'KG1-7'!$B$2)</f>
        <v/>
      </c>
      <c r="E214" s="148">
        <f>IF(B214="","",MID(D214,FIND("-",D214&amp;"-")+1,10))</f>
        <v/>
      </c>
      <c r="F214" s="148">
        <f>IF(B214="","","نشط")</f>
        <v/>
      </c>
      <c r="G214" s="157">
        <f>IF(B214="","","")</f>
        <v/>
      </c>
      <c r="H214" s="146">
        <f>IF('KG1-7'!$K38="","",'KG1-7'!$K38)</f>
        <v/>
      </c>
      <c r="I214" s="148">
        <f>IF('KG1-7'!$J38="","",'KG1-7'!$J38)</f>
        <v/>
      </c>
      <c r="J214" s="148">
        <f>IF('KG1-7'!$M38="","",'KG1-7'!$M38)</f>
        <v/>
      </c>
      <c r="K214" s="148">
        <f>IF('KG1-7'!$N38="","",'KG1-7'!$N38)</f>
        <v/>
      </c>
      <c r="L214" s="148">
        <f>IF('KG1-7'!$D38="","",'KG1-7'!$D38)</f>
        <v/>
      </c>
      <c r="M214" s="148">
        <f>IF('KG1-7'!$E38="","",'KG1-7'!$E38)</f>
        <v/>
      </c>
      <c r="N214" s="148">
        <f>IF('KG1-7'!$F38="","",'KG1-7'!$F38)</f>
        <v/>
      </c>
      <c r="O214" s="158">
        <f>IF('KG1-7'!$G38="","",'KG1-7'!$G38)</f>
        <v/>
      </c>
      <c r="P214" s="158">
        <f>IF('KG1-7'!$O38="","",'KG1-7'!$O38)</f>
        <v/>
      </c>
      <c r="Q214" s="148">
        <f>IF('KG1-7'!$T38="","",'KG1-7'!$T38)</f>
        <v/>
      </c>
      <c r="R214" s="146">
        <f>IF('KG1-7'!$H38="","",'KG1-7'!$H38)</f>
        <v/>
      </c>
      <c r="S214" s="157">
        <f>IF('KG1-7'!$P38="","",'KG1-7'!$P38)</f>
        <v/>
      </c>
      <c r="T214" s="157">
        <f>IF('KG1-7'!$V38="","",'KG1-7'!$V38)</f>
        <v/>
      </c>
      <c r="U214" s="157">
        <f>IF('KG1-7'!$W38="","",'KG1-7'!$W38)</f>
        <v/>
      </c>
      <c r="V214" s="157">
        <f>IF('KG1-7'!$X38="","",'KG1-7'!$X38)</f>
        <v/>
      </c>
      <c r="W214" s="157">
        <f>IF('KG1-7'!$Y38="","",'KG1-7'!$Y38)</f>
        <v/>
      </c>
      <c r="X214" s="157">
        <f>IF('KG1-7'!$R38="","",'KG1-7'!$R38)</f>
        <v/>
      </c>
      <c r="Y214" s="148">
        <f>IF('KG1-7'!$S38="","",'KG1-7'!$S38)</f>
        <v/>
      </c>
      <c r="Z214" s="148">
        <f>IF('KG1-7'!$Q38="","",'KG1-7'!$Q38)</f>
        <v/>
      </c>
      <c r="AA214" s="148">
        <f>IF('KG1-7'!$I38="","",'KG1-7'!$I38)</f>
        <v/>
      </c>
      <c r="AB214" s="146">
        <f>IF(Q214="","",INDEX(LevelActions,MATCH(Q214,LevelValues,0)))</f>
        <v/>
      </c>
      <c r="AC214" s="148">
        <f>IF(J214="","",IF(J214=0,"—",IF(AND(L214=0,M214=0),Cat_L1,IF(O214&gt;=Cat_95,Cat_L2,IF(O214&gt;=Cat_90,Cat_L3,Cat_L4)))))</f>
        <v/>
      </c>
      <c r="AD214" s="146">
        <f>IF('KG1-7'!$L38="","",'KG1-7'!$L38)</f>
        <v/>
      </c>
      <c r="AE214" s="148">
        <f>IF(B214="","",IF(COUNTIF($B$5:$B$214,B214)&gt;1,"مكرر!",""))</f>
        <v/>
      </c>
      <c r="AF214" s="148">
        <f>IF(AND(B214&lt;&gt;"",F214="نشط",OR(Dash_Class="الكل",D214=Dash_Class)),1,0)</f>
        <v/>
      </c>
      <c r="AG214" s="40">
        <f>IF(OR(AF214=0,Dash_DayIdx=0),"",IF(INDEX('KG1-7'!$AD$7:$IM$7,Dash_DayIdx)&lt;&gt;"✓","",IF(INDEX('KG1-7'!$AD38:$IM38,Dash_DayIdx)="","P",IFERROR(INDEX(StatusCodes,MATCH(INDEX('KG1-7'!$AD38:$IM38,Dash_DayIdx),StatusLabels,0)),""))))</f>
        <v/>
      </c>
      <c r="AH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IF(LateAsPresent="نعم",COUNTIFS('KG1-7'!$AD38:$IM38,"متأخر",'KG1-7'!$AD$7:$IM$7,"✓",'KG1-7'!$AD$6:$IM$6,1,'KG1-7'!$AD$5:$IM$5,"&gt;="&amp;MAX('KG1-7'!$U38,Dash_PStart),'KG1-7'!$AD$5:$IM$5,"&lt;="&amp;Dash_PEnd),0))</f>
        <v/>
      </c>
      <c r="AI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COUNTIFS('KG1-7'!$AD38:$IM38,"غياب بدون عذر",'KG1-7'!$AD$7:$IM$7,"✓",'KG1-7'!$AD$6:$IM$6,1,'KG1-7'!$AD$5:$IM$5,"&gt;="&amp;MAX('KG1-7'!$U38,Dash_PStart),'KG1-7'!$AD$5:$IM$5,"&lt;="&amp;Dash_PEnd)+COUNTIFS('KG1-7'!$AD38:$IM38,"غياب بعذر",'KG1-7'!$AD$7:$IM$7,"✓",'KG1-7'!$AD$6:$IM$6,1,'KG1-7'!$AD$5:$IM$5,"&gt;="&amp;MAX('KG1-7'!$U38,Dash_PStart),'KG1-7'!$AD$5:$IM$5,"&lt;="&amp;Dash_PEnd)+COUNTIFS('KG1-7'!$AD38:$IM38,"متأخر",'KG1-7'!$AD$7:$IM$7,"✓",'KG1-7'!$AD$6:$IM$6,1,'KG1-7'!$AD$5:$IM$5,"&gt;="&amp;MAX('KG1-7'!$U38,Dash_PStart),'KG1-7'!$AD$5:$IM$5,"&lt;="&amp;Dash_PEnd))</f>
        <v/>
      </c>
      <c r="AJ214" s="40">
        <f>IF(AF214=0,0,IF(W214=Dash_Date,Thr_Critical,IF(V214=Dash_Date,Thr_High,IF(U214=Dash_Date,Thr_Repeated,IF(T214=Dash_Date,Thr_FollowUp,0)))))</f>
        <v/>
      </c>
      <c r="AK214" s="40">
        <f>IF(AJ214&gt;0,COUNTIF($AJ$5:AJ214,"&gt;0"),"")</f>
        <v/>
      </c>
      <c r="AL214" s="40">
        <f>IF(AND(B214&lt;&gt;"",F214="نشط",Q214&lt;&gt;"",Q214&gt;0),L214*1000+(999-ROW()),"")</f>
        <v/>
      </c>
      <c r="AM214" s="40">
        <f>IF(AND(AF214=1,J214&lt;&gt;"",J214&gt;0),ROUND(O214*10000,0)*1000000+K214*1000+(999-ROW()),"")</f>
        <v/>
      </c>
      <c r="AN214" s="40">
        <f>IF(AND(AF214=1,J214&lt;&gt;"",J214&gt;0),(L214+M214)*10000000+ROUND((1-O214)*10000,0)*1000+(999-ROW()),"")</f>
        <v/>
      </c>
      <c r="AO214" s="40">
        <f>IF(AND(AF214=1,Q214&lt;&gt;"",Q214&gt;=Thr_Critical),L214*1000+(999-ROW()),"")</f>
        <v/>
      </c>
      <c r="AP214" s="40">
        <f>IF(AND(B214&lt;&gt;"",F214="نشط",OR(Rpt_Class="الكل",D214=Rpt_Class)),1,0)</f>
        <v/>
      </c>
      <c r="AQ214" s="40">
        <f>IF(AND(AP214=1,Q214&lt;&gt;"",Q214&gt;0),L214*1000+(999-ROW()),"")</f>
        <v/>
      </c>
      <c r="AR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IF(LateAsPresent="نعم",COUNTIFS('KG1-7'!$AD38:$IM38,"متأخر",'KG1-7'!$AD$7:$IM$7,"✓",'KG1-7'!$AD$6:$IM$6,1,'KG1-7'!$AD$5:$IM$5,"&gt;="&amp;MAX('KG1-7'!$U38,Rpt_PStart),'KG1-7'!$AD$5:$IM$5,"&lt;="&amp;Rpt_PEnd),0))</f>
        <v/>
      </c>
      <c r="AS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COUNTIFS('KG1-7'!$AD38:$IM38,"غياب بدون عذر",'KG1-7'!$AD$7:$IM$7,"✓",'KG1-7'!$AD$6:$IM$6,1,'KG1-7'!$AD$5:$IM$5,"&gt;="&amp;MAX('KG1-7'!$U38,Rpt_PStart),'KG1-7'!$AD$5:$IM$5,"&lt;="&amp;Rpt_PEnd)+COUNTIFS('KG1-7'!$AD38:$IM38,"غياب بعذر",'KG1-7'!$AD$7:$IM$7,"✓",'KG1-7'!$AD$6:$IM$6,1,'KG1-7'!$AD$5:$IM$5,"&gt;="&amp;MAX('KG1-7'!$U38,Rpt_PStart),'KG1-7'!$AD$5:$IM$5,"&lt;="&amp;Rpt_PEnd)+COUNTIFS('KG1-7'!$AD38:$IM38,"متأخر",'KG1-7'!$AD$7:$IM$7,"✓",'KG1-7'!$AD$6:$IM$6,1,'KG1-7'!$AD$5:$IM$5,"&gt;="&amp;MAX('KG1-7'!$U38,Rpt_PStart),'KG1-7'!$AD$5:$IM$5,"&lt;="&amp;Rpt_PEnd))</f>
        <v/>
      </c>
      <c r="AT214" s="40">
        <f>IF(AP214=0,"",COUNTIFS('KG1-7'!$AD38:$IM38,"غياب بدون عذر",'KG1-7'!$AD$7:$IM$7,"✓",'KG1-7'!$AD$6:$IM$6,1,'KG1-7'!$AD$5:$IM$5,"&gt;="&amp;MAX('KG1-7'!$U38,Rpt_PStart),'KG1-7'!$AD$5:$IM$5,"&lt;="&amp;Rpt_PEnd)+COUNTIFS('KG1-7'!$AD38:$IM38,"غياب بعذر",'KG1-7'!$AD$7:$IM$7,"✓",'KG1-7'!$AD$6:$IM$6,1,'KG1-7'!$AD$5:$IM$5,"&gt;="&amp;MAX('KG1-7'!$U38,Rpt_PStart),'KG1-7'!$AD$5:$IM$5,"&lt;="&amp;Rpt_PEnd))</f>
        <v/>
      </c>
      <c r="AU214" s="40" t="n">
        <v>7</v>
      </c>
      <c r="AV214" s="40" t="n">
        <v>30</v>
      </c>
      <c r="AW214" s="40">
        <f>IF(OR(AP214=0,Rpt_DayIdx=0),"",IF(INDEX('KG1-7'!$AD$7:$IM$7,Rpt_DayIdx)&lt;&gt;"✓","",IF(INDEX('KG1-7'!$AD38:$IM38,Rpt_DayIdx)="","P",IFERROR(INDEX(StatusCodes,MATCH(INDEX('KG1-7'!$AD38:$IM38,Rpt_DayIdx),StatusLabels,0)),""))))</f>
        <v/>
      </c>
      <c r="AX214" s="40">
        <f>IF(AND(AP214=1,OR(AW214="A",AW214="E")),COUNTIFS($AP$5:AP214,1,$AW$5:AW214,"A")+COUNTIFS($AP$5:AP214,1,$AW$5:AW214,"E"),"")</f>
        <v/>
      </c>
    </row>
  </sheetData>
  <sheetProtection selectLockedCells="0" selectUnlockedCells="0" sheet="1" objects="0" insertRows="1" insertHyperlinks="1" autoFilter="0" scenarios="0" formatColumns="0" deleteColumns="1" insertColumns="1" pivotTables="1" deleteRows="1" formatCells="1" formatRows="0" sort="0"/>
  <conditionalFormatting sqref="R5:R214">
    <cfRule type="expression" priority="1" dxfId="8">
      <formula>AND($Q5&lt;&gt;"",$Q5&gt;=Thr_Critical)</formula>
    </cfRule>
    <cfRule type="expression" priority="2" dxfId="5">
      <formula>AND($Q5&lt;&gt;"",$Q5=Thr_High)</formula>
    </cfRule>
    <cfRule type="expression" priority="3" dxfId="2">
      <formula>AND($Q5&lt;&gt;"",$Q5=Thr_Repeated)</formula>
    </cfRule>
    <cfRule type="expression" priority="4" dxfId="6">
      <formula>AND($Q5&lt;&gt;"",$Q5=Thr_FollowUp)</formula>
    </cfRule>
  </conditionalFormatting>
  <conditionalFormatting sqref="AE5:AE214">
    <cfRule type="expression" priority="5" dxfId="8">
      <formula>$AE5="مكرر!"</formula>
    </cfRule>
  </conditionalFormatting>
  <conditionalFormatting sqref="AA5:AA214">
    <cfRule type="expression" priority="6" dxfId="2">
      <formula>ISNUMBER(SEARCH("مطلوب",$AA5))</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9CA3AF"/>
    <outlinePr summaryBelow="1" summaryRight="1"/>
    <pageSetUpPr/>
  </sheetPr>
  <dimension ref="A1:V222"/>
  <sheetViews>
    <sheetView showGridLines="0" rightToLeft="1" zoomScale="100" workbookViewId="0">
      <pane ySplit="4" topLeftCell="A5" activePane="bottomLeft" state="frozen"/>
      <selection pane="bottomLeft" activeCell="A1" sqref="A1"/>
    </sheetView>
  </sheetViews>
  <sheetFormatPr baseColWidth="8" defaultRowHeight="15"/>
  <cols>
    <col width="12" customWidth="1" min="1" max="1"/>
    <col width="10" customWidth="1" min="2" max="2"/>
    <col width="14" customWidth="1" min="3" max="3"/>
    <col width="10" customWidth="1" min="4" max="4"/>
    <col width="9" customWidth="1" min="5" max="5"/>
    <col width="12" customWidth="1" min="6" max="6"/>
    <col width="8" customWidth="1" min="7" max="7"/>
    <col width="8" customWidth="1" min="8" max="8"/>
    <col width="10" customWidth="1" min="9" max="9"/>
    <col width="8" customWidth="1" min="10" max="10"/>
    <col width="8" customWidth="1" min="11" max="11"/>
    <col width="8" customWidth="1" min="12" max="12"/>
    <col width="8" customWidth="1" min="13" max="13"/>
    <col width="10" customWidth="1" min="14" max="14"/>
    <col width="10" customWidth="1" min="15" max="15"/>
    <col width="10" customWidth="1" min="16" max="16"/>
    <col width="8" customWidth="1" min="18" max="18"/>
    <col width="11" customWidth="1" min="19" max="19"/>
    <col width="11" customWidth="1" min="20" max="20"/>
    <col width="8" customWidth="1" min="21" max="21"/>
    <col width="30" customWidth="1" min="22" max="22"/>
  </cols>
  <sheetData>
    <row r="1" ht="30" customHeight="1">
      <c r="A1" s="68" t="inlineStr">
        <is>
          <t>التقويم الدراسي</t>
        </is>
      </c>
    </row>
    <row r="2">
      <c r="A2" s="69" t="inlineStr">
        <is>
          <t>يُبنى تلقائيًا من الإعدادات (العطلات، الفصول) ومن سجلات الصفوف — لا يحتاج إلى إدخال</t>
        </is>
      </c>
    </row>
    <row r="3">
      <c r="A3" s="32" t="inlineStr">
        <is>
          <t>Academic calendar (auto)</t>
        </is>
      </c>
    </row>
    <row r="4" ht="30" customHeight="1">
      <c r="A4" s="85" t="inlineStr">
        <is>
          <t>التاريخ</t>
        </is>
      </c>
      <c r="B4" s="85" t="inlineStr">
        <is>
          <t>اليوم</t>
        </is>
      </c>
      <c r="C4" s="85" t="inlineStr">
        <is>
          <t>الشهر</t>
        </is>
      </c>
      <c r="D4" s="85" t="inlineStr">
        <is>
          <t>مفتاح الشهر</t>
        </is>
      </c>
      <c r="E4" s="85" t="inlineStr">
        <is>
          <t>الأسبوع الدراسي</t>
        </is>
      </c>
      <c r="F4" s="85" t="inlineStr">
        <is>
          <t>الفصل</t>
        </is>
      </c>
      <c r="G4" s="85" t="inlineStr">
        <is>
          <t>عطلة؟</t>
        </is>
      </c>
      <c r="H4" s="85" t="inlineStr">
        <is>
          <t>يوم دراسي</t>
        </is>
      </c>
      <c r="I4" s="85" t="inlineStr">
        <is>
          <t>المسجَّلون</t>
        </is>
      </c>
      <c r="J4" s="85" t="inlineStr">
        <is>
          <t>حاضر</t>
        </is>
      </c>
      <c r="K4" s="85" t="inlineStr">
        <is>
          <t>غياب بدون عذر</t>
        </is>
      </c>
      <c r="L4" s="85" t="inlineStr">
        <is>
          <t>غياب بعذر</t>
        </is>
      </c>
      <c r="M4" s="85" t="inlineStr">
        <is>
          <t>متأخر</t>
        </is>
      </c>
      <c r="N4" s="85" t="inlineStr">
        <is>
          <t>نسبة الحضور</t>
        </is>
      </c>
      <c r="O4" s="85" t="inlineStr">
        <is>
          <t>تم التسجيل؟</t>
        </is>
      </c>
      <c r="P4" s="85" t="inlineStr">
        <is>
          <t>ترتيب اليوم المسجَّل</t>
        </is>
      </c>
      <c r="R4" s="85" t="inlineStr">
        <is>
          <t>الأسبوع</t>
        </is>
      </c>
      <c r="S4" s="85" t="inlineStr">
        <is>
          <t>من</t>
        </is>
      </c>
      <c r="T4" s="85" t="inlineStr">
        <is>
          <t>إلى</t>
        </is>
      </c>
      <c r="U4" s="85" t="inlineStr">
        <is>
          <t>أيام الدوام</t>
        </is>
      </c>
      <c r="V4" s="85" t="inlineStr">
        <is>
          <t>تسمية الأسبوع</t>
        </is>
      </c>
    </row>
    <row r="5">
      <c r="A5" s="105" t="n">
        <v>46265</v>
      </c>
      <c r="B5" s="106" t="inlineStr">
        <is>
          <t>الاثنين</t>
        </is>
      </c>
      <c r="C5" s="106" t="inlineStr">
        <is>
          <t>أغسطس 2026</t>
        </is>
      </c>
      <c r="D5" s="159" t="n">
        <v>202608</v>
      </c>
      <c r="E5" s="159" t="n">
        <v>1</v>
      </c>
      <c r="F5" s="106">
        <f>IFERROR(IF(A5&lt;=INDEX(TermEnd,MATCH(A5,TermStart,1)),INDEX(TermNames,MATCH(A5,TermStart,1)),"إجازة"),"")</f>
        <v/>
      </c>
      <c r="G5" s="160">
        <f>IF(COUNTIFS(HolFrom,"&lt;="&amp;A5,HolTo,"&gt;="&amp;A5)&gt;0,"عطلة","")</f>
        <v/>
      </c>
      <c r="H5" s="106">
        <f>IF(OR(G5="عطلة",AND(WEEKDAY(A5,2)=5,FridaySchool="لا")),0,1)</f>
        <v/>
      </c>
      <c r="I5" s="106">
        <f>'KG1-1'!AD44+'KG1-2'!AD44+'KG1-3'!AD44+'KG1-4'!AD44+'KG1-5'!AD44+'KG1-6'!AD44+'KG1-7'!AD44</f>
        <v/>
      </c>
      <c r="J5" s="106">
        <f>'KG1-1'!AD43+'KG1-2'!AD43+'KG1-3'!AD43+'KG1-4'!AD43+'KG1-5'!AD43+'KG1-6'!AD43+'KG1-7'!AD43</f>
        <v/>
      </c>
      <c r="K5" s="106">
        <f>'KG1-1'!AD40+'KG1-2'!AD40+'KG1-3'!AD40+'KG1-4'!AD40+'KG1-5'!AD40+'KG1-6'!AD40+'KG1-7'!AD40</f>
        <v/>
      </c>
      <c r="L5" s="106">
        <f>'KG1-1'!AD41+'KG1-2'!AD41+'KG1-3'!AD41+'KG1-4'!AD41+'KG1-5'!AD41+'KG1-6'!AD41+'KG1-7'!AD41</f>
        <v/>
      </c>
      <c r="M5" s="106">
        <f>'KG1-1'!AD42+'KG1-2'!AD42+'KG1-3'!AD42+'KG1-4'!AD42+'KG1-5'!AD42+'KG1-6'!AD42+'KG1-7'!AD42</f>
        <v/>
      </c>
      <c r="N5" s="145">
        <f>IF(I5=0,"",(J5+IF(LateAsPresent="نعم",M5,0))/I5)</f>
        <v/>
      </c>
      <c r="O5" s="161">
        <f>IF(I5&gt;0,"نعم","")</f>
        <v/>
      </c>
      <c r="P5" s="159">
        <f>IF(I5&gt;0,COUNTIF($I$5:I5,"&gt;0"),"")</f>
        <v/>
      </c>
      <c r="R5" s="106" t="n">
        <v>1</v>
      </c>
      <c r="S5" s="105" t="n">
        <v>46265</v>
      </c>
      <c r="T5" s="105">
        <f>S5+4</f>
        <v/>
      </c>
      <c r="U5" s="106">
        <f>COUNTIFS(Cal_Week,R5,Cal_School,1)</f>
        <v/>
      </c>
      <c r="V5" s="107">
        <f>"الأسبوع "&amp;R5&amp;": "&amp;TEXT(S5,"dd/mm")&amp;" – "&amp;TEXT(T5,"dd/mm")&amp;IF(U5=0,"  (إجازة)",IF(U5&lt;5,"  (عطلة جزئية)",""))</f>
        <v/>
      </c>
    </row>
    <row r="6">
      <c r="A6" s="105" t="n">
        <v>46266</v>
      </c>
      <c r="B6" s="106" t="inlineStr">
        <is>
          <t>الثلاثاء</t>
        </is>
      </c>
      <c r="C6" s="106" t="inlineStr">
        <is>
          <t>سبتمبر 2026</t>
        </is>
      </c>
      <c r="D6" s="159" t="n">
        <v>202609</v>
      </c>
      <c r="E6" s="159" t="n">
        <v>1</v>
      </c>
      <c r="F6" s="106">
        <f>IFERROR(IF(A6&lt;=INDEX(TermEnd,MATCH(A6,TermStart,1)),INDEX(TermNames,MATCH(A6,TermStart,1)),"إجازة"),"")</f>
        <v/>
      </c>
      <c r="G6" s="160">
        <f>IF(COUNTIFS(HolFrom,"&lt;="&amp;A6,HolTo,"&gt;="&amp;A6)&gt;0,"عطلة","")</f>
        <v/>
      </c>
      <c r="H6" s="106">
        <f>IF(OR(G6="عطلة",AND(WEEKDAY(A6,2)=5,FridaySchool="لا")),0,1)</f>
        <v/>
      </c>
      <c r="I6" s="106">
        <f>'KG1-1'!AE44+'KG1-2'!AE44+'KG1-3'!AE44+'KG1-4'!AE44+'KG1-5'!AE44+'KG1-6'!AE44+'KG1-7'!AE44</f>
        <v/>
      </c>
      <c r="J6" s="106">
        <f>'KG1-1'!AE43+'KG1-2'!AE43+'KG1-3'!AE43+'KG1-4'!AE43+'KG1-5'!AE43+'KG1-6'!AE43+'KG1-7'!AE43</f>
        <v/>
      </c>
      <c r="K6" s="106">
        <f>'KG1-1'!AE40+'KG1-2'!AE40+'KG1-3'!AE40+'KG1-4'!AE40+'KG1-5'!AE40+'KG1-6'!AE40+'KG1-7'!AE40</f>
        <v/>
      </c>
      <c r="L6" s="106">
        <f>'KG1-1'!AE41+'KG1-2'!AE41+'KG1-3'!AE41+'KG1-4'!AE41+'KG1-5'!AE41+'KG1-6'!AE41+'KG1-7'!AE41</f>
        <v/>
      </c>
      <c r="M6" s="106">
        <f>'KG1-1'!AE42+'KG1-2'!AE42+'KG1-3'!AE42+'KG1-4'!AE42+'KG1-5'!AE42+'KG1-6'!AE42+'KG1-7'!AE42</f>
        <v/>
      </c>
      <c r="N6" s="145">
        <f>IF(I6=0,"",(J6+IF(LateAsPresent="نعم",M6,0))/I6)</f>
        <v/>
      </c>
      <c r="O6" s="161">
        <f>IF(I6&gt;0,"نعم","")</f>
        <v/>
      </c>
      <c r="P6" s="159">
        <f>IF(I6&gt;0,COUNTIF($I$5:I6,"&gt;0"),"")</f>
        <v/>
      </c>
      <c r="R6" s="106" t="n">
        <v>2</v>
      </c>
      <c r="S6" s="105" t="n">
        <v>46272</v>
      </c>
      <c r="T6" s="105">
        <f>S6+4</f>
        <v/>
      </c>
      <c r="U6" s="106">
        <f>COUNTIFS(Cal_Week,R6,Cal_School,1)</f>
        <v/>
      </c>
      <c r="V6" s="107">
        <f>"الأسبوع "&amp;R6&amp;": "&amp;TEXT(S6,"dd/mm")&amp;" – "&amp;TEXT(T6,"dd/mm")&amp;IF(U6=0,"  (إجازة)",IF(U6&lt;5,"  (عطلة جزئية)",""))</f>
        <v/>
      </c>
    </row>
    <row r="7">
      <c r="A7" s="105" t="n">
        <v>46267</v>
      </c>
      <c r="B7" s="106" t="inlineStr">
        <is>
          <t>الأربعاء</t>
        </is>
      </c>
      <c r="C7" s="106" t="inlineStr">
        <is>
          <t>سبتمبر 2026</t>
        </is>
      </c>
      <c r="D7" s="159" t="n">
        <v>202609</v>
      </c>
      <c r="E7" s="159" t="n">
        <v>1</v>
      </c>
      <c r="F7" s="106">
        <f>IFERROR(IF(A7&lt;=INDEX(TermEnd,MATCH(A7,TermStart,1)),INDEX(TermNames,MATCH(A7,TermStart,1)),"إجازة"),"")</f>
        <v/>
      </c>
      <c r="G7" s="160">
        <f>IF(COUNTIFS(HolFrom,"&lt;="&amp;A7,HolTo,"&gt;="&amp;A7)&gt;0,"عطلة","")</f>
        <v/>
      </c>
      <c r="H7" s="106">
        <f>IF(OR(G7="عطلة",AND(WEEKDAY(A7,2)=5,FridaySchool="لا")),0,1)</f>
        <v/>
      </c>
      <c r="I7" s="106">
        <f>'KG1-1'!AF44+'KG1-2'!AF44+'KG1-3'!AF44+'KG1-4'!AF44+'KG1-5'!AF44+'KG1-6'!AF44+'KG1-7'!AF44</f>
        <v/>
      </c>
      <c r="J7" s="106">
        <f>'KG1-1'!AF43+'KG1-2'!AF43+'KG1-3'!AF43+'KG1-4'!AF43+'KG1-5'!AF43+'KG1-6'!AF43+'KG1-7'!AF43</f>
        <v/>
      </c>
      <c r="K7" s="106">
        <f>'KG1-1'!AF40+'KG1-2'!AF40+'KG1-3'!AF40+'KG1-4'!AF40+'KG1-5'!AF40+'KG1-6'!AF40+'KG1-7'!AF40</f>
        <v/>
      </c>
      <c r="L7" s="106">
        <f>'KG1-1'!AF41+'KG1-2'!AF41+'KG1-3'!AF41+'KG1-4'!AF41+'KG1-5'!AF41+'KG1-6'!AF41+'KG1-7'!AF41</f>
        <v/>
      </c>
      <c r="M7" s="106">
        <f>'KG1-1'!AF42+'KG1-2'!AF42+'KG1-3'!AF42+'KG1-4'!AF42+'KG1-5'!AF42+'KG1-6'!AF42+'KG1-7'!AF42</f>
        <v/>
      </c>
      <c r="N7" s="145">
        <f>IF(I7=0,"",(J7+IF(LateAsPresent="نعم",M7,0))/I7)</f>
        <v/>
      </c>
      <c r="O7" s="161">
        <f>IF(I7&gt;0,"نعم","")</f>
        <v/>
      </c>
      <c r="P7" s="159">
        <f>IF(I7&gt;0,COUNTIF($I$5:I7,"&gt;0"),"")</f>
        <v/>
      </c>
      <c r="R7" s="106" t="n">
        <v>3</v>
      </c>
      <c r="S7" s="105" t="n">
        <v>46279</v>
      </c>
      <c r="T7" s="105">
        <f>S7+4</f>
        <v/>
      </c>
      <c r="U7" s="106">
        <f>COUNTIFS(Cal_Week,R7,Cal_School,1)</f>
        <v/>
      </c>
      <c r="V7" s="107">
        <f>"الأسبوع "&amp;R7&amp;": "&amp;TEXT(S7,"dd/mm")&amp;" – "&amp;TEXT(T7,"dd/mm")&amp;IF(U7=0,"  (إجازة)",IF(U7&lt;5,"  (عطلة جزئية)",""))</f>
        <v/>
      </c>
    </row>
    <row r="8">
      <c r="A8" s="105" t="n">
        <v>46268</v>
      </c>
      <c r="B8" s="106" t="inlineStr">
        <is>
          <t>الخميس</t>
        </is>
      </c>
      <c r="C8" s="106" t="inlineStr">
        <is>
          <t>سبتمبر 2026</t>
        </is>
      </c>
      <c r="D8" s="159" t="n">
        <v>202609</v>
      </c>
      <c r="E8" s="159" t="n">
        <v>1</v>
      </c>
      <c r="F8" s="106">
        <f>IFERROR(IF(A8&lt;=INDEX(TermEnd,MATCH(A8,TermStart,1)),INDEX(TermNames,MATCH(A8,TermStart,1)),"إجازة"),"")</f>
        <v/>
      </c>
      <c r="G8" s="160">
        <f>IF(COUNTIFS(HolFrom,"&lt;="&amp;A8,HolTo,"&gt;="&amp;A8)&gt;0,"عطلة","")</f>
        <v/>
      </c>
      <c r="H8" s="106">
        <f>IF(OR(G8="عطلة",AND(WEEKDAY(A8,2)=5,FridaySchool="لا")),0,1)</f>
        <v/>
      </c>
      <c r="I8" s="106">
        <f>'KG1-1'!AG44+'KG1-2'!AG44+'KG1-3'!AG44+'KG1-4'!AG44+'KG1-5'!AG44+'KG1-6'!AG44+'KG1-7'!AG44</f>
        <v/>
      </c>
      <c r="J8" s="106">
        <f>'KG1-1'!AG43+'KG1-2'!AG43+'KG1-3'!AG43+'KG1-4'!AG43+'KG1-5'!AG43+'KG1-6'!AG43+'KG1-7'!AG43</f>
        <v/>
      </c>
      <c r="K8" s="106">
        <f>'KG1-1'!AG40+'KG1-2'!AG40+'KG1-3'!AG40+'KG1-4'!AG40+'KG1-5'!AG40+'KG1-6'!AG40+'KG1-7'!AG40</f>
        <v/>
      </c>
      <c r="L8" s="106">
        <f>'KG1-1'!AG41+'KG1-2'!AG41+'KG1-3'!AG41+'KG1-4'!AG41+'KG1-5'!AG41+'KG1-6'!AG41+'KG1-7'!AG41</f>
        <v/>
      </c>
      <c r="M8" s="106">
        <f>'KG1-1'!AG42+'KG1-2'!AG42+'KG1-3'!AG42+'KG1-4'!AG42+'KG1-5'!AG42+'KG1-6'!AG42+'KG1-7'!AG42</f>
        <v/>
      </c>
      <c r="N8" s="145">
        <f>IF(I8=0,"",(J8+IF(LateAsPresent="نعم",M8,0))/I8)</f>
        <v/>
      </c>
      <c r="O8" s="161">
        <f>IF(I8&gt;0,"نعم","")</f>
        <v/>
      </c>
      <c r="P8" s="159">
        <f>IF(I8&gt;0,COUNTIF($I$5:I8,"&gt;0"),"")</f>
        <v/>
      </c>
      <c r="R8" s="106" t="n">
        <v>4</v>
      </c>
      <c r="S8" s="105" t="n">
        <v>46286</v>
      </c>
      <c r="T8" s="105">
        <f>S8+4</f>
        <v/>
      </c>
      <c r="U8" s="106">
        <f>COUNTIFS(Cal_Week,R8,Cal_School,1)</f>
        <v/>
      </c>
      <c r="V8" s="107">
        <f>"الأسبوع "&amp;R8&amp;": "&amp;TEXT(S8,"dd/mm")&amp;" – "&amp;TEXT(T8,"dd/mm")&amp;IF(U8=0,"  (إجازة)",IF(U8&lt;5,"  (عطلة جزئية)",""))</f>
        <v/>
      </c>
    </row>
    <row r="9">
      <c r="A9" s="105" t="n">
        <v>46269</v>
      </c>
      <c r="B9" s="106" t="inlineStr">
        <is>
          <t>الجمعة</t>
        </is>
      </c>
      <c r="C9" s="106" t="inlineStr">
        <is>
          <t>سبتمبر 2026</t>
        </is>
      </c>
      <c r="D9" s="159" t="n">
        <v>202609</v>
      </c>
      <c r="E9" s="159" t="n">
        <v>1</v>
      </c>
      <c r="F9" s="106">
        <f>IFERROR(IF(A9&lt;=INDEX(TermEnd,MATCH(A9,TermStart,1)),INDEX(TermNames,MATCH(A9,TermStart,1)),"إجازة"),"")</f>
        <v/>
      </c>
      <c r="G9" s="160">
        <f>IF(COUNTIFS(HolFrom,"&lt;="&amp;A9,HolTo,"&gt;="&amp;A9)&gt;0,"عطلة","")</f>
        <v/>
      </c>
      <c r="H9" s="106">
        <f>IF(OR(G9="عطلة",AND(WEEKDAY(A9,2)=5,FridaySchool="لا")),0,1)</f>
        <v/>
      </c>
      <c r="I9" s="106">
        <f>'KG1-1'!AH44+'KG1-2'!AH44+'KG1-3'!AH44+'KG1-4'!AH44+'KG1-5'!AH44+'KG1-6'!AH44+'KG1-7'!AH44</f>
        <v/>
      </c>
      <c r="J9" s="106">
        <f>'KG1-1'!AH43+'KG1-2'!AH43+'KG1-3'!AH43+'KG1-4'!AH43+'KG1-5'!AH43+'KG1-6'!AH43+'KG1-7'!AH43</f>
        <v/>
      </c>
      <c r="K9" s="106">
        <f>'KG1-1'!AH40+'KG1-2'!AH40+'KG1-3'!AH40+'KG1-4'!AH40+'KG1-5'!AH40+'KG1-6'!AH40+'KG1-7'!AH40</f>
        <v/>
      </c>
      <c r="L9" s="106">
        <f>'KG1-1'!AH41+'KG1-2'!AH41+'KG1-3'!AH41+'KG1-4'!AH41+'KG1-5'!AH41+'KG1-6'!AH41+'KG1-7'!AH41</f>
        <v/>
      </c>
      <c r="M9" s="106">
        <f>'KG1-1'!AH42+'KG1-2'!AH42+'KG1-3'!AH42+'KG1-4'!AH42+'KG1-5'!AH42+'KG1-6'!AH42+'KG1-7'!AH42</f>
        <v/>
      </c>
      <c r="N9" s="145">
        <f>IF(I9=0,"",(J9+IF(LateAsPresent="نعم",M9,0))/I9)</f>
        <v/>
      </c>
      <c r="O9" s="161">
        <f>IF(I9&gt;0,"نعم","")</f>
        <v/>
      </c>
      <c r="P9" s="159">
        <f>IF(I9&gt;0,COUNTIF($I$5:I9,"&gt;0"),"")</f>
        <v/>
      </c>
      <c r="R9" s="106" t="n">
        <v>5</v>
      </c>
      <c r="S9" s="105" t="n">
        <v>46293</v>
      </c>
      <c r="T9" s="105">
        <f>S9+4</f>
        <v/>
      </c>
      <c r="U9" s="106">
        <f>COUNTIFS(Cal_Week,R9,Cal_School,1)</f>
        <v/>
      </c>
      <c r="V9" s="107">
        <f>"الأسبوع "&amp;R9&amp;": "&amp;TEXT(S9,"dd/mm")&amp;" – "&amp;TEXT(T9,"dd/mm")&amp;IF(U9=0,"  (إجازة)",IF(U9&lt;5,"  (عطلة جزئية)",""))</f>
        <v/>
      </c>
    </row>
    <row r="10">
      <c r="A10" s="105" t="n">
        <v>46272</v>
      </c>
      <c r="B10" s="106" t="inlineStr">
        <is>
          <t>الاثنين</t>
        </is>
      </c>
      <c r="C10" s="106" t="inlineStr">
        <is>
          <t>سبتمبر 2026</t>
        </is>
      </c>
      <c r="D10" s="159" t="n">
        <v>202609</v>
      </c>
      <c r="E10" s="159" t="n">
        <v>2</v>
      </c>
      <c r="F10" s="106">
        <f>IFERROR(IF(A10&lt;=INDEX(TermEnd,MATCH(A10,TermStart,1)),INDEX(TermNames,MATCH(A10,TermStart,1)),"إجازة"),"")</f>
        <v/>
      </c>
      <c r="G10" s="160">
        <f>IF(COUNTIFS(HolFrom,"&lt;="&amp;A10,HolTo,"&gt;="&amp;A10)&gt;0,"عطلة","")</f>
        <v/>
      </c>
      <c r="H10" s="106">
        <f>IF(OR(G10="عطلة",AND(WEEKDAY(A10,2)=5,FridaySchool="لا")),0,1)</f>
        <v/>
      </c>
      <c r="I10" s="106">
        <f>'KG1-1'!AI44+'KG1-2'!AI44+'KG1-3'!AI44+'KG1-4'!AI44+'KG1-5'!AI44+'KG1-6'!AI44+'KG1-7'!AI44</f>
        <v/>
      </c>
      <c r="J10" s="106">
        <f>'KG1-1'!AI43+'KG1-2'!AI43+'KG1-3'!AI43+'KG1-4'!AI43+'KG1-5'!AI43+'KG1-6'!AI43+'KG1-7'!AI43</f>
        <v/>
      </c>
      <c r="K10" s="106">
        <f>'KG1-1'!AI40+'KG1-2'!AI40+'KG1-3'!AI40+'KG1-4'!AI40+'KG1-5'!AI40+'KG1-6'!AI40+'KG1-7'!AI40</f>
        <v/>
      </c>
      <c r="L10" s="106">
        <f>'KG1-1'!AI41+'KG1-2'!AI41+'KG1-3'!AI41+'KG1-4'!AI41+'KG1-5'!AI41+'KG1-6'!AI41+'KG1-7'!AI41</f>
        <v/>
      </c>
      <c r="M10" s="106">
        <f>'KG1-1'!AI42+'KG1-2'!AI42+'KG1-3'!AI42+'KG1-4'!AI42+'KG1-5'!AI42+'KG1-6'!AI42+'KG1-7'!AI42</f>
        <v/>
      </c>
      <c r="N10" s="145">
        <f>IF(I10=0,"",(J10+IF(LateAsPresent="نعم",M10,0))/I10)</f>
        <v/>
      </c>
      <c r="O10" s="161">
        <f>IF(I10&gt;0,"نعم","")</f>
        <v/>
      </c>
      <c r="P10" s="159">
        <f>IF(I10&gt;0,COUNTIF($I$5:I10,"&gt;0"),"")</f>
        <v/>
      </c>
      <c r="R10" s="106" t="n">
        <v>6</v>
      </c>
      <c r="S10" s="105" t="n">
        <v>46300</v>
      </c>
      <c r="T10" s="105">
        <f>S10+4</f>
        <v/>
      </c>
      <c r="U10" s="106">
        <f>COUNTIFS(Cal_Week,R10,Cal_School,1)</f>
        <v/>
      </c>
      <c r="V10" s="107">
        <f>"الأسبوع "&amp;R10&amp;": "&amp;TEXT(S10,"dd/mm")&amp;" – "&amp;TEXT(T10,"dd/mm")&amp;IF(U10=0,"  (إجازة)",IF(U10&lt;5,"  (عطلة جزئية)",""))</f>
        <v/>
      </c>
    </row>
    <row r="11">
      <c r="A11" s="105" t="n">
        <v>46273</v>
      </c>
      <c r="B11" s="106" t="inlineStr">
        <is>
          <t>الثلاثاء</t>
        </is>
      </c>
      <c r="C11" s="106" t="inlineStr">
        <is>
          <t>سبتمبر 2026</t>
        </is>
      </c>
      <c r="D11" s="159" t="n">
        <v>202609</v>
      </c>
      <c r="E11" s="159" t="n">
        <v>2</v>
      </c>
      <c r="F11" s="106">
        <f>IFERROR(IF(A11&lt;=INDEX(TermEnd,MATCH(A11,TermStart,1)),INDEX(TermNames,MATCH(A11,TermStart,1)),"إجازة"),"")</f>
        <v/>
      </c>
      <c r="G11" s="160">
        <f>IF(COUNTIFS(HolFrom,"&lt;="&amp;A11,HolTo,"&gt;="&amp;A11)&gt;0,"عطلة","")</f>
        <v/>
      </c>
      <c r="H11" s="106">
        <f>IF(OR(G11="عطلة",AND(WEEKDAY(A11,2)=5,FridaySchool="لا")),0,1)</f>
        <v/>
      </c>
      <c r="I11" s="106">
        <f>'KG1-1'!AJ44+'KG1-2'!AJ44+'KG1-3'!AJ44+'KG1-4'!AJ44+'KG1-5'!AJ44+'KG1-6'!AJ44+'KG1-7'!AJ44</f>
        <v/>
      </c>
      <c r="J11" s="106">
        <f>'KG1-1'!AJ43+'KG1-2'!AJ43+'KG1-3'!AJ43+'KG1-4'!AJ43+'KG1-5'!AJ43+'KG1-6'!AJ43+'KG1-7'!AJ43</f>
        <v/>
      </c>
      <c r="K11" s="106">
        <f>'KG1-1'!AJ40+'KG1-2'!AJ40+'KG1-3'!AJ40+'KG1-4'!AJ40+'KG1-5'!AJ40+'KG1-6'!AJ40+'KG1-7'!AJ40</f>
        <v/>
      </c>
      <c r="L11" s="106">
        <f>'KG1-1'!AJ41+'KG1-2'!AJ41+'KG1-3'!AJ41+'KG1-4'!AJ41+'KG1-5'!AJ41+'KG1-6'!AJ41+'KG1-7'!AJ41</f>
        <v/>
      </c>
      <c r="M11" s="106">
        <f>'KG1-1'!AJ42+'KG1-2'!AJ42+'KG1-3'!AJ42+'KG1-4'!AJ42+'KG1-5'!AJ42+'KG1-6'!AJ42+'KG1-7'!AJ42</f>
        <v/>
      </c>
      <c r="N11" s="145">
        <f>IF(I11=0,"",(J11+IF(LateAsPresent="نعم",M11,0))/I11)</f>
        <v/>
      </c>
      <c r="O11" s="161">
        <f>IF(I11&gt;0,"نعم","")</f>
        <v/>
      </c>
      <c r="P11" s="159">
        <f>IF(I11&gt;0,COUNTIF($I$5:I11,"&gt;0"),"")</f>
        <v/>
      </c>
      <c r="R11" s="106" t="n">
        <v>7</v>
      </c>
      <c r="S11" s="105" t="n">
        <v>46307</v>
      </c>
      <c r="T11" s="105">
        <f>S11+4</f>
        <v/>
      </c>
      <c r="U11" s="106">
        <f>COUNTIFS(Cal_Week,R11,Cal_School,1)</f>
        <v/>
      </c>
      <c r="V11" s="107">
        <f>"الأسبوع "&amp;R11&amp;": "&amp;TEXT(S11,"dd/mm")&amp;" – "&amp;TEXT(T11,"dd/mm")&amp;IF(U11=0,"  (إجازة)",IF(U11&lt;5,"  (عطلة جزئية)",""))</f>
        <v/>
      </c>
    </row>
    <row r="12">
      <c r="A12" s="105" t="n">
        <v>46274</v>
      </c>
      <c r="B12" s="106" t="inlineStr">
        <is>
          <t>الأربعاء</t>
        </is>
      </c>
      <c r="C12" s="106" t="inlineStr">
        <is>
          <t>سبتمبر 2026</t>
        </is>
      </c>
      <c r="D12" s="159" t="n">
        <v>202609</v>
      </c>
      <c r="E12" s="159" t="n">
        <v>2</v>
      </c>
      <c r="F12" s="106">
        <f>IFERROR(IF(A12&lt;=INDEX(TermEnd,MATCH(A12,TermStart,1)),INDEX(TermNames,MATCH(A12,TermStart,1)),"إجازة"),"")</f>
        <v/>
      </c>
      <c r="G12" s="160">
        <f>IF(COUNTIFS(HolFrom,"&lt;="&amp;A12,HolTo,"&gt;="&amp;A12)&gt;0,"عطلة","")</f>
        <v/>
      </c>
      <c r="H12" s="106">
        <f>IF(OR(G12="عطلة",AND(WEEKDAY(A12,2)=5,FridaySchool="لا")),0,1)</f>
        <v/>
      </c>
      <c r="I12" s="106">
        <f>'KG1-1'!AK44+'KG1-2'!AK44+'KG1-3'!AK44+'KG1-4'!AK44+'KG1-5'!AK44+'KG1-6'!AK44+'KG1-7'!AK44</f>
        <v/>
      </c>
      <c r="J12" s="106">
        <f>'KG1-1'!AK43+'KG1-2'!AK43+'KG1-3'!AK43+'KG1-4'!AK43+'KG1-5'!AK43+'KG1-6'!AK43+'KG1-7'!AK43</f>
        <v/>
      </c>
      <c r="K12" s="106">
        <f>'KG1-1'!AK40+'KG1-2'!AK40+'KG1-3'!AK40+'KG1-4'!AK40+'KG1-5'!AK40+'KG1-6'!AK40+'KG1-7'!AK40</f>
        <v/>
      </c>
      <c r="L12" s="106">
        <f>'KG1-1'!AK41+'KG1-2'!AK41+'KG1-3'!AK41+'KG1-4'!AK41+'KG1-5'!AK41+'KG1-6'!AK41+'KG1-7'!AK41</f>
        <v/>
      </c>
      <c r="M12" s="106">
        <f>'KG1-1'!AK42+'KG1-2'!AK42+'KG1-3'!AK42+'KG1-4'!AK42+'KG1-5'!AK42+'KG1-6'!AK42+'KG1-7'!AK42</f>
        <v/>
      </c>
      <c r="N12" s="145">
        <f>IF(I12=0,"",(J12+IF(LateAsPresent="نعم",M12,0))/I12)</f>
        <v/>
      </c>
      <c r="O12" s="161">
        <f>IF(I12&gt;0,"نعم","")</f>
        <v/>
      </c>
      <c r="P12" s="159">
        <f>IF(I12&gt;0,COUNTIF($I$5:I12,"&gt;0"),"")</f>
        <v/>
      </c>
      <c r="R12" s="106" t="n">
        <v>8</v>
      </c>
      <c r="S12" s="105" t="n">
        <v>46314</v>
      </c>
      <c r="T12" s="105">
        <f>S12+4</f>
        <v/>
      </c>
      <c r="U12" s="106">
        <f>COUNTIFS(Cal_Week,R12,Cal_School,1)</f>
        <v/>
      </c>
      <c r="V12" s="107">
        <f>"الأسبوع "&amp;R12&amp;": "&amp;TEXT(S12,"dd/mm")&amp;" – "&amp;TEXT(T12,"dd/mm")&amp;IF(U12=0,"  (إجازة)",IF(U12&lt;5,"  (عطلة جزئية)",""))</f>
        <v/>
      </c>
    </row>
    <row r="13">
      <c r="A13" s="105" t="n">
        <v>46275</v>
      </c>
      <c r="B13" s="106" t="inlineStr">
        <is>
          <t>الخميس</t>
        </is>
      </c>
      <c r="C13" s="106" t="inlineStr">
        <is>
          <t>سبتمبر 2026</t>
        </is>
      </c>
      <c r="D13" s="159" t="n">
        <v>202609</v>
      </c>
      <c r="E13" s="159" t="n">
        <v>2</v>
      </c>
      <c r="F13" s="106">
        <f>IFERROR(IF(A13&lt;=INDEX(TermEnd,MATCH(A13,TermStart,1)),INDEX(TermNames,MATCH(A13,TermStart,1)),"إجازة"),"")</f>
        <v/>
      </c>
      <c r="G13" s="160">
        <f>IF(COUNTIFS(HolFrom,"&lt;="&amp;A13,HolTo,"&gt;="&amp;A13)&gt;0,"عطلة","")</f>
        <v/>
      </c>
      <c r="H13" s="106">
        <f>IF(OR(G13="عطلة",AND(WEEKDAY(A13,2)=5,FridaySchool="لا")),0,1)</f>
        <v/>
      </c>
      <c r="I13" s="106">
        <f>'KG1-1'!AL44+'KG1-2'!AL44+'KG1-3'!AL44+'KG1-4'!AL44+'KG1-5'!AL44+'KG1-6'!AL44+'KG1-7'!AL44</f>
        <v/>
      </c>
      <c r="J13" s="106">
        <f>'KG1-1'!AL43+'KG1-2'!AL43+'KG1-3'!AL43+'KG1-4'!AL43+'KG1-5'!AL43+'KG1-6'!AL43+'KG1-7'!AL43</f>
        <v/>
      </c>
      <c r="K13" s="106">
        <f>'KG1-1'!AL40+'KG1-2'!AL40+'KG1-3'!AL40+'KG1-4'!AL40+'KG1-5'!AL40+'KG1-6'!AL40+'KG1-7'!AL40</f>
        <v/>
      </c>
      <c r="L13" s="106">
        <f>'KG1-1'!AL41+'KG1-2'!AL41+'KG1-3'!AL41+'KG1-4'!AL41+'KG1-5'!AL41+'KG1-6'!AL41+'KG1-7'!AL41</f>
        <v/>
      </c>
      <c r="M13" s="106">
        <f>'KG1-1'!AL42+'KG1-2'!AL42+'KG1-3'!AL42+'KG1-4'!AL42+'KG1-5'!AL42+'KG1-6'!AL42+'KG1-7'!AL42</f>
        <v/>
      </c>
      <c r="N13" s="145">
        <f>IF(I13=0,"",(J13+IF(LateAsPresent="نعم",M13,0))/I13)</f>
        <v/>
      </c>
      <c r="O13" s="161">
        <f>IF(I13&gt;0,"نعم","")</f>
        <v/>
      </c>
      <c r="P13" s="159">
        <f>IF(I13&gt;0,COUNTIF($I$5:I13,"&gt;0"),"")</f>
        <v/>
      </c>
      <c r="R13" s="106" t="n">
        <v>9</v>
      </c>
      <c r="S13" s="105" t="n">
        <v>46321</v>
      </c>
      <c r="T13" s="105">
        <f>S13+4</f>
        <v/>
      </c>
      <c r="U13" s="106">
        <f>COUNTIFS(Cal_Week,R13,Cal_School,1)</f>
        <v/>
      </c>
      <c r="V13" s="107">
        <f>"الأسبوع "&amp;R13&amp;": "&amp;TEXT(S13,"dd/mm")&amp;" – "&amp;TEXT(T13,"dd/mm")&amp;IF(U13=0,"  (إجازة)",IF(U13&lt;5,"  (عطلة جزئية)",""))</f>
        <v/>
      </c>
    </row>
    <row r="14">
      <c r="A14" s="105" t="n">
        <v>46276</v>
      </c>
      <c r="B14" s="106" t="inlineStr">
        <is>
          <t>الجمعة</t>
        </is>
      </c>
      <c r="C14" s="106" t="inlineStr">
        <is>
          <t>سبتمبر 2026</t>
        </is>
      </c>
      <c r="D14" s="159" t="n">
        <v>202609</v>
      </c>
      <c r="E14" s="159" t="n">
        <v>2</v>
      </c>
      <c r="F14" s="106">
        <f>IFERROR(IF(A14&lt;=INDEX(TermEnd,MATCH(A14,TermStart,1)),INDEX(TermNames,MATCH(A14,TermStart,1)),"إجازة"),"")</f>
        <v/>
      </c>
      <c r="G14" s="160">
        <f>IF(COUNTIFS(HolFrom,"&lt;="&amp;A14,HolTo,"&gt;="&amp;A14)&gt;0,"عطلة","")</f>
        <v/>
      </c>
      <c r="H14" s="106">
        <f>IF(OR(G14="عطلة",AND(WEEKDAY(A14,2)=5,FridaySchool="لا")),0,1)</f>
        <v/>
      </c>
      <c r="I14" s="106">
        <f>'KG1-1'!AM44+'KG1-2'!AM44+'KG1-3'!AM44+'KG1-4'!AM44+'KG1-5'!AM44+'KG1-6'!AM44+'KG1-7'!AM44</f>
        <v/>
      </c>
      <c r="J14" s="106">
        <f>'KG1-1'!AM43+'KG1-2'!AM43+'KG1-3'!AM43+'KG1-4'!AM43+'KG1-5'!AM43+'KG1-6'!AM43+'KG1-7'!AM43</f>
        <v/>
      </c>
      <c r="K14" s="106">
        <f>'KG1-1'!AM40+'KG1-2'!AM40+'KG1-3'!AM40+'KG1-4'!AM40+'KG1-5'!AM40+'KG1-6'!AM40+'KG1-7'!AM40</f>
        <v/>
      </c>
      <c r="L14" s="106">
        <f>'KG1-1'!AM41+'KG1-2'!AM41+'KG1-3'!AM41+'KG1-4'!AM41+'KG1-5'!AM41+'KG1-6'!AM41+'KG1-7'!AM41</f>
        <v/>
      </c>
      <c r="M14" s="106">
        <f>'KG1-1'!AM42+'KG1-2'!AM42+'KG1-3'!AM42+'KG1-4'!AM42+'KG1-5'!AM42+'KG1-6'!AM42+'KG1-7'!AM42</f>
        <v/>
      </c>
      <c r="N14" s="145">
        <f>IF(I14=0,"",(J14+IF(LateAsPresent="نعم",M14,0))/I14)</f>
        <v/>
      </c>
      <c r="O14" s="161">
        <f>IF(I14&gt;0,"نعم","")</f>
        <v/>
      </c>
      <c r="P14" s="159">
        <f>IF(I14&gt;0,COUNTIF($I$5:I14,"&gt;0"),"")</f>
        <v/>
      </c>
      <c r="R14" s="106" t="n">
        <v>10</v>
      </c>
      <c r="S14" s="105" t="n">
        <v>46328</v>
      </c>
      <c r="T14" s="105">
        <f>S14+4</f>
        <v/>
      </c>
      <c r="U14" s="106">
        <f>COUNTIFS(Cal_Week,R14,Cal_School,1)</f>
        <v/>
      </c>
      <c r="V14" s="107">
        <f>"الأسبوع "&amp;R14&amp;": "&amp;TEXT(S14,"dd/mm")&amp;" – "&amp;TEXT(T14,"dd/mm")&amp;IF(U14=0,"  (إجازة)",IF(U14&lt;5,"  (عطلة جزئية)",""))</f>
        <v/>
      </c>
    </row>
    <row r="15">
      <c r="A15" s="105" t="n">
        <v>46279</v>
      </c>
      <c r="B15" s="106" t="inlineStr">
        <is>
          <t>الاثنين</t>
        </is>
      </c>
      <c r="C15" s="106" t="inlineStr">
        <is>
          <t>سبتمبر 2026</t>
        </is>
      </c>
      <c r="D15" s="159" t="n">
        <v>202609</v>
      </c>
      <c r="E15" s="159" t="n">
        <v>3</v>
      </c>
      <c r="F15" s="106">
        <f>IFERROR(IF(A15&lt;=INDEX(TermEnd,MATCH(A15,TermStart,1)),INDEX(TermNames,MATCH(A15,TermStart,1)),"إجازة"),"")</f>
        <v/>
      </c>
      <c r="G15" s="160">
        <f>IF(COUNTIFS(HolFrom,"&lt;="&amp;A15,HolTo,"&gt;="&amp;A15)&gt;0,"عطلة","")</f>
        <v/>
      </c>
      <c r="H15" s="106">
        <f>IF(OR(G15="عطلة",AND(WEEKDAY(A15,2)=5,FridaySchool="لا")),0,1)</f>
        <v/>
      </c>
      <c r="I15" s="106">
        <f>'KG1-1'!AN44+'KG1-2'!AN44+'KG1-3'!AN44+'KG1-4'!AN44+'KG1-5'!AN44+'KG1-6'!AN44+'KG1-7'!AN44</f>
        <v/>
      </c>
      <c r="J15" s="106">
        <f>'KG1-1'!AN43+'KG1-2'!AN43+'KG1-3'!AN43+'KG1-4'!AN43+'KG1-5'!AN43+'KG1-6'!AN43+'KG1-7'!AN43</f>
        <v/>
      </c>
      <c r="K15" s="106">
        <f>'KG1-1'!AN40+'KG1-2'!AN40+'KG1-3'!AN40+'KG1-4'!AN40+'KG1-5'!AN40+'KG1-6'!AN40+'KG1-7'!AN40</f>
        <v/>
      </c>
      <c r="L15" s="106">
        <f>'KG1-1'!AN41+'KG1-2'!AN41+'KG1-3'!AN41+'KG1-4'!AN41+'KG1-5'!AN41+'KG1-6'!AN41+'KG1-7'!AN41</f>
        <v/>
      </c>
      <c r="M15" s="106">
        <f>'KG1-1'!AN42+'KG1-2'!AN42+'KG1-3'!AN42+'KG1-4'!AN42+'KG1-5'!AN42+'KG1-6'!AN42+'KG1-7'!AN42</f>
        <v/>
      </c>
      <c r="N15" s="145">
        <f>IF(I15=0,"",(J15+IF(LateAsPresent="نعم",M15,0))/I15)</f>
        <v/>
      </c>
      <c r="O15" s="161">
        <f>IF(I15&gt;0,"نعم","")</f>
        <v/>
      </c>
      <c r="P15" s="159">
        <f>IF(I15&gt;0,COUNTIF($I$5:I15,"&gt;0"),"")</f>
        <v/>
      </c>
      <c r="R15" s="106" t="n">
        <v>11</v>
      </c>
      <c r="S15" s="105" t="n">
        <v>46335</v>
      </c>
      <c r="T15" s="105">
        <f>S15+4</f>
        <v/>
      </c>
      <c r="U15" s="106">
        <f>COUNTIFS(Cal_Week,R15,Cal_School,1)</f>
        <v/>
      </c>
      <c r="V15" s="107">
        <f>"الأسبوع "&amp;R15&amp;": "&amp;TEXT(S15,"dd/mm")&amp;" – "&amp;TEXT(T15,"dd/mm")&amp;IF(U15=0,"  (إجازة)",IF(U15&lt;5,"  (عطلة جزئية)",""))</f>
        <v/>
      </c>
    </row>
    <row r="16">
      <c r="A16" s="105" t="n">
        <v>46280</v>
      </c>
      <c r="B16" s="106" t="inlineStr">
        <is>
          <t>الثلاثاء</t>
        </is>
      </c>
      <c r="C16" s="106" t="inlineStr">
        <is>
          <t>سبتمبر 2026</t>
        </is>
      </c>
      <c r="D16" s="159" t="n">
        <v>202609</v>
      </c>
      <c r="E16" s="159" t="n">
        <v>3</v>
      </c>
      <c r="F16" s="106">
        <f>IFERROR(IF(A16&lt;=INDEX(TermEnd,MATCH(A16,TermStart,1)),INDEX(TermNames,MATCH(A16,TermStart,1)),"إجازة"),"")</f>
        <v/>
      </c>
      <c r="G16" s="160">
        <f>IF(COUNTIFS(HolFrom,"&lt;="&amp;A16,HolTo,"&gt;="&amp;A16)&gt;0,"عطلة","")</f>
        <v/>
      </c>
      <c r="H16" s="106">
        <f>IF(OR(G16="عطلة",AND(WEEKDAY(A16,2)=5,FridaySchool="لا")),0,1)</f>
        <v/>
      </c>
      <c r="I16" s="106">
        <f>'KG1-1'!AO44+'KG1-2'!AO44+'KG1-3'!AO44+'KG1-4'!AO44+'KG1-5'!AO44+'KG1-6'!AO44+'KG1-7'!AO44</f>
        <v/>
      </c>
      <c r="J16" s="106">
        <f>'KG1-1'!AO43+'KG1-2'!AO43+'KG1-3'!AO43+'KG1-4'!AO43+'KG1-5'!AO43+'KG1-6'!AO43+'KG1-7'!AO43</f>
        <v/>
      </c>
      <c r="K16" s="106">
        <f>'KG1-1'!AO40+'KG1-2'!AO40+'KG1-3'!AO40+'KG1-4'!AO40+'KG1-5'!AO40+'KG1-6'!AO40+'KG1-7'!AO40</f>
        <v/>
      </c>
      <c r="L16" s="106">
        <f>'KG1-1'!AO41+'KG1-2'!AO41+'KG1-3'!AO41+'KG1-4'!AO41+'KG1-5'!AO41+'KG1-6'!AO41+'KG1-7'!AO41</f>
        <v/>
      </c>
      <c r="M16" s="106">
        <f>'KG1-1'!AO42+'KG1-2'!AO42+'KG1-3'!AO42+'KG1-4'!AO42+'KG1-5'!AO42+'KG1-6'!AO42+'KG1-7'!AO42</f>
        <v/>
      </c>
      <c r="N16" s="145">
        <f>IF(I16=0,"",(J16+IF(LateAsPresent="نعم",M16,0))/I16)</f>
        <v/>
      </c>
      <c r="O16" s="161">
        <f>IF(I16&gt;0,"نعم","")</f>
        <v/>
      </c>
      <c r="P16" s="159">
        <f>IF(I16&gt;0,COUNTIF($I$5:I16,"&gt;0"),"")</f>
        <v/>
      </c>
      <c r="R16" s="106" t="n">
        <v>12</v>
      </c>
      <c r="S16" s="105" t="n">
        <v>46342</v>
      </c>
      <c r="T16" s="105">
        <f>S16+4</f>
        <v/>
      </c>
      <c r="U16" s="106">
        <f>COUNTIFS(Cal_Week,R16,Cal_School,1)</f>
        <v/>
      </c>
      <c r="V16" s="107">
        <f>"الأسبوع "&amp;R16&amp;": "&amp;TEXT(S16,"dd/mm")&amp;" – "&amp;TEXT(T16,"dd/mm")&amp;IF(U16=0,"  (إجازة)",IF(U16&lt;5,"  (عطلة جزئية)",""))</f>
        <v/>
      </c>
    </row>
    <row r="17">
      <c r="A17" s="105" t="n">
        <v>46281</v>
      </c>
      <c r="B17" s="106" t="inlineStr">
        <is>
          <t>الأربعاء</t>
        </is>
      </c>
      <c r="C17" s="106" t="inlineStr">
        <is>
          <t>سبتمبر 2026</t>
        </is>
      </c>
      <c r="D17" s="159" t="n">
        <v>202609</v>
      </c>
      <c r="E17" s="159" t="n">
        <v>3</v>
      </c>
      <c r="F17" s="106">
        <f>IFERROR(IF(A17&lt;=INDEX(TermEnd,MATCH(A17,TermStart,1)),INDEX(TermNames,MATCH(A17,TermStart,1)),"إجازة"),"")</f>
        <v/>
      </c>
      <c r="G17" s="160">
        <f>IF(COUNTIFS(HolFrom,"&lt;="&amp;A17,HolTo,"&gt;="&amp;A17)&gt;0,"عطلة","")</f>
        <v/>
      </c>
      <c r="H17" s="106">
        <f>IF(OR(G17="عطلة",AND(WEEKDAY(A17,2)=5,FridaySchool="لا")),0,1)</f>
        <v/>
      </c>
      <c r="I17" s="106">
        <f>'KG1-1'!AP44+'KG1-2'!AP44+'KG1-3'!AP44+'KG1-4'!AP44+'KG1-5'!AP44+'KG1-6'!AP44+'KG1-7'!AP44</f>
        <v/>
      </c>
      <c r="J17" s="106">
        <f>'KG1-1'!AP43+'KG1-2'!AP43+'KG1-3'!AP43+'KG1-4'!AP43+'KG1-5'!AP43+'KG1-6'!AP43+'KG1-7'!AP43</f>
        <v/>
      </c>
      <c r="K17" s="106">
        <f>'KG1-1'!AP40+'KG1-2'!AP40+'KG1-3'!AP40+'KG1-4'!AP40+'KG1-5'!AP40+'KG1-6'!AP40+'KG1-7'!AP40</f>
        <v/>
      </c>
      <c r="L17" s="106">
        <f>'KG1-1'!AP41+'KG1-2'!AP41+'KG1-3'!AP41+'KG1-4'!AP41+'KG1-5'!AP41+'KG1-6'!AP41+'KG1-7'!AP41</f>
        <v/>
      </c>
      <c r="M17" s="106">
        <f>'KG1-1'!AP42+'KG1-2'!AP42+'KG1-3'!AP42+'KG1-4'!AP42+'KG1-5'!AP42+'KG1-6'!AP42+'KG1-7'!AP42</f>
        <v/>
      </c>
      <c r="N17" s="145">
        <f>IF(I17=0,"",(J17+IF(LateAsPresent="نعم",M17,0))/I17)</f>
        <v/>
      </c>
      <c r="O17" s="161">
        <f>IF(I17&gt;0,"نعم","")</f>
        <v/>
      </c>
      <c r="P17" s="159">
        <f>IF(I17&gt;0,COUNTIF($I$5:I17,"&gt;0"),"")</f>
        <v/>
      </c>
      <c r="R17" s="106" t="n">
        <v>13</v>
      </c>
      <c r="S17" s="105" t="n">
        <v>46349</v>
      </c>
      <c r="T17" s="105">
        <f>S17+4</f>
        <v/>
      </c>
      <c r="U17" s="106">
        <f>COUNTIFS(Cal_Week,R17,Cal_School,1)</f>
        <v/>
      </c>
      <c r="V17" s="107">
        <f>"الأسبوع "&amp;R17&amp;": "&amp;TEXT(S17,"dd/mm")&amp;" – "&amp;TEXT(T17,"dd/mm")&amp;IF(U17=0,"  (إجازة)",IF(U17&lt;5,"  (عطلة جزئية)",""))</f>
        <v/>
      </c>
    </row>
    <row r="18">
      <c r="A18" s="105" t="n">
        <v>46282</v>
      </c>
      <c r="B18" s="106" t="inlineStr">
        <is>
          <t>الخميس</t>
        </is>
      </c>
      <c r="C18" s="106" t="inlineStr">
        <is>
          <t>سبتمبر 2026</t>
        </is>
      </c>
      <c r="D18" s="159" t="n">
        <v>202609</v>
      </c>
      <c r="E18" s="159" t="n">
        <v>3</v>
      </c>
      <c r="F18" s="106">
        <f>IFERROR(IF(A18&lt;=INDEX(TermEnd,MATCH(A18,TermStart,1)),INDEX(TermNames,MATCH(A18,TermStart,1)),"إجازة"),"")</f>
        <v/>
      </c>
      <c r="G18" s="160">
        <f>IF(COUNTIFS(HolFrom,"&lt;="&amp;A18,HolTo,"&gt;="&amp;A18)&gt;0,"عطلة","")</f>
        <v/>
      </c>
      <c r="H18" s="106">
        <f>IF(OR(G18="عطلة",AND(WEEKDAY(A18,2)=5,FridaySchool="لا")),0,1)</f>
        <v/>
      </c>
      <c r="I18" s="106">
        <f>'KG1-1'!AQ44+'KG1-2'!AQ44+'KG1-3'!AQ44+'KG1-4'!AQ44+'KG1-5'!AQ44+'KG1-6'!AQ44+'KG1-7'!AQ44</f>
        <v/>
      </c>
      <c r="J18" s="106">
        <f>'KG1-1'!AQ43+'KG1-2'!AQ43+'KG1-3'!AQ43+'KG1-4'!AQ43+'KG1-5'!AQ43+'KG1-6'!AQ43+'KG1-7'!AQ43</f>
        <v/>
      </c>
      <c r="K18" s="106">
        <f>'KG1-1'!AQ40+'KG1-2'!AQ40+'KG1-3'!AQ40+'KG1-4'!AQ40+'KG1-5'!AQ40+'KG1-6'!AQ40+'KG1-7'!AQ40</f>
        <v/>
      </c>
      <c r="L18" s="106">
        <f>'KG1-1'!AQ41+'KG1-2'!AQ41+'KG1-3'!AQ41+'KG1-4'!AQ41+'KG1-5'!AQ41+'KG1-6'!AQ41+'KG1-7'!AQ41</f>
        <v/>
      </c>
      <c r="M18" s="106">
        <f>'KG1-1'!AQ42+'KG1-2'!AQ42+'KG1-3'!AQ42+'KG1-4'!AQ42+'KG1-5'!AQ42+'KG1-6'!AQ42+'KG1-7'!AQ42</f>
        <v/>
      </c>
      <c r="N18" s="145">
        <f>IF(I18=0,"",(J18+IF(LateAsPresent="نعم",M18,0))/I18)</f>
        <v/>
      </c>
      <c r="O18" s="161">
        <f>IF(I18&gt;0,"نعم","")</f>
        <v/>
      </c>
      <c r="P18" s="159">
        <f>IF(I18&gt;0,COUNTIF($I$5:I18,"&gt;0"),"")</f>
        <v/>
      </c>
      <c r="R18" s="106" t="n">
        <v>14</v>
      </c>
      <c r="S18" s="105" t="n">
        <v>46356</v>
      </c>
      <c r="T18" s="105">
        <f>S18+4</f>
        <v/>
      </c>
      <c r="U18" s="106">
        <f>COUNTIFS(Cal_Week,R18,Cal_School,1)</f>
        <v/>
      </c>
      <c r="V18" s="107">
        <f>"الأسبوع "&amp;R18&amp;": "&amp;TEXT(S18,"dd/mm")&amp;" – "&amp;TEXT(T18,"dd/mm")&amp;IF(U18=0,"  (إجازة)",IF(U18&lt;5,"  (عطلة جزئية)",""))</f>
        <v/>
      </c>
    </row>
    <row r="19">
      <c r="A19" s="105" t="n">
        <v>46283</v>
      </c>
      <c r="B19" s="106" t="inlineStr">
        <is>
          <t>الجمعة</t>
        </is>
      </c>
      <c r="C19" s="106" t="inlineStr">
        <is>
          <t>سبتمبر 2026</t>
        </is>
      </c>
      <c r="D19" s="159" t="n">
        <v>202609</v>
      </c>
      <c r="E19" s="159" t="n">
        <v>3</v>
      </c>
      <c r="F19" s="106">
        <f>IFERROR(IF(A19&lt;=INDEX(TermEnd,MATCH(A19,TermStart,1)),INDEX(TermNames,MATCH(A19,TermStart,1)),"إجازة"),"")</f>
        <v/>
      </c>
      <c r="G19" s="160">
        <f>IF(COUNTIFS(HolFrom,"&lt;="&amp;A19,HolTo,"&gt;="&amp;A19)&gt;0,"عطلة","")</f>
        <v/>
      </c>
      <c r="H19" s="106">
        <f>IF(OR(G19="عطلة",AND(WEEKDAY(A19,2)=5,FridaySchool="لا")),0,1)</f>
        <v/>
      </c>
      <c r="I19" s="106">
        <f>'KG1-1'!AR44+'KG1-2'!AR44+'KG1-3'!AR44+'KG1-4'!AR44+'KG1-5'!AR44+'KG1-6'!AR44+'KG1-7'!AR44</f>
        <v/>
      </c>
      <c r="J19" s="106">
        <f>'KG1-1'!AR43+'KG1-2'!AR43+'KG1-3'!AR43+'KG1-4'!AR43+'KG1-5'!AR43+'KG1-6'!AR43+'KG1-7'!AR43</f>
        <v/>
      </c>
      <c r="K19" s="106">
        <f>'KG1-1'!AR40+'KG1-2'!AR40+'KG1-3'!AR40+'KG1-4'!AR40+'KG1-5'!AR40+'KG1-6'!AR40+'KG1-7'!AR40</f>
        <v/>
      </c>
      <c r="L19" s="106">
        <f>'KG1-1'!AR41+'KG1-2'!AR41+'KG1-3'!AR41+'KG1-4'!AR41+'KG1-5'!AR41+'KG1-6'!AR41+'KG1-7'!AR41</f>
        <v/>
      </c>
      <c r="M19" s="106">
        <f>'KG1-1'!AR42+'KG1-2'!AR42+'KG1-3'!AR42+'KG1-4'!AR42+'KG1-5'!AR42+'KG1-6'!AR42+'KG1-7'!AR42</f>
        <v/>
      </c>
      <c r="N19" s="145">
        <f>IF(I19=0,"",(J19+IF(LateAsPresent="نعم",M19,0))/I19)</f>
        <v/>
      </c>
      <c r="O19" s="161">
        <f>IF(I19&gt;0,"نعم","")</f>
        <v/>
      </c>
      <c r="P19" s="159">
        <f>IF(I19&gt;0,COUNTIF($I$5:I19,"&gt;0"),"")</f>
        <v/>
      </c>
      <c r="R19" s="106" t="n">
        <v>15</v>
      </c>
      <c r="S19" s="105" t="n">
        <v>46363</v>
      </c>
      <c r="T19" s="105">
        <f>S19+4</f>
        <v/>
      </c>
      <c r="U19" s="106">
        <f>COUNTIFS(Cal_Week,R19,Cal_School,1)</f>
        <v/>
      </c>
      <c r="V19" s="107">
        <f>"الأسبوع "&amp;R19&amp;": "&amp;TEXT(S19,"dd/mm")&amp;" – "&amp;TEXT(T19,"dd/mm")&amp;IF(U19=0,"  (إجازة)",IF(U19&lt;5,"  (عطلة جزئية)",""))</f>
        <v/>
      </c>
    </row>
    <row r="20">
      <c r="A20" s="105" t="n">
        <v>46286</v>
      </c>
      <c r="B20" s="106" t="inlineStr">
        <is>
          <t>الاثنين</t>
        </is>
      </c>
      <c r="C20" s="106" t="inlineStr">
        <is>
          <t>سبتمبر 2026</t>
        </is>
      </c>
      <c r="D20" s="159" t="n">
        <v>202609</v>
      </c>
      <c r="E20" s="159" t="n">
        <v>4</v>
      </c>
      <c r="F20" s="106">
        <f>IFERROR(IF(A20&lt;=INDEX(TermEnd,MATCH(A20,TermStart,1)),INDEX(TermNames,MATCH(A20,TermStart,1)),"إجازة"),"")</f>
        <v/>
      </c>
      <c r="G20" s="160">
        <f>IF(COUNTIFS(HolFrom,"&lt;="&amp;A20,HolTo,"&gt;="&amp;A20)&gt;0,"عطلة","")</f>
        <v/>
      </c>
      <c r="H20" s="106">
        <f>IF(OR(G20="عطلة",AND(WEEKDAY(A20,2)=5,FridaySchool="لا")),0,1)</f>
        <v/>
      </c>
      <c r="I20" s="106">
        <f>'KG1-1'!AS44+'KG1-2'!AS44+'KG1-3'!AS44+'KG1-4'!AS44+'KG1-5'!AS44+'KG1-6'!AS44+'KG1-7'!AS44</f>
        <v/>
      </c>
      <c r="J20" s="106">
        <f>'KG1-1'!AS43+'KG1-2'!AS43+'KG1-3'!AS43+'KG1-4'!AS43+'KG1-5'!AS43+'KG1-6'!AS43+'KG1-7'!AS43</f>
        <v/>
      </c>
      <c r="K20" s="106">
        <f>'KG1-1'!AS40+'KG1-2'!AS40+'KG1-3'!AS40+'KG1-4'!AS40+'KG1-5'!AS40+'KG1-6'!AS40+'KG1-7'!AS40</f>
        <v/>
      </c>
      <c r="L20" s="106">
        <f>'KG1-1'!AS41+'KG1-2'!AS41+'KG1-3'!AS41+'KG1-4'!AS41+'KG1-5'!AS41+'KG1-6'!AS41+'KG1-7'!AS41</f>
        <v/>
      </c>
      <c r="M20" s="106">
        <f>'KG1-1'!AS42+'KG1-2'!AS42+'KG1-3'!AS42+'KG1-4'!AS42+'KG1-5'!AS42+'KG1-6'!AS42+'KG1-7'!AS42</f>
        <v/>
      </c>
      <c r="N20" s="145">
        <f>IF(I20=0,"",(J20+IF(LateAsPresent="نعم",M20,0))/I20)</f>
        <v/>
      </c>
      <c r="O20" s="161">
        <f>IF(I20&gt;0,"نعم","")</f>
        <v/>
      </c>
      <c r="P20" s="159">
        <f>IF(I20&gt;0,COUNTIF($I$5:I20,"&gt;0"),"")</f>
        <v/>
      </c>
      <c r="R20" s="106" t="n">
        <v>16</v>
      </c>
      <c r="S20" s="105" t="n">
        <v>46370</v>
      </c>
      <c r="T20" s="105">
        <f>S20+4</f>
        <v/>
      </c>
      <c r="U20" s="106">
        <f>COUNTIFS(Cal_Week,R20,Cal_School,1)</f>
        <v/>
      </c>
      <c r="V20" s="107">
        <f>"الأسبوع "&amp;R20&amp;": "&amp;TEXT(S20,"dd/mm")&amp;" – "&amp;TEXT(T20,"dd/mm")&amp;IF(U20=0,"  (إجازة)",IF(U20&lt;5,"  (عطلة جزئية)",""))</f>
        <v/>
      </c>
    </row>
    <row r="21">
      <c r="A21" s="105" t="n">
        <v>46287</v>
      </c>
      <c r="B21" s="106" t="inlineStr">
        <is>
          <t>الثلاثاء</t>
        </is>
      </c>
      <c r="C21" s="106" t="inlineStr">
        <is>
          <t>سبتمبر 2026</t>
        </is>
      </c>
      <c r="D21" s="159" t="n">
        <v>202609</v>
      </c>
      <c r="E21" s="159" t="n">
        <v>4</v>
      </c>
      <c r="F21" s="106">
        <f>IFERROR(IF(A21&lt;=INDEX(TermEnd,MATCH(A21,TermStart,1)),INDEX(TermNames,MATCH(A21,TermStart,1)),"إجازة"),"")</f>
        <v/>
      </c>
      <c r="G21" s="160">
        <f>IF(COUNTIFS(HolFrom,"&lt;="&amp;A21,HolTo,"&gt;="&amp;A21)&gt;0,"عطلة","")</f>
        <v/>
      </c>
      <c r="H21" s="106">
        <f>IF(OR(G21="عطلة",AND(WEEKDAY(A21,2)=5,FridaySchool="لا")),0,1)</f>
        <v/>
      </c>
      <c r="I21" s="106">
        <f>'KG1-1'!AT44+'KG1-2'!AT44+'KG1-3'!AT44+'KG1-4'!AT44+'KG1-5'!AT44+'KG1-6'!AT44+'KG1-7'!AT44</f>
        <v/>
      </c>
      <c r="J21" s="106">
        <f>'KG1-1'!AT43+'KG1-2'!AT43+'KG1-3'!AT43+'KG1-4'!AT43+'KG1-5'!AT43+'KG1-6'!AT43+'KG1-7'!AT43</f>
        <v/>
      </c>
      <c r="K21" s="106">
        <f>'KG1-1'!AT40+'KG1-2'!AT40+'KG1-3'!AT40+'KG1-4'!AT40+'KG1-5'!AT40+'KG1-6'!AT40+'KG1-7'!AT40</f>
        <v/>
      </c>
      <c r="L21" s="106">
        <f>'KG1-1'!AT41+'KG1-2'!AT41+'KG1-3'!AT41+'KG1-4'!AT41+'KG1-5'!AT41+'KG1-6'!AT41+'KG1-7'!AT41</f>
        <v/>
      </c>
      <c r="M21" s="106">
        <f>'KG1-1'!AT42+'KG1-2'!AT42+'KG1-3'!AT42+'KG1-4'!AT42+'KG1-5'!AT42+'KG1-6'!AT42+'KG1-7'!AT42</f>
        <v/>
      </c>
      <c r="N21" s="145">
        <f>IF(I21=0,"",(J21+IF(LateAsPresent="نعم",M21,0))/I21)</f>
        <v/>
      </c>
      <c r="O21" s="161">
        <f>IF(I21&gt;0,"نعم","")</f>
        <v/>
      </c>
      <c r="P21" s="159">
        <f>IF(I21&gt;0,COUNTIF($I$5:I21,"&gt;0"),"")</f>
        <v/>
      </c>
      <c r="R21" s="106" t="n">
        <v>17</v>
      </c>
      <c r="S21" s="105" t="n">
        <v>46377</v>
      </c>
      <c r="T21" s="105">
        <f>S21+4</f>
        <v/>
      </c>
      <c r="U21" s="106">
        <f>COUNTIFS(Cal_Week,R21,Cal_School,1)</f>
        <v/>
      </c>
      <c r="V21" s="107">
        <f>"الأسبوع "&amp;R21&amp;": "&amp;TEXT(S21,"dd/mm")&amp;" – "&amp;TEXT(T21,"dd/mm")&amp;IF(U21=0,"  (إجازة)",IF(U21&lt;5,"  (عطلة جزئية)",""))</f>
        <v/>
      </c>
    </row>
    <row r="22">
      <c r="A22" s="105" t="n">
        <v>46288</v>
      </c>
      <c r="B22" s="106" t="inlineStr">
        <is>
          <t>الأربعاء</t>
        </is>
      </c>
      <c r="C22" s="106" t="inlineStr">
        <is>
          <t>سبتمبر 2026</t>
        </is>
      </c>
      <c r="D22" s="159" t="n">
        <v>202609</v>
      </c>
      <c r="E22" s="159" t="n">
        <v>4</v>
      </c>
      <c r="F22" s="106">
        <f>IFERROR(IF(A22&lt;=INDEX(TermEnd,MATCH(A22,TermStart,1)),INDEX(TermNames,MATCH(A22,TermStart,1)),"إجازة"),"")</f>
        <v/>
      </c>
      <c r="G22" s="160">
        <f>IF(COUNTIFS(HolFrom,"&lt;="&amp;A22,HolTo,"&gt;="&amp;A22)&gt;0,"عطلة","")</f>
        <v/>
      </c>
      <c r="H22" s="106">
        <f>IF(OR(G22="عطلة",AND(WEEKDAY(A22,2)=5,FridaySchool="لا")),0,1)</f>
        <v/>
      </c>
      <c r="I22" s="106">
        <f>'KG1-1'!AU44+'KG1-2'!AU44+'KG1-3'!AU44+'KG1-4'!AU44+'KG1-5'!AU44+'KG1-6'!AU44+'KG1-7'!AU44</f>
        <v/>
      </c>
      <c r="J22" s="106">
        <f>'KG1-1'!AU43+'KG1-2'!AU43+'KG1-3'!AU43+'KG1-4'!AU43+'KG1-5'!AU43+'KG1-6'!AU43+'KG1-7'!AU43</f>
        <v/>
      </c>
      <c r="K22" s="106">
        <f>'KG1-1'!AU40+'KG1-2'!AU40+'KG1-3'!AU40+'KG1-4'!AU40+'KG1-5'!AU40+'KG1-6'!AU40+'KG1-7'!AU40</f>
        <v/>
      </c>
      <c r="L22" s="106">
        <f>'KG1-1'!AU41+'KG1-2'!AU41+'KG1-3'!AU41+'KG1-4'!AU41+'KG1-5'!AU41+'KG1-6'!AU41+'KG1-7'!AU41</f>
        <v/>
      </c>
      <c r="M22" s="106">
        <f>'KG1-1'!AU42+'KG1-2'!AU42+'KG1-3'!AU42+'KG1-4'!AU42+'KG1-5'!AU42+'KG1-6'!AU42+'KG1-7'!AU42</f>
        <v/>
      </c>
      <c r="N22" s="145">
        <f>IF(I22=0,"",(J22+IF(LateAsPresent="نعم",M22,0))/I22)</f>
        <v/>
      </c>
      <c r="O22" s="161">
        <f>IF(I22&gt;0,"نعم","")</f>
        <v/>
      </c>
      <c r="P22" s="159">
        <f>IF(I22&gt;0,COUNTIF($I$5:I22,"&gt;0"),"")</f>
        <v/>
      </c>
      <c r="R22" s="106" t="n">
        <v>18</v>
      </c>
      <c r="S22" s="105" t="n">
        <v>46384</v>
      </c>
      <c r="T22" s="105">
        <f>S22+4</f>
        <v/>
      </c>
      <c r="U22" s="106">
        <f>COUNTIFS(Cal_Week,R22,Cal_School,1)</f>
        <v/>
      </c>
      <c r="V22" s="107">
        <f>"الأسبوع "&amp;R22&amp;": "&amp;TEXT(S22,"dd/mm")&amp;" – "&amp;TEXT(T22,"dd/mm")&amp;IF(U22=0,"  (إجازة)",IF(U22&lt;5,"  (عطلة جزئية)",""))</f>
        <v/>
      </c>
    </row>
    <row r="23">
      <c r="A23" s="105" t="n">
        <v>46289</v>
      </c>
      <c r="B23" s="106" t="inlineStr">
        <is>
          <t>الخميس</t>
        </is>
      </c>
      <c r="C23" s="106" t="inlineStr">
        <is>
          <t>سبتمبر 2026</t>
        </is>
      </c>
      <c r="D23" s="159" t="n">
        <v>202609</v>
      </c>
      <c r="E23" s="159" t="n">
        <v>4</v>
      </c>
      <c r="F23" s="106">
        <f>IFERROR(IF(A23&lt;=INDEX(TermEnd,MATCH(A23,TermStart,1)),INDEX(TermNames,MATCH(A23,TermStart,1)),"إجازة"),"")</f>
        <v/>
      </c>
      <c r="G23" s="160">
        <f>IF(COUNTIFS(HolFrom,"&lt;="&amp;A23,HolTo,"&gt;="&amp;A23)&gt;0,"عطلة","")</f>
        <v/>
      </c>
      <c r="H23" s="106">
        <f>IF(OR(G23="عطلة",AND(WEEKDAY(A23,2)=5,FridaySchool="لا")),0,1)</f>
        <v/>
      </c>
      <c r="I23" s="106">
        <f>'KG1-1'!AV44+'KG1-2'!AV44+'KG1-3'!AV44+'KG1-4'!AV44+'KG1-5'!AV44+'KG1-6'!AV44+'KG1-7'!AV44</f>
        <v/>
      </c>
      <c r="J23" s="106">
        <f>'KG1-1'!AV43+'KG1-2'!AV43+'KG1-3'!AV43+'KG1-4'!AV43+'KG1-5'!AV43+'KG1-6'!AV43+'KG1-7'!AV43</f>
        <v/>
      </c>
      <c r="K23" s="106">
        <f>'KG1-1'!AV40+'KG1-2'!AV40+'KG1-3'!AV40+'KG1-4'!AV40+'KG1-5'!AV40+'KG1-6'!AV40+'KG1-7'!AV40</f>
        <v/>
      </c>
      <c r="L23" s="106">
        <f>'KG1-1'!AV41+'KG1-2'!AV41+'KG1-3'!AV41+'KG1-4'!AV41+'KG1-5'!AV41+'KG1-6'!AV41+'KG1-7'!AV41</f>
        <v/>
      </c>
      <c r="M23" s="106">
        <f>'KG1-1'!AV42+'KG1-2'!AV42+'KG1-3'!AV42+'KG1-4'!AV42+'KG1-5'!AV42+'KG1-6'!AV42+'KG1-7'!AV42</f>
        <v/>
      </c>
      <c r="N23" s="145">
        <f>IF(I23=0,"",(J23+IF(LateAsPresent="نعم",M23,0))/I23)</f>
        <v/>
      </c>
      <c r="O23" s="161">
        <f>IF(I23&gt;0,"نعم","")</f>
        <v/>
      </c>
      <c r="P23" s="159">
        <f>IF(I23&gt;0,COUNTIF($I$5:I23,"&gt;0"),"")</f>
        <v/>
      </c>
      <c r="R23" s="106" t="n">
        <v>19</v>
      </c>
      <c r="S23" s="105" t="n">
        <v>46391</v>
      </c>
      <c r="T23" s="105">
        <f>S23+4</f>
        <v/>
      </c>
      <c r="U23" s="106">
        <f>COUNTIFS(Cal_Week,R23,Cal_School,1)</f>
        <v/>
      </c>
      <c r="V23" s="107">
        <f>"الأسبوع "&amp;R23&amp;": "&amp;TEXT(S23,"dd/mm")&amp;" – "&amp;TEXT(T23,"dd/mm")&amp;IF(U23=0,"  (إجازة)",IF(U23&lt;5,"  (عطلة جزئية)",""))</f>
        <v/>
      </c>
    </row>
    <row r="24">
      <c r="A24" s="105" t="n">
        <v>46290</v>
      </c>
      <c r="B24" s="106" t="inlineStr">
        <is>
          <t>الجمعة</t>
        </is>
      </c>
      <c r="C24" s="106" t="inlineStr">
        <is>
          <t>سبتمبر 2026</t>
        </is>
      </c>
      <c r="D24" s="159" t="n">
        <v>202609</v>
      </c>
      <c r="E24" s="159" t="n">
        <v>4</v>
      </c>
      <c r="F24" s="106">
        <f>IFERROR(IF(A24&lt;=INDEX(TermEnd,MATCH(A24,TermStart,1)),INDEX(TermNames,MATCH(A24,TermStart,1)),"إجازة"),"")</f>
        <v/>
      </c>
      <c r="G24" s="160">
        <f>IF(COUNTIFS(HolFrom,"&lt;="&amp;A24,HolTo,"&gt;="&amp;A24)&gt;0,"عطلة","")</f>
        <v/>
      </c>
      <c r="H24" s="106">
        <f>IF(OR(G24="عطلة",AND(WEEKDAY(A24,2)=5,FridaySchool="لا")),0,1)</f>
        <v/>
      </c>
      <c r="I24" s="106">
        <f>'KG1-1'!AW44+'KG1-2'!AW44+'KG1-3'!AW44+'KG1-4'!AW44+'KG1-5'!AW44+'KG1-6'!AW44+'KG1-7'!AW44</f>
        <v/>
      </c>
      <c r="J24" s="106">
        <f>'KG1-1'!AW43+'KG1-2'!AW43+'KG1-3'!AW43+'KG1-4'!AW43+'KG1-5'!AW43+'KG1-6'!AW43+'KG1-7'!AW43</f>
        <v/>
      </c>
      <c r="K24" s="106">
        <f>'KG1-1'!AW40+'KG1-2'!AW40+'KG1-3'!AW40+'KG1-4'!AW40+'KG1-5'!AW40+'KG1-6'!AW40+'KG1-7'!AW40</f>
        <v/>
      </c>
      <c r="L24" s="106">
        <f>'KG1-1'!AW41+'KG1-2'!AW41+'KG1-3'!AW41+'KG1-4'!AW41+'KG1-5'!AW41+'KG1-6'!AW41+'KG1-7'!AW41</f>
        <v/>
      </c>
      <c r="M24" s="106">
        <f>'KG1-1'!AW42+'KG1-2'!AW42+'KG1-3'!AW42+'KG1-4'!AW42+'KG1-5'!AW42+'KG1-6'!AW42+'KG1-7'!AW42</f>
        <v/>
      </c>
      <c r="N24" s="145">
        <f>IF(I24=0,"",(J24+IF(LateAsPresent="نعم",M24,0))/I24)</f>
        <v/>
      </c>
      <c r="O24" s="161">
        <f>IF(I24&gt;0,"نعم","")</f>
        <v/>
      </c>
      <c r="P24" s="159">
        <f>IF(I24&gt;0,COUNTIF($I$5:I24,"&gt;0"),"")</f>
        <v/>
      </c>
      <c r="R24" s="106" t="n">
        <v>20</v>
      </c>
      <c r="S24" s="105" t="n">
        <v>46398</v>
      </c>
      <c r="T24" s="105">
        <f>S24+4</f>
        <v/>
      </c>
      <c r="U24" s="106">
        <f>COUNTIFS(Cal_Week,R24,Cal_School,1)</f>
        <v/>
      </c>
      <c r="V24" s="107">
        <f>"الأسبوع "&amp;R24&amp;": "&amp;TEXT(S24,"dd/mm")&amp;" – "&amp;TEXT(T24,"dd/mm")&amp;IF(U24=0,"  (إجازة)",IF(U24&lt;5,"  (عطلة جزئية)",""))</f>
        <v/>
      </c>
    </row>
    <row r="25">
      <c r="A25" s="105" t="n">
        <v>46293</v>
      </c>
      <c r="B25" s="106" t="inlineStr">
        <is>
          <t>الاثنين</t>
        </is>
      </c>
      <c r="C25" s="106" t="inlineStr">
        <is>
          <t>سبتمبر 2026</t>
        </is>
      </c>
      <c r="D25" s="159" t="n">
        <v>202609</v>
      </c>
      <c r="E25" s="159" t="n">
        <v>5</v>
      </c>
      <c r="F25" s="106">
        <f>IFERROR(IF(A25&lt;=INDEX(TermEnd,MATCH(A25,TermStart,1)),INDEX(TermNames,MATCH(A25,TermStart,1)),"إجازة"),"")</f>
        <v/>
      </c>
      <c r="G25" s="160">
        <f>IF(COUNTIFS(HolFrom,"&lt;="&amp;A25,HolTo,"&gt;="&amp;A25)&gt;0,"عطلة","")</f>
        <v/>
      </c>
      <c r="H25" s="106">
        <f>IF(OR(G25="عطلة",AND(WEEKDAY(A25,2)=5,FridaySchool="لا")),0,1)</f>
        <v/>
      </c>
      <c r="I25" s="106">
        <f>'KG1-1'!AX44+'KG1-2'!AX44+'KG1-3'!AX44+'KG1-4'!AX44+'KG1-5'!AX44+'KG1-6'!AX44+'KG1-7'!AX44</f>
        <v/>
      </c>
      <c r="J25" s="106">
        <f>'KG1-1'!AX43+'KG1-2'!AX43+'KG1-3'!AX43+'KG1-4'!AX43+'KG1-5'!AX43+'KG1-6'!AX43+'KG1-7'!AX43</f>
        <v/>
      </c>
      <c r="K25" s="106">
        <f>'KG1-1'!AX40+'KG1-2'!AX40+'KG1-3'!AX40+'KG1-4'!AX40+'KG1-5'!AX40+'KG1-6'!AX40+'KG1-7'!AX40</f>
        <v/>
      </c>
      <c r="L25" s="106">
        <f>'KG1-1'!AX41+'KG1-2'!AX41+'KG1-3'!AX41+'KG1-4'!AX41+'KG1-5'!AX41+'KG1-6'!AX41+'KG1-7'!AX41</f>
        <v/>
      </c>
      <c r="M25" s="106">
        <f>'KG1-1'!AX42+'KG1-2'!AX42+'KG1-3'!AX42+'KG1-4'!AX42+'KG1-5'!AX42+'KG1-6'!AX42+'KG1-7'!AX42</f>
        <v/>
      </c>
      <c r="N25" s="145">
        <f>IF(I25=0,"",(J25+IF(LateAsPresent="نعم",M25,0))/I25)</f>
        <v/>
      </c>
      <c r="O25" s="161">
        <f>IF(I25&gt;0,"نعم","")</f>
        <v/>
      </c>
      <c r="P25" s="159">
        <f>IF(I25&gt;0,COUNTIF($I$5:I25,"&gt;0"),"")</f>
        <v/>
      </c>
      <c r="R25" s="106" t="n">
        <v>21</v>
      </c>
      <c r="S25" s="105" t="n">
        <v>46405</v>
      </c>
      <c r="T25" s="105">
        <f>S25+4</f>
        <v/>
      </c>
      <c r="U25" s="106">
        <f>COUNTIFS(Cal_Week,R25,Cal_School,1)</f>
        <v/>
      </c>
      <c r="V25" s="107">
        <f>"الأسبوع "&amp;R25&amp;": "&amp;TEXT(S25,"dd/mm")&amp;" – "&amp;TEXT(T25,"dd/mm")&amp;IF(U25=0,"  (إجازة)",IF(U25&lt;5,"  (عطلة جزئية)",""))</f>
        <v/>
      </c>
    </row>
    <row r="26">
      <c r="A26" s="105" t="n">
        <v>46294</v>
      </c>
      <c r="B26" s="106" t="inlineStr">
        <is>
          <t>الثلاثاء</t>
        </is>
      </c>
      <c r="C26" s="106" t="inlineStr">
        <is>
          <t>سبتمبر 2026</t>
        </is>
      </c>
      <c r="D26" s="159" t="n">
        <v>202609</v>
      </c>
      <c r="E26" s="159" t="n">
        <v>5</v>
      </c>
      <c r="F26" s="106">
        <f>IFERROR(IF(A26&lt;=INDEX(TermEnd,MATCH(A26,TermStart,1)),INDEX(TermNames,MATCH(A26,TermStart,1)),"إجازة"),"")</f>
        <v/>
      </c>
      <c r="G26" s="160">
        <f>IF(COUNTIFS(HolFrom,"&lt;="&amp;A26,HolTo,"&gt;="&amp;A26)&gt;0,"عطلة","")</f>
        <v/>
      </c>
      <c r="H26" s="106">
        <f>IF(OR(G26="عطلة",AND(WEEKDAY(A26,2)=5,FridaySchool="لا")),0,1)</f>
        <v/>
      </c>
      <c r="I26" s="106">
        <f>'KG1-1'!AY44+'KG1-2'!AY44+'KG1-3'!AY44+'KG1-4'!AY44+'KG1-5'!AY44+'KG1-6'!AY44+'KG1-7'!AY44</f>
        <v/>
      </c>
      <c r="J26" s="106">
        <f>'KG1-1'!AY43+'KG1-2'!AY43+'KG1-3'!AY43+'KG1-4'!AY43+'KG1-5'!AY43+'KG1-6'!AY43+'KG1-7'!AY43</f>
        <v/>
      </c>
      <c r="K26" s="106">
        <f>'KG1-1'!AY40+'KG1-2'!AY40+'KG1-3'!AY40+'KG1-4'!AY40+'KG1-5'!AY40+'KG1-6'!AY40+'KG1-7'!AY40</f>
        <v/>
      </c>
      <c r="L26" s="106">
        <f>'KG1-1'!AY41+'KG1-2'!AY41+'KG1-3'!AY41+'KG1-4'!AY41+'KG1-5'!AY41+'KG1-6'!AY41+'KG1-7'!AY41</f>
        <v/>
      </c>
      <c r="M26" s="106">
        <f>'KG1-1'!AY42+'KG1-2'!AY42+'KG1-3'!AY42+'KG1-4'!AY42+'KG1-5'!AY42+'KG1-6'!AY42+'KG1-7'!AY42</f>
        <v/>
      </c>
      <c r="N26" s="145">
        <f>IF(I26=0,"",(J26+IF(LateAsPresent="نعم",M26,0))/I26)</f>
        <v/>
      </c>
      <c r="O26" s="161">
        <f>IF(I26&gt;0,"نعم","")</f>
        <v/>
      </c>
      <c r="P26" s="159">
        <f>IF(I26&gt;0,COUNTIF($I$5:I26,"&gt;0"),"")</f>
        <v/>
      </c>
      <c r="R26" s="106" t="n">
        <v>22</v>
      </c>
      <c r="S26" s="105" t="n">
        <v>46412</v>
      </c>
      <c r="T26" s="105">
        <f>S26+4</f>
        <v/>
      </c>
      <c r="U26" s="106">
        <f>COUNTIFS(Cal_Week,R26,Cal_School,1)</f>
        <v/>
      </c>
      <c r="V26" s="107">
        <f>"الأسبوع "&amp;R26&amp;": "&amp;TEXT(S26,"dd/mm")&amp;" – "&amp;TEXT(T26,"dd/mm")&amp;IF(U26=0,"  (إجازة)",IF(U26&lt;5,"  (عطلة جزئية)",""))</f>
        <v/>
      </c>
    </row>
    <row r="27">
      <c r="A27" s="105" t="n">
        <v>46295</v>
      </c>
      <c r="B27" s="106" t="inlineStr">
        <is>
          <t>الأربعاء</t>
        </is>
      </c>
      <c r="C27" s="106" t="inlineStr">
        <is>
          <t>سبتمبر 2026</t>
        </is>
      </c>
      <c r="D27" s="159" t="n">
        <v>202609</v>
      </c>
      <c r="E27" s="159" t="n">
        <v>5</v>
      </c>
      <c r="F27" s="106">
        <f>IFERROR(IF(A27&lt;=INDEX(TermEnd,MATCH(A27,TermStart,1)),INDEX(TermNames,MATCH(A27,TermStart,1)),"إجازة"),"")</f>
        <v/>
      </c>
      <c r="G27" s="160">
        <f>IF(COUNTIFS(HolFrom,"&lt;="&amp;A27,HolTo,"&gt;="&amp;A27)&gt;0,"عطلة","")</f>
        <v/>
      </c>
      <c r="H27" s="106">
        <f>IF(OR(G27="عطلة",AND(WEEKDAY(A27,2)=5,FridaySchool="لا")),0,1)</f>
        <v/>
      </c>
      <c r="I27" s="106">
        <f>'KG1-1'!AZ44+'KG1-2'!AZ44+'KG1-3'!AZ44+'KG1-4'!AZ44+'KG1-5'!AZ44+'KG1-6'!AZ44+'KG1-7'!AZ44</f>
        <v/>
      </c>
      <c r="J27" s="106">
        <f>'KG1-1'!AZ43+'KG1-2'!AZ43+'KG1-3'!AZ43+'KG1-4'!AZ43+'KG1-5'!AZ43+'KG1-6'!AZ43+'KG1-7'!AZ43</f>
        <v/>
      </c>
      <c r="K27" s="106">
        <f>'KG1-1'!AZ40+'KG1-2'!AZ40+'KG1-3'!AZ40+'KG1-4'!AZ40+'KG1-5'!AZ40+'KG1-6'!AZ40+'KG1-7'!AZ40</f>
        <v/>
      </c>
      <c r="L27" s="106">
        <f>'KG1-1'!AZ41+'KG1-2'!AZ41+'KG1-3'!AZ41+'KG1-4'!AZ41+'KG1-5'!AZ41+'KG1-6'!AZ41+'KG1-7'!AZ41</f>
        <v/>
      </c>
      <c r="M27" s="106">
        <f>'KG1-1'!AZ42+'KG1-2'!AZ42+'KG1-3'!AZ42+'KG1-4'!AZ42+'KG1-5'!AZ42+'KG1-6'!AZ42+'KG1-7'!AZ42</f>
        <v/>
      </c>
      <c r="N27" s="145">
        <f>IF(I27=0,"",(J27+IF(LateAsPresent="نعم",M27,0))/I27)</f>
        <v/>
      </c>
      <c r="O27" s="161">
        <f>IF(I27&gt;0,"نعم","")</f>
        <v/>
      </c>
      <c r="P27" s="159">
        <f>IF(I27&gt;0,COUNTIF($I$5:I27,"&gt;0"),"")</f>
        <v/>
      </c>
      <c r="R27" s="106" t="n">
        <v>23</v>
      </c>
      <c r="S27" s="105" t="n">
        <v>46419</v>
      </c>
      <c r="T27" s="105">
        <f>S27+4</f>
        <v/>
      </c>
      <c r="U27" s="106">
        <f>COUNTIFS(Cal_Week,R27,Cal_School,1)</f>
        <v/>
      </c>
      <c r="V27" s="107">
        <f>"الأسبوع "&amp;R27&amp;": "&amp;TEXT(S27,"dd/mm")&amp;" – "&amp;TEXT(T27,"dd/mm")&amp;IF(U27=0,"  (إجازة)",IF(U27&lt;5,"  (عطلة جزئية)",""))</f>
        <v/>
      </c>
    </row>
    <row r="28">
      <c r="A28" s="105" t="n">
        <v>46296</v>
      </c>
      <c r="B28" s="106" t="inlineStr">
        <is>
          <t>الخميس</t>
        </is>
      </c>
      <c r="C28" s="106" t="inlineStr">
        <is>
          <t>أكتوبر 2026</t>
        </is>
      </c>
      <c r="D28" s="159" t="n">
        <v>202610</v>
      </c>
      <c r="E28" s="159" t="n">
        <v>5</v>
      </c>
      <c r="F28" s="106">
        <f>IFERROR(IF(A28&lt;=INDEX(TermEnd,MATCH(A28,TermStart,1)),INDEX(TermNames,MATCH(A28,TermStart,1)),"إجازة"),"")</f>
        <v/>
      </c>
      <c r="G28" s="160">
        <f>IF(COUNTIFS(HolFrom,"&lt;="&amp;A28,HolTo,"&gt;="&amp;A28)&gt;0,"عطلة","")</f>
        <v/>
      </c>
      <c r="H28" s="106">
        <f>IF(OR(G28="عطلة",AND(WEEKDAY(A28,2)=5,FridaySchool="لا")),0,1)</f>
        <v/>
      </c>
      <c r="I28" s="106">
        <f>'KG1-1'!BA44+'KG1-2'!BA44+'KG1-3'!BA44+'KG1-4'!BA44+'KG1-5'!BA44+'KG1-6'!BA44+'KG1-7'!BA44</f>
        <v/>
      </c>
      <c r="J28" s="106">
        <f>'KG1-1'!BA43+'KG1-2'!BA43+'KG1-3'!BA43+'KG1-4'!BA43+'KG1-5'!BA43+'KG1-6'!BA43+'KG1-7'!BA43</f>
        <v/>
      </c>
      <c r="K28" s="106">
        <f>'KG1-1'!BA40+'KG1-2'!BA40+'KG1-3'!BA40+'KG1-4'!BA40+'KG1-5'!BA40+'KG1-6'!BA40+'KG1-7'!BA40</f>
        <v/>
      </c>
      <c r="L28" s="106">
        <f>'KG1-1'!BA41+'KG1-2'!BA41+'KG1-3'!BA41+'KG1-4'!BA41+'KG1-5'!BA41+'KG1-6'!BA41+'KG1-7'!BA41</f>
        <v/>
      </c>
      <c r="M28" s="106">
        <f>'KG1-1'!BA42+'KG1-2'!BA42+'KG1-3'!BA42+'KG1-4'!BA42+'KG1-5'!BA42+'KG1-6'!BA42+'KG1-7'!BA42</f>
        <v/>
      </c>
      <c r="N28" s="145">
        <f>IF(I28=0,"",(J28+IF(LateAsPresent="نعم",M28,0))/I28)</f>
        <v/>
      </c>
      <c r="O28" s="161">
        <f>IF(I28&gt;0,"نعم","")</f>
        <v/>
      </c>
      <c r="P28" s="159">
        <f>IF(I28&gt;0,COUNTIF($I$5:I28,"&gt;0"),"")</f>
        <v/>
      </c>
      <c r="R28" s="106" t="n">
        <v>24</v>
      </c>
      <c r="S28" s="105" t="n">
        <v>46426</v>
      </c>
      <c r="T28" s="105">
        <f>S28+4</f>
        <v/>
      </c>
      <c r="U28" s="106">
        <f>COUNTIFS(Cal_Week,R28,Cal_School,1)</f>
        <v/>
      </c>
      <c r="V28" s="107">
        <f>"الأسبوع "&amp;R28&amp;": "&amp;TEXT(S28,"dd/mm")&amp;" – "&amp;TEXT(T28,"dd/mm")&amp;IF(U28=0,"  (إجازة)",IF(U28&lt;5,"  (عطلة جزئية)",""))</f>
        <v/>
      </c>
    </row>
    <row r="29">
      <c r="A29" s="105" t="n">
        <v>46297</v>
      </c>
      <c r="B29" s="106" t="inlineStr">
        <is>
          <t>الجمعة</t>
        </is>
      </c>
      <c r="C29" s="106" t="inlineStr">
        <is>
          <t>أكتوبر 2026</t>
        </is>
      </c>
      <c r="D29" s="159" t="n">
        <v>202610</v>
      </c>
      <c r="E29" s="159" t="n">
        <v>5</v>
      </c>
      <c r="F29" s="106">
        <f>IFERROR(IF(A29&lt;=INDEX(TermEnd,MATCH(A29,TermStart,1)),INDEX(TermNames,MATCH(A29,TermStart,1)),"إجازة"),"")</f>
        <v/>
      </c>
      <c r="G29" s="160">
        <f>IF(COUNTIFS(HolFrom,"&lt;="&amp;A29,HolTo,"&gt;="&amp;A29)&gt;0,"عطلة","")</f>
        <v/>
      </c>
      <c r="H29" s="106">
        <f>IF(OR(G29="عطلة",AND(WEEKDAY(A29,2)=5,FridaySchool="لا")),0,1)</f>
        <v/>
      </c>
      <c r="I29" s="106">
        <f>'KG1-1'!BB44+'KG1-2'!BB44+'KG1-3'!BB44+'KG1-4'!BB44+'KG1-5'!BB44+'KG1-6'!BB44+'KG1-7'!BB44</f>
        <v/>
      </c>
      <c r="J29" s="106">
        <f>'KG1-1'!BB43+'KG1-2'!BB43+'KG1-3'!BB43+'KG1-4'!BB43+'KG1-5'!BB43+'KG1-6'!BB43+'KG1-7'!BB43</f>
        <v/>
      </c>
      <c r="K29" s="106">
        <f>'KG1-1'!BB40+'KG1-2'!BB40+'KG1-3'!BB40+'KG1-4'!BB40+'KG1-5'!BB40+'KG1-6'!BB40+'KG1-7'!BB40</f>
        <v/>
      </c>
      <c r="L29" s="106">
        <f>'KG1-1'!BB41+'KG1-2'!BB41+'KG1-3'!BB41+'KG1-4'!BB41+'KG1-5'!BB41+'KG1-6'!BB41+'KG1-7'!BB41</f>
        <v/>
      </c>
      <c r="M29" s="106">
        <f>'KG1-1'!BB42+'KG1-2'!BB42+'KG1-3'!BB42+'KG1-4'!BB42+'KG1-5'!BB42+'KG1-6'!BB42+'KG1-7'!BB42</f>
        <v/>
      </c>
      <c r="N29" s="145">
        <f>IF(I29=0,"",(J29+IF(LateAsPresent="نعم",M29,0))/I29)</f>
        <v/>
      </c>
      <c r="O29" s="161">
        <f>IF(I29&gt;0,"نعم","")</f>
        <v/>
      </c>
      <c r="P29" s="159">
        <f>IF(I29&gt;0,COUNTIF($I$5:I29,"&gt;0"),"")</f>
        <v/>
      </c>
      <c r="R29" s="106" t="n">
        <v>25</v>
      </c>
      <c r="S29" s="105" t="n">
        <v>46433</v>
      </c>
      <c r="T29" s="105">
        <f>S29+4</f>
        <v/>
      </c>
      <c r="U29" s="106">
        <f>COUNTIFS(Cal_Week,R29,Cal_School,1)</f>
        <v/>
      </c>
      <c r="V29" s="107">
        <f>"الأسبوع "&amp;R29&amp;": "&amp;TEXT(S29,"dd/mm")&amp;" – "&amp;TEXT(T29,"dd/mm")&amp;IF(U29=0,"  (إجازة)",IF(U29&lt;5,"  (عطلة جزئية)",""))</f>
        <v/>
      </c>
    </row>
    <row r="30">
      <c r="A30" s="105" t="n">
        <v>46300</v>
      </c>
      <c r="B30" s="106" t="inlineStr">
        <is>
          <t>الاثنين</t>
        </is>
      </c>
      <c r="C30" s="106" t="inlineStr">
        <is>
          <t>أكتوبر 2026</t>
        </is>
      </c>
      <c r="D30" s="159" t="n">
        <v>202610</v>
      </c>
      <c r="E30" s="159" t="n">
        <v>6</v>
      </c>
      <c r="F30" s="106">
        <f>IFERROR(IF(A30&lt;=INDEX(TermEnd,MATCH(A30,TermStart,1)),INDEX(TermNames,MATCH(A30,TermStart,1)),"إجازة"),"")</f>
        <v/>
      </c>
      <c r="G30" s="160">
        <f>IF(COUNTIFS(HolFrom,"&lt;="&amp;A30,HolTo,"&gt;="&amp;A30)&gt;0,"عطلة","")</f>
        <v/>
      </c>
      <c r="H30" s="106">
        <f>IF(OR(G30="عطلة",AND(WEEKDAY(A30,2)=5,FridaySchool="لا")),0,1)</f>
        <v/>
      </c>
      <c r="I30" s="106">
        <f>'KG1-1'!BC44+'KG1-2'!BC44+'KG1-3'!BC44+'KG1-4'!BC44+'KG1-5'!BC44+'KG1-6'!BC44+'KG1-7'!BC44</f>
        <v/>
      </c>
      <c r="J30" s="106">
        <f>'KG1-1'!BC43+'KG1-2'!BC43+'KG1-3'!BC43+'KG1-4'!BC43+'KG1-5'!BC43+'KG1-6'!BC43+'KG1-7'!BC43</f>
        <v/>
      </c>
      <c r="K30" s="106">
        <f>'KG1-1'!BC40+'KG1-2'!BC40+'KG1-3'!BC40+'KG1-4'!BC40+'KG1-5'!BC40+'KG1-6'!BC40+'KG1-7'!BC40</f>
        <v/>
      </c>
      <c r="L30" s="106">
        <f>'KG1-1'!BC41+'KG1-2'!BC41+'KG1-3'!BC41+'KG1-4'!BC41+'KG1-5'!BC41+'KG1-6'!BC41+'KG1-7'!BC41</f>
        <v/>
      </c>
      <c r="M30" s="106">
        <f>'KG1-1'!BC42+'KG1-2'!BC42+'KG1-3'!BC42+'KG1-4'!BC42+'KG1-5'!BC42+'KG1-6'!BC42+'KG1-7'!BC42</f>
        <v/>
      </c>
      <c r="N30" s="145">
        <f>IF(I30=0,"",(J30+IF(LateAsPresent="نعم",M30,0))/I30)</f>
        <v/>
      </c>
      <c r="O30" s="161">
        <f>IF(I30&gt;0,"نعم","")</f>
        <v/>
      </c>
      <c r="P30" s="159">
        <f>IF(I30&gt;0,COUNTIF($I$5:I30,"&gt;0"),"")</f>
        <v/>
      </c>
      <c r="R30" s="106" t="n">
        <v>26</v>
      </c>
      <c r="S30" s="105" t="n">
        <v>46440</v>
      </c>
      <c r="T30" s="105">
        <f>S30+4</f>
        <v/>
      </c>
      <c r="U30" s="106">
        <f>COUNTIFS(Cal_Week,R30,Cal_School,1)</f>
        <v/>
      </c>
      <c r="V30" s="107">
        <f>"الأسبوع "&amp;R30&amp;": "&amp;TEXT(S30,"dd/mm")&amp;" – "&amp;TEXT(T30,"dd/mm")&amp;IF(U30=0,"  (إجازة)",IF(U30&lt;5,"  (عطلة جزئية)",""))</f>
        <v/>
      </c>
    </row>
    <row r="31">
      <c r="A31" s="105" t="n">
        <v>46301</v>
      </c>
      <c r="B31" s="106" t="inlineStr">
        <is>
          <t>الثلاثاء</t>
        </is>
      </c>
      <c r="C31" s="106" t="inlineStr">
        <is>
          <t>أكتوبر 2026</t>
        </is>
      </c>
      <c r="D31" s="159" t="n">
        <v>202610</v>
      </c>
      <c r="E31" s="159" t="n">
        <v>6</v>
      </c>
      <c r="F31" s="106">
        <f>IFERROR(IF(A31&lt;=INDEX(TermEnd,MATCH(A31,TermStart,1)),INDEX(TermNames,MATCH(A31,TermStart,1)),"إجازة"),"")</f>
        <v/>
      </c>
      <c r="G31" s="160">
        <f>IF(COUNTIFS(HolFrom,"&lt;="&amp;A31,HolTo,"&gt;="&amp;A31)&gt;0,"عطلة","")</f>
        <v/>
      </c>
      <c r="H31" s="106">
        <f>IF(OR(G31="عطلة",AND(WEEKDAY(A31,2)=5,FridaySchool="لا")),0,1)</f>
        <v/>
      </c>
      <c r="I31" s="106">
        <f>'KG1-1'!BD44+'KG1-2'!BD44+'KG1-3'!BD44+'KG1-4'!BD44+'KG1-5'!BD44+'KG1-6'!BD44+'KG1-7'!BD44</f>
        <v/>
      </c>
      <c r="J31" s="106">
        <f>'KG1-1'!BD43+'KG1-2'!BD43+'KG1-3'!BD43+'KG1-4'!BD43+'KG1-5'!BD43+'KG1-6'!BD43+'KG1-7'!BD43</f>
        <v/>
      </c>
      <c r="K31" s="106">
        <f>'KG1-1'!BD40+'KG1-2'!BD40+'KG1-3'!BD40+'KG1-4'!BD40+'KG1-5'!BD40+'KG1-6'!BD40+'KG1-7'!BD40</f>
        <v/>
      </c>
      <c r="L31" s="106">
        <f>'KG1-1'!BD41+'KG1-2'!BD41+'KG1-3'!BD41+'KG1-4'!BD41+'KG1-5'!BD41+'KG1-6'!BD41+'KG1-7'!BD41</f>
        <v/>
      </c>
      <c r="M31" s="106">
        <f>'KG1-1'!BD42+'KG1-2'!BD42+'KG1-3'!BD42+'KG1-4'!BD42+'KG1-5'!BD42+'KG1-6'!BD42+'KG1-7'!BD42</f>
        <v/>
      </c>
      <c r="N31" s="145">
        <f>IF(I31=0,"",(J31+IF(LateAsPresent="نعم",M31,0))/I31)</f>
        <v/>
      </c>
      <c r="O31" s="161">
        <f>IF(I31&gt;0,"نعم","")</f>
        <v/>
      </c>
      <c r="P31" s="159">
        <f>IF(I31&gt;0,COUNTIF($I$5:I31,"&gt;0"),"")</f>
        <v/>
      </c>
      <c r="R31" s="106" t="n">
        <v>27</v>
      </c>
      <c r="S31" s="105" t="n">
        <v>46447</v>
      </c>
      <c r="T31" s="105">
        <f>S31+4</f>
        <v/>
      </c>
      <c r="U31" s="106">
        <f>COUNTIFS(Cal_Week,R31,Cal_School,1)</f>
        <v/>
      </c>
      <c r="V31" s="107">
        <f>"الأسبوع "&amp;R31&amp;": "&amp;TEXT(S31,"dd/mm")&amp;" – "&amp;TEXT(T31,"dd/mm")&amp;IF(U31=0,"  (إجازة)",IF(U31&lt;5,"  (عطلة جزئية)",""))</f>
        <v/>
      </c>
    </row>
    <row r="32">
      <c r="A32" s="105" t="n">
        <v>46302</v>
      </c>
      <c r="B32" s="106" t="inlineStr">
        <is>
          <t>الأربعاء</t>
        </is>
      </c>
      <c r="C32" s="106" t="inlineStr">
        <is>
          <t>أكتوبر 2026</t>
        </is>
      </c>
      <c r="D32" s="159" t="n">
        <v>202610</v>
      </c>
      <c r="E32" s="159" t="n">
        <v>6</v>
      </c>
      <c r="F32" s="106">
        <f>IFERROR(IF(A32&lt;=INDEX(TermEnd,MATCH(A32,TermStart,1)),INDEX(TermNames,MATCH(A32,TermStart,1)),"إجازة"),"")</f>
        <v/>
      </c>
      <c r="G32" s="160">
        <f>IF(COUNTIFS(HolFrom,"&lt;="&amp;A32,HolTo,"&gt;="&amp;A32)&gt;0,"عطلة","")</f>
        <v/>
      </c>
      <c r="H32" s="106">
        <f>IF(OR(G32="عطلة",AND(WEEKDAY(A32,2)=5,FridaySchool="لا")),0,1)</f>
        <v/>
      </c>
      <c r="I32" s="106">
        <f>'KG1-1'!BE44+'KG1-2'!BE44+'KG1-3'!BE44+'KG1-4'!BE44+'KG1-5'!BE44+'KG1-6'!BE44+'KG1-7'!BE44</f>
        <v/>
      </c>
      <c r="J32" s="106">
        <f>'KG1-1'!BE43+'KG1-2'!BE43+'KG1-3'!BE43+'KG1-4'!BE43+'KG1-5'!BE43+'KG1-6'!BE43+'KG1-7'!BE43</f>
        <v/>
      </c>
      <c r="K32" s="106">
        <f>'KG1-1'!BE40+'KG1-2'!BE40+'KG1-3'!BE40+'KG1-4'!BE40+'KG1-5'!BE40+'KG1-6'!BE40+'KG1-7'!BE40</f>
        <v/>
      </c>
      <c r="L32" s="106">
        <f>'KG1-1'!BE41+'KG1-2'!BE41+'KG1-3'!BE41+'KG1-4'!BE41+'KG1-5'!BE41+'KG1-6'!BE41+'KG1-7'!BE41</f>
        <v/>
      </c>
      <c r="M32" s="106">
        <f>'KG1-1'!BE42+'KG1-2'!BE42+'KG1-3'!BE42+'KG1-4'!BE42+'KG1-5'!BE42+'KG1-6'!BE42+'KG1-7'!BE42</f>
        <v/>
      </c>
      <c r="N32" s="145">
        <f>IF(I32=0,"",(J32+IF(LateAsPresent="نعم",M32,0))/I32)</f>
        <v/>
      </c>
      <c r="O32" s="161">
        <f>IF(I32&gt;0,"نعم","")</f>
        <v/>
      </c>
      <c r="P32" s="159">
        <f>IF(I32&gt;0,COUNTIF($I$5:I32,"&gt;0"),"")</f>
        <v/>
      </c>
      <c r="R32" s="106" t="n">
        <v>28</v>
      </c>
      <c r="S32" s="105" t="n">
        <v>46454</v>
      </c>
      <c r="T32" s="105">
        <f>S32+4</f>
        <v/>
      </c>
      <c r="U32" s="106">
        <f>COUNTIFS(Cal_Week,R32,Cal_School,1)</f>
        <v/>
      </c>
      <c r="V32" s="107">
        <f>"الأسبوع "&amp;R32&amp;": "&amp;TEXT(S32,"dd/mm")&amp;" – "&amp;TEXT(T32,"dd/mm")&amp;IF(U32=0,"  (إجازة)",IF(U32&lt;5,"  (عطلة جزئية)",""))</f>
        <v/>
      </c>
    </row>
    <row r="33">
      <c r="A33" s="105" t="n">
        <v>46303</v>
      </c>
      <c r="B33" s="106" t="inlineStr">
        <is>
          <t>الخميس</t>
        </is>
      </c>
      <c r="C33" s="106" t="inlineStr">
        <is>
          <t>أكتوبر 2026</t>
        </is>
      </c>
      <c r="D33" s="159" t="n">
        <v>202610</v>
      </c>
      <c r="E33" s="159" t="n">
        <v>6</v>
      </c>
      <c r="F33" s="106">
        <f>IFERROR(IF(A33&lt;=INDEX(TermEnd,MATCH(A33,TermStart,1)),INDEX(TermNames,MATCH(A33,TermStart,1)),"إجازة"),"")</f>
        <v/>
      </c>
      <c r="G33" s="160">
        <f>IF(COUNTIFS(HolFrom,"&lt;="&amp;A33,HolTo,"&gt;="&amp;A33)&gt;0,"عطلة","")</f>
        <v/>
      </c>
      <c r="H33" s="106">
        <f>IF(OR(G33="عطلة",AND(WEEKDAY(A33,2)=5,FridaySchool="لا")),0,1)</f>
        <v/>
      </c>
      <c r="I33" s="106">
        <f>'KG1-1'!BF44+'KG1-2'!BF44+'KG1-3'!BF44+'KG1-4'!BF44+'KG1-5'!BF44+'KG1-6'!BF44+'KG1-7'!BF44</f>
        <v/>
      </c>
      <c r="J33" s="106">
        <f>'KG1-1'!BF43+'KG1-2'!BF43+'KG1-3'!BF43+'KG1-4'!BF43+'KG1-5'!BF43+'KG1-6'!BF43+'KG1-7'!BF43</f>
        <v/>
      </c>
      <c r="K33" s="106">
        <f>'KG1-1'!BF40+'KG1-2'!BF40+'KG1-3'!BF40+'KG1-4'!BF40+'KG1-5'!BF40+'KG1-6'!BF40+'KG1-7'!BF40</f>
        <v/>
      </c>
      <c r="L33" s="106">
        <f>'KG1-1'!BF41+'KG1-2'!BF41+'KG1-3'!BF41+'KG1-4'!BF41+'KG1-5'!BF41+'KG1-6'!BF41+'KG1-7'!BF41</f>
        <v/>
      </c>
      <c r="M33" s="106">
        <f>'KG1-1'!BF42+'KG1-2'!BF42+'KG1-3'!BF42+'KG1-4'!BF42+'KG1-5'!BF42+'KG1-6'!BF42+'KG1-7'!BF42</f>
        <v/>
      </c>
      <c r="N33" s="145">
        <f>IF(I33=0,"",(J33+IF(LateAsPresent="نعم",M33,0))/I33)</f>
        <v/>
      </c>
      <c r="O33" s="161">
        <f>IF(I33&gt;0,"نعم","")</f>
        <v/>
      </c>
      <c r="P33" s="159">
        <f>IF(I33&gt;0,COUNTIF($I$5:I33,"&gt;0"),"")</f>
        <v/>
      </c>
      <c r="R33" s="106" t="n">
        <v>29</v>
      </c>
      <c r="S33" s="105" t="n">
        <v>46461</v>
      </c>
      <c r="T33" s="105">
        <f>S33+4</f>
        <v/>
      </c>
      <c r="U33" s="106">
        <f>COUNTIFS(Cal_Week,R33,Cal_School,1)</f>
        <v/>
      </c>
      <c r="V33" s="107">
        <f>"الأسبوع "&amp;R33&amp;": "&amp;TEXT(S33,"dd/mm")&amp;" – "&amp;TEXT(T33,"dd/mm")&amp;IF(U33=0,"  (إجازة)",IF(U33&lt;5,"  (عطلة جزئية)",""))</f>
        <v/>
      </c>
    </row>
    <row r="34">
      <c r="A34" s="105" t="n">
        <v>46304</v>
      </c>
      <c r="B34" s="106" t="inlineStr">
        <is>
          <t>الجمعة</t>
        </is>
      </c>
      <c r="C34" s="106" t="inlineStr">
        <is>
          <t>أكتوبر 2026</t>
        </is>
      </c>
      <c r="D34" s="159" t="n">
        <v>202610</v>
      </c>
      <c r="E34" s="159" t="n">
        <v>6</v>
      </c>
      <c r="F34" s="106">
        <f>IFERROR(IF(A34&lt;=INDEX(TermEnd,MATCH(A34,TermStart,1)),INDEX(TermNames,MATCH(A34,TermStart,1)),"إجازة"),"")</f>
        <v/>
      </c>
      <c r="G34" s="160">
        <f>IF(COUNTIFS(HolFrom,"&lt;="&amp;A34,HolTo,"&gt;="&amp;A34)&gt;0,"عطلة","")</f>
        <v/>
      </c>
      <c r="H34" s="106">
        <f>IF(OR(G34="عطلة",AND(WEEKDAY(A34,2)=5,FridaySchool="لا")),0,1)</f>
        <v/>
      </c>
      <c r="I34" s="106">
        <f>'KG1-1'!BG44+'KG1-2'!BG44+'KG1-3'!BG44+'KG1-4'!BG44+'KG1-5'!BG44+'KG1-6'!BG44+'KG1-7'!BG44</f>
        <v/>
      </c>
      <c r="J34" s="106">
        <f>'KG1-1'!BG43+'KG1-2'!BG43+'KG1-3'!BG43+'KG1-4'!BG43+'KG1-5'!BG43+'KG1-6'!BG43+'KG1-7'!BG43</f>
        <v/>
      </c>
      <c r="K34" s="106">
        <f>'KG1-1'!BG40+'KG1-2'!BG40+'KG1-3'!BG40+'KG1-4'!BG40+'KG1-5'!BG40+'KG1-6'!BG40+'KG1-7'!BG40</f>
        <v/>
      </c>
      <c r="L34" s="106">
        <f>'KG1-1'!BG41+'KG1-2'!BG41+'KG1-3'!BG41+'KG1-4'!BG41+'KG1-5'!BG41+'KG1-6'!BG41+'KG1-7'!BG41</f>
        <v/>
      </c>
      <c r="M34" s="106">
        <f>'KG1-1'!BG42+'KG1-2'!BG42+'KG1-3'!BG42+'KG1-4'!BG42+'KG1-5'!BG42+'KG1-6'!BG42+'KG1-7'!BG42</f>
        <v/>
      </c>
      <c r="N34" s="145">
        <f>IF(I34=0,"",(J34+IF(LateAsPresent="نعم",M34,0))/I34)</f>
        <v/>
      </c>
      <c r="O34" s="161">
        <f>IF(I34&gt;0,"نعم","")</f>
        <v/>
      </c>
      <c r="P34" s="159">
        <f>IF(I34&gt;0,COUNTIF($I$5:I34,"&gt;0"),"")</f>
        <v/>
      </c>
      <c r="R34" s="106" t="n">
        <v>30</v>
      </c>
      <c r="S34" s="105" t="n">
        <v>46468</v>
      </c>
      <c r="T34" s="105">
        <f>S34+4</f>
        <v/>
      </c>
      <c r="U34" s="106">
        <f>COUNTIFS(Cal_Week,R34,Cal_School,1)</f>
        <v/>
      </c>
      <c r="V34" s="107">
        <f>"الأسبوع "&amp;R34&amp;": "&amp;TEXT(S34,"dd/mm")&amp;" – "&amp;TEXT(T34,"dd/mm")&amp;IF(U34=0,"  (إجازة)",IF(U34&lt;5,"  (عطلة جزئية)",""))</f>
        <v/>
      </c>
    </row>
    <row r="35">
      <c r="A35" s="105" t="n">
        <v>46307</v>
      </c>
      <c r="B35" s="106" t="inlineStr">
        <is>
          <t>الاثنين</t>
        </is>
      </c>
      <c r="C35" s="106" t="inlineStr">
        <is>
          <t>أكتوبر 2026</t>
        </is>
      </c>
      <c r="D35" s="159" t="n">
        <v>202610</v>
      </c>
      <c r="E35" s="159" t="n">
        <v>7</v>
      </c>
      <c r="F35" s="106">
        <f>IFERROR(IF(A35&lt;=INDEX(TermEnd,MATCH(A35,TermStart,1)),INDEX(TermNames,MATCH(A35,TermStart,1)),"إجازة"),"")</f>
        <v/>
      </c>
      <c r="G35" s="160">
        <f>IF(COUNTIFS(HolFrom,"&lt;="&amp;A35,HolTo,"&gt;="&amp;A35)&gt;0,"عطلة","")</f>
        <v/>
      </c>
      <c r="H35" s="106">
        <f>IF(OR(G35="عطلة",AND(WEEKDAY(A35,2)=5,FridaySchool="لا")),0,1)</f>
        <v/>
      </c>
      <c r="I35" s="106">
        <f>'KG1-1'!BH44+'KG1-2'!BH44+'KG1-3'!BH44+'KG1-4'!BH44+'KG1-5'!BH44+'KG1-6'!BH44+'KG1-7'!BH44</f>
        <v/>
      </c>
      <c r="J35" s="106">
        <f>'KG1-1'!BH43+'KG1-2'!BH43+'KG1-3'!BH43+'KG1-4'!BH43+'KG1-5'!BH43+'KG1-6'!BH43+'KG1-7'!BH43</f>
        <v/>
      </c>
      <c r="K35" s="106">
        <f>'KG1-1'!BH40+'KG1-2'!BH40+'KG1-3'!BH40+'KG1-4'!BH40+'KG1-5'!BH40+'KG1-6'!BH40+'KG1-7'!BH40</f>
        <v/>
      </c>
      <c r="L35" s="106">
        <f>'KG1-1'!BH41+'KG1-2'!BH41+'KG1-3'!BH41+'KG1-4'!BH41+'KG1-5'!BH41+'KG1-6'!BH41+'KG1-7'!BH41</f>
        <v/>
      </c>
      <c r="M35" s="106">
        <f>'KG1-1'!BH42+'KG1-2'!BH42+'KG1-3'!BH42+'KG1-4'!BH42+'KG1-5'!BH42+'KG1-6'!BH42+'KG1-7'!BH42</f>
        <v/>
      </c>
      <c r="N35" s="145">
        <f>IF(I35=0,"",(J35+IF(LateAsPresent="نعم",M35,0))/I35)</f>
        <v/>
      </c>
      <c r="O35" s="161">
        <f>IF(I35&gt;0,"نعم","")</f>
        <v/>
      </c>
      <c r="P35" s="159">
        <f>IF(I35&gt;0,COUNTIF($I$5:I35,"&gt;0"),"")</f>
        <v/>
      </c>
      <c r="R35" s="106" t="n">
        <v>31</v>
      </c>
      <c r="S35" s="105" t="n">
        <v>46475</v>
      </c>
      <c r="T35" s="105">
        <f>S35+4</f>
        <v/>
      </c>
      <c r="U35" s="106">
        <f>COUNTIFS(Cal_Week,R35,Cal_School,1)</f>
        <v/>
      </c>
      <c r="V35" s="107">
        <f>"الأسبوع "&amp;R35&amp;": "&amp;TEXT(S35,"dd/mm")&amp;" – "&amp;TEXT(T35,"dd/mm")&amp;IF(U35=0,"  (إجازة)",IF(U35&lt;5,"  (عطلة جزئية)",""))</f>
        <v/>
      </c>
    </row>
    <row r="36">
      <c r="A36" s="105" t="n">
        <v>46308</v>
      </c>
      <c r="B36" s="106" t="inlineStr">
        <is>
          <t>الثلاثاء</t>
        </is>
      </c>
      <c r="C36" s="106" t="inlineStr">
        <is>
          <t>أكتوبر 2026</t>
        </is>
      </c>
      <c r="D36" s="159" t="n">
        <v>202610</v>
      </c>
      <c r="E36" s="159" t="n">
        <v>7</v>
      </c>
      <c r="F36" s="106">
        <f>IFERROR(IF(A36&lt;=INDEX(TermEnd,MATCH(A36,TermStart,1)),INDEX(TermNames,MATCH(A36,TermStart,1)),"إجازة"),"")</f>
        <v/>
      </c>
      <c r="G36" s="160">
        <f>IF(COUNTIFS(HolFrom,"&lt;="&amp;A36,HolTo,"&gt;="&amp;A36)&gt;0,"عطلة","")</f>
        <v/>
      </c>
      <c r="H36" s="106">
        <f>IF(OR(G36="عطلة",AND(WEEKDAY(A36,2)=5,FridaySchool="لا")),0,1)</f>
        <v/>
      </c>
      <c r="I36" s="106">
        <f>'KG1-1'!BI44+'KG1-2'!BI44+'KG1-3'!BI44+'KG1-4'!BI44+'KG1-5'!BI44+'KG1-6'!BI44+'KG1-7'!BI44</f>
        <v/>
      </c>
      <c r="J36" s="106">
        <f>'KG1-1'!BI43+'KG1-2'!BI43+'KG1-3'!BI43+'KG1-4'!BI43+'KG1-5'!BI43+'KG1-6'!BI43+'KG1-7'!BI43</f>
        <v/>
      </c>
      <c r="K36" s="106">
        <f>'KG1-1'!BI40+'KG1-2'!BI40+'KG1-3'!BI40+'KG1-4'!BI40+'KG1-5'!BI40+'KG1-6'!BI40+'KG1-7'!BI40</f>
        <v/>
      </c>
      <c r="L36" s="106">
        <f>'KG1-1'!BI41+'KG1-2'!BI41+'KG1-3'!BI41+'KG1-4'!BI41+'KG1-5'!BI41+'KG1-6'!BI41+'KG1-7'!BI41</f>
        <v/>
      </c>
      <c r="M36" s="106">
        <f>'KG1-1'!BI42+'KG1-2'!BI42+'KG1-3'!BI42+'KG1-4'!BI42+'KG1-5'!BI42+'KG1-6'!BI42+'KG1-7'!BI42</f>
        <v/>
      </c>
      <c r="N36" s="145">
        <f>IF(I36=0,"",(J36+IF(LateAsPresent="نعم",M36,0))/I36)</f>
        <v/>
      </c>
      <c r="O36" s="161">
        <f>IF(I36&gt;0,"نعم","")</f>
        <v/>
      </c>
      <c r="P36" s="159">
        <f>IF(I36&gt;0,COUNTIF($I$5:I36,"&gt;0"),"")</f>
        <v/>
      </c>
      <c r="R36" s="106" t="n">
        <v>32</v>
      </c>
      <c r="S36" s="105" t="n">
        <v>46482</v>
      </c>
      <c r="T36" s="105">
        <f>S36+4</f>
        <v/>
      </c>
      <c r="U36" s="106">
        <f>COUNTIFS(Cal_Week,R36,Cal_School,1)</f>
        <v/>
      </c>
      <c r="V36" s="107">
        <f>"الأسبوع "&amp;R36&amp;": "&amp;TEXT(S36,"dd/mm")&amp;" – "&amp;TEXT(T36,"dd/mm")&amp;IF(U36=0,"  (إجازة)",IF(U36&lt;5,"  (عطلة جزئية)",""))</f>
        <v/>
      </c>
    </row>
    <row r="37">
      <c r="A37" s="105" t="n">
        <v>46309</v>
      </c>
      <c r="B37" s="106" t="inlineStr">
        <is>
          <t>الأربعاء</t>
        </is>
      </c>
      <c r="C37" s="106" t="inlineStr">
        <is>
          <t>أكتوبر 2026</t>
        </is>
      </c>
      <c r="D37" s="159" t="n">
        <v>202610</v>
      </c>
      <c r="E37" s="159" t="n">
        <v>7</v>
      </c>
      <c r="F37" s="106">
        <f>IFERROR(IF(A37&lt;=INDEX(TermEnd,MATCH(A37,TermStart,1)),INDEX(TermNames,MATCH(A37,TermStart,1)),"إجازة"),"")</f>
        <v/>
      </c>
      <c r="G37" s="160">
        <f>IF(COUNTIFS(HolFrom,"&lt;="&amp;A37,HolTo,"&gt;="&amp;A37)&gt;0,"عطلة","")</f>
        <v/>
      </c>
      <c r="H37" s="106">
        <f>IF(OR(G37="عطلة",AND(WEEKDAY(A37,2)=5,FridaySchool="لا")),0,1)</f>
        <v/>
      </c>
      <c r="I37" s="106">
        <f>'KG1-1'!BJ44+'KG1-2'!BJ44+'KG1-3'!BJ44+'KG1-4'!BJ44+'KG1-5'!BJ44+'KG1-6'!BJ44+'KG1-7'!BJ44</f>
        <v/>
      </c>
      <c r="J37" s="106">
        <f>'KG1-1'!BJ43+'KG1-2'!BJ43+'KG1-3'!BJ43+'KG1-4'!BJ43+'KG1-5'!BJ43+'KG1-6'!BJ43+'KG1-7'!BJ43</f>
        <v/>
      </c>
      <c r="K37" s="106">
        <f>'KG1-1'!BJ40+'KG1-2'!BJ40+'KG1-3'!BJ40+'KG1-4'!BJ40+'KG1-5'!BJ40+'KG1-6'!BJ40+'KG1-7'!BJ40</f>
        <v/>
      </c>
      <c r="L37" s="106">
        <f>'KG1-1'!BJ41+'KG1-2'!BJ41+'KG1-3'!BJ41+'KG1-4'!BJ41+'KG1-5'!BJ41+'KG1-6'!BJ41+'KG1-7'!BJ41</f>
        <v/>
      </c>
      <c r="M37" s="106">
        <f>'KG1-1'!BJ42+'KG1-2'!BJ42+'KG1-3'!BJ42+'KG1-4'!BJ42+'KG1-5'!BJ42+'KG1-6'!BJ42+'KG1-7'!BJ42</f>
        <v/>
      </c>
      <c r="N37" s="145">
        <f>IF(I37=0,"",(J37+IF(LateAsPresent="نعم",M37,0))/I37)</f>
        <v/>
      </c>
      <c r="O37" s="161">
        <f>IF(I37&gt;0,"نعم","")</f>
        <v/>
      </c>
      <c r="P37" s="159">
        <f>IF(I37&gt;0,COUNTIF($I$5:I37,"&gt;0"),"")</f>
        <v/>
      </c>
      <c r="R37" s="106" t="n">
        <v>33</v>
      </c>
      <c r="S37" s="105" t="n">
        <v>46489</v>
      </c>
      <c r="T37" s="105">
        <f>S37+4</f>
        <v/>
      </c>
      <c r="U37" s="106">
        <f>COUNTIFS(Cal_Week,R37,Cal_School,1)</f>
        <v/>
      </c>
      <c r="V37" s="107">
        <f>"الأسبوع "&amp;R37&amp;": "&amp;TEXT(S37,"dd/mm")&amp;" – "&amp;TEXT(T37,"dd/mm")&amp;IF(U37=0,"  (إجازة)",IF(U37&lt;5,"  (عطلة جزئية)",""))</f>
        <v/>
      </c>
    </row>
    <row r="38">
      <c r="A38" s="105" t="n">
        <v>46310</v>
      </c>
      <c r="B38" s="106" t="inlineStr">
        <is>
          <t>الخميس</t>
        </is>
      </c>
      <c r="C38" s="106" t="inlineStr">
        <is>
          <t>أكتوبر 2026</t>
        </is>
      </c>
      <c r="D38" s="159" t="n">
        <v>202610</v>
      </c>
      <c r="E38" s="159" t="n">
        <v>7</v>
      </c>
      <c r="F38" s="106">
        <f>IFERROR(IF(A38&lt;=INDEX(TermEnd,MATCH(A38,TermStart,1)),INDEX(TermNames,MATCH(A38,TermStart,1)),"إجازة"),"")</f>
        <v/>
      </c>
      <c r="G38" s="160">
        <f>IF(COUNTIFS(HolFrom,"&lt;="&amp;A38,HolTo,"&gt;="&amp;A38)&gt;0,"عطلة","")</f>
        <v/>
      </c>
      <c r="H38" s="106">
        <f>IF(OR(G38="عطلة",AND(WEEKDAY(A38,2)=5,FridaySchool="لا")),0,1)</f>
        <v/>
      </c>
      <c r="I38" s="106">
        <f>'KG1-1'!BK44+'KG1-2'!BK44+'KG1-3'!BK44+'KG1-4'!BK44+'KG1-5'!BK44+'KG1-6'!BK44+'KG1-7'!BK44</f>
        <v/>
      </c>
      <c r="J38" s="106">
        <f>'KG1-1'!BK43+'KG1-2'!BK43+'KG1-3'!BK43+'KG1-4'!BK43+'KG1-5'!BK43+'KG1-6'!BK43+'KG1-7'!BK43</f>
        <v/>
      </c>
      <c r="K38" s="106">
        <f>'KG1-1'!BK40+'KG1-2'!BK40+'KG1-3'!BK40+'KG1-4'!BK40+'KG1-5'!BK40+'KG1-6'!BK40+'KG1-7'!BK40</f>
        <v/>
      </c>
      <c r="L38" s="106">
        <f>'KG1-1'!BK41+'KG1-2'!BK41+'KG1-3'!BK41+'KG1-4'!BK41+'KG1-5'!BK41+'KG1-6'!BK41+'KG1-7'!BK41</f>
        <v/>
      </c>
      <c r="M38" s="106">
        <f>'KG1-1'!BK42+'KG1-2'!BK42+'KG1-3'!BK42+'KG1-4'!BK42+'KG1-5'!BK42+'KG1-6'!BK42+'KG1-7'!BK42</f>
        <v/>
      </c>
      <c r="N38" s="145">
        <f>IF(I38=0,"",(J38+IF(LateAsPresent="نعم",M38,0))/I38)</f>
        <v/>
      </c>
      <c r="O38" s="161">
        <f>IF(I38&gt;0,"نعم","")</f>
        <v/>
      </c>
      <c r="P38" s="159">
        <f>IF(I38&gt;0,COUNTIF($I$5:I38,"&gt;0"),"")</f>
        <v/>
      </c>
      <c r="R38" s="106" t="n">
        <v>34</v>
      </c>
      <c r="S38" s="105" t="n">
        <v>46496</v>
      </c>
      <c r="T38" s="105">
        <f>S38+4</f>
        <v/>
      </c>
      <c r="U38" s="106">
        <f>COUNTIFS(Cal_Week,R38,Cal_School,1)</f>
        <v/>
      </c>
      <c r="V38" s="107">
        <f>"الأسبوع "&amp;R38&amp;": "&amp;TEXT(S38,"dd/mm")&amp;" – "&amp;TEXT(T38,"dd/mm")&amp;IF(U38=0,"  (إجازة)",IF(U38&lt;5,"  (عطلة جزئية)",""))</f>
        <v/>
      </c>
    </row>
    <row r="39">
      <c r="A39" s="105" t="n">
        <v>46311</v>
      </c>
      <c r="B39" s="106" t="inlineStr">
        <is>
          <t>الجمعة</t>
        </is>
      </c>
      <c r="C39" s="106" t="inlineStr">
        <is>
          <t>أكتوبر 2026</t>
        </is>
      </c>
      <c r="D39" s="159" t="n">
        <v>202610</v>
      </c>
      <c r="E39" s="159" t="n">
        <v>7</v>
      </c>
      <c r="F39" s="106">
        <f>IFERROR(IF(A39&lt;=INDEX(TermEnd,MATCH(A39,TermStart,1)),INDEX(TermNames,MATCH(A39,TermStart,1)),"إجازة"),"")</f>
        <v/>
      </c>
      <c r="G39" s="160">
        <f>IF(COUNTIFS(HolFrom,"&lt;="&amp;A39,HolTo,"&gt;="&amp;A39)&gt;0,"عطلة","")</f>
        <v/>
      </c>
      <c r="H39" s="106">
        <f>IF(OR(G39="عطلة",AND(WEEKDAY(A39,2)=5,FridaySchool="لا")),0,1)</f>
        <v/>
      </c>
      <c r="I39" s="106">
        <f>'KG1-1'!BL44+'KG1-2'!BL44+'KG1-3'!BL44+'KG1-4'!BL44+'KG1-5'!BL44+'KG1-6'!BL44+'KG1-7'!BL44</f>
        <v/>
      </c>
      <c r="J39" s="106">
        <f>'KG1-1'!BL43+'KG1-2'!BL43+'KG1-3'!BL43+'KG1-4'!BL43+'KG1-5'!BL43+'KG1-6'!BL43+'KG1-7'!BL43</f>
        <v/>
      </c>
      <c r="K39" s="106">
        <f>'KG1-1'!BL40+'KG1-2'!BL40+'KG1-3'!BL40+'KG1-4'!BL40+'KG1-5'!BL40+'KG1-6'!BL40+'KG1-7'!BL40</f>
        <v/>
      </c>
      <c r="L39" s="106">
        <f>'KG1-1'!BL41+'KG1-2'!BL41+'KG1-3'!BL41+'KG1-4'!BL41+'KG1-5'!BL41+'KG1-6'!BL41+'KG1-7'!BL41</f>
        <v/>
      </c>
      <c r="M39" s="106">
        <f>'KG1-1'!BL42+'KG1-2'!BL42+'KG1-3'!BL42+'KG1-4'!BL42+'KG1-5'!BL42+'KG1-6'!BL42+'KG1-7'!BL42</f>
        <v/>
      </c>
      <c r="N39" s="145">
        <f>IF(I39=0,"",(J39+IF(LateAsPresent="نعم",M39,0))/I39)</f>
        <v/>
      </c>
      <c r="O39" s="161">
        <f>IF(I39&gt;0,"نعم","")</f>
        <v/>
      </c>
      <c r="P39" s="159">
        <f>IF(I39&gt;0,COUNTIF($I$5:I39,"&gt;0"),"")</f>
        <v/>
      </c>
      <c r="R39" s="106" t="n">
        <v>35</v>
      </c>
      <c r="S39" s="105" t="n">
        <v>46503</v>
      </c>
      <c r="T39" s="105">
        <f>S39+4</f>
        <v/>
      </c>
      <c r="U39" s="106">
        <f>COUNTIFS(Cal_Week,R39,Cal_School,1)</f>
        <v/>
      </c>
      <c r="V39" s="107">
        <f>"الأسبوع "&amp;R39&amp;": "&amp;TEXT(S39,"dd/mm")&amp;" – "&amp;TEXT(T39,"dd/mm")&amp;IF(U39=0,"  (إجازة)",IF(U39&lt;5,"  (عطلة جزئية)",""))</f>
        <v/>
      </c>
    </row>
    <row r="40">
      <c r="A40" s="105" t="n">
        <v>46314</v>
      </c>
      <c r="B40" s="106" t="inlineStr">
        <is>
          <t>الاثنين</t>
        </is>
      </c>
      <c r="C40" s="106" t="inlineStr">
        <is>
          <t>أكتوبر 2026</t>
        </is>
      </c>
      <c r="D40" s="159" t="n">
        <v>202610</v>
      </c>
      <c r="E40" s="159" t="n">
        <v>8</v>
      </c>
      <c r="F40" s="106">
        <f>IFERROR(IF(A40&lt;=INDEX(TermEnd,MATCH(A40,TermStart,1)),INDEX(TermNames,MATCH(A40,TermStart,1)),"إجازة"),"")</f>
        <v/>
      </c>
      <c r="G40" s="160">
        <f>IF(COUNTIFS(HolFrom,"&lt;="&amp;A40,HolTo,"&gt;="&amp;A40)&gt;0,"عطلة","")</f>
        <v/>
      </c>
      <c r="H40" s="106">
        <f>IF(OR(G40="عطلة",AND(WEEKDAY(A40,2)=5,FridaySchool="لا")),0,1)</f>
        <v/>
      </c>
      <c r="I40" s="106">
        <f>'KG1-1'!BM44+'KG1-2'!BM44+'KG1-3'!BM44+'KG1-4'!BM44+'KG1-5'!BM44+'KG1-6'!BM44+'KG1-7'!BM44</f>
        <v/>
      </c>
      <c r="J40" s="106">
        <f>'KG1-1'!BM43+'KG1-2'!BM43+'KG1-3'!BM43+'KG1-4'!BM43+'KG1-5'!BM43+'KG1-6'!BM43+'KG1-7'!BM43</f>
        <v/>
      </c>
      <c r="K40" s="106">
        <f>'KG1-1'!BM40+'KG1-2'!BM40+'KG1-3'!BM40+'KG1-4'!BM40+'KG1-5'!BM40+'KG1-6'!BM40+'KG1-7'!BM40</f>
        <v/>
      </c>
      <c r="L40" s="106">
        <f>'KG1-1'!BM41+'KG1-2'!BM41+'KG1-3'!BM41+'KG1-4'!BM41+'KG1-5'!BM41+'KG1-6'!BM41+'KG1-7'!BM41</f>
        <v/>
      </c>
      <c r="M40" s="106">
        <f>'KG1-1'!BM42+'KG1-2'!BM42+'KG1-3'!BM42+'KG1-4'!BM42+'KG1-5'!BM42+'KG1-6'!BM42+'KG1-7'!BM42</f>
        <v/>
      </c>
      <c r="N40" s="145">
        <f>IF(I40=0,"",(J40+IF(LateAsPresent="نعم",M40,0))/I40)</f>
        <v/>
      </c>
      <c r="O40" s="161">
        <f>IF(I40&gt;0,"نعم","")</f>
        <v/>
      </c>
      <c r="P40" s="159">
        <f>IF(I40&gt;0,COUNTIF($I$5:I40,"&gt;0"),"")</f>
        <v/>
      </c>
      <c r="R40" s="106" t="n">
        <v>36</v>
      </c>
      <c r="S40" s="105" t="n">
        <v>46510</v>
      </c>
      <c r="T40" s="105">
        <f>S40+4</f>
        <v/>
      </c>
      <c r="U40" s="106">
        <f>COUNTIFS(Cal_Week,R40,Cal_School,1)</f>
        <v/>
      </c>
      <c r="V40" s="107">
        <f>"الأسبوع "&amp;R40&amp;": "&amp;TEXT(S40,"dd/mm")&amp;" – "&amp;TEXT(T40,"dd/mm")&amp;IF(U40=0,"  (إجازة)",IF(U40&lt;5,"  (عطلة جزئية)",""))</f>
        <v/>
      </c>
    </row>
    <row r="41">
      <c r="A41" s="105" t="n">
        <v>46315</v>
      </c>
      <c r="B41" s="106" t="inlineStr">
        <is>
          <t>الثلاثاء</t>
        </is>
      </c>
      <c r="C41" s="106" t="inlineStr">
        <is>
          <t>أكتوبر 2026</t>
        </is>
      </c>
      <c r="D41" s="159" t="n">
        <v>202610</v>
      </c>
      <c r="E41" s="159" t="n">
        <v>8</v>
      </c>
      <c r="F41" s="106">
        <f>IFERROR(IF(A41&lt;=INDEX(TermEnd,MATCH(A41,TermStart,1)),INDEX(TermNames,MATCH(A41,TermStart,1)),"إجازة"),"")</f>
        <v/>
      </c>
      <c r="G41" s="160">
        <f>IF(COUNTIFS(HolFrom,"&lt;="&amp;A41,HolTo,"&gt;="&amp;A41)&gt;0,"عطلة","")</f>
        <v/>
      </c>
      <c r="H41" s="106">
        <f>IF(OR(G41="عطلة",AND(WEEKDAY(A41,2)=5,FridaySchool="لا")),0,1)</f>
        <v/>
      </c>
      <c r="I41" s="106">
        <f>'KG1-1'!BN44+'KG1-2'!BN44+'KG1-3'!BN44+'KG1-4'!BN44+'KG1-5'!BN44+'KG1-6'!BN44+'KG1-7'!BN44</f>
        <v/>
      </c>
      <c r="J41" s="106">
        <f>'KG1-1'!BN43+'KG1-2'!BN43+'KG1-3'!BN43+'KG1-4'!BN43+'KG1-5'!BN43+'KG1-6'!BN43+'KG1-7'!BN43</f>
        <v/>
      </c>
      <c r="K41" s="106">
        <f>'KG1-1'!BN40+'KG1-2'!BN40+'KG1-3'!BN40+'KG1-4'!BN40+'KG1-5'!BN40+'KG1-6'!BN40+'KG1-7'!BN40</f>
        <v/>
      </c>
      <c r="L41" s="106">
        <f>'KG1-1'!BN41+'KG1-2'!BN41+'KG1-3'!BN41+'KG1-4'!BN41+'KG1-5'!BN41+'KG1-6'!BN41+'KG1-7'!BN41</f>
        <v/>
      </c>
      <c r="M41" s="106">
        <f>'KG1-1'!BN42+'KG1-2'!BN42+'KG1-3'!BN42+'KG1-4'!BN42+'KG1-5'!BN42+'KG1-6'!BN42+'KG1-7'!BN42</f>
        <v/>
      </c>
      <c r="N41" s="145">
        <f>IF(I41=0,"",(J41+IF(LateAsPresent="نعم",M41,0))/I41)</f>
        <v/>
      </c>
      <c r="O41" s="161">
        <f>IF(I41&gt;0,"نعم","")</f>
        <v/>
      </c>
      <c r="P41" s="159">
        <f>IF(I41&gt;0,COUNTIF($I$5:I41,"&gt;0"),"")</f>
        <v/>
      </c>
      <c r="R41" s="106" t="n">
        <v>37</v>
      </c>
      <c r="S41" s="105" t="n">
        <v>46517</v>
      </c>
      <c r="T41" s="105">
        <f>S41+4</f>
        <v/>
      </c>
      <c r="U41" s="106">
        <f>COUNTIFS(Cal_Week,R41,Cal_School,1)</f>
        <v/>
      </c>
      <c r="V41" s="107">
        <f>"الأسبوع "&amp;R41&amp;": "&amp;TEXT(S41,"dd/mm")&amp;" – "&amp;TEXT(T41,"dd/mm")&amp;IF(U41=0,"  (إجازة)",IF(U41&lt;5,"  (عطلة جزئية)",""))</f>
        <v/>
      </c>
    </row>
    <row r="42">
      <c r="A42" s="105" t="n">
        <v>46316</v>
      </c>
      <c r="B42" s="106" t="inlineStr">
        <is>
          <t>الأربعاء</t>
        </is>
      </c>
      <c r="C42" s="106" t="inlineStr">
        <is>
          <t>أكتوبر 2026</t>
        </is>
      </c>
      <c r="D42" s="159" t="n">
        <v>202610</v>
      </c>
      <c r="E42" s="159" t="n">
        <v>8</v>
      </c>
      <c r="F42" s="106">
        <f>IFERROR(IF(A42&lt;=INDEX(TermEnd,MATCH(A42,TermStart,1)),INDEX(TermNames,MATCH(A42,TermStart,1)),"إجازة"),"")</f>
        <v/>
      </c>
      <c r="G42" s="160">
        <f>IF(COUNTIFS(HolFrom,"&lt;="&amp;A42,HolTo,"&gt;="&amp;A42)&gt;0,"عطلة","")</f>
        <v/>
      </c>
      <c r="H42" s="106">
        <f>IF(OR(G42="عطلة",AND(WEEKDAY(A42,2)=5,FridaySchool="لا")),0,1)</f>
        <v/>
      </c>
      <c r="I42" s="106">
        <f>'KG1-1'!BO44+'KG1-2'!BO44+'KG1-3'!BO44+'KG1-4'!BO44+'KG1-5'!BO44+'KG1-6'!BO44+'KG1-7'!BO44</f>
        <v/>
      </c>
      <c r="J42" s="106">
        <f>'KG1-1'!BO43+'KG1-2'!BO43+'KG1-3'!BO43+'KG1-4'!BO43+'KG1-5'!BO43+'KG1-6'!BO43+'KG1-7'!BO43</f>
        <v/>
      </c>
      <c r="K42" s="106">
        <f>'KG1-1'!BO40+'KG1-2'!BO40+'KG1-3'!BO40+'KG1-4'!BO40+'KG1-5'!BO40+'KG1-6'!BO40+'KG1-7'!BO40</f>
        <v/>
      </c>
      <c r="L42" s="106">
        <f>'KG1-1'!BO41+'KG1-2'!BO41+'KG1-3'!BO41+'KG1-4'!BO41+'KG1-5'!BO41+'KG1-6'!BO41+'KG1-7'!BO41</f>
        <v/>
      </c>
      <c r="M42" s="106">
        <f>'KG1-1'!BO42+'KG1-2'!BO42+'KG1-3'!BO42+'KG1-4'!BO42+'KG1-5'!BO42+'KG1-6'!BO42+'KG1-7'!BO42</f>
        <v/>
      </c>
      <c r="N42" s="145">
        <f>IF(I42=0,"",(J42+IF(LateAsPresent="نعم",M42,0))/I42)</f>
        <v/>
      </c>
      <c r="O42" s="161">
        <f>IF(I42&gt;0,"نعم","")</f>
        <v/>
      </c>
      <c r="P42" s="159">
        <f>IF(I42&gt;0,COUNTIF($I$5:I42,"&gt;0"),"")</f>
        <v/>
      </c>
      <c r="R42" s="106" t="n">
        <v>38</v>
      </c>
      <c r="S42" s="105" t="n">
        <v>46524</v>
      </c>
      <c r="T42" s="105">
        <f>S42+4</f>
        <v/>
      </c>
      <c r="U42" s="106">
        <f>COUNTIFS(Cal_Week,R42,Cal_School,1)</f>
        <v/>
      </c>
      <c r="V42" s="107">
        <f>"الأسبوع "&amp;R42&amp;": "&amp;TEXT(S42,"dd/mm")&amp;" – "&amp;TEXT(T42,"dd/mm")&amp;IF(U42=0,"  (إجازة)",IF(U42&lt;5,"  (عطلة جزئية)",""))</f>
        <v/>
      </c>
    </row>
    <row r="43">
      <c r="A43" s="105" t="n">
        <v>46317</v>
      </c>
      <c r="B43" s="106" t="inlineStr">
        <is>
          <t>الخميس</t>
        </is>
      </c>
      <c r="C43" s="106" t="inlineStr">
        <is>
          <t>أكتوبر 2026</t>
        </is>
      </c>
      <c r="D43" s="159" t="n">
        <v>202610</v>
      </c>
      <c r="E43" s="159" t="n">
        <v>8</v>
      </c>
      <c r="F43" s="106">
        <f>IFERROR(IF(A43&lt;=INDEX(TermEnd,MATCH(A43,TermStart,1)),INDEX(TermNames,MATCH(A43,TermStart,1)),"إجازة"),"")</f>
        <v/>
      </c>
      <c r="G43" s="160">
        <f>IF(COUNTIFS(HolFrom,"&lt;="&amp;A43,HolTo,"&gt;="&amp;A43)&gt;0,"عطلة","")</f>
        <v/>
      </c>
      <c r="H43" s="106">
        <f>IF(OR(G43="عطلة",AND(WEEKDAY(A43,2)=5,FridaySchool="لا")),0,1)</f>
        <v/>
      </c>
      <c r="I43" s="106">
        <f>'KG1-1'!BP44+'KG1-2'!BP44+'KG1-3'!BP44+'KG1-4'!BP44+'KG1-5'!BP44+'KG1-6'!BP44+'KG1-7'!BP44</f>
        <v/>
      </c>
      <c r="J43" s="106">
        <f>'KG1-1'!BP43+'KG1-2'!BP43+'KG1-3'!BP43+'KG1-4'!BP43+'KG1-5'!BP43+'KG1-6'!BP43+'KG1-7'!BP43</f>
        <v/>
      </c>
      <c r="K43" s="106">
        <f>'KG1-1'!BP40+'KG1-2'!BP40+'KG1-3'!BP40+'KG1-4'!BP40+'KG1-5'!BP40+'KG1-6'!BP40+'KG1-7'!BP40</f>
        <v/>
      </c>
      <c r="L43" s="106">
        <f>'KG1-1'!BP41+'KG1-2'!BP41+'KG1-3'!BP41+'KG1-4'!BP41+'KG1-5'!BP41+'KG1-6'!BP41+'KG1-7'!BP41</f>
        <v/>
      </c>
      <c r="M43" s="106">
        <f>'KG1-1'!BP42+'KG1-2'!BP42+'KG1-3'!BP42+'KG1-4'!BP42+'KG1-5'!BP42+'KG1-6'!BP42+'KG1-7'!BP42</f>
        <v/>
      </c>
      <c r="N43" s="145">
        <f>IF(I43=0,"",(J43+IF(LateAsPresent="نعم",M43,0))/I43)</f>
        <v/>
      </c>
      <c r="O43" s="161">
        <f>IF(I43&gt;0,"نعم","")</f>
        <v/>
      </c>
      <c r="P43" s="159">
        <f>IF(I43&gt;0,COUNTIF($I$5:I43,"&gt;0"),"")</f>
        <v/>
      </c>
      <c r="R43" s="106" t="n">
        <v>39</v>
      </c>
      <c r="S43" s="105" t="n">
        <v>46531</v>
      </c>
      <c r="T43" s="105">
        <f>S43+4</f>
        <v/>
      </c>
      <c r="U43" s="106">
        <f>COUNTIFS(Cal_Week,R43,Cal_School,1)</f>
        <v/>
      </c>
      <c r="V43" s="107">
        <f>"الأسبوع "&amp;R43&amp;": "&amp;TEXT(S43,"dd/mm")&amp;" – "&amp;TEXT(T43,"dd/mm")&amp;IF(U43=0,"  (إجازة)",IF(U43&lt;5,"  (عطلة جزئية)",""))</f>
        <v/>
      </c>
    </row>
    <row r="44">
      <c r="A44" s="105" t="n">
        <v>46318</v>
      </c>
      <c r="B44" s="106" t="inlineStr">
        <is>
          <t>الجمعة</t>
        </is>
      </c>
      <c r="C44" s="106" t="inlineStr">
        <is>
          <t>أكتوبر 2026</t>
        </is>
      </c>
      <c r="D44" s="159" t="n">
        <v>202610</v>
      </c>
      <c r="E44" s="159" t="n">
        <v>8</v>
      </c>
      <c r="F44" s="106">
        <f>IFERROR(IF(A44&lt;=INDEX(TermEnd,MATCH(A44,TermStart,1)),INDEX(TermNames,MATCH(A44,TermStart,1)),"إجازة"),"")</f>
        <v/>
      </c>
      <c r="G44" s="160">
        <f>IF(COUNTIFS(HolFrom,"&lt;="&amp;A44,HolTo,"&gt;="&amp;A44)&gt;0,"عطلة","")</f>
        <v/>
      </c>
      <c r="H44" s="106">
        <f>IF(OR(G44="عطلة",AND(WEEKDAY(A44,2)=5,FridaySchool="لا")),0,1)</f>
        <v/>
      </c>
      <c r="I44" s="106">
        <f>'KG1-1'!BQ44+'KG1-2'!BQ44+'KG1-3'!BQ44+'KG1-4'!BQ44+'KG1-5'!BQ44+'KG1-6'!BQ44+'KG1-7'!BQ44</f>
        <v/>
      </c>
      <c r="J44" s="106">
        <f>'KG1-1'!BQ43+'KG1-2'!BQ43+'KG1-3'!BQ43+'KG1-4'!BQ43+'KG1-5'!BQ43+'KG1-6'!BQ43+'KG1-7'!BQ43</f>
        <v/>
      </c>
      <c r="K44" s="106">
        <f>'KG1-1'!BQ40+'KG1-2'!BQ40+'KG1-3'!BQ40+'KG1-4'!BQ40+'KG1-5'!BQ40+'KG1-6'!BQ40+'KG1-7'!BQ40</f>
        <v/>
      </c>
      <c r="L44" s="106">
        <f>'KG1-1'!BQ41+'KG1-2'!BQ41+'KG1-3'!BQ41+'KG1-4'!BQ41+'KG1-5'!BQ41+'KG1-6'!BQ41+'KG1-7'!BQ41</f>
        <v/>
      </c>
      <c r="M44" s="106">
        <f>'KG1-1'!BQ42+'KG1-2'!BQ42+'KG1-3'!BQ42+'KG1-4'!BQ42+'KG1-5'!BQ42+'KG1-6'!BQ42+'KG1-7'!BQ42</f>
        <v/>
      </c>
      <c r="N44" s="145">
        <f>IF(I44=0,"",(J44+IF(LateAsPresent="نعم",M44,0))/I44)</f>
        <v/>
      </c>
      <c r="O44" s="161">
        <f>IF(I44&gt;0,"نعم","")</f>
        <v/>
      </c>
      <c r="P44" s="159">
        <f>IF(I44&gt;0,COUNTIF($I$5:I44,"&gt;0"),"")</f>
        <v/>
      </c>
      <c r="R44" s="106" t="n">
        <v>40</v>
      </c>
      <c r="S44" s="105" t="n">
        <v>46538</v>
      </c>
      <c r="T44" s="105">
        <f>S44+4</f>
        <v/>
      </c>
      <c r="U44" s="106">
        <f>COUNTIFS(Cal_Week,R44,Cal_School,1)</f>
        <v/>
      </c>
      <c r="V44" s="107">
        <f>"الأسبوع "&amp;R44&amp;": "&amp;TEXT(S44,"dd/mm")&amp;" – "&amp;TEXT(T44,"dd/mm")&amp;IF(U44=0,"  (إجازة)",IF(U44&lt;5,"  (عطلة جزئية)",""))</f>
        <v/>
      </c>
    </row>
    <row r="45">
      <c r="A45" s="105" t="n">
        <v>46321</v>
      </c>
      <c r="B45" s="106" t="inlineStr">
        <is>
          <t>الاثنين</t>
        </is>
      </c>
      <c r="C45" s="106" t="inlineStr">
        <is>
          <t>أكتوبر 2026</t>
        </is>
      </c>
      <c r="D45" s="159" t="n">
        <v>202610</v>
      </c>
      <c r="E45" s="159" t="n">
        <v>9</v>
      </c>
      <c r="F45" s="106">
        <f>IFERROR(IF(A45&lt;=INDEX(TermEnd,MATCH(A45,TermStart,1)),INDEX(TermNames,MATCH(A45,TermStart,1)),"إجازة"),"")</f>
        <v/>
      </c>
      <c r="G45" s="160">
        <f>IF(COUNTIFS(HolFrom,"&lt;="&amp;A45,HolTo,"&gt;="&amp;A45)&gt;0,"عطلة","")</f>
        <v/>
      </c>
      <c r="H45" s="106">
        <f>IF(OR(G45="عطلة",AND(WEEKDAY(A45,2)=5,FridaySchool="لا")),0,1)</f>
        <v/>
      </c>
      <c r="I45" s="106">
        <f>'KG1-1'!BR44+'KG1-2'!BR44+'KG1-3'!BR44+'KG1-4'!BR44+'KG1-5'!BR44+'KG1-6'!BR44+'KG1-7'!BR44</f>
        <v/>
      </c>
      <c r="J45" s="106">
        <f>'KG1-1'!BR43+'KG1-2'!BR43+'KG1-3'!BR43+'KG1-4'!BR43+'KG1-5'!BR43+'KG1-6'!BR43+'KG1-7'!BR43</f>
        <v/>
      </c>
      <c r="K45" s="106">
        <f>'KG1-1'!BR40+'KG1-2'!BR40+'KG1-3'!BR40+'KG1-4'!BR40+'KG1-5'!BR40+'KG1-6'!BR40+'KG1-7'!BR40</f>
        <v/>
      </c>
      <c r="L45" s="106">
        <f>'KG1-1'!BR41+'KG1-2'!BR41+'KG1-3'!BR41+'KG1-4'!BR41+'KG1-5'!BR41+'KG1-6'!BR41+'KG1-7'!BR41</f>
        <v/>
      </c>
      <c r="M45" s="106">
        <f>'KG1-1'!BR42+'KG1-2'!BR42+'KG1-3'!BR42+'KG1-4'!BR42+'KG1-5'!BR42+'KG1-6'!BR42+'KG1-7'!BR42</f>
        <v/>
      </c>
      <c r="N45" s="145">
        <f>IF(I45=0,"",(J45+IF(LateAsPresent="نعم",M45,0))/I45)</f>
        <v/>
      </c>
      <c r="O45" s="161">
        <f>IF(I45&gt;0,"نعم","")</f>
        <v/>
      </c>
      <c r="P45" s="159">
        <f>IF(I45&gt;0,COUNTIF($I$5:I45,"&gt;0"),"")</f>
        <v/>
      </c>
      <c r="R45" s="106" t="n">
        <v>41</v>
      </c>
      <c r="S45" s="105" t="n">
        <v>46545</v>
      </c>
      <c r="T45" s="105">
        <f>S45+4</f>
        <v/>
      </c>
      <c r="U45" s="106">
        <f>COUNTIFS(Cal_Week,R45,Cal_School,1)</f>
        <v/>
      </c>
      <c r="V45" s="107">
        <f>"الأسبوع "&amp;R45&amp;": "&amp;TEXT(S45,"dd/mm")&amp;" – "&amp;TEXT(T45,"dd/mm")&amp;IF(U45=0,"  (إجازة)",IF(U45&lt;5,"  (عطلة جزئية)",""))</f>
        <v/>
      </c>
    </row>
    <row r="46">
      <c r="A46" s="105" t="n">
        <v>46322</v>
      </c>
      <c r="B46" s="106" t="inlineStr">
        <is>
          <t>الثلاثاء</t>
        </is>
      </c>
      <c r="C46" s="106" t="inlineStr">
        <is>
          <t>أكتوبر 2026</t>
        </is>
      </c>
      <c r="D46" s="159" t="n">
        <v>202610</v>
      </c>
      <c r="E46" s="159" t="n">
        <v>9</v>
      </c>
      <c r="F46" s="106">
        <f>IFERROR(IF(A46&lt;=INDEX(TermEnd,MATCH(A46,TermStart,1)),INDEX(TermNames,MATCH(A46,TermStart,1)),"إجازة"),"")</f>
        <v/>
      </c>
      <c r="G46" s="160">
        <f>IF(COUNTIFS(HolFrom,"&lt;="&amp;A46,HolTo,"&gt;="&amp;A46)&gt;0,"عطلة","")</f>
        <v/>
      </c>
      <c r="H46" s="106">
        <f>IF(OR(G46="عطلة",AND(WEEKDAY(A46,2)=5,FridaySchool="لا")),0,1)</f>
        <v/>
      </c>
      <c r="I46" s="106">
        <f>'KG1-1'!BS44+'KG1-2'!BS44+'KG1-3'!BS44+'KG1-4'!BS44+'KG1-5'!BS44+'KG1-6'!BS44+'KG1-7'!BS44</f>
        <v/>
      </c>
      <c r="J46" s="106">
        <f>'KG1-1'!BS43+'KG1-2'!BS43+'KG1-3'!BS43+'KG1-4'!BS43+'KG1-5'!BS43+'KG1-6'!BS43+'KG1-7'!BS43</f>
        <v/>
      </c>
      <c r="K46" s="106">
        <f>'KG1-1'!BS40+'KG1-2'!BS40+'KG1-3'!BS40+'KG1-4'!BS40+'KG1-5'!BS40+'KG1-6'!BS40+'KG1-7'!BS40</f>
        <v/>
      </c>
      <c r="L46" s="106">
        <f>'KG1-1'!BS41+'KG1-2'!BS41+'KG1-3'!BS41+'KG1-4'!BS41+'KG1-5'!BS41+'KG1-6'!BS41+'KG1-7'!BS41</f>
        <v/>
      </c>
      <c r="M46" s="106">
        <f>'KG1-1'!BS42+'KG1-2'!BS42+'KG1-3'!BS42+'KG1-4'!BS42+'KG1-5'!BS42+'KG1-6'!BS42+'KG1-7'!BS42</f>
        <v/>
      </c>
      <c r="N46" s="145">
        <f>IF(I46=0,"",(J46+IF(LateAsPresent="نعم",M46,0))/I46)</f>
        <v/>
      </c>
      <c r="O46" s="161">
        <f>IF(I46&gt;0,"نعم","")</f>
        <v/>
      </c>
      <c r="P46" s="159">
        <f>IF(I46&gt;0,COUNTIF($I$5:I46,"&gt;0"),"")</f>
        <v/>
      </c>
      <c r="R46" s="106" t="n">
        <v>42</v>
      </c>
      <c r="S46" s="105" t="n">
        <v>46552</v>
      </c>
      <c r="T46" s="105">
        <f>S46+4</f>
        <v/>
      </c>
      <c r="U46" s="106">
        <f>COUNTIFS(Cal_Week,R46,Cal_School,1)</f>
        <v/>
      </c>
      <c r="V46" s="107">
        <f>"الأسبوع "&amp;R46&amp;": "&amp;TEXT(S46,"dd/mm")&amp;" – "&amp;TEXT(T46,"dd/mm")&amp;IF(U46=0,"  (إجازة)",IF(U46&lt;5,"  (عطلة جزئية)",""))</f>
        <v/>
      </c>
    </row>
    <row r="47">
      <c r="A47" s="105" t="n">
        <v>46323</v>
      </c>
      <c r="B47" s="106" t="inlineStr">
        <is>
          <t>الأربعاء</t>
        </is>
      </c>
      <c r="C47" s="106" t="inlineStr">
        <is>
          <t>أكتوبر 2026</t>
        </is>
      </c>
      <c r="D47" s="159" t="n">
        <v>202610</v>
      </c>
      <c r="E47" s="159" t="n">
        <v>9</v>
      </c>
      <c r="F47" s="106">
        <f>IFERROR(IF(A47&lt;=INDEX(TermEnd,MATCH(A47,TermStart,1)),INDEX(TermNames,MATCH(A47,TermStart,1)),"إجازة"),"")</f>
        <v/>
      </c>
      <c r="G47" s="160">
        <f>IF(COUNTIFS(HolFrom,"&lt;="&amp;A47,HolTo,"&gt;="&amp;A47)&gt;0,"عطلة","")</f>
        <v/>
      </c>
      <c r="H47" s="106">
        <f>IF(OR(G47="عطلة",AND(WEEKDAY(A47,2)=5,FridaySchool="لا")),0,1)</f>
        <v/>
      </c>
      <c r="I47" s="106">
        <f>'KG1-1'!BT44+'KG1-2'!BT44+'KG1-3'!BT44+'KG1-4'!BT44+'KG1-5'!BT44+'KG1-6'!BT44+'KG1-7'!BT44</f>
        <v/>
      </c>
      <c r="J47" s="106">
        <f>'KG1-1'!BT43+'KG1-2'!BT43+'KG1-3'!BT43+'KG1-4'!BT43+'KG1-5'!BT43+'KG1-6'!BT43+'KG1-7'!BT43</f>
        <v/>
      </c>
      <c r="K47" s="106">
        <f>'KG1-1'!BT40+'KG1-2'!BT40+'KG1-3'!BT40+'KG1-4'!BT40+'KG1-5'!BT40+'KG1-6'!BT40+'KG1-7'!BT40</f>
        <v/>
      </c>
      <c r="L47" s="106">
        <f>'KG1-1'!BT41+'KG1-2'!BT41+'KG1-3'!BT41+'KG1-4'!BT41+'KG1-5'!BT41+'KG1-6'!BT41+'KG1-7'!BT41</f>
        <v/>
      </c>
      <c r="M47" s="106">
        <f>'KG1-1'!BT42+'KG1-2'!BT42+'KG1-3'!BT42+'KG1-4'!BT42+'KG1-5'!BT42+'KG1-6'!BT42+'KG1-7'!BT42</f>
        <v/>
      </c>
      <c r="N47" s="145">
        <f>IF(I47=0,"",(J47+IF(LateAsPresent="نعم",M47,0))/I47)</f>
        <v/>
      </c>
      <c r="O47" s="161">
        <f>IF(I47&gt;0,"نعم","")</f>
        <v/>
      </c>
      <c r="P47" s="159">
        <f>IF(I47&gt;0,COUNTIF($I$5:I47,"&gt;0"),"")</f>
        <v/>
      </c>
      <c r="R47" s="106" t="n">
        <v>43</v>
      </c>
      <c r="S47" s="105" t="n">
        <v>46559</v>
      </c>
      <c r="T47" s="105">
        <f>S47+4</f>
        <v/>
      </c>
      <c r="U47" s="106">
        <f>COUNTIFS(Cal_Week,R47,Cal_School,1)</f>
        <v/>
      </c>
      <c r="V47" s="107">
        <f>"الأسبوع "&amp;R47&amp;": "&amp;TEXT(S47,"dd/mm")&amp;" – "&amp;TEXT(T47,"dd/mm")&amp;IF(U47=0,"  (إجازة)",IF(U47&lt;5,"  (عطلة جزئية)",""))</f>
        <v/>
      </c>
    </row>
    <row r="48">
      <c r="A48" s="105" t="n">
        <v>46324</v>
      </c>
      <c r="B48" s="106" t="inlineStr">
        <is>
          <t>الخميس</t>
        </is>
      </c>
      <c r="C48" s="106" t="inlineStr">
        <is>
          <t>أكتوبر 2026</t>
        </is>
      </c>
      <c r="D48" s="159" t="n">
        <v>202610</v>
      </c>
      <c r="E48" s="159" t="n">
        <v>9</v>
      </c>
      <c r="F48" s="106">
        <f>IFERROR(IF(A48&lt;=INDEX(TermEnd,MATCH(A48,TermStart,1)),INDEX(TermNames,MATCH(A48,TermStart,1)),"إجازة"),"")</f>
        <v/>
      </c>
      <c r="G48" s="160">
        <f>IF(COUNTIFS(HolFrom,"&lt;="&amp;A48,HolTo,"&gt;="&amp;A48)&gt;0,"عطلة","")</f>
        <v/>
      </c>
      <c r="H48" s="106">
        <f>IF(OR(G48="عطلة",AND(WEEKDAY(A48,2)=5,FridaySchool="لا")),0,1)</f>
        <v/>
      </c>
      <c r="I48" s="106">
        <f>'KG1-1'!BU44+'KG1-2'!BU44+'KG1-3'!BU44+'KG1-4'!BU44+'KG1-5'!BU44+'KG1-6'!BU44+'KG1-7'!BU44</f>
        <v/>
      </c>
      <c r="J48" s="106">
        <f>'KG1-1'!BU43+'KG1-2'!BU43+'KG1-3'!BU43+'KG1-4'!BU43+'KG1-5'!BU43+'KG1-6'!BU43+'KG1-7'!BU43</f>
        <v/>
      </c>
      <c r="K48" s="106">
        <f>'KG1-1'!BU40+'KG1-2'!BU40+'KG1-3'!BU40+'KG1-4'!BU40+'KG1-5'!BU40+'KG1-6'!BU40+'KG1-7'!BU40</f>
        <v/>
      </c>
      <c r="L48" s="106">
        <f>'KG1-1'!BU41+'KG1-2'!BU41+'KG1-3'!BU41+'KG1-4'!BU41+'KG1-5'!BU41+'KG1-6'!BU41+'KG1-7'!BU41</f>
        <v/>
      </c>
      <c r="M48" s="106">
        <f>'KG1-1'!BU42+'KG1-2'!BU42+'KG1-3'!BU42+'KG1-4'!BU42+'KG1-5'!BU42+'KG1-6'!BU42+'KG1-7'!BU42</f>
        <v/>
      </c>
      <c r="N48" s="145">
        <f>IF(I48=0,"",(J48+IF(LateAsPresent="نعم",M48,0))/I48)</f>
        <v/>
      </c>
      <c r="O48" s="161">
        <f>IF(I48&gt;0,"نعم","")</f>
        <v/>
      </c>
      <c r="P48" s="159">
        <f>IF(I48&gt;0,COUNTIF($I$5:I48,"&gt;0"),"")</f>
        <v/>
      </c>
      <c r="R48" s="106" t="n">
        <v>44</v>
      </c>
      <c r="S48" s="105" t="n">
        <v>46566</v>
      </c>
      <c r="T48" s="105">
        <f>S48+4</f>
        <v/>
      </c>
      <c r="U48" s="106">
        <f>COUNTIFS(Cal_Week,R48,Cal_School,1)</f>
        <v/>
      </c>
      <c r="V48" s="107">
        <f>"الأسبوع "&amp;R48&amp;": "&amp;TEXT(S48,"dd/mm")&amp;" – "&amp;TEXT(T48,"dd/mm")&amp;IF(U48=0,"  (إجازة)",IF(U48&lt;5,"  (عطلة جزئية)",""))</f>
        <v/>
      </c>
    </row>
    <row r="49">
      <c r="A49" s="105" t="n">
        <v>46325</v>
      </c>
      <c r="B49" s="106" t="inlineStr">
        <is>
          <t>الجمعة</t>
        </is>
      </c>
      <c r="C49" s="106" t="inlineStr">
        <is>
          <t>أكتوبر 2026</t>
        </is>
      </c>
      <c r="D49" s="159" t="n">
        <v>202610</v>
      </c>
      <c r="E49" s="159" t="n">
        <v>9</v>
      </c>
      <c r="F49" s="106">
        <f>IFERROR(IF(A49&lt;=INDEX(TermEnd,MATCH(A49,TermStart,1)),INDEX(TermNames,MATCH(A49,TermStart,1)),"إجازة"),"")</f>
        <v/>
      </c>
      <c r="G49" s="160">
        <f>IF(COUNTIFS(HolFrom,"&lt;="&amp;A49,HolTo,"&gt;="&amp;A49)&gt;0,"عطلة","")</f>
        <v/>
      </c>
      <c r="H49" s="106">
        <f>IF(OR(G49="عطلة",AND(WEEKDAY(A49,2)=5,FridaySchool="لا")),0,1)</f>
        <v/>
      </c>
      <c r="I49" s="106">
        <f>'KG1-1'!BV44+'KG1-2'!BV44+'KG1-3'!BV44+'KG1-4'!BV44+'KG1-5'!BV44+'KG1-6'!BV44+'KG1-7'!BV44</f>
        <v/>
      </c>
      <c r="J49" s="106">
        <f>'KG1-1'!BV43+'KG1-2'!BV43+'KG1-3'!BV43+'KG1-4'!BV43+'KG1-5'!BV43+'KG1-6'!BV43+'KG1-7'!BV43</f>
        <v/>
      </c>
      <c r="K49" s="106">
        <f>'KG1-1'!BV40+'KG1-2'!BV40+'KG1-3'!BV40+'KG1-4'!BV40+'KG1-5'!BV40+'KG1-6'!BV40+'KG1-7'!BV40</f>
        <v/>
      </c>
      <c r="L49" s="106">
        <f>'KG1-1'!BV41+'KG1-2'!BV41+'KG1-3'!BV41+'KG1-4'!BV41+'KG1-5'!BV41+'KG1-6'!BV41+'KG1-7'!BV41</f>
        <v/>
      </c>
      <c r="M49" s="106">
        <f>'KG1-1'!BV42+'KG1-2'!BV42+'KG1-3'!BV42+'KG1-4'!BV42+'KG1-5'!BV42+'KG1-6'!BV42+'KG1-7'!BV42</f>
        <v/>
      </c>
      <c r="N49" s="145">
        <f>IF(I49=0,"",(J49+IF(LateAsPresent="نعم",M49,0))/I49)</f>
        <v/>
      </c>
      <c r="O49" s="161">
        <f>IF(I49&gt;0,"نعم","")</f>
        <v/>
      </c>
      <c r="P49" s="159">
        <f>IF(I49&gt;0,COUNTIF($I$5:I49,"&gt;0"),"")</f>
        <v/>
      </c>
    </row>
    <row r="50">
      <c r="A50" s="105" t="n">
        <v>46328</v>
      </c>
      <c r="B50" s="106" t="inlineStr">
        <is>
          <t>الاثنين</t>
        </is>
      </c>
      <c r="C50" s="106" t="inlineStr">
        <is>
          <t>نوفمبر 2026</t>
        </is>
      </c>
      <c r="D50" s="159" t="n">
        <v>202611</v>
      </c>
      <c r="E50" s="159" t="n">
        <v>10</v>
      </c>
      <c r="F50" s="106">
        <f>IFERROR(IF(A50&lt;=INDEX(TermEnd,MATCH(A50,TermStart,1)),INDEX(TermNames,MATCH(A50,TermStart,1)),"إجازة"),"")</f>
        <v/>
      </c>
      <c r="G50" s="160">
        <f>IF(COUNTIFS(HolFrom,"&lt;="&amp;A50,HolTo,"&gt;="&amp;A50)&gt;0,"عطلة","")</f>
        <v/>
      </c>
      <c r="H50" s="106">
        <f>IF(OR(G50="عطلة",AND(WEEKDAY(A50,2)=5,FridaySchool="لا")),0,1)</f>
        <v/>
      </c>
      <c r="I50" s="106">
        <f>'KG1-1'!BW44+'KG1-2'!BW44+'KG1-3'!BW44+'KG1-4'!BW44+'KG1-5'!BW44+'KG1-6'!BW44+'KG1-7'!BW44</f>
        <v/>
      </c>
      <c r="J50" s="106">
        <f>'KG1-1'!BW43+'KG1-2'!BW43+'KG1-3'!BW43+'KG1-4'!BW43+'KG1-5'!BW43+'KG1-6'!BW43+'KG1-7'!BW43</f>
        <v/>
      </c>
      <c r="K50" s="106">
        <f>'KG1-1'!BW40+'KG1-2'!BW40+'KG1-3'!BW40+'KG1-4'!BW40+'KG1-5'!BW40+'KG1-6'!BW40+'KG1-7'!BW40</f>
        <v/>
      </c>
      <c r="L50" s="106">
        <f>'KG1-1'!BW41+'KG1-2'!BW41+'KG1-3'!BW41+'KG1-4'!BW41+'KG1-5'!BW41+'KG1-6'!BW41+'KG1-7'!BW41</f>
        <v/>
      </c>
      <c r="M50" s="106">
        <f>'KG1-1'!BW42+'KG1-2'!BW42+'KG1-3'!BW42+'KG1-4'!BW42+'KG1-5'!BW42+'KG1-6'!BW42+'KG1-7'!BW42</f>
        <v/>
      </c>
      <c r="N50" s="145">
        <f>IF(I50=0,"",(J50+IF(LateAsPresent="نعم",M50,0))/I50)</f>
        <v/>
      </c>
      <c r="O50" s="161">
        <f>IF(I50&gt;0,"نعم","")</f>
        <v/>
      </c>
      <c r="P50" s="159">
        <f>IF(I50&gt;0,COUNTIF($I$5:I50,"&gt;0"),"")</f>
        <v/>
      </c>
    </row>
    <row r="51">
      <c r="A51" s="105" t="n">
        <v>46329</v>
      </c>
      <c r="B51" s="106" t="inlineStr">
        <is>
          <t>الثلاثاء</t>
        </is>
      </c>
      <c r="C51" s="106" t="inlineStr">
        <is>
          <t>نوفمبر 2026</t>
        </is>
      </c>
      <c r="D51" s="159" t="n">
        <v>202611</v>
      </c>
      <c r="E51" s="159" t="n">
        <v>10</v>
      </c>
      <c r="F51" s="106">
        <f>IFERROR(IF(A51&lt;=INDEX(TermEnd,MATCH(A51,TermStart,1)),INDEX(TermNames,MATCH(A51,TermStart,1)),"إجازة"),"")</f>
        <v/>
      </c>
      <c r="G51" s="160">
        <f>IF(COUNTIFS(HolFrom,"&lt;="&amp;A51,HolTo,"&gt;="&amp;A51)&gt;0,"عطلة","")</f>
        <v/>
      </c>
      <c r="H51" s="106">
        <f>IF(OR(G51="عطلة",AND(WEEKDAY(A51,2)=5,FridaySchool="لا")),0,1)</f>
        <v/>
      </c>
      <c r="I51" s="106">
        <f>'KG1-1'!BX44+'KG1-2'!BX44+'KG1-3'!BX44+'KG1-4'!BX44+'KG1-5'!BX44+'KG1-6'!BX44+'KG1-7'!BX44</f>
        <v/>
      </c>
      <c r="J51" s="106">
        <f>'KG1-1'!BX43+'KG1-2'!BX43+'KG1-3'!BX43+'KG1-4'!BX43+'KG1-5'!BX43+'KG1-6'!BX43+'KG1-7'!BX43</f>
        <v/>
      </c>
      <c r="K51" s="106">
        <f>'KG1-1'!BX40+'KG1-2'!BX40+'KG1-3'!BX40+'KG1-4'!BX40+'KG1-5'!BX40+'KG1-6'!BX40+'KG1-7'!BX40</f>
        <v/>
      </c>
      <c r="L51" s="106">
        <f>'KG1-1'!BX41+'KG1-2'!BX41+'KG1-3'!BX41+'KG1-4'!BX41+'KG1-5'!BX41+'KG1-6'!BX41+'KG1-7'!BX41</f>
        <v/>
      </c>
      <c r="M51" s="106">
        <f>'KG1-1'!BX42+'KG1-2'!BX42+'KG1-3'!BX42+'KG1-4'!BX42+'KG1-5'!BX42+'KG1-6'!BX42+'KG1-7'!BX42</f>
        <v/>
      </c>
      <c r="N51" s="145">
        <f>IF(I51=0,"",(J51+IF(LateAsPresent="نعم",M51,0))/I51)</f>
        <v/>
      </c>
      <c r="O51" s="161">
        <f>IF(I51&gt;0,"نعم","")</f>
        <v/>
      </c>
      <c r="P51" s="159">
        <f>IF(I51&gt;0,COUNTIF($I$5:I51,"&gt;0"),"")</f>
        <v/>
      </c>
    </row>
    <row r="52">
      <c r="A52" s="105" t="n">
        <v>46330</v>
      </c>
      <c r="B52" s="106" t="inlineStr">
        <is>
          <t>الأربعاء</t>
        </is>
      </c>
      <c r="C52" s="106" t="inlineStr">
        <is>
          <t>نوفمبر 2026</t>
        </is>
      </c>
      <c r="D52" s="159" t="n">
        <v>202611</v>
      </c>
      <c r="E52" s="159" t="n">
        <v>10</v>
      </c>
      <c r="F52" s="106">
        <f>IFERROR(IF(A52&lt;=INDEX(TermEnd,MATCH(A52,TermStart,1)),INDEX(TermNames,MATCH(A52,TermStart,1)),"إجازة"),"")</f>
        <v/>
      </c>
      <c r="G52" s="160">
        <f>IF(COUNTIFS(HolFrom,"&lt;="&amp;A52,HolTo,"&gt;="&amp;A52)&gt;0,"عطلة","")</f>
        <v/>
      </c>
      <c r="H52" s="106">
        <f>IF(OR(G52="عطلة",AND(WEEKDAY(A52,2)=5,FridaySchool="لا")),0,1)</f>
        <v/>
      </c>
      <c r="I52" s="106">
        <f>'KG1-1'!BY44+'KG1-2'!BY44+'KG1-3'!BY44+'KG1-4'!BY44+'KG1-5'!BY44+'KG1-6'!BY44+'KG1-7'!BY44</f>
        <v/>
      </c>
      <c r="J52" s="106">
        <f>'KG1-1'!BY43+'KG1-2'!BY43+'KG1-3'!BY43+'KG1-4'!BY43+'KG1-5'!BY43+'KG1-6'!BY43+'KG1-7'!BY43</f>
        <v/>
      </c>
      <c r="K52" s="106">
        <f>'KG1-1'!BY40+'KG1-2'!BY40+'KG1-3'!BY40+'KG1-4'!BY40+'KG1-5'!BY40+'KG1-6'!BY40+'KG1-7'!BY40</f>
        <v/>
      </c>
      <c r="L52" s="106">
        <f>'KG1-1'!BY41+'KG1-2'!BY41+'KG1-3'!BY41+'KG1-4'!BY41+'KG1-5'!BY41+'KG1-6'!BY41+'KG1-7'!BY41</f>
        <v/>
      </c>
      <c r="M52" s="106">
        <f>'KG1-1'!BY42+'KG1-2'!BY42+'KG1-3'!BY42+'KG1-4'!BY42+'KG1-5'!BY42+'KG1-6'!BY42+'KG1-7'!BY42</f>
        <v/>
      </c>
      <c r="N52" s="145">
        <f>IF(I52=0,"",(J52+IF(LateAsPresent="نعم",M52,0))/I52)</f>
        <v/>
      </c>
      <c r="O52" s="161">
        <f>IF(I52&gt;0,"نعم","")</f>
        <v/>
      </c>
      <c r="P52" s="159">
        <f>IF(I52&gt;0,COUNTIF($I$5:I52,"&gt;0"),"")</f>
        <v/>
      </c>
    </row>
    <row r="53">
      <c r="A53" s="105" t="n">
        <v>46331</v>
      </c>
      <c r="B53" s="106" t="inlineStr">
        <is>
          <t>الخميس</t>
        </is>
      </c>
      <c r="C53" s="106" t="inlineStr">
        <is>
          <t>نوفمبر 2026</t>
        </is>
      </c>
      <c r="D53" s="159" t="n">
        <v>202611</v>
      </c>
      <c r="E53" s="159" t="n">
        <v>10</v>
      </c>
      <c r="F53" s="106">
        <f>IFERROR(IF(A53&lt;=INDEX(TermEnd,MATCH(A53,TermStart,1)),INDEX(TermNames,MATCH(A53,TermStart,1)),"إجازة"),"")</f>
        <v/>
      </c>
      <c r="G53" s="160">
        <f>IF(COUNTIFS(HolFrom,"&lt;="&amp;A53,HolTo,"&gt;="&amp;A53)&gt;0,"عطلة","")</f>
        <v/>
      </c>
      <c r="H53" s="106">
        <f>IF(OR(G53="عطلة",AND(WEEKDAY(A53,2)=5,FridaySchool="لا")),0,1)</f>
        <v/>
      </c>
      <c r="I53" s="106">
        <f>'KG1-1'!BZ44+'KG1-2'!BZ44+'KG1-3'!BZ44+'KG1-4'!BZ44+'KG1-5'!BZ44+'KG1-6'!BZ44+'KG1-7'!BZ44</f>
        <v/>
      </c>
      <c r="J53" s="106">
        <f>'KG1-1'!BZ43+'KG1-2'!BZ43+'KG1-3'!BZ43+'KG1-4'!BZ43+'KG1-5'!BZ43+'KG1-6'!BZ43+'KG1-7'!BZ43</f>
        <v/>
      </c>
      <c r="K53" s="106">
        <f>'KG1-1'!BZ40+'KG1-2'!BZ40+'KG1-3'!BZ40+'KG1-4'!BZ40+'KG1-5'!BZ40+'KG1-6'!BZ40+'KG1-7'!BZ40</f>
        <v/>
      </c>
      <c r="L53" s="106">
        <f>'KG1-1'!BZ41+'KG1-2'!BZ41+'KG1-3'!BZ41+'KG1-4'!BZ41+'KG1-5'!BZ41+'KG1-6'!BZ41+'KG1-7'!BZ41</f>
        <v/>
      </c>
      <c r="M53" s="106">
        <f>'KG1-1'!BZ42+'KG1-2'!BZ42+'KG1-3'!BZ42+'KG1-4'!BZ42+'KG1-5'!BZ42+'KG1-6'!BZ42+'KG1-7'!BZ42</f>
        <v/>
      </c>
      <c r="N53" s="145">
        <f>IF(I53=0,"",(J53+IF(LateAsPresent="نعم",M53,0))/I53)</f>
        <v/>
      </c>
      <c r="O53" s="161">
        <f>IF(I53&gt;0,"نعم","")</f>
        <v/>
      </c>
      <c r="P53" s="159">
        <f>IF(I53&gt;0,COUNTIF($I$5:I53,"&gt;0"),"")</f>
        <v/>
      </c>
    </row>
    <row r="54">
      <c r="A54" s="105" t="n">
        <v>46332</v>
      </c>
      <c r="B54" s="106" t="inlineStr">
        <is>
          <t>الجمعة</t>
        </is>
      </c>
      <c r="C54" s="106" t="inlineStr">
        <is>
          <t>نوفمبر 2026</t>
        </is>
      </c>
      <c r="D54" s="159" t="n">
        <v>202611</v>
      </c>
      <c r="E54" s="159" t="n">
        <v>10</v>
      </c>
      <c r="F54" s="106">
        <f>IFERROR(IF(A54&lt;=INDEX(TermEnd,MATCH(A54,TermStart,1)),INDEX(TermNames,MATCH(A54,TermStart,1)),"إجازة"),"")</f>
        <v/>
      </c>
      <c r="G54" s="160">
        <f>IF(COUNTIFS(HolFrom,"&lt;="&amp;A54,HolTo,"&gt;="&amp;A54)&gt;0,"عطلة","")</f>
        <v/>
      </c>
      <c r="H54" s="106">
        <f>IF(OR(G54="عطلة",AND(WEEKDAY(A54,2)=5,FridaySchool="لا")),0,1)</f>
        <v/>
      </c>
      <c r="I54" s="106">
        <f>'KG1-1'!CA44+'KG1-2'!CA44+'KG1-3'!CA44+'KG1-4'!CA44+'KG1-5'!CA44+'KG1-6'!CA44+'KG1-7'!CA44</f>
        <v/>
      </c>
      <c r="J54" s="106">
        <f>'KG1-1'!CA43+'KG1-2'!CA43+'KG1-3'!CA43+'KG1-4'!CA43+'KG1-5'!CA43+'KG1-6'!CA43+'KG1-7'!CA43</f>
        <v/>
      </c>
      <c r="K54" s="106">
        <f>'KG1-1'!CA40+'KG1-2'!CA40+'KG1-3'!CA40+'KG1-4'!CA40+'KG1-5'!CA40+'KG1-6'!CA40+'KG1-7'!CA40</f>
        <v/>
      </c>
      <c r="L54" s="106">
        <f>'KG1-1'!CA41+'KG1-2'!CA41+'KG1-3'!CA41+'KG1-4'!CA41+'KG1-5'!CA41+'KG1-6'!CA41+'KG1-7'!CA41</f>
        <v/>
      </c>
      <c r="M54" s="106">
        <f>'KG1-1'!CA42+'KG1-2'!CA42+'KG1-3'!CA42+'KG1-4'!CA42+'KG1-5'!CA42+'KG1-6'!CA42+'KG1-7'!CA42</f>
        <v/>
      </c>
      <c r="N54" s="145">
        <f>IF(I54=0,"",(J54+IF(LateAsPresent="نعم",M54,0))/I54)</f>
        <v/>
      </c>
      <c r="O54" s="161">
        <f>IF(I54&gt;0,"نعم","")</f>
        <v/>
      </c>
      <c r="P54" s="159">
        <f>IF(I54&gt;0,COUNTIF($I$5:I54,"&gt;0"),"")</f>
        <v/>
      </c>
    </row>
    <row r="55">
      <c r="A55" s="105" t="n">
        <v>46335</v>
      </c>
      <c r="B55" s="106" t="inlineStr">
        <is>
          <t>الاثنين</t>
        </is>
      </c>
      <c r="C55" s="106" t="inlineStr">
        <is>
          <t>نوفمبر 2026</t>
        </is>
      </c>
      <c r="D55" s="159" t="n">
        <v>202611</v>
      </c>
      <c r="E55" s="159" t="n">
        <v>11</v>
      </c>
      <c r="F55" s="106">
        <f>IFERROR(IF(A55&lt;=INDEX(TermEnd,MATCH(A55,TermStart,1)),INDEX(TermNames,MATCH(A55,TermStart,1)),"إجازة"),"")</f>
        <v/>
      </c>
      <c r="G55" s="160">
        <f>IF(COUNTIFS(HolFrom,"&lt;="&amp;A55,HolTo,"&gt;="&amp;A55)&gt;0,"عطلة","")</f>
        <v/>
      </c>
      <c r="H55" s="106">
        <f>IF(OR(G55="عطلة",AND(WEEKDAY(A55,2)=5,FridaySchool="لا")),0,1)</f>
        <v/>
      </c>
      <c r="I55" s="106">
        <f>'KG1-1'!CB44+'KG1-2'!CB44+'KG1-3'!CB44+'KG1-4'!CB44+'KG1-5'!CB44+'KG1-6'!CB44+'KG1-7'!CB44</f>
        <v/>
      </c>
      <c r="J55" s="106">
        <f>'KG1-1'!CB43+'KG1-2'!CB43+'KG1-3'!CB43+'KG1-4'!CB43+'KG1-5'!CB43+'KG1-6'!CB43+'KG1-7'!CB43</f>
        <v/>
      </c>
      <c r="K55" s="106">
        <f>'KG1-1'!CB40+'KG1-2'!CB40+'KG1-3'!CB40+'KG1-4'!CB40+'KG1-5'!CB40+'KG1-6'!CB40+'KG1-7'!CB40</f>
        <v/>
      </c>
      <c r="L55" s="106">
        <f>'KG1-1'!CB41+'KG1-2'!CB41+'KG1-3'!CB41+'KG1-4'!CB41+'KG1-5'!CB41+'KG1-6'!CB41+'KG1-7'!CB41</f>
        <v/>
      </c>
      <c r="M55" s="106">
        <f>'KG1-1'!CB42+'KG1-2'!CB42+'KG1-3'!CB42+'KG1-4'!CB42+'KG1-5'!CB42+'KG1-6'!CB42+'KG1-7'!CB42</f>
        <v/>
      </c>
      <c r="N55" s="145">
        <f>IF(I55=0,"",(J55+IF(LateAsPresent="نعم",M55,0))/I55)</f>
        <v/>
      </c>
      <c r="O55" s="161">
        <f>IF(I55&gt;0,"نعم","")</f>
        <v/>
      </c>
      <c r="P55" s="159">
        <f>IF(I55&gt;0,COUNTIF($I$5:I55,"&gt;0"),"")</f>
        <v/>
      </c>
    </row>
    <row r="56">
      <c r="A56" s="105" t="n">
        <v>46336</v>
      </c>
      <c r="B56" s="106" t="inlineStr">
        <is>
          <t>الثلاثاء</t>
        </is>
      </c>
      <c r="C56" s="106" t="inlineStr">
        <is>
          <t>نوفمبر 2026</t>
        </is>
      </c>
      <c r="D56" s="159" t="n">
        <v>202611</v>
      </c>
      <c r="E56" s="159" t="n">
        <v>11</v>
      </c>
      <c r="F56" s="106">
        <f>IFERROR(IF(A56&lt;=INDEX(TermEnd,MATCH(A56,TermStart,1)),INDEX(TermNames,MATCH(A56,TermStart,1)),"إجازة"),"")</f>
        <v/>
      </c>
      <c r="G56" s="160">
        <f>IF(COUNTIFS(HolFrom,"&lt;="&amp;A56,HolTo,"&gt;="&amp;A56)&gt;0,"عطلة","")</f>
        <v/>
      </c>
      <c r="H56" s="106">
        <f>IF(OR(G56="عطلة",AND(WEEKDAY(A56,2)=5,FridaySchool="لا")),0,1)</f>
        <v/>
      </c>
      <c r="I56" s="106">
        <f>'KG1-1'!CC44+'KG1-2'!CC44+'KG1-3'!CC44+'KG1-4'!CC44+'KG1-5'!CC44+'KG1-6'!CC44+'KG1-7'!CC44</f>
        <v/>
      </c>
      <c r="J56" s="106">
        <f>'KG1-1'!CC43+'KG1-2'!CC43+'KG1-3'!CC43+'KG1-4'!CC43+'KG1-5'!CC43+'KG1-6'!CC43+'KG1-7'!CC43</f>
        <v/>
      </c>
      <c r="K56" s="106">
        <f>'KG1-1'!CC40+'KG1-2'!CC40+'KG1-3'!CC40+'KG1-4'!CC40+'KG1-5'!CC40+'KG1-6'!CC40+'KG1-7'!CC40</f>
        <v/>
      </c>
      <c r="L56" s="106">
        <f>'KG1-1'!CC41+'KG1-2'!CC41+'KG1-3'!CC41+'KG1-4'!CC41+'KG1-5'!CC41+'KG1-6'!CC41+'KG1-7'!CC41</f>
        <v/>
      </c>
      <c r="M56" s="106">
        <f>'KG1-1'!CC42+'KG1-2'!CC42+'KG1-3'!CC42+'KG1-4'!CC42+'KG1-5'!CC42+'KG1-6'!CC42+'KG1-7'!CC42</f>
        <v/>
      </c>
      <c r="N56" s="145">
        <f>IF(I56=0,"",(J56+IF(LateAsPresent="نعم",M56,0))/I56)</f>
        <v/>
      </c>
      <c r="O56" s="161">
        <f>IF(I56&gt;0,"نعم","")</f>
        <v/>
      </c>
      <c r="P56" s="159">
        <f>IF(I56&gt;0,COUNTIF($I$5:I56,"&gt;0"),"")</f>
        <v/>
      </c>
    </row>
    <row r="57">
      <c r="A57" s="105" t="n">
        <v>46337</v>
      </c>
      <c r="B57" s="106" t="inlineStr">
        <is>
          <t>الأربعاء</t>
        </is>
      </c>
      <c r="C57" s="106" t="inlineStr">
        <is>
          <t>نوفمبر 2026</t>
        </is>
      </c>
      <c r="D57" s="159" t="n">
        <v>202611</v>
      </c>
      <c r="E57" s="159" t="n">
        <v>11</v>
      </c>
      <c r="F57" s="106">
        <f>IFERROR(IF(A57&lt;=INDEX(TermEnd,MATCH(A57,TermStart,1)),INDEX(TermNames,MATCH(A57,TermStart,1)),"إجازة"),"")</f>
        <v/>
      </c>
      <c r="G57" s="160">
        <f>IF(COUNTIFS(HolFrom,"&lt;="&amp;A57,HolTo,"&gt;="&amp;A57)&gt;0,"عطلة","")</f>
        <v/>
      </c>
      <c r="H57" s="106">
        <f>IF(OR(G57="عطلة",AND(WEEKDAY(A57,2)=5,FridaySchool="لا")),0,1)</f>
        <v/>
      </c>
      <c r="I57" s="106">
        <f>'KG1-1'!CD44+'KG1-2'!CD44+'KG1-3'!CD44+'KG1-4'!CD44+'KG1-5'!CD44+'KG1-6'!CD44+'KG1-7'!CD44</f>
        <v/>
      </c>
      <c r="J57" s="106">
        <f>'KG1-1'!CD43+'KG1-2'!CD43+'KG1-3'!CD43+'KG1-4'!CD43+'KG1-5'!CD43+'KG1-6'!CD43+'KG1-7'!CD43</f>
        <v/>
      </c>
      <c r="K57" s="106">
        <f>'KG1-1'!CD40+'KG1-2'!CD40+'KG1-3'!CD40+'KG1-4'!CD40+'KG1-5'!CD40+'KG1-6'!CD40+'KG1-7'!CD40</f>
        <v/>
      </c>
      <c r="L57" s="106">
        <f>'KG1-1'!CD41+'KG1-2'!CD41+'KG1-3'!CD41+'KG1-4'!CD41+'KG1-5'!CD41+'KG1-6'!CD41+'KG1-7'!CD41</f>
        <v/>
      </c>
      <c r="M57" s="106">
        <f>'KG1-1'!CD42+'KG1-2'!CD42+'KG1-3'!CD42+'KG1-4'!CD42+'KG1-5'!CD42+'KG1-6'!CD42+'KG1-7'!CD42</f>
        <v/>
      </c>
      <c r="N57" s="145">
        <f>IF(I57=0,"",(J57+IF(LateAsPresent="نعم",M57,0))/I57)</f>
        <v/>
      </c>
      <c r="O57" s="161">
        <f>IF(I57&gt;0,"نعم","")</f>
        <v/>
      </c>
      <c r="P57" s="159">
        <f>IF(I57&gt;0,COUNTIF($I$5:I57,"&gt;0"),"")</f>
        <v/>
      </c>
    </row>
    <row r="58">
      <c r="A58" s="105" t="n">
        <v>46338</v>
      </c>
      <c r="B58" s="106" t="inlineStr">
        <is>
          <t>الخميس</t>
        </is>
      </c>
      <c r="C58" s="106" t="inlineStr">
        <is>
          <t>نوفمبر 2026</t>
        </is>
      </c>
      <c r="D58" s="159" t="n">
        <v>202611</v>
      </c>
      <c r="E58" s="159" t="n">
        <v>11</v>
      </c>
      <c r="F58" s="106">
        <f>IFERROR(IF(A58&lt;=INDEX(TermEnd,MATCH(A58,TermStart,1)),INDEX(TermNames,MATCH(A58,TermStart,1)),"إجازة"),"")</f>
        <v/>
      </c>
      <c r="G58" s="160">
        <f>IF(COUNTIFS(HolFrom,"&lt;="&amp;A58,HolTo,"&gt;="&amp;A58)&gt;0,"عطلة","")</f>
        <v/>
      </c>
      <c r="H58" s="106">
        <f>IF(OR(G58="عطلة",AND(WEEKDAY(A58,2)=5,FridaySchool="لا")),0,1)</f>
        <v/>
      </c>
      <c r="I58" s="106">
        <f>'KG1-1'!CE44+'KG1-2'!CE44+'KG1-3'!CE44+'KG1-4'!CE44+'KG1-5'!CE44+'KG1-6'!CE44+'KG1-7'!CE44</f>
        <v/>
      </c>
      <c r="J58" s="106">
        <f>'KG1-1'!CE43+'KG1-2'!CE43+'KG1-3'!CE43+'KG1-4'!CE43+'KG1-5'!CE43+'KG1-6'!CE43+'KG1-7'!CE43</f>
        <v/>
      </c>
      <c r="K58" s="106">
        <f>'KG1-1'!CE40+'KG1-2'!CE40+'KG1-3'!CE40+'KG1-4'!CE40+'KG1-5'!CE40+'KG1-6'!CE40+'KG1-7'!CE40</f>
        <v/>
      </c>
      <c r="L58" s="106">
        <f>'KG1-1'!CE41+'KG1-2'!CE41+'KG1-3'!CE41+'KG1-4'!CE41+'KG1-5'!CE41+'KG1-6'!CE41+'KG1-7'!CE41</f>
        <v/>
      </c>
      <c r="M58" s="106">
        <f>'KG1-1'!CE42+'KG1-2'!CE42+'KG1-3'!CE42+'KG1-4'!CE42+'KG1-5'!CE42+'KG1-6'!CE42+'KG1-7'!CE42</f>
        <v/>
      </c>
      <c r="N58" s="145">
        <f>IF(I58=0,"",(J58+IF(LateAsPresent="نعم",M58,0))/I58)</f>
        <v/>
      </c>
      <c r="O58" s="161">
        <f>IF(I58&gt;0,"نعم","")</f>
        <v/>
      </c>
      <c r="P58" s="159">
        <f>IF(I58&gt;0,COUNTIF($I$5:I58,"&gt;0"),"")</f>
        <v/>
      </c>
    </row>
    <row r="59">
      <c r="A59" s="105" t="n">
        <v>46339</v>
      </c>
      <c r="B59" s="106" t="inlineStr">
        <is>
          <t>الجمعة</t>
        </is>
      </c>
      <c r="C59" s="106" t="inlineStr">
        <is>
          <t>نوفمبر 2026</t>
        </is>
      </c>
      <c r="D59" s="159" t="n">
        <v>202611</v>
      </c>
      <c r="E59" s="159" t="n">
        <v>11</v>
      </c>
      <c r="F59" s="106">
        <f>IFERROR(IF(A59&lt;=INDEX(TermEnd,MATCH(A59,TermStart,1)),INDEX(TermNames,MATCH(A59,TermStart,1)),"إجازة"),"")</f>
        <v/>
      </c>
      <c r="G59" s="160">
        <f>IF(COUNTIFS(HolFrom,"&lt;="&amp;A59,HolTo,"&gt;="&amp;A59)&gt;0,"عطلة","")</f>
        <v/>
      </c>
      <c r="H59" s="106">
        <f>IF(OR(G59="عطلة",AND(WEEKDAY(A59,2)=5,FridaySchool="لا")),0,1)</f>
        <v/>
      </c>
      <c r="I59" s="106">
        <f>'KG1-1'!CF44+'KG1-2'!CF44+'KG1-3'!CF44+'KG1-4'!CF44+'KG1-5'!CF44+'KG1-6'!CF44+'KG1-7'!CF44</f>
        <v/>
      </c>
      <c r="J59" s="106">
        <f>'KG1-1'!CF43+'KG1-2'!CF43+'KG1-3'!CF43+'KG1-4'!CF43+'KG1-5'!CF43+'KG1-6'!CF43+'KG1-7'!CF43</f>
        <v/>
      </c>
      <c r="K59" s="106">
        <f>'KG1-1'!CF40+'KG1-2'!CF40+'KG1-3'!CF40+'KG1-4'!CF40+'KG1-5'!CF40+'KG1-6'!CF40+'KG1-7'!CF40</f>
        <v/>
      </c>
      <c r="L59" s="106">
        <f>'KG1-1'!CF41+'KG1-2'!CF41+'KG1-3'!CF41+'KG1-4'!CF41+'KG1-5'!CF41+'KG1-6'!CF41+'KG1-7'!CF41</f>
        <v/>
      </c>
      <c r="M59" s="106">
        <f>'KG1-1'!CF42+'KG1-2'!CF42+'KG1-3'!CF42+'KG1-4'!CF42+'KG1-5'!CF42+'KG1-6'!CF42+'KG1-7'!CF42</f>
        <v/>
      </c>
      <c r="N59" s="145">
        <f>IF(I59=0,"",(J59+IF(LateAsPresent="نعم",M59,0))/I59)</f>
        <v/>
      </c>
      <c r="O59" s="161">
        <f>IF(I59&gt;0,"نعم","")</f>
        <v/>
      </c>
      <c r="P59" s="159">
        <f>IF(I59&gt;0,COUNTIF($I$5:I59,"&gt;0"),"")</f>
        <v/>
      </c>
    </row>
    <row r="60">
      <c r="A60" s="105" t="n">
        <v>46342</v>
      </c>
      <c r="B60" s="106" t="inlineStr">
        <is>
          <t>الاثنين</t>
        </is>
      </c>
      <c r="C60" s="106" t="inlineStr">
        <is>
          <t>نوفمبر 2026</t>
        </is>
      </c>
      <c r="D60" s="159" t="n">
        <v>202611</v>
      </c>
      <c r="E60" s="159" t="n">
        <v>12</v>
      </c>
      <c r="F60" s="106">
        <f>IFERROR(IF(A60&lt;=INDEX(TermEnd,MATCH(A60,TermStart,1)),INDEX(TermNames,MATCH(A60,TermStart,1)),"إجازة"),"")</f>
        <v/>
      </c>
      <c r="G60" s="160">
        <f>IF(COUNTIFS(HolFrom,"&lt;="&amp;A60,HolTo,"&gt;="&amp;A60)&gt;0,"عطلة","")</f>
        <v/>
      </c>
      <c r="H60" s="106">
        <f>IF(OR(G60="عطلة",AND(WEEKDAY(A60,2)=5,FridaySchool="لا")),0,1)</f>
        <v/>
      </c>
      <c r="I60" s="106">
        <f>'KG1-1'!CG44+'KG1-2'!CG44+'KG1-3'!CG44+'KG1-4'!CG44+'KG1-5'!CG44+'KG1-6'!CG44+'KG1-7'!CG44</f>
        <v/>
      </c>
      <c r="J60" s="106">
        <f>'KG1-1'!CG43+'KG1-2'!CG43+'KG1-3'!CG43+'KG1-4'!CG43+'KG1-5'!CG43+'KG1-6'!CG43+'KG1-7'!CG43</f>
        <v/>
      </c>
      <c r="K60" s="106">
        <f>'KG1-1'!CG40+'KG1-2'!CG40+'KG1-3'!CG40+'KG1-4'!CG40+'KG1-5'!CG40+'KG1-6'!CG40+'KG1-7'!CG40</f>
        <v/>
      </c>
      <c r="L60" s="106">
        <f>'KG1-1'!CG41+'KG1-2'!CG41+'KG1-3'!CG41+'KG1-4'!CG41+'KG1-5'!CG41+'KG1-6'!CG41+'KG1-7'!CG41</f>
        <v/>
      </c>
      <c r="M60" s="106">
        <f>'KG1-1'!CG42+'KG1-2'!CG42+'KG1-3'!CG42+'KG1-4'!CG42+'KG1-5'!CG42+'KG1-6'!CG42+'KG1-7'!CG42</f>
        <v/>
      </c>
      <c r="N60" s="145">
        <f>IF(I60=0,"",(J60+IF(LateAsPresent="نعم",M60,0))/I60)</f>
        <v/>
      </c>
      <c r="O60" s="161">
        <f>IF(I60&gt;0,"نعم","")</f>
        <v/>
      </c>
      <c r="P60" s="159">
        <f>IF(I60&gt;0,COUNTIF($I$5:I60,"&gt;0"),"")</f>
        <v/>
      </c>
    </row>
    <row r="61">
      <c r="A61" s="105" t="n">
        <v>46343</v>
      </c>
      <c r="B61" s="106" t="inlineStr">
        <is>
          <t>الثلاثاء</t>
        </is>
      </c>
      <c r="C61" s="106" t="inlineStr">
        <is>
          <t>نوفمبر 2026</t>
        </is>
      </c>
      <c r="D61" s="159" t="n">
        <v>202611</v>
      </c>
      <c r="E61" s="159" t="n">
        <v>12</v>
      </c>
      <c r="F61" s="106">
        <f>IFERROR(IF(A61&lt;=INDEX(TermEnd,MATCH(A61,TermStart,1)),INDEX(TermNames,MATCH(A61,TermStart,1)),"إجازة"),"")</f>
        <v/>
      </c>
      <c r="G61" s="160">
        <f>IF(COUNTIFS(HolFrom,"&lt;="&amp;A61,HolTo,"&gt;="&amp;A61)&gt;0,"عطلة","")</f>
        <v/>
      </c>
      <c r="H61" s="106">
        <f>IF(OR(G61="عطلة",AND(WEEKDAY(A61,2)=5,FridaySchool="لا")),0,1)</f>
        <v/>
      </c>
      <c r="I61" s="106">
        <f>'KG1-1'!CH44+'KG1-2'!CH44+'KG1-3'!CH44+'KG1-4'!CH44+'KG1-5'!CH44+'KG1-6'!CH44+'KG1-7'!CH44</f>
        <v/>
      </c>
      <c r="J61" s="106">
        <f>'KG1-1'!CH43+'KG1-2'!CH43+'KG1-3'!CH43+'KG1-4'!CH43+'KG1-5'!CH43+'KG1-6'!CH43+'KG1-7'!CH43</f>
        <v/>
      </c>
      <c r="K61" s="106">
        <f>'KG1-1'!CH40+'KG1-2'!CH40+'KG1-3'!CH40+'KG1-4'!CH40+'KG1-5'!CH40+'KG1-6'!CH40+'KG1-7'!CH40</f>
        <v/>
      </c>
      <c r="L61" s="106">
        <f>'KG1-1'!CH41+'KG1-2'!CH41+'KG1-3'!CH41+'KG1-4'!CH41+'KG1-5'!CH41+'KG1-6'!CH41+'KG1-7'!CH41</f>
        <v/>
      </c>
      <c r="M61" s="106">
        <f>'KG1-1'!CH42+'KG1-2'!CH42+'KG1-3'!CH42+'KG1-4'!CH42+'KG1-5'!CH42+'KG1-6'!CH42+'KG1-7'!CH42</f>
        <v/>
      </c>
      <c r="N61" s="145">
        <f>IF(I61=0,"",(J61+IF(LateAsPresent="نعم",M61,0))/I61)</f>
        <v/>
      </c>
      <c r="O61" s="161">
        <f>IF(I61&gt;0,"نعم","")</f>
        <v/>
      </c>
      <c r="P61" s="159">
        <f>IF(I61&gt;0,COUNTIF($I$5:I61,"&gt;0"),"")</f>
        <v/>
      </c>
    </row>
    <row r="62">
      <c r="A62" s="105" t="n">
        <v>46344</v>
      </c>
      <c r="B62" s="106" t="inlineStr">
        <is>
          <t>الأربعاء</t>
        </is>
      </c>
      <c r="C62" s="106" t="inlineStr">
        <is>
          <t>نوفمبر 2026</t>
        </is>
      </c>
      <c r="D62" s="159" t="n">
        <v>202611</v>
      </c>
      <c r="E62" s="159" t="n">
        <v>12</v>
      </c>
      <c r="F62" s="106">
        <f>IFERROR(IF(A62&lt;=INDEX(TermEnd,MATCH(A62,TermStart,1)),INDEX(TermNames,MATCH(A62,TermStart,1)),"إجازة"),"")</f>
        <v/>
      </c>
      <c r="G62" s="160">
        <f>IF(COUNTIFS(HolFrom,"&lt;="&amp;A62,HolTo,"&gt;="&amp;A62)&gt;0,"عطلة","")</f>
        <v/>
      </c>
      <c r="H62" s="106">
        <f>IF(OR(G62="عطلة",AND(WEEKDAY(A62,2)=5,FridaySchool="لا")),0,1)</f>
        <v/>
      </c>
      <c r="I62" s="106">
        <f>'KG1-1'!CI44+'KG1-2'!CI44+'KG1-3'!CI44+'KG1-4'!CI44+'KG1-5'!CI44+'KG1-6'!CI44+'KG1-7'!CI44</f>
        <v/>
      </c>
      <c r="J62" s="106">
        <f>'KG1-1'!CI43+'KG1-2'!CI43+'KG1-3'!CI43+'KG1-4'!CI43+'KG1-5'!CI43+'KG1-6'!CI43+'KG1-7'!CI43</f>
        <v/>
      </c>
      <c r="K62" s="106">
        <f>'KG1-1'!CI40+'KG1-2'!CI40+'KG1-3'!CI40+'KG1-4'!CI40+'KG1-5'!CI40+'KG1-6'!CI40+'KG1-7'!CI40</f>
        <v/>
      </c>
      <c r="L62" s="106">
        <f>'KG1-1'!CI41+'KG1-2'!CI41+'KG1-3'!CI41+'KG1-4'!CI41+'KG1-5'!CI41+'KG1-6'!CI41+'KG1-7'!CI41</f>
        <v/>
      </c>
      <c r="M62" s="106">
        <f>'KG1-1'!CI42+'KG1-2'!CI42+'KG1-3'!CI42+'KG1-4'!CI42+'KG1-5'!CI42+'KG1-6'!CI42+'KG1-7'!CI42</f>
        <v/>
      </c>
      <c r="N62" s="145">
        <f>IF(I62=0,"",(J62+IF(LateAsPresent="نعم",M62,0))/I62)</f>
        <v/>
      </c>
      <c r="O62" s="161">
        <f>IF(I62&gt;0,"نعم","")</f>
        <v/>
      </c>
      <c r="P62" s="159">
        <f>IF(I62&gt;0,COUNTIF($I$5:I62,"&gt;0"),"")</f>
        <v/>
      </c>
    </row>
    <row r="63">
      <c r="A63" s="105" t="n">
        <v>46345</v>
      </c>
      <c r="B63" s="106" t="inlineStr">
        <is>
          <t>الخميس</t>
        </is>
      </c>
      <c r="C63" s="106" t="inlineStr">
        <is>
          <t>نوفمبر 2026</t>
        </is>
      </c>
      <c r="D63" s="159" t="n">
        <v>202611</v>
      </c>
      <c r="E63" s="159" t="n">
        <v>12</v>
      </c>
      <c r="F63" s="106">
        <f>IFERROR(IF(A63&lt;=INDEX(TermEnd,MATCH(A63,TermStart,1)),INDEX(TermNames,MATCH(A63,TermStart,1)),"إجازة"),"")</f>
        <v/>
      </c>
      <c r="G63" s="160">
        <f>IF(COUNTIFS(HolFrom,"&lt;="&amp;A63,HolTo,"&gt;="&amp;A63)&gt;0,"عطلة","")</f>
        <v/>
      </c>
      <c r="H63" s="106">
        <f>IF(OR(G63="عطلة",AND(WEEKDAY(A63,2)=5,FridaySchool="لا")),0,1)</f>
        <v/>
      </c>
      <c r="I63" s="106">
        <f>'KG1-1'!CJ44+'KG1-2'!CJ44+'KG1-3'!CJ44+'KG1-4'!CJ44+'KG1-5'!CJ44+'KG1-6'!CJ44+'KG1-7'!CJ44</f>
        <v/>
      </c>
      <c r="J63" s="106">
        <f>'KG1-1'!CJ43+'KG1-2'!CJ43+'KG1-3'!CJ43+'KG1-4'!CJ43+'KG1-5'!CJ43+'KG1-6'!CJ43+'KG1-7'!CJ43</f>
        <v/>
      </c>
      <c r="K63" s="106">
        <f>'KG1-1'!CJ40+'KG1-2'!CJ40+'KG1-3'!CJ40+'KG1-4'!CJ40+'KG1-5'!CJ40+'KG1-6'!CJ40+'KG1-7'!CJ40</f>
        <v/>
      </c>
      <c r="L63" s="106">
        <f>'KG1-1'!CJ41+'KG1-2'!CJ41+'KG1-3'!CJ41+'KG1-4'!CJ41+'KG1-5'!CJ41+'KG1-6'!CJ41+'KG1-7'!CJ41</f>
        <v/>
      </c>
      <c r="M63" s="106">
        <f>'KG1-1'!CJ42+'KG1-2'!CJ42+'KG1-3'!CJ42+'KG1-4'!CJ42+'KG1-5'!CJ42+'KG1-6'!CJ42+'KG1-7'!CJ42</f>
        <v/>
      </c>
      <c r="N63" s="145">
        <f>IF(I63=0,"",(J63+IF(LateAsPresent="نعم",M63,0))/I63)</f>
        <v/>
      </c>
      <c r="O63" s="161">
        <f>IF(I63&gt;0,"نعم","")</f>
        <v/>
      </c>
      <c r="P63" s="159">
        <f>IF(I63&gt;0,COUNTIF($I$5:I63,"&gt;0"),"")</f>
        <v/>
      </c>
    </row>
    <row r="64">
      <c r="A64" s="105" t="n">
        <v>46346</v>
      </c>
      <c r="B64" s="106" t="inlineStr">
        <is>
          <t>الجمعة</t>
        </is>
      </c>
      <c r="C64" s="106" t="inlineStr">
        <is>
          <t>نوفمبر 2026</t>
        </is>
      </c>
      <c r="D64" s="159" t="n">
        <v>202611</v>
      </c>
      <c r="E64" s="159" t="n">
        <v>12</v>
      </c>
      <c r="F64" s="106">
        <f>IFERROR(IF(A64&lt;=INDEX(TermEnd,MATCH(A64,TermStart,1)),INDEX(TermNames,MATCH(A64,TermStart,1)),"إجازة"),"")</f>
        <v/>
      </c>
      <c r="G64" s="160">
        <f>IF(COUNTIFS(HolFrom,"&lt;="&amp;A64,HolTo,"&gt;="&amp;A64)&gt;0,"عطلة","")</f>
        <v/>
      </c>
      <c r="H64" s="106">
        <f>IF(OR(G64="عطلة",AND(WEEKDAY(A64,2)=5,FridaySchool="لا")),0,1)</f>
        <v/>
      </c>
      <c r="I64" s="106">
        <f>'KG1-1'!CK44+'KG1-2'!CK44+'KG1-3'!CK44+'KG1-4'!CK44+'KG1-5'!CK44+'KG1-6'!CK44+'KG1-7'!CK44</f>
        <v/>
      </c>
      <c r="J64" s="106">
        <f>'KG1-1'!CK43+'KG1-2'!CK43+'KG1-3'!CK43+'KG1-4'!CK43+'KG1-5'!CK43+'KG1-6'!CK43+'KG1-7'!CK43</f>
        <v/>
      </c>
      <c r="K64" s="106">
        <f>'KG1-1'!CK40+'KG1-2'!CK40+'KG1-3'!CK40+'KG1-4'!CK40+'KG1-5'!CK40+'KG1-6'!CK40+'KG1-7'!CK40</f>
        <v/>
      </c>
      <c r="L64" s="106">
        <f>'KG1-1'!CK41+'KG1-2'!CK41+'KG1-3'!CK41+'KG1-4'!CK41+'KG1-5'!CK41+'KG1-6'!CK41+'KG1-7'!CK41</f>
        <v/>
      </c>
      <c r="M64" s="106">
        <f>'KG1-1'!CK42+'KG1-2'!CK42+'KG1-3'!CK42+'KG1-4'!CK42+'KG1-5'!CK42+'KG1-6'!CK42+'KG1-7'!CK42</f>
        <v/>
      </c>
      <c r="N64" s="145">
        <f>IF(I64=0,"",(J64+IF(LateAsPresent="نعم",M64,0))/I64)</f>
        <v/>
      </c>
      <c r="O64" s="161">
        <f>IF(I64&gt;0,"نعم","")</f>
        <v/>
      </c>
      <c r="P64" s="159">
        <f>IF(I64&gt;0,COUNTIF($I$5:I64,"&gt;0"),"")</f>
        <v/>
      </c>
    </row>
    <row r="65">
      <c r="A65" s="105" t="n">
        <v>46349</v>
      </c>
      <c r="B65" s="106" t="inlineStr">
        <is>
          <t>الاثنين</t>
        </is>
      </c>
      <c r="C65" s="106" t="inlineStr">
        <is>
          <t>نوفمبر 2026</t>
        </is>
      </c>
      <c r="D65" s="159" t="n">
        <v>202611</v>
      </c>
      <c r="E65" s="159" t="n">
        <v>13</v>
      </c>
      <c r="F65" s="106">
        <f>IFERROR(IF(A65&lt;=INDEX(TermEnd,MATCH(A65,TermStart,1)),INDEX(TermNames,MATCH(A65,TermStart,1)),"إجازة"),"")</f>
        <v/>
      </c>
      <c r="G65" s="160">
        <f>IF(COUNTIFS(HolFrom,"&lt;="&amp;A65,HolTo,"&gt;="&amp;A65)&gt;0,"عطلة","")</f>
        <v/>
      </c>
      <c r="H65" s="106">
        <f>IF(OR(G65="عطلة",AND(WEEKDAY(A65,2)=5,FridaySchool="لا")),0,1)</f>
        <v/>
      </c>
      <c r="I65" s="106">
        <f>'KG1-1'!CL44+'KG1-2'!CL44+'KG1-3'!CL44+'KG1-4'!CL44+'KG1-5'!CL44+'KG1-6'!CL44+'KG1-7'!CL44</f>
        <v/>
      </c>
      <c r="J65" s="106">
        <f>'KG1-1'!CL43+'KG1-2'!CL43+'KG1-3'!CL43+'KG1-4'!CL43+'KG1-5'!CL43+'KG1-6'!CL43+'KG1-7'!CL43</f>
        <v/>
      </c>
      <c r="K65" s="106">
        <f>'KG1-1'!CL40+'KG1-2'!CL40+'KG1-3'!CL40+'KG1-4'!CL40+'KG1-5'!CL40+'KG1-6'!CL40+'KG1-7'!CL40</f>
        <v/>
      </c>
      <c r="L65" s="106">
        <f>'KG1-1'!CL41+'KG1-2'!CL41+'KG1-3'!CL41+'KG1-4'!CL41+'KG1-5'!CL41+'KG1-6'!CL41+'KG1-7'!CL41</f>
        <v/>
      </c>
      <c r="M65" s="106">
        <f>'KG1-1'!CL42+'KG1-2'!CL42+'KG1-3'!CL42+'KG1-4'!CL42+'KG1-5'!CL42+'KG1-6'!CL42+'KG1-7'!CL42</f>
        <v/>
      </c>
      <c r="N65" s="145">
        <f>IF(I65=0,"",(J65+IF(LateAsPresent="نعم",M65,0))/I65)</f>
        <v/>
      </c>
      <c r="O65" s="161">
        <f>IF(I65&gt;0,"نعم","")</f>
        <v/>
      </c>
      <c r="P65" s="159">
        <f>IF(I65&gt;0,COUNTIF($I$5:I65,"&gt;0"),"")</f>
        <v/>
      </c>
    </row>
    <row r="66">
      <c r="A66" s="105" t="n">
        <v>46350</v>
      </c>
      <c r="B66" s="106" t="inlineStr">
        <is>
          <t>الثلاثاء</t>
        </is>
      </c>
      <c r="C66" s="106" t="inlineStr">
        <is>
          <t>نوفمبر 2026</t>
        </is>
      </c>
      <c r="D66" s="159" t="n">
        <v>202611</v>
      </c>
      <c r="E66" s="159" t="n">
        <v>13</v>
      </c>
      <c r="F66" s="106">
        <f>IFERROR(IF(A66&lt;=INDEX(TermEnd,MATCH(A66,TermStart,1)),INDEX(TermNames,MATCH(A66,TermStart,1)),"إجازة"),"")</f>
        <v/>
      </c>
      <c r="G66" s="160">
        <f>IF(COUNTIFS(HolFrom,"&lt;="&amp;A66,HolTo,"&gt;="&amp;A66)&gt;0,"عطلة","")</f>
        <v/>
      </c>
      <c r="H66" s="106">
        <f>IF(OR(G66="عطلة",AND(WEEKDAY(A66,2)=5,FridaySchool="لا")),0,1)</f>
        <v/>
      </c>
      <c r="I66" s="106">
        <f>'KG1-1'!CM44+'KG1-2'!CM44+'KG1-3'!CM44+'KG1-4'!CM44+'KG1-5'!CM44+'KG1-6'!CM44+'KG1-7'!CM44</f>
        <v/>
      </c>
      <c r="J66" s="106">
        <f>'KG1-1'!CM43+'KG1-2'!CM43+'KG1-3'!CM43+'KG1-4'!CM43+'KG1-5'!CM43+'KG1-6'!CM43+'KG1-7'!CM43</f>
        <v/>
      </c>
      <c r="K66" s="106">
        <f>'KG1-1'!CM40+'KG1-2'!CM40+'KG1-3'!CM40+'KG1-4'!CM40+'KG1-5'!CM40+'KG1-6'!CM40+'KG1-7'!CM40</f>
        <v/>
      </c>
      <c r="L66" s="106">
        <f>'KG1-1'!CM41+'KG1-2'!CM41+'KG1-3'!CM41+'KG1-4'!CM41+'KG1-5'!CM41+'KG1-6'!CM41+'KG1-7'!CM41</f>
        <v/>
      </c>
      <c r="M66" s="106">
        <f>'KG1-1'!CM42+'KG1-2'!CM42+'KG1-3'!CM42+'KG1-4'!CM42+'KG1-5'!CM42+'KG1-6'!CM42+'KG1-7'!CM42</f>
        <v/>
      </c>
      <c r="N66" s="145">
        <f>IF(I66=0,"",(J66+IF(LateAsPresent="نعم",M66,0))/I66)</f>
        <v/>
      </c>
      <c r="O66" s="161">
        <f>IF(I66&gt;0,"نعم","")</f>
        <v/>
      </c>
      <c r="P66" s="159">
        <f>IF(I66&gt;0,COUNTIF($I$5:I66,"&gt;0"),"")</f>
        <v/>
      </c>
    </row>
    <row r="67">
      <c r="A67" s="105" t="n">
        <v>46351</v>
      </c>
      <c r="B67" s="106" t="inlineStr">
        <is>
          <t>الأربعاء</t>
        </is>
      </c>
      <c r="C67" s="106" t="inlineStr">
        <is>
          <t>نوفمبر 2026</t>
        </is>
      </c>
      <c r="D67" s="159" t="n">
        <v>202611</v>
      </c>
      <c r="E67" s="159" t="n">
        <v>13</v>
      </c>
      <c r="F67" s="106">
        <f>IFERROR(IF(A67&lt;=INDEX(TermEnd,MATCH(A67,TermStart,1)),INDEX(TermNames,MATCH(A67,TermStart,1)),"إجازة"),"")</f>
        <v/>
      </c>
      <c r="G67" s="160">
        <f>IF(COUNTIFS(HolFrom,"&lt;="&amp;A67,HolTo,"&gt;="&amp;A67)&gt;0,"عطلة","")</f>
        <v/>
      </c>
      <c r="H67" s="106">
        <f>IF(OR(G67="عطلة",AND(WEEKDAY(A67,2)=5,FridaySchool="لا")),0,1)</f>
        <v/>
      </c>
      <c r="I67" s="106">
        <f>'KG1-1'!CN44+'KG1-2'!CN44+'KG1-3'!CN44+'KG1-4'!CN44+'KG1-5'!CN44+'KG1-6'!CN44+'KG1-7'!CN44</f>
        <v/>
      </c>
      <c r="J67" s="106">
        <f>'KG1-1'!CN43+'KG1-2'!CN43+'KG1-3'!CN43+'KG1-4'!CN43+'KG1-5'!CN43+'KG1-6'!CN43+'KG1-7'!CN43</f>
        <v/>
      </c>
      <c r="K67" s="106">
        <f>'KG1-1'!CN40+'KG1-2'!CN40+'KG1-3'!CN40+'KG1-4'!CN40+'KG1-5'!CN40+'KG1-6'!CN40+'KG1-7'!CN40</f>
        <v/>
      </c>
      <c r="L67" s="106">
        <f>'KG1-1'!CN41+'KG1-2'!CN41+'KG1-3'!CN41+'KG1-4'!CN41+'KG1-5'!CN41+'KG1-6'!CN41+'KG1-7'!CN41</f>
        <v/>
      </c>
      <c r="M67" s="106">
        <f>'KG1-1'!CN42+'KG1-2'!CN42+'KG1-3'!CN42+'KG1-4'!CN42+'KG1-5'!CN42+'KG1-6'!CN42+'KG1-7'!CN42</f>
        <v/>
      </c>
      <c r="N67" s="145">
        <f>IF(I67=0,"",(J67+IF(LateAsPresent="نعم",M67,0))/I67)</f>
        <v/>
      </c>
      <c r="O67" s="161">
        <f>IF(I67&gt;0,"نعم","")</f>
        <v/>
      </c>
      <c r="P67" s="159">
        <f>IF(I67&gt;0,COUNTIF($I$5:I67,"&gt;0"),"")</f>
        <v/>
      </c>
    </row>
    <row r="68">
      <c r="A68" s="105" t="n">
        <v>46352</v>
      </c>
      <c r="B68" s="106" t="inlineStr">
        <is>
          <t>الخميس</t>
        </is>
      </c>
      <c r="C68" s="106" t="inlineStr">
        <is>
          <t>نوفمبر 2026</t>
        </is>
      </c>
      <c r="D68" s="159" t="n">
        <v>202611</v>
      </c>
      <c r="E68" s="159" t="n">
        <v>13</v>
      </c>
      <c r="F68" s="106">
        <f>IFERROR(IF(A68&lt;=INDEX(TermEnd,MATCH(A68,TermStart,1)),INDEX(TermNames,MATCH(A68,TermStart,1)),"إجازة"),"")</f>
        <v/>
      </c>
      <c r="G68" s="160">
        <f>IF(COUNTIFS(HolFrom,"&lt;="&amp;A68,HolTo,"&gt;="&amp;A68)&gt;0,"عطلة","")</f>
        <v/>
      </c>
      <c r="H68" s="106">
        <f>IF(OR(G68="عطلة",AND(WEEKDAY(A68,2)=5,FridaySchool="لا")),0,1)</f>
        <v/>
      </c>
      <c r="I68" s="106">
        <f>'KG1-1'!CO44+'KG1-2'!CO44+'KG1-3'!CO44+'KG1-4'!CO44+'KG1-5'!CO44+'KG1-6'!CO44+'KG1-7'!CO44</f>
        <v/>
      </c>
      <c r="J68" s="106">
        <f>'KG1-1'!CO43+'KG1-2'!CO43+'KG1-3'!CO43+'KG1-4'!CO43+'KG1-5'!CO43+'KG1-6'!CO43+'KG1-7'!CO43</f>
        <v/>
      </c>
      <c r="K68" s="106">
        <f>'KG1-1'!CO40+'KG1-2'!CO40+'KG1-3'!CO40+'KG1-4'!CO40+'KG1-5'!CO40+'KG1-6'!CO40+'KG1-7'!CO40</f>
        <v/>
      </c>
      <c r="L68" s="106">
        <f>'KG1-1'!CO41+'KG1-2'!CO41+'KG1-3'!CO41+'KG1-4'!CO41+'KG1-5'!CO41+'KG1-6'!CO41+'KG1-7'!CO41</f>
        <v/>
      </c>
      <c r="M68" s="106">
        <f>'KG1-1'!CO42+'KG1-2'!CO42+'KG1-3'!CO42+'KG1-4'!CO42+'KG1-5'!CO42+'KG1-6'!CO42+'KG1-7'!CO42</f>
        <v/>
      </c>
      <c r="N68" s="145">
        <f>IF(I68=0,"",(J68+IF(LateAsPresent="نعم",M68,0))/I68)</f>
        <v/>
      </c>
      <c r="O68" s="161">
        <f>IF(I68&gt;0,"نعم","")</f>
        <v/>
      </c>
      <c r="P68" s="159">
        <f>IF(I68&gt;0,COUNTIF($I$5:I68,"&gt;0"),"")</f>
        <v/>
      </c>
    </row>
    <row r="69">
      <c r="A69" s="105" t="n">
        <v>46353</v>
      </c>
      <c r="B69" s="106" t="inlineStr">
        <is>
          <t>الجمعة</t>
        </is>
      </c>
      <c r="C69" s="106" t="inlineStr">
        <is>
          <t>نوفمبر 2026</t>
        </is>
      </c>
      <c r="D69" s="159" t="n">
        <v>202611</v>
      </c>
      <c r="E69" s="159" t="n">
        <v>13</v>
      </c>
      <c r="F69" s="106">
        <f>IFERROR(IF(A69&lt;=INDEX(TermEnd,MATCH(A69,TermStart,1)),INDEX(TermNames,MATCH(A69,TermStart,1)),"إجازة"),"")</f>
        <v/>
      </c>
      <c r="G69" s="160">
        <f>IF(COUNTIFS(HolFrom,"&lt;="&amp;A69,HolTo,"&gt;="&amp;A69)&gt;0,"عطلة","")</f>
        <v/>
      </c>
      <c r="H69" s="106">
        <f>IF(OR(G69="عطلة",AND(WEEKDAY(A69,2)=5,FridaySchool="لا")),0,1)</f>
        <v/>
      </c>
      <c r="I69" s="106">
        <f>'KG1-1'!CP44+'KG1-2'!CP44+'KG1-3'!CP44+'KG1-4'!CP44+'KG1-5'!CP44+'KG1-6'!CP44+'KG1-7'!CP44</f>
        <v/>
      </c>
      <c r="J69" s="106">
        <f>'KG1-1'!CP43+'KG1-2'!CP43+'KG1-3'!CP43+'KG1-4'!CP43+'KG1-5'!CP43+'KG1-6'!CP43+'KG1-7'!CP43</f>
        <v/>
      </c>
      <c r="K69" s="106">
        <f>'KG1-1'!CP40+'KG1-2'!CP40+'KG1-3'!CP40+'KG1-4'!CP40+'KG1-5'!CP40+'KG1-6'!CP40+'KG1-7'!CP40</f>
        <v/>
      </c>
      <c r="L69" s="106">
        <f>'KG1-1'!CP41+'KG1-2'!CP41+'KG1-3'!CP41+'KG1-4'!CP41+'KG1-5'!CP41+'KG1-6'!CP41+'KG1-7'!CP41</f>
        <v/>
      </c>
      <c r="M69" s="106">
        <f>'KG1-1'!CP42+'KG1-2'!CP42+'KG1-3'!CP42+'KG1-4'!CP42+'KG1-5'!CP42+'KG1-6'!CP42+'KG1-7'!CP42</f>
        <v/>
      </c>
      <c r="N69" s="145">
        <f>IF(I69=0,"",(J69+IF(LateAsPresent="نعم",M69,0))/I69)</f>
        <v/>
      </c>
      <c r="O69" s="161">
        <f>IF(I69&gt;0,"نعم","")</f>
        <v/>
      </c>
      <c r="P69" s="159">
        <f>IF(I69&gt;0,COUNTIF($I$5:I69,"&gt;0"),"")</f>
        <v/>
      </c>
    </row>
    <row r="70">
      <c r="A70" s="105" t="n">
        <v>46356</v>
      </c>
      <c r="B70" s="106" t="inlineStr">
        <is>
          <t>الاثنين</t>
        </is>
      </c>
      <c r="C70" s="106" t="inlineStr">
        <is>
          <t>نوفمبر 2026</t>
        </is>
      </c>
      <c r="D70" s="159" t="n">
        <v>202611</v>
      </c>
      <c r="E70" s="159" t="n">
        <v>14</v>
      </c>
      <c r="F70" s="106">
        <f>IFERROR(IF(A70&lt;=INDEX(TermEnd,MATCH(A70,TermStart,1)),INDEX(TermNames,MATCH(A70,TermStart,1)),"إجازة"),"")</f>
        <v/>
      </c>
      <c r="G70" s="160">
        <f>IF(COUNTIFS(HolFrom,"&lt;="&amp;A70,HolTo,"&gt;="&amp;A70)&gt;0,"عطلة","")</f>
        <v/>
      </c>
      <c r="H70" s="106">
        <f>IF(OR(G70="عطلة",AND(WEEKDAY(A70,2)=5,FridaySchool="لا")),0,1)</f>
        <v/>
      </c>
      <c r="I70" s="106">
        <f>'KG1-1'!CQ44+'KG1-2'!CQ44+'KG1-3'!CQ44+'KG1-4'!CQ44+'KG1-5'!CQ44+'KG1-6'!CQ44+'KG1-7'!CQ44</f>
        <v/>
      </c>
      <c r="J70" s="106">
        <f>'KG1-1'!CQ43+'KG1-2'!CQ43+'KG1-3'!CQ43+'KG1-4'!CQ43+'KG1-5'!CQ43+'KG1-6'!CQ43+'KG1-7'!CQ43</f>
        <v/>
      </c>
      <c r="K70" s="106">
        <f>'KG1-1'!CQ40+'KG1-2'!CQ40+'KG1-3'!CQ40+'KG1-4'!CQ40+'KG1-5'!CQ40+'KG1-6'!CQ40+'KG1-7'!CQ40</f>
        <v/>
      </c>
      <c r="L70" s="106">
        <f>'KG1-1'!CQ41+'KG1-2'!CQ41+'KG1-3'!CQ41+'KG1-4'!CQ41+'KG1-5'!CQ41+'KG1-6'!CQ41+'KG1-7'!CQ41</f>
        <v/>
      </c>
      <c r="M70" s="106">
        <f>'KG1-1'!CQ42+'KG1-2'!CQ42+'KG1-3'!CQ42+'KG1-4'!CQ42+'KG1-5'!CQ42+'KG1-6'!CQ42+'KG1-7'!CQ42</f>
        <v/>
      </c>
      <c r="N70" s="145">
        <f>IF(I70=0,"",(J70+IF(LateAsPresent="نعم",M70,0))/I70)</f>
        <v/>
      </c>
      <c r="O70" s="161">
        <f>IF(I70&gt;0,"نعم","")</f>
        <v/>
      </c>
      <c r="P70" s="159">
        <f>IF(I70&gt;0,COUNTIF($I$5:I70,"&gt;0"),"")</f>
        <v/>
      </c>
    </row>
    <row r="71">
      <c r="A71" s="105" t="n">
        <v>46357</v>
      </c>
      <c r="B71" s="106" t="inlineStr">
        <is>
          <t>الثلاثاء</t>
        </is>
      </c>
      <c r="C71" s="106" t="inlineStr">
        <is>
          <t>ديسمبر 2026</t>
        </is>
      </c>
      <c r="D71" s="159" t="n">
        <v>202612</v>
      </c>
      <c r="E71" s="159" t="n">
        <v>14</v>
      </c>
      <c r="F71" s="106">
        <f>IFERROR(IF(A71&lt;=INDEX(TermEnd,MATCH(A71,TermStart,1)),INDEX(TermNames,MATCH(A71,TermStart,1)),"إجازة"),"")</f>
        <v/>
      </c>
      <c r="G71" s="160">
        <f>IF(COUNTIFS(HolFrom,"&lt;="&amp;A71,HolTo,"&gt;="&amp;A71)&gt;0,"عطلة","")</f>
        <v/>
      </c>
      <c r="H71" s="106">
        <f>IF(OR(G71="عطلة",AND(WEEKDAY(A71,2)=5,FridaySchool="لا")),0,1)</f>
        <v/>
      </c>
      <c r="I71" s="106">
        <f>'KG1-1'!CR44+'KG1-2'!CR44+'KG1-3'!CR44+'KG1-4'!CR44+'KG1-5'!CR44+'KG1-6'!CR44+'KG1-7'!CR44</f>
        <v/>
      </c>
      <c r="J71" s="106">
        <f>'KG1-1'!CR43+'KG1-2'!CR43+'KG1-3'!CR43+'KG1-4'!CR43+'KG1-5'!CR43+'KG1-6'!CR43+'KG1-7'!CR43</f>
        <v/>
      </c>
      <c r="K71" s="106">
        <f>'KG1-1'!CR40+'KG1-2'!CR40+'KG1-3'!CR40+'KG1-4'!CR40+'KG1-5'!CR40+'KG1-6'!CR40+'KG1-7'!CR40</f>
        <v/>
      </c>
      <c r="L71" s="106">
        <f>'KG1-1'!CR41+'KG1-2'!CR41+'KG1-3'!CR41+'KG1-4'!CR41+'KG1-5'!CR41+'KG1-6'!CR41+'KG1-7'!CR41</f>
        <v/>
      </c>
      <c r="M71" s="106">
        <f>'KG1-1'!CR42+'KG1-2'!CR42+'KG1-3'!CR42+'KG1-4'!CR42+'KG1-5'!CR42+'KG1-6'!CR42+'KG1-7'!CR42</f>
        <v/>
      </c>
      <c r="N71" s="145">
        <f>IF(I71=0,"",(J71+IF(LateAsPresent="نعم",M71,0))/I71)</f>
        <v/>
      </c>
      <c r="O71" s="161">
        <f>IF(I71&gt;0,"نعم","")</f>
        <v/>
      </c>
      <c r="P71" s="159">
        <f>IF(I71&gt;0,COUNTIF($I$5:I71,"&gt;0"),"")</f>
        <v/>
      </c>
    </row>
    <row r="72">
      <c r="A72" s="105" t="n">
        <v>46358</v>
      </c>
      <c r="B72" s="106" t="inlineStr">
        <is>
          <t>الأربعاء</t>
        </is>
      </c>
      <c r="C72" s="106" t="inlineStr">
        <is>
          <t>ديسمبر 2026</t>
        </is>
      </c>
      <c r="D72" s="159" t="n">
        <v>202612</v>
      </c>
      <c r="E72" s="159" t="n">
        <v>14</v>
      </c>
      <c r="F72" s="106">
        <f>IFERROR(IF(A72&lt;=INDEX(TermEnd,MATCH(A72,TermStart,1)),INDEX(TermNames,MATCH(A72,TermStart,1)),"إجازة"),"")</f>
        <v/>
      </c>
      <c r="G72" s="160">
        <f>IF(COUNTIFS(HolFrom,"&lt;="&amp;A72,HolTo,"&gt;="&amp;A72)&gt;0,"عطلة","")</f>
        <v/>
      </c>
      <c r="H72" s="106">
        <f>IF(OR(G72="عطلة",AND(WEEKDAY(A72,2)=5,FridaySchool="لا")),0,1)</f>
        <v/>
      </c>
      <c r="I72" s="106">
        <f>'KG1-1'!CS44+'KG1-2'!CS44+'KG1-3'!CS44+'KG1-4'!CS44+'KG1-5'!CS44+'KG1-6'!CS44+'KG1-7'!CS44</f>
        <v/>
      </c>
      <c r="J72" s="106">
        <f>'KG1-1'!CS43+'KG1-2'!CS43+'KG1-3'!CS43+'KG1-4'!CS43+'KG1-5'!CS43+'KG1-6'!CS43+'KG1-7'!CS43</f>
        <v/>
      </c>
      <c r="K72" s="106">
        <f>'KG1-1'!CS40+'KG1-2'!CS40+'KG1-3'!CS40+'KG1-4'!CS40+'KG1-5'!CS40+'KG1-6'!CS40+'KG1-7'!CS40</f>
        <v/>
      </c>
      <c r="L72" s="106">
        <f>'KG1-1'!CS41+'KG1-2'!CS41+'KG1-3'!CS41+'KG1-4'!CS41+'KG1-5'!CS41+'KG1-6'!CS41+'KG1-7'!CS41</f>
        <v/>
      </c>
      <c r="M72" s="106">
        <f>'KG1-1'!CS42+'KG1-2'!CS42+'KG1-3'!CS42+'KG1-4'!CS42+'KG1-5'!CS42+'KG1-6'!CS42+'KG1-7'!CS42</f>
        <v/>
      </c>
      <c r="N72" s="145">
        <f>IF(I72=0,"",(J72+IF(LateAsPresent="نعم",M72,0))/I72)</f>
        <v/>
      </c>
      <c r="O72" s="161">
        <f>IF(I72&gt;0,"نعم","")</f>
        <v/>
      </c>
      <c r="P72" s="159">
        <f>IF(I72&gt;0,COUNTIF($I$5:I72,"&gt;0"),"")</f>
        <v/>
      </c>
    </row>
    <row r="73">
      <c r="A73" s="105" t="n">
        <v>46359</v>
      </c>
      <c r="B73" s="106" t="inlineStr">
        <is>
          <t>الخميس</t>
        </is>
      </c>
      <c r="C73" s="106" t="inlineStr">
        <is>
          <t>ديسمبر 2026</t>
        </is>
      </c>
      <c r="D73" s="159" t="n">
        <v>202612</v>
      </c>
      <c r="E73" s="159" t="n">
        <v>14</v>
      </c>
      <c r="F73" s="106">
        <f>IFERROR(IF(A73&lt;=INDEX(TermEnd,MATCH(A73,TermStart,1)),INDEX(TermNames,MATCH(A73,TermStart,1)),"إجازة"),"")</f>
        <v/>
      </c>
      <c r="G73" s="160">
        <f>IF(COUNTIFS(HolFrom,"&lt;="&amp;A73,HolTo,"&gt;="&amp;A73)&gt;0,"عطلة","")</f>
        <v/>
      </c>
      <c r="H73" s="106">
        <f>IF(OR(G73="عطلة",AND(WEEKDAY(A73,2)=5,FridaySchool="لا")),0,1)</f>
        <v/>
      </c>
      <c r="I73" s="106">
        <f>'KG1-1'!CT44+'KG1-2'!CT44+'KG1-3'!CT44+'KG1-4'!CT44+'KG1-5'!CT44+'KG1-6'!CT44+'KG1-7'!CT44</f>
        <v/>
      </c>
      <c r="J73" s="106">
        <f>'KG1-1'!CT43+'KG1-2'!CT43+'KG1-3'!CT43+'KG1-4'!CT43+'KG1-5'!CT43+'KG1-6'!CT43+'KG1-7'!CT43</f>
        <v/>
      </c>
      <c r="K73" s="106">
        <f>'KG1-1'!CT40+'KG1-2'!CT40+'KG1-3'!CT40+'KG1-4'!CT40+'KG1-5'!CT40+'KG1-6'!CT40+'KG1-7'!CT40</f>
        <v/>
      </c>
      <c r="L73" s="106">
        <f>'KG1-1'!CT41+'KG1-2'!CT41+'KG1-3'!CT41+'KG1-4'!CT41+'KG1-5'!CT41+'KG1-6'!CT41+'KG1-7'!CT41</f>
        <v/>
      </c>
      <c r="M73" s="106">
        <f>'KG1-1'!CT42+'KG1-2'!CT42+'KG1-3'!CT42+'KG1-4'!CT42+'KG1-5'!CT42+'KG1-6'!CT42+'KG1-7'!CT42</f>
        <v/>
      </c>
      <c r="N73" s="145">
        <f>IF(I73=0,"",(J73+IF(LateAsPresent="نعم",M73,0))/I73)</f>
        <v/>
      </c>
      <c r="O73" s="161">
        <f>IF(I73&gt;0,"نعم","")</f>
        <v/>
      </c>
      <c r="P73" s="159">
        <f>IF(I73&gt;0,COUNTIF($I$5:I73,"&gt;0"),"")</f>
        <v/>
      </c>
    </row>
    <row r="74">
      <c r="A74" s="105" t="n">
        <v>46360</v>
      </c>
      <c r="B74" s="106" t="inlineStr">
        <is>
          <t>الجمعة</t>
        </is>
      </c>
      <c r="C74" s="106" t="inlineStr">
        <is>
          <t>ديسمبر 2026</t>
        </is>
      </c>
      <c r="D74" s="159" t="n">
        <v>202612</v>
      </c>
      <c r="E74" s="159" t="n">
        <v>14</v>
      </c>
      <c r="F74" s="106">
        <f>IFERROR(IF(A74&lt;=INDEX(TermEnd,MATCH(A74,TermStart,1)),INDEX(TermNames,MATCH(A74,TermStart,1)),"إجازة"),"")</f>
        <v/>
      </c>
      <c r="G74" s="160">
        <f>IF(COUNTIFS(HolFrom,"&lt;="&amp;A74,HolTo,"&gt;="&amp;A74)&gt;0,"عطلة","")</f>
        <v/>
      </c>
      <c r="H74" s="106">
        <f>IF(OR(G74="عطلة",AND(WEEKDAY(A74,2)=5,FridaySchool="لا")),0,1)</f>
        <v/>
      </c>
      <c r="I74" s="106">
        <f>'KG1-1'!CU44+'KG1-2'!CU44+'KG1-3'!CU44+'KG1-4'!CU44+'KG1-5'!CU44+'KG1-6'!CU44+'KG1-7'!CU44</f>
        <v/>
      </c>
      <c r="J74" s="106">
        <f>'KG1-1'!CU43+'KG1-2'!CU43+'KG1-3'!CU43+'KG1-4'!CU43+'KG1-5'!CU43+'KG1-6'!CU43+'KG1-7'!CU43</f>
        <v/>
      </c>
      <c r="K74" s="106">
        <f>'KG1-1'!CU40+'KG1-2'!CU40+'KG1-3'!CU40+'KG1-4'!CU40+'KG1-5'!CU40+'KG1-6'!CU40+'KG1-7'!CU40</f>
        <v/>
      </c>
      <c r="L74" s="106">
        <f>'KG1-1'!CU41+'KG1-2'!CU41+'KG1-3'!CU41+'KG1-4'!CU41+'KG1-5'!CU41+'KG1-6'!CU41+'KG1-7'!CU41</f>
        <v/>
      </c>
      <c r="M74" s="106">
        <f>'KG1-1'!CU42+'KG1-2'!CU42+'KG1-3'!CU42+'KG1-4'!CU42+'KG1-5'!CU42+'KG1-6'!CU42+'KG1-7'!CU42</f>
        <v/>
      </c>
      <c r="N74" s="145">
        <f>IF(I74=0,"",(J74+IF(LateAsPresent="نعم",M74,0))/I74)</f>
        <v/>
      </c>
      <c r="O74" s="161">
        <f>IF(I74&gt;0,"نعم","")</f>
        <v/>
      </c>
      <c r="P74" s="159">
        <f>IF(I74&gt;0,COUNTIF($I$5:I74,"&gt;0"),"")</f>
        <v/>
      </c>
    </row>
    <row r="75">
      <c r="A75" s="105" t="n">
        <v>46363</v>
      </c>
      <c r="B75" s="106" t="inlineStr">
        <is>
          <t>الاثنين</t>
        </is>
      </c>
      <c r="C75" s="106" t="inlineStr">
        <is>
          <t>ديسمبر 2026</t>
        </is>
      </c>
      <c r="D75" s="159" t="n">
        <v>202612</v>
      </c>
      <c r="E75" s="159" t="n">
        <v>15</v>
      </c>
      <c r="F75" s="106">
        <f>IFERROR(IF(A75&lt;=INDEX(TermEnd,MATCH(A75,TermStart,1)),INDEX(TermNames,MATCH(A75,TermStart,1)),"إجازة"),"")</f>
        <v/>
      </c>
      <c r="G75" s="160">
        <f>IF(COUNTIFS(HolFrom,"&lt;="&amp;A75,HolTo,"&gt;="&amp;A75)&gt;0,"عطلة","")</f>
        <v/>
      </c>
      <c r="H75" s="106">
        <f>IF(OR(G75="عطلة",AND(WEEKDAY(A75,2)=5,FridaySchool="لا")),0,1)</f>
        <v/>
      </c>
      <c r="I75" s="106">
        <f>'KG1-1'!CV44+'KG1-2'!CV44+'KG1-3'!CV44+'KG1-4'!CV44+'KG1-5'!CV44+'KG1-6'!CV44+'KG1-7'!CV44</f>
        <v/>
      </c>
      <c r="J75" s="106">
        <f>'KG1-1'!CV43+'KG1-2'!CV43+'KG1-3'!CV43+'KG1-4'!CV43+'KG1-5'!CV43+'KG1-6'!CV43+'KG1-7'!CV43</f>
        <v/>
      </c>
      <c r="K75" s="106">
        <f>'KG1-1'!CV40+'KG1-2'!CV40+'KG1-3'!CV40+'KG1-4'!CV40+'KG1-5'!CV40+'KG1-6'!CV40+'KG1-7'!CV40</f>
        <v/>
      </c>
      <c r="L75" s="106">
        <f>'KG1-1'!CV41+'KG1-2'!CV41+'KG1-3'!CV41+'KG1-4'!CV41+'KG1-5'!CV41+'KG1-6'!CV41+'KG1-7'!CV41</f>
        <v/>
      </c>
      <c r="M75" s="106">
        <f>'KG1-1'!CV42+'KG1-2'!CV42+'KG1-3'!CV42+'KG1-4'!CV42+'KG1-5'!CV42+'KG1-6'!CV42+'KG1-7'!CV42</f>
        <v/>
      </c>
      <c r="N75" s="145">
        <f>IF(I75=0,"",(J75+IF(LateAsPresent="نعم",M75,0))/I75)</f>
        <v/>
      </c>
      <c r="O75" s="161">
        <f>IF(I75&gt;0,"نعم","")</f>
        <v/>
      </c>
      <c r="P75" s="159">
        <f>IF(I75&gt;0,COUNTIF($I$5:I75,"&gt;0"),"")</f>
        <v/>
      </c>
    </row>
    <row r="76">
      <c r="A76" s="105" t="n">
        <v>46364</v>
      </c>
      <c r="B76" s="106" t="inlineStr">
        <is>
          <t>الثلاثاء</t>
        </is>
      </c>
      <c r="C76" s="106" t="inlineStr">
        <is>
          <t>ديسمبر 2026</t>
        </is>
      </c>
      <c r="D76" s="159" t="n">
        <v>202612</v>
      </c>
      <c r="E76" s="159" t="n">
        <v>15</v>
      </c>
      <c r="F76" s="106">
        <f>IFERROR(IF(A76&lt;=INDEX(TermEnd,MATCH(A76,TermStart,1)),INDEX(TermNames,MATCH(A76,TermStart,1)),"إجازة"),"")</f>
        <v/>
      </c>
      <c r="G76" s="160">
        <f>IF(COUNTIFS(HolFrom,"&lt;="&amp;A76,HolTo,"&gt;="&amp;A76)&gt;0,"عطلة","")</f>
        <v/>
      </c>
      <c r="H76" s="106">
        <f>IF(OR(G76="عطلة",AND(WEEKDAY(A76,2)=5,FridaySchool="لا")),0,1)</f>
        <v/>
      </c>
      <c r="I76" s="106">
        <f>'KG1-1'!CW44+'KG1-2'!CW44+'KG1-3'!CW44+'KG1-4'!CW44+'KG1-5'!CW44+'KG1-6'!CW44+'KG1-7'!CW44</f>
        <v/>
      </c>
      <c r="J76" s="106">
        <f>'KG1-1'!CW43+'KG1-2'!CW43+'KG1-3'!CW43+'KG1-4'!CW43+'KG1-5'!CW43+'KG1-6'!CW43+'KG1-7'!CW43</f>
        <v/>
      </c>
      <c r="K76" s="106">
        <f>'KG1-1'!CW40+'KG1-2'!CW40+'KG1-3'!CW40+'KG1-4'!CW40+'KG1-5'!CW40+'KG1-6'!CW40+'KG1-7'!CW40</f>
        <v/>
      </c>
      <c r="L76" s="106">
        <f>'KG1-1'!CW41+'KG1-2'!CW41+'KG1-3'!CW41+'KG1-4'!CW41+'KG1-5'!CW41+'KG1-6'!CW41+'KG1-7'!CW41</f>
        <v/>
      </c>
      <c r="M76" s="106">
        <f>'KG1-1'!CW42+'KG1-2'!CW42+'KG1-3'!CW42+'KG1-4'!CW42+'KG1-5'!CW42+'KG1-6'!CW42+'KG1-7'!CW42</f>
        <v/>
      </c>
      <c r="N76" s="145">
        <f>IF(I76=0,"",(J76+IF(LateAsPresent="نعم",M76,0))/I76)</f>
        <v/>
      </c>
      <c r="O76" s="161">
        <f>IF(I76&gt;0,"نعم","")</f>
        <v/>
      </c>
      <c r="P76" s="159">
        <f>IF(I76&gt;0,COUNTIF($I$5:I76,"&gt;0"),"")</f>
        <v/>
      </c>
    </row>
    <row r="77">
      <c r="A77" s="105" t="n">
        <v>46365</v>
      </c>
      <c r="B77" s="106" t="inlineStr">
        <is>
          <t>الأربعاء</t>
        </is>
      </c>
      <c r="C77" s="106" t="inlineStr">
        <is>
          <t>ديسمبر 2026</t>
        </is>
      </c>
      <c r="D77" s="159" t="n">
        <v>202612</v>
      </c>
      <c r="E77" s="159" t="n">
        <v>15</v>
      </c>
      <c r="F77" s="106">
        <f>IFERROR(IF(A77&lt;=INDEX(TermEnd,MATCH(A77,TermStart,1)),INDEX(TermNames,MATCH(A77,TermStart,1)),"إجازة"),"")</f>
        <v/>
      </c>
      <c r="G77" s="160">
        <f>IF(COUNTIFS(HolFrom,"&lt;="&amp;A77,HolTo,"&gt;="&amp;A77)&gt;0,"عطلة","")</f>
        <v/>
      </c>
      <c r="H77" s="106">
        <f>IF(OR(G77="عطلة",AND(WEEKDAY(A77,2)=5,FridaySchool="لا")),0,1)</f>
        <v/>
      </c>
      <c r="I77" s="106">
        <f>'KG1-1'!CX44+'KG1-2'!CX44+'KG1-3'!CX44+'KG1-4'!CX44+'KG1-5'!CX44+'KG1-6'!CX44+'KG1-7'!CX44</f>
        <v/>
      </c>
      <c r="J77" s="106">
        <f>'KG1-1'!CX43+'KG1-2'!CX43+'KG1-3'!CX43+'KG1-4'!CX43+'KG1-5'!CX43+'KG1-6'!CX43+'KG1-7'!CX43</f>
        <v/>
      </c>
      <c r="K77" s="106">
        <f>'KG1-1'!CX40+'KG1-2'!CX40+'KG1-3'!CX40+'KG1-4'!CX40+'KG1-5'!CX40+'KG1-6'!CX40+'KG1-7'!CX40</f>
        <v/>
      </c>
      <c r="L77" s="106">
        <f>'KG1-1'!CX41+'KG1-2'!CX41+'KG1-3'!CX41+'KG1-4'!CX41+'KG1-5'!CX41+'KG1-6'!CX41+'KG1-7'!CX41</f>
        <v/>
      </c>
      <c r="M77" s="106">
        <f>'KG1-1'!CX42+'KG1-2'!CX42+'KG1-3'!CX42+'KG1-4'!CX42+'KG1-5'!CX42+'KG1-6'!CX42+'KG1-7'!CX42</f>
        <v/>
      </c>
      <c r="N77" s="145">
        <f>IF(I77=0,"",(J77+IF(LateAsPresent="نعم",M77,0))/I77)</f>
        <v/>
      </c>
      <c r="O77" s="161">
        <f>IF(I77&gt;0,"نعم","")</f>
        <v/>
      </c>
      <c r="P77" s="159">
        <f>IF(I77&gt;0,COUNTIF($I$5:I77,"&gt;0"),"")</f>
        <v/>
      </c>
    </row>
    <row r="78">
      <c r="A78" s="105" t="n">
        <v>46366</v>
      </c>
      <c r="B78" s="106" t="inlineStr">
        <is>
          <t>الخميس</t>
        </is>
      </c>
      <c r="C78" s="106" t="inlineStr">
        <is>
          <t>ديسمبر 2026</t>
        </is>
      </c>
      <c r="D78" s="159" t="n">
        <v>202612</v>
      </c>
      <c r="E78" s="159" t="n">
        <v>15</v>
      </c>
      <c r="F78" s="106">
        <f>IFERROR(IF(A78&lt;=INDEX(TermEnd,MATCH(A78,TermStart,1)),INDEX(TermNames,MATCH(A78,TermStart,1)),"إجازة"),"")</f>
        <v/>
      </c>
      <c r="G78" s="160">
        <f>IF(COUNTIFS(HolFrom,"&lt;="&amp;A78,HolTo,"&gt;="&amp;A78)&gt;0,"عطلة","")</f>
        <v/>
      </c>
      <c r="H78" s="106">
        <f>IF(OR(G78="عطلة",AND(WEEKDAY(A78,2)=5,FridaySchool="لا")),0,1)</f>
        <v/>
      </c>
      <c r="I78" s="106">
        <f>'KG1-1'!CY44+'KG1-2'!CY44+'KG1-3'!CY44+'KG1-4'!CY44+'KG1-5'!CY44+'KG1-6'!CY44+'KG1-7'!CY44</f>
        <v/>
      </c>
      <c r="J78" s="106">
        <f>'KG1-1'!CY43+'KG1-2'!CY43+'KG1-3'!CY43+'KG1-4'!CY43+'KG1-5'!CY43+'KG1-6'!CY43+'KG1-7'!CY43</f>
        <v/>
      </c>
      <c r="K78" s="106">
        <f>'KG1-1'!CY40+'KG1-2'!CY40+'KG1-3'!CY40+'KG1-4'!CY40+'KG1-5'!CY40+'KG1-6'!CY40+'KG1-7'!CY40</f>
        <v/>
      </c>
      <c r="L78" s="106">
        <f>'KG1-1'!CY41+'KG1-2'!CY41+'KG1-3'!CY41+'KG1-4'!CY41+'KG1-5'!CY41+'KG1-6'!CY41+'KG1-7'!CY41</f>
        <v/>
      </c>
      <c r="M78" s="106">
        <f>'KG1-1'!CY42+'KG1-2'!CY42+'KG1-3'!CY42+'KG1-4'!CY42+'KG1-5'!CY42+'KG1-6'!CY42+'KG1-7'!CY42</f>
        <v/>
      </c>
      <c r="N78" s="145">
        <f>IF(I78=0,"",(J78+IF(LateAsPresent="نعم",M78,0))/I78)</f>
        <v/>
      </c>
      <c r="O78" s="161">
        <f>IF(I78&gt;0,"نعم","")</f>
        <v/>
      </c>
      <c r="P78" s="159">
        <f>IF(I78&gt;0,COUNTIF($I$5:I78,"&gt;0"),"")</f>
        <v/>
      </c>
    </row>
    <row r="79">
      <c r="A79" s="105" t="n">
        <v>46367</v>
      </c>
      <c r="B79" s="106" t="inlineStr">
        <is>
          <t>الجمعة</t>
        </is>
      </c>
      <c r="C79" s="106" t="inlineStr">
        <is>
          <t>ديسمبر 2026</t>
        </is>
      </c>
      <c r="D79" s="159" t="n">
        <v>202612</v>
      </c>
      <c r="E79" s="159" t="n">
        <v>15</v>
      </c>
      <c r="F79" s="106">
        <f>IFERROR(IF(A79&lt;=INDEX(TermEnd,MATCH(A79,TermStart,1)),INDEX(TermNames,MATCH(A79,TermStart,1)),"إجازة"),"")</f>
        <v/>
      </c>
      <c r="G79" s="160">
        <f>IF(COUNTIFS(HolFrom,"&lt;="&amp;A79,HolTo,"&gt;="&amp;A79)&gt;0,"عطلة","")</f>
        <v/>
      </c>
      <c r="H79" s="106">
        <f>IF(OR(G79="عطلة",AND(WEEKDAY(A79,2)=5,FridaySchool="لا")),0,1)</f>
        <v/>
      </c>
      <c r="I79" s="106">
        <f>'KG1-1'!CZ44+'KG1-2'!CZ44+'KG1-3'!CZ44+'KG1-4'!CZ44+'KG1-5'!CZ44+'KG1-6'!CZ44+'KG1-7'!CZ44</f>
        <v/>
      </c>
      <c r="J79" s="106">
        <f>'KG1-1'!CZ43+'KG1-2'!CZ43+'KG1-3'!CZ43+'KG1-4'!CZ43+'KG1-5'!CZ43+'KG1-6'!CZ43+'KG1-7'!CZ43</f>
        <v/>
      </c>
      <c r="K79" s="106">
        <f>'KG1-1'!CZ40+'KG1-2'!CZ40+'KG1-3'!CZ40+'KG1-4'!CZ40+'KG1-5'!CZ40+'KG1-6'!CZ40+'KG1-7'!CZ40</f>
        <v/>
      </c>
      <c r="L79" s="106">
        <f>'KG1-1'!CZ41+'KG1-2'!CZ41+'KG1-3'!CZ41+'KG1-4'!CZ41+'KG1-5'!CZ41+'KG1-6'!CZ41+'KG1-7'!CZ41</f>
        <v/>
      </c>
      <c r="M79" s="106">
        <f>'KG1-1'!CZ42+'KG1-2'!CZ42+'KG1-3'!CZ42+'KG1-4'!CZ42+'KG1-5'!CZ42+'KG1-6'!CZ42+'KG1-7'!CZ42</f>
        <v/>
      </c>
      <c r="N79" s="145">
        <f>IF(I79=0,"",(J79+IF(LateAsPresent="نعم",M79,0))/I79)</f>
        <v/>
      </c>
      <c r="O79" s="161">
        <f>IF(I79&gt;0,"نعم","")</f>
        <v/>
      </c>
      <c r="P79" s="159">
        <f>IF(I79&gt;0,COUNTIF($I$5:I79,"&gt;0"),"")</f>
        <v/>
      </c>
    </row>
    <row r="80">
      <c r="A80" s="105" t="n">
        <v>46370</v>
      </c>
      <c r="B80" s="106" t="inlineStr">
        <is>
          <t>الاثنين</t>
        </is>
      </c>
      <c r="C80" s="106" t="inlineStr">
        <is>
          <t>ديسمبر 2026</t>
        </is>
      </c>
      <c r="D80" s="159" t="n">
        <v>202612</v>
      </c>
      <c r="E80" s="159" t="n">
        <v>16</v>
      </c>
      <c r="F80" s="106">
        <f>IFERROR(IF(A80&lt;=INDEX(TermEnd,MATCH(A80,TermStart,1)),INDEX(TermNames,MATCH(A80,TermStart,1)),"إجازة"),"")</f>
        <v/>
      </c>
      <c r="G80" s="160">
        <f>IF(COUNTIFS(HolFrom,"&lt;="&amp;A80,HolTo,"&gt;="&amp;A80)&gt;0,"عطلة","")</f>
        <v/>
      </c>
      <c r="H80" s="106">
        <f>IF(OR(G80="عطلة",AND(WEEKDAY(A80,2)=5,FridaySchool="لا")),0,1)</f>
        <v/>
      </c>
      <c r="I80" s="106">
        <f>'KG1-1'!DA44+'KG1-2'!DA44+'KG1-3'!DA44+'KG1-4'!DA44+'KG1-5'!DA44+'KG1-6'!DA44+'KG1-7'!DA44</f>
        <v/>
      </c>
      <c r="J80" s="106">
        <f>'KG1-1'!DA43+'KG1-2'!DA43+'KG1-3'!DA43+'KG1-4'!DA43+'KG1-5'!DA43+'KG1-6'!DA43+'KG1-7'!DA43</f>
        <v/>
      </c>
      <c r="K80" s="106">
        <f>'KG1-1'!DA40+'KG1-2'!DA40+'KG1-3'!DA40+'KG1-4'!DA40+'KG1-5'!DA40+'KG1-6'!DA40+'KG1-7'!DA40</f>
        <v/>
      </c>
      <c r="L80" s="106">
        <f>'KG1-1'!DA41+'KG1-2'!DA41+'KG1-3'!DA41+'KG1-4'!DA41+'KG1-5'!DA41+'KG1-6'!DA41+'KG1-7'!DA41</f>
        <v/>
      </c>
      <c r="M80" s="106">
        <f>'KG1-1'!DA42+'KG1-2'!DA42+'KG1-3'!DA42+'KG1-4'!DA42+'KG1-5'!DA42+'KG1-6'!DA42+'KG1-7'!DA42</f>
        <v/>
      </c>
      <c r="N80" s="145">
        <f>IF(I80=0,"",(J80+IF(LateAsPresent="نعم",M80,0))/I80)</f>
        <v/>
      </c>
      <c r="O80" s="161">
        <f>IF(I80&gt;0,"نعم","")</f>
        <v/>
      </c>
      <c r="P80" s="159">
        <f>IF(I80&gt;0,COUNTIF($I$5:I80,"&gt;0"),"")</f>
        <v/>
      </c>
    </row>
    <row r="81">
      <c r="A81" s="105" t="n">
        <v>46371</v>
      </c>
      <c r="B81" s="106" t="inlineStr">
        <is>
          <t>الثلاثاء</t>
        </is>
      </c>
      <c r="C81" s="106" t="inlineStr">
        <is>
          <t>ديسمبر 2026</t>
        </is>
      </c>
      <c r="D81" s="159" t="n">
        <v>202612</v>
      </c>
      <c r="E81" s="159" t="n">
        <v>16</v>
      </c>
      <c r="F81" s="106">
        <f>IFERROR(IF(A81&lt;=INDEX(TermEnd,MATCH(A81,TermStart,1)),INDEX(TermNames,MATCH(A81,TermStart,1)),"إجازة"),"")</f>
        <v/>
      </c>
      <c r="G81" s="160">
        <f>IF(COUNTIFS(HolFrom,"&lt;="&amp;A81,HolTo,"&gt;="&amp;A81)&gt;0,"عطلة","")</f>
        <v/>
      </c>
      <c r="H81" s="106">
        <f>IF(OR(G81="عطلة",AND(WEEKDAY(A81,2)=5,FridaySchool="لا")),0,1)</f>
        <v/>
      </c>
      <c r="I81" s="106">
        <f>'KG1-1'!DB44+'KG1-2'!DB44+'KG1-3'!DB44+'KG1-4'!DB44+'KG1-5'!DB44+'KG1-6'!DB44+'KG1-7'!DB44</f>
        <v/>
      </c>
      <c r="J81" s="106">
        <f>'KG1-1'!DB43+'KG1-2'!DB43+'KG1-3'!DB43+'KG1-4'!DB43+'KG1-5'!DB43+'KG1-6'!DB43+'KG1-7'!DB43</f>
        <v/>
      </c>
      <c r="K81" s="106">
        <f>'KG1-1'!DB40+'KG1-2'!DB40+'KG1-3'!DB40+'KG1-4'!DB40+'KG1-5'!DB40+'KG1-6'!DB40+'KG1-7'!DB40</f>
        <v/>
      </c>
      <c r="L81" s="106">
        <f>'KG1-1'!DB41+'KG1-2'!DB41+'KG1-3'!DB41+'KG1-4'!DB41+'KG1-5'!DB41+'KG1-6'!DB41+'KG1-7'!DB41</f>
        <v/>
      </c>
      <c r="M81" s="106">
        <f>'KG1-1'!DB42+'KG1-2'!DB42+'KG1-3'!DB42+'KG1-4'!DB42+'KG1-5'!DB42+'KG1-6'!DB42+'KG1-7'!DB42</f>
        <v/>
      </c>
      <c r="N81" s="145">
        <f>IF(I81=0,"",(J81+IF(LateAsPresent="نعم",M81,0))/I81)</f>
        <v/>
      </c>
      <c r="O81" s="161">
        <f>IF(I81&gt;0,"نعم","")</f>
        <v/>
      </c>
      <c r="P81" s="159">
        <f>IF(I81&gt;0,COUNTIF($I$5:I81,"&gt;0"),"")</f>
        <v/>
      </c>
    </row>
    <row r="82">
      <c r="A82" s="105" t="n">
        <v>46372</v>
      </c>
      <c r="B82" s="106" t="inlineStr">
        <is>
          <t>الأربعاء</t>
        </is>
      </c>
      <c r="C82" s="106" t="inlineStr">
        <is>
          <t>ديسمبر 2026</t>
        </is>
      </c>
      <c r="D82" s="159" t="n">
        <v>202612</v>
      </c>
      <c r="E82" s="159" t="n">
        <v>16</v>
      </c>
      <c r="F82" s="106">
        <f>IFERROR(IF(A82&lt;=INDEX(TermEnd,MATCH(A82,TermStart,1)),INDEX(TermNames,MATCH(A82,TermStart,1)),"إجازة"),"")</f>
        <v/>
      </c>
      <c r="G82" s="160">
        <f>IF(COUNTIFS(HolFrom,"&lt;="&amp;A82,HolTo,"&gt;="&amp;A82)&gt;0,"عطلة","")</f>
        <v/>
      </c>
      <c r="H82" s="106">
        <f>IF(OR(G82="عطلة",AND(WEEKDAY(A82,2)=5,FridaySchool="لا")),0,1)</f>
        <v/>
      </c>
      <c r="I82" s="106">
        <f>'KG1-1'!DC44+'KG1-2'!DC44+'KG1-3'!DC44+'KG1-4'!DC44+'KG1-5'!DC44+'KG1-6'!DC44+'KG1-7'!DC44</f>
        <v/>
      </c>
      <c r="J82" s="106">
        <f>'KG1-1'!DC43+'KG1-2'!DC43+'KG1-3'!DC43+'KG1-4'!DC43+'KG1-5'!DC43+'KG1-6'!DC43+'KG1-7'!DC43</f>
        <v/>
      </c>
      <c r="K82" s="106">
        <f>'KG1-1'!DC40+'KG1-2'!DC40+'KG1-3'!DC40+'KG1-4'!DC40+'KG1-5'!DC40+'KG1-6'!DC40+'KG1-7'!DC40</f>
        <v/>
      </c>
      <c r="L82" s="106">
        <f>'KG1-1'!DC41+'KG1-2'!DC41+'KG1-3'!DC41+'KG1-4'!DC41+'KG1-5'!DC41+'KG1-6'!DC41+'KG1-7'!DC41</f>
        <v/>
      </c>
      <c r="M82" s="106">
        <f>'KG1-1'!DC42+'KG1-2'!DC42+'KG1-3'!DC42+'KG1-4'!DC42+'KG1-5'!DC42+'KG1-6'!DC42+'KG1-7'!DC42</f>
        <v/>
      </c>
      <c r="N82" s="145">
        <f>IF(I82=0,"",(J82+IF(LateAsPresent="نعم",M82,0))/I82)</f>
        <v/>
      </c>
      <c r="O82" s="161">
        <f>IF(I82&gt;0,"نعم","")</f>
        <v/>
      </c>
      <c r="P82" s="159">
        <f>IF(I82&gt;0,COUNTIF($I$5:I82,"&gt;0"),"")</f>
        <v/>
      </c>
    </row>
    <row r="83">
      <c r="A83" s="105" t="n">
        <v>46373</v>
      </c>
      <c r="B83" s="106" t="inlineStr">
        <is>
          <t>الخميس</t>
        </is>
      </c>
      <c r="C83" s="106" t="inlineStr">
        <is>
          <t>ديسمبر 2026</t>
        </is>
      </c>
      <c r="D83" s="159" t="n">
        <v>202612</v>
      </c>
      <c r="E83" s="159" t="n">
        <v>16</v>
      </c>
      <c r="F83" s="106">
        <f>IFERROR(IF(A83&lt;=INDEX(TermEnd,MATCH(A83,TermStart,1)),INDEX(TermNames,MATCH(A83,TermStart,1)),"إجازة"),"")</f>
        <v/>
      </c>
      <c r="G83" s="160">
        <f>IF(COUNTIFS(HolFrom,"&lt;="&amp;A83,HolTo,"&gt;="&amp;A83)&gt;0,"عطلة","")</f>
        <v/>
      </c>
      <c r="H83" s="106">
        <f>IF(OR(G83="عطلة",AND(WEEKDAY(A83,2)=5,FridaySchool="لا")),0,1)</f>
        <v/>
      </c>
      <c r="I83" s="106">
        <f>'KG1-1'!DD44+'KG1-2'!DD44+'KG1-3'!DD44+'KG1-4'!DD44+'KG1-5'!DD44+'KG1-6'!DD44+'KG1-7'!DD44</f>
        <v/>
      </c>
      <c r="J83" s="106">
        <f>'KG1-1'!DD43+'KG1-2'!DD43+'KG1-3'!DD43+'KG1-4'!DD43+'KG1-5'!DD43+'KG1-6'!DD43+'KG1-7'!DD43</f>
        <v/>
      </c>
      <c r="K83" s="106">
        <f>'KG1-1'!DD40+'KG1-2'!DD40+'KG1-3'!DD40+'KG1-4'!DD40+'KG1-5'!DD40+'KG1-6'!DD40+'KG1-7'!DD40</f>
        <v/>
      </c>
      <c r="L83" s="106">
        <f>'KG1-1'!DD41+'KG1-2'!DD41+'KG1-3'!DD41+'KG1-4'!DD41+'KG1-5'!DD41+'KG1-6'!DD41+'KG1-7'!DD41</f>
        <v/>
      </c>
      <c r="M83" s="106">
        <f>'KG1-1'!DD42+'KG1-2'!DD42+'KG1-3'!DD42+'KG1-4'!DD42+'KG1-5'!DD42+'KG1-6'!DD42+'KG1-7'!DD42</f>
        <v/>
      </c>
      <c r="N83" s="145">
        <f>IF(I83=0,"",(J83+IF(LateAsPresent="نعم",M83,0))/I83)</f>
        <v/>
      </c>
      <c r="O83" s="161">
        <f>IF(I83&gt;0,"نعم","")</f>
        <v/>
      </c>
      <c r="P83" s="159">
        <f>IF(I83&gt;0,COUNTIF($I$5:I83,"&gt;0"),"")</f>
        <v/>
      </c>
    </row>
    <row r="84">
      <c r="A84" s="105" t="n">
        <v>46374</v>
      </c>
      <c r="B84" s="106" t="inlineStr">
        <is>
          <t>الجمعة</t>
        </is>
      </c>
      <c r="C84" s="106" t="inlineStr">
        <is>
          <t>ديسمبر 2026</t>
        </is>
      </c>
      <c r="D84" s="159" t="n">
        <v>202612</v>
      </c>
      <c r="E84" s="159" t="n">
        <v>16</v>
      </c>
      <c r="F84" s="106">
        <f>IFERROR(IF(A84&lt;=INDEX(TermEnd,MATCH(A84,TermStart,1)),INDEX(TermNames,MATCH(A84,TermStart,1)),"إجازة"),"")</f>
        <v/>
      </c>
      <c r="G84" s="160">
        <f>IF(COUNTIFS(HolFrom,"&lt;="&amp;A84,HolTo,"&gt;="&amp;A84)&gt;0,"عطلة","")</f>
        <v/>
      </c>
      <c r="H84" s="106">
        <f>IF(OR(G84="عطلة",AND(WEEKDAY(A84,2)=5,FridaySchool="لا")),0,1)</f>
        <v/>
      </c>
      <c r="I84" s="106">
        <f>'KG1-1'!DE44+'KG1-2'!DE44+'KG1-3'!DE44+'KG1-4'!DE44+'KG1-5'!DE44+'KG1-6'!DE44+'KG1-7'!DE44</f>
        <v/>
      </c>
      <c r="J84" s="106">
        <f>'KG1-1'!DE43+'KG1-2'!DE43+'KG1-3'!DE43+'KG1-4'!DE43+'KG1-5'!DE43+'KG1-6'!DE43+'KG1-7'!DE43</f>
        <v/>
      </c>
      <c r="K84" s="106">
        <f>'KG1-1'!DE40+'KG1-2'!DE40+'KG1-3'!DE40+'KG1-4'!DE40+'KG1-5'!DE40+'KG1-6'!DE40+'KG1-7'!DE40</f>
        <v/>
      </c>
      <c r="L84" s="106">
        <f>'KG1-1'!DE41+'KG1-2'!DE41+'KG1-3'!DE41+'KG1-4'!DE41+'KG1-5'!DE41+'KG1-6'!DE41+'KG1-7'!DE41</f>
        <v/>
      </c>
      <c r="M84" s="106">
        <f>'KG1-1'!DE42+'KG1-2'!DE42+'KG1-3'!DE42+'KG1-4'!DE42+'KG1-5'!DE42+'KG1-6'!DE42+'KG1-7'!DE42</f>
        <v/>
      </c>
      <c r="N84" s="145">
        <f>IF(I84=0,"",(J84+IF(LateAsPresent="نعم",M84,0))/I84)</f>
        <v/>
      </c>
      <c r="O84" s="161">
        <f>IF(I84&gt;0,"نعم","")</f>
        <v/>
      </c>
      <c r="P84" s="159">
        <f>IF(I84&gt;0,COUNTIF($I$5:I84,"&gt;0"),"")</f>
        <v/>
      </c>
    </row>
    <row r="85">
      <c r="A85" s="105" t="n">
        <v>46377</v>
      </c>
      <c r="B85" s="106" t="inlineStr">
        <is>
          <t>الاثنين</t>
        </is>
      </c>
      <c r="C85" s="106" t="inlineStr">
        <is>
          <t>ديسمبر 2026</t>
        </is>
      </c>
      <c r="D85" s="159" t="n">
        <v>202612</v>
      </c>
      <c r="E85" s="159" t="n">
        <v>17</v>
      </c>
      <c r="F85" s="106">
        <f>IFERROR(IF(A85&lt;=INDEX(TermEnd,MATCH(A85,TermStart,1)),INDEX(TermNames,MATCH(A85,TermStart,1)),"إجازة"),"")</f>
        <v/>
      </c>
      <c r="G85" s="160">
        <f>IF(COUNTIFS(HolFrom,"&lt;="&amp;A85,HolTo,"&gt;="&amp;A85)&gt;0,"عطلة","")</f>
        <v/>
      </c>
      <c r="H85" s="106">
        <f>IF(OR(G85="عطلة",AND(WEEKDAY(A85,2)=5,FridaySchool="لا")),0,1)</f>
        <v/>
      </c>
      <c r="I85" s="106">
        <f>'KG1-1'!DF44+'KG1-2'!DF44+'KG1-3'!DF44+'KG1-4'!DF44+'KG1-5'!DF44+'KG1-6'!DF44+'KG1-7'!DF44</f>
        <v/>
      </c>
      <c r="J85" s="106">
        <f>'KG1-1'!DF43+'KG1-2'!DF43+'KG1-3'!DF43+'KG1-4'!DF43+'KG1-5'!DF43+'KG1-6'!DF43+'KG1-7'!DF43</f>
        <v/>
      </c>
      <c r="K85" s="106">
        <f>'KG1-1'!DF40+'KG1-2'!DF40+'KG1-3'!DF40+'KG1-4'!DF40+'KG1-5'!DF40+'KG1-6'!DF40+'KG1-7'!DF40</f>
        <v/>
      </c>
      <c r="L85" s="106">
        <f>'KG1-1'!DF41+'KG1-2'!DF41+'KG1-3'!DF41+'KG1-4'!DF41+'KG1-5'!DF41+'KG1-6'!DF41+'KG1-7'!DF41</f>
        <v/>
      </c>
      <c r="M85" s="106">
        <f>'KG1-1'!DF42+'KG1-2'!DF42+'KG1-3'!DF42+'KG1-4'!DF42+'KG1-5'!DF42+'KG1-6'!DF42+'KG1-7'!DF42</f>
        <v/>
      </c>
      <c r="N85" s="145">
        <f>IF(I85=0,"",(J85+IF(LateAsPresent="نعم",M85,0))/I85)</f>
        <v/>
      </c>
      <c r="O85" s="161">
        <f>IF(I85&gt;0,"نعم","")</f>
        <v/>
      </c>
      <c r="P85" s="159">
        <f>IF(I85&gt;0,COUNTIF($I$5:I85,"&gt;0"),"")</f>
        <v/>
      </c>
    </row>
    <row r="86">
      <c r="A86" s="105" t="n">
        <v>46378</v>
      </c>
      <c r="B86" s="106" t="inlineStr">
        <is>
          <t>الثلاثاء</t>
        </is>
      </c>
      <c r="C86" s="106" t="inlineStr">
        <is>
          <t>ديسمبر 2026</t>
        </is>
      </c>
      <c r="D86" s="159" t="n">
        <v>202612</v>
      </c>
      <c r="E86" s="159" t="n">
        <v>17</v>
      </c>
      <c r="F86" s="106">
        <f>IFERROR(IF(A86&lt;=INDEX(TermEnd,MATCH(A86,TermStart,1)),INDEX(TermNames,MATCH(A86,TermStart,1)),"إجازة"),"")</f>
        <v/>
      </c>
      <c r="G86" s="160">
        <f>IF(COUNTIFS(HolFrom,"&lt;="&amp;A86,HolTo,"&gt;="&amp;A86)&gt;0,"عطلة","")</f>
        <v/>
      </c>
      <c r="H86" s="106">
        <f>IF(OR(G86="عطلة",AND(WEEKDAY(A86,2)=5,FridaySchool="لا")),0,1)</f>
        <v/>
      </c>
      <c r="I86" s="106">
        <f>'KG1-1'!DG44+'KG1-2'!DG44+'KG1-3'!DG44+'KG1-4'!DG44+'KG1-5'!DG44+'KG1-6'!DG44+'KG1-7'!DG44</f>
        <v/>
      </c>
      <c r="J86" s="106">
        <f>'KG1-1'!DG43+'KG1-2'!DG43+'KG1-3'!DG43+'KG1-4'!DG43+'KG1-5'!DG43+'KG1-6'!DG43+'KG1-7'!DG43</f>
        <v/>
      </c>
      <c r="K86" s="106">
        <f>'KG1-1'!DG40+'KG1-2'!DG40+'KG1-3'!DG40+'KG1-4'!DG40+'KG1-5'!DG40+'KG1-6'!DG40+'KG1-7'!DG40</f>
        <v/>
      </c>
      <c r="L86" s="106">
        <f>'KG1-1'!DG41+'KG1-2'!DG41+'KG1-3'!DG41+'KG1-4'!DG41+'KG1-5'!DG41+'KG1-6'!DG41+'KG1-7'!DG41</f>
        <v/>
      </c>
      <c r="M86" s="106">
        <f>'KG1-1'!DG42+'KG1-2'!DG42+'KG1-3'!DG42+'KG1-4'!DG42+'KG1-5'!DG42+'KG1-6'!DG42+'KG1-7'!DG42</f>
        <v/>
      </c>
      <c r="N86" s="145">
        <f>IF(I86=0,"",(J86+IF(LateAsPresent="نعم",M86,0))/I86)</f>
        <v/>
      </c>
      <c r="O86" s="161">
        <f>IF(I86&gt;0,"نعم","")</f>
        <v/>
      </c>
      <c r="P86" s="159">
        <f>IF(I86&gt;0,COUNTIF($I$5:I86,"&gt;0"),"")</f>
        <v/>
      </c>
    </row>
    <row r="87">
      <c r="A87" s="105" t="n">
        <v>46379</v>
      </c>
      <c r="B87" s="106" t="inlineStr">
        <is>
          <t>الأربعاء</t>
        </is>
      </c>
      <c r="C87" s="106" t="inlineStr">
        <is>
          <t>ديسمبر 2026</t>
        </is>
      </c>
      <c r="D87" s="159" t="n">
        <v>202612</v>
      </c>
      <c r="E87" s="159" t="n">
        <v>17</v>
      </c>
      <c r="F87" s="106">
        <f>IFERROR(IF(A87&lt;=INDEX(TermEnd,MATCH(A87,TermStart,1)),INDEX(TermNames,MATCH(A87,TermStart,1)),"إجازة"),"")</f>
        <v/>
      </c>
      <c r="G87" s="160">
        <f>IF(COUNTIFS(HolFrom,"&lt;="&amp;A87,HolTo,"&gt;="&amp;A87)&gt;0,"عطلة","")</f>
        <v/>
      </c>
      <c r="H87" s="106">
        <f>IF(OR(G87="عطلة",AND(WEEKDAY(A87,2)=5,FridaySchool="لا")),0,1)</f>
        <v/>
      </c>
      <c r="I87" s="106">
        <f>'KG1-1'!DH44+'KG1-2'!DH44+'KG1-3'!DH44+'KG1-4'!DH44+'KG1-5'!DH44+'KG1-6'!DH44+'KG1-7'!DH44</f>
        <v/>
      </c>
      <c r="J87" s="106">
        <f>'KG1-1'!DH43+'KG1-2'!DH43+'KG1-3'!DH43+'KG1-4'!DH43+'KG1-5'!DH43+'KG1-6'!DH43+'KG1-7'!DH43</f>
        <v/>
      </c>
      <c r="K87" s="106">
        <f>'KG1-1'!DH40+'KG1-2'!DH40+'KG1-3'!DH40+'KG1-4'!DH40+'KG1-5'!DH40+'KG1-6'!DH40+'KG1-7'!DH40</f>
        <v/>
      </c>
      <c r="L87" s="106">
        <f>'KG1-1'!DH41+'KG1-2'!DH41+'KG1-3'!DH41+'KG1-4'!DH41+'KG1-5'!DH41+'KG1-6'!DH41+'KG1-7'!DH41</f>
        <v/>
      </c>
      <c r="M87" s="106">
        <f>'KG1-1'!DH42+'KG1-2'!DH42+'KG1-3'!DH42+'KG1-4'!DH42+'KG1-5'!DH42+'KG1-6'!DH42+'KG1-7'!DH42</f>
        <v/>
      </c>
      <c r="N87" s="145">
        <f>IF(I87=0,"",(J87+IF(LateAsPresent="نعم",M87,0))/I87)</f>
        <v/>
      </c>
      <c r="O87" s="161">
        <f>IF(I87&gt;0,"نعم","")</f>
        <v/>
      </c>
      <c r="P87" s="159">
        <f>IF(I87&gt;0,COUNTIF($I$5:I87,"&gt;0"),"")</f>
        <v/>
      </c>
    </row>
    <row r="88">
      <c r="A88" s="105" t="n">
        <v>46380</v>
      </c>
      <c r="B88" s="106" t="inlineStr">
        <is>
          <t>الخميس</t>
        </is>
      </c>
      <c r="C88" s="106" t="inlineStr">
        <is>
          <t>ديسمبر 2026</t>
        </is>
      </c>
      <c r="D88" s="159" t="n">
        <v>202612</v>
      </c>
      <c r="E88" s="159" t="n">
        <v>17</v>
      </c>
      <c r="F88" s="106">
        <f>IFERROR(IF(A88&lt;=INDEX(TermEnd,MATCH(A88,TermStart,1)),INDEX(TermNames,MATCH(A88,TermStart,1)),"إجازة"),"")</f>
        <v/>
      </c>
      <c r="G88" s="160">
        <f>IF(COUNTIFS(HolFrom,"&lt;="&amp;A88,HolTo,"&gt;="&amp;A88)&gt;0,"عطلة","")</f>
        <v/>
      </c>
      <c r="H88" s="106">
        <f>IF(OR(G88="عطلة",AND(WEEKDAY(A88,2)=5,FridaySchool="لا")),0,1)</f>
        <v/>
      </c>
      <c r="I88" s="106">
        <f>'KG1-1'!DI44+'KG1-2'!DI44+'KG1-3'!DI44+'KG1-4'!DI44+'KG1-5'!DI44+'KG1-6'!DI44+'KG1-7'!DI44</f>
        <v/>
      </c>
      <c r="J88" s="106">
        <f>'KG1-1'!DI43+'KG1-2'!DI43+'KG1-3'!DI43+'KG1-4'!DI43+'KG1-5'!DI43+'KG1-6'!DI43+'KG1-7'!DI43</f>
        <v/>
      </c>
      <c r="K88" s="106">
        <f>'KG1-1'!DI40+'KG1-2'!DI40+'KG1-3'!DI40+'KG1-4'!DI40+'KG1-5'!DI40+'KG1-6'!DI40+'KG1-7'!DI40</f>
        <v/>
      </c>
      <c r="L88" s="106">
        <f>'KG1-1'!DI41+'KG1-2'!DI41+'KG1-3'!DI41+'KG1-4'!DI41+'KG1-5'!DI41+'KG1-6'!DI41+'KG1-7'!DI41</f>
        <v/>
      </c>
      <c r="M88" s="106">
        <f>'KG1-1'!DI42+'KG1-2'!DI42+'KG1-3'!DI42+'KG1-4'!DI42+'KG1-5'!DI42+'KG1-6'!DI42+'KG1-7'!DI42</f>
        <v/>
      </c>
      <c r="N88" s="145">
        <f>IF(I88=0,"",(J88+IF(LateAsPresent="نعم",M88,0))/I88)</f>
        <v/>
      </c>
      <c r="O88" s="161">
        <f>IF(I88&gt;0,"نعم","")</f>
        <v/>
      </c>
      <c r="P88" s="159">
        <f>IF(I88&gt;0,COUNTIF($I$5:I88,"&gt;0"),"")</f>
        <v/>
      </c>
    </row>
    <row r="89">
      <c r="A89" s="105" t="n">
        <v>46381</v>
      </c>
      <c r="B89" s="106" t="inlineStr">
        <is>
          <t>الجمعة</t>
        </is>
      </c>
      <c r="C89" s="106" t="inlineStr">
        <is>
          <t>ديسمبر 2026</t>
        </is>
      </c>
      <c r="D89" s="159" t="n">
        <v>202612</v>
      </c>
      <c r="E89" s="159" t="n">
        <v>17</v>
      </c>
      <c r="F89" s="106">
        <f>IFERROR(IF(A89&lt;=INDEX(TermEnd,MATCH(A89,TermStart,1)),INDEX(TermNames,MATCH(A89,TermStart,1)),"إجازة"),"")</f>
        <v/>
      </c>
      <c r="G89" s="160">
        <f>IF(COUNTIFS(HolFrom,"&lt;="&amp;A89,HolTo,"&gt;="&amp;A89)&gt;0,"عطلة","")</f>
        <v/>
      </c>
      <c r="H89" s="106">
        <f>IF(OR(G89="عطلة",AND(WEEKDAY(A89,2)=5,FridaySchool="لا")),0,1)</f>
        <v/>
      </c>
      <c r="I89" s="106">
        <f>'KG1-1'!DJ44+'KG1-2'!DJ44+'KG1-3'!DJ44+'KG1-4'!DJ44+'KG1-5'!DJ44+'KG1-6'!DJ44+'KG1-7'!DJ44</f>
        <v/>
      </c>
      <c r="J89" s="106">
        <f>'KG1-1'!DJ43+'KG1-2'!DJ43+'KG1-3'!DJ43+'KG1-4'!DJ43+'KG1-5'!DJ43+'KG1-6'!DJ43+'KG1-7'!DJ43</f>
        <v/>
      </c>
      <c r="K89" s="106">
        <f>'KG1-1'!DJ40+'KG1-2'!DJ40+'KG1-3'!DJ40+'KG1-4'!DJ40+'KG1-5'!DJ40+'KG1-6'!DJ40+'KG1-7'!DJ40</f>
        <v/>
      </c>
      <c r="L89" s="106">
        <f>'KG1-1'!DJ41+'KG1-2'!DJ41+'KG1-3'!DJ41+'KG1-4'!DJ41+'KG1-5'!DJ41+'KG1-6'!DJ41+'KG1-7'!DJ41</f>
        <v/>
      </c>
      <c r="M89" s="106">
        <f>'KG1-1'!DJ42+'KG1-2'!DJ42+'KG1-3'!DJ42+'KG1-4'!DJ42+'KG1-5'!DJ42+'KG1-6'!DJ42+'KG1-7'!DJ42</f>
        <v/>
      </c>
      <c r="N89" s="145">
        <f>IF(I89=0,"",(J89+IF(LateAsPresent="نعم",M89,0))/I89)</f>
        <v/>
      </c>
      <c r="O89" s="161">
        <f>IF(I89&gt;0,"نعم","")</f>
        <v/>
      </c>
      <c r="P89" s="159">
        <f>IF(I89&gt;0,COUNTIF($I$5:I89,"&gt;0"),"")</f>
        <v/>
      </c>
    </row>
    <row r="90">
      <c r="A90" s="105" t="n">
        <v>46384</v>
      </c>
      <c r="B90" s="106" t="inlineStr">
        <is>
          <t>الاثنين</t>
        </is>
      </c>
      <c r="C90" s="106" t="inlineStr">
        <is>
          <t>ديسمبر 2026</t>
        </is>
      </c>
      <c r="D90" s="159" t="n">
        <v>202612</v>
      </c>
      <c r="E90" s="159" t="n">
        <v>18</v>
      </c>
      <c r="F90" s="106">
        <f>IFERROR(IF(A90&lt;=INDEX(TermEnd,MATCH(A90,TermStart,1)),INDEX(TermNames,MATCH(A90,TermStart,1)),"إجازة"),"")</f>
        <v/>
      </c>
      <c r="G90" s="160">
        <f>IF(COUNTIFS(HolFrom,"&lt;="&amp;A90,HolTo,"&gt;="&amp;A90)&gt;0,"عطلة","")</f>
        <v/>
      </c>
      <c r="H90" s="106">
        <f>IF(OR(G90="عطلة",AND(WEEKDAY(A90,2)=5,FridaySchool="لا")),0,1)</f>
        <v/>
      </c>
      <c r="I90" s="106">
        <f>'KG1-1'!DK44+'KG1-2'!DK44+'KG1-3'!DK44+'KG1-4'!DK44+'KG1-5'!DK44+'KG1-6'!DK44+'KG1-7'!DK44</f>
        <v/>
      </c>
      <c r="J90" s="106">
        <f>'KG1-1'!DK43+'KG1-2'!DK43+'KG1-3'!DK43+'KG1-4'!DK43+'KG1-5'!DK43+'KG1-6'!DK43+'KG1-7'!DK43</f>
        <v/>
      </c>
      <c r="K90" s="106">
        <f>'KG1-1'!DK40+'KG1-2'!DK40+'KG1-3'!DK40+'KG1-4'!DK40+'KG1-5'!DK40+'KG1-6'!DK40+'KG1-7'!DK40</f>
        <v/>
      </c>
      <c r="L90" s="106">
        <f>'KG1-1'!DK41+'KG1-2'!DK41+'KG1-3'!DK41+'KG1-4'!DK41+'KG1-5'!DK41+'KG1-6'!DK41+'KG1-7'!DK41</f>
        <v/>
      </c>
      <c r="M90" s="106">
        <f>'KG1-1'!DK42+'KG1-2'!DK42+'KG1-3'!DK42+'KG1-4'!DK42+'KG1-5'!DK42+'KG1-6'!DK42+'KG1-7'!DK42</f>
        <v/>
      </c>
      <c r="N90" s="145">
        <f>IF(I90=0,"",(J90+IF(LateAsPresent="نعم",M90,0))/I90)</f>
        <v/>
      </c>
      <c r="O90" s="161">
        <f>IF(I90&gt;0,"نعم","")</f>
        <v/>
      </c>
      <c r="P90" s="159">
        <f>IF(I90&gt;0,COUNTIF($I$5:I90,"&gt;0"),"")</f>
        <v/>
      </c>
    </row>
    <row r="91">
      <c r="A91" s="105" t="n">
        <v>46385</v>
      </c>
      <c r="B91" s="106" t="inlineStr">
        <is>
          <t>الثلاثاء</t>
        </is>
      </c>
      <c r="C91" s="106" t="inlineStr">
        <is>
          <t>ديسمبر 2026</t>
        </is>
      </c>
      <c r="D91" s="159" t="n">
        <v>202612</v>
      </c>
      <c r="E91" s="159" t="n">
        <v>18</v>
      </c>
      <c r="F91" s="106">
        <f>IFERROR(IF(A91&lt;=INDEX(TermEnd,MATCH(A91,TermStart,1)),INDEX(TermNames,MATCH(A91,TermStart,1)),"إجازة"),"")</f>
        <v/>
      </c>
      <c r="G91" s="160">
        <f>IF(COUNTIFS(HolFrom,"&lt;="&amp;A91,HolTo,"&gt;="&amp;A91)&gt;0,"عطلة","")</f>
        <v/>
      </c>
      <c r="H91" s="106">
        <f>IF(OR(G91="عطلة",AND(WEEKDAY(A91,2)=5,FridaySchool="لا")),0,1)</f>
        <v/>
      </c>
      <c r="I91" s="106">
        <f>'KG1-1'!DL44+'KG1-2'!DL44+'KG1-3'!DL44+'KG1-4'!DL44+'KG1-5'!DL44+'KG1-6'!DL44+'KG1-7'!DL44</f>
        <v/>
      </c>
      <c r="J91" s="106">
        <f>'KG1-1'!DL43+'KG1-2'!DL43+'KG1-3'!DL43+'KG1-4'!DL43+'KG1-5'!DL43+'KG1-6'!DL43+'KG1-7'!DL43</f>
        <v/>
      </c>
      <c r="K91" s="106">
        <f>'KG1-1'!DL40+'KG1-2'!DL40+'KG1-3'!DL40+'KG1-4'!DL40+'KG1-5'!DL40+'KG1-6'!DL40+'KG1-7'!DL40</f>
        <v/>
      </c>
      <c r="L91" s="106">
        <f>'KG1-1'!DL41+'KG1-2'!DL41+'KG1-3'!DL41+'KG1-4'!DL41+'KG1-5'!DL41+'KG1-6'!DL41+'KG1-7'!DL41</f>
        <v/>
      </c>
      <c r="M91" s="106">
        <f>'KG1-1'!DL42+'KG1-2'!DL42+'KG1-3'!DL42+'KG1-4'!DL42+'KG1-5'!DL42+'KG1-6'!DL42+'KG1-7'!DL42</f>
        <v/>
      </c>
      <c r="N91" s="145">
        <f>IF(I91=0,"",(J91+IF(LateAsPresent="نعم",M91,0))/I91)</f>
        <v/>
      </c>
      <c r="O91" s="161">
        <f>IF(I91&gt;0,"نعم","")</f>
        <v/>
      </c>
      <c r="P91" s="159">
        <f>IF(I91&gt;0,COUNTIF($I$5:I91,"&gt;0"),"")</f>
        <v/>
      </c>
    </row>
    <row r="92">
      <c r="A92" s="105" t="n">
        <v>46386</v>
      </c>
      <c r="B92" s="106" t="inlineStr">
        <is>
          <t>الأربعاء</t>
        </is>
      </c>
      <c r="C92" s="106" t="inlineStr">
        <is>
          <t>ديسمبر 2026</t>
        </is>
      </c>
      <c r="D92" s="159" t="n">
        <v>202612</v>
      </c>
      <c r="E92" s="159" t="n">
        <v>18</v>
      </c>
      <c r="F92" s="106">
        <f>IFERROR(IF(A92&lt;=INDEX(TermEnd,MATCH(A92,TermStart,1)),INDEX(TermNames,MATCH(A92,TermStart,1)),"إجازة"),"")</f>
        <v/>
      </c>
      <c r="G92" s="160">
        <f>IF(COUNTIFS(HolFrom,"&lt;="&amp;A92,HolTo,"&gt;="&amp;A92)&gt;0,"عطلة","")</f>
        <v/>
      </c>
      <c r="H92" s="106">
        <f>IF(OR(G92="عطلة",AND(WEEKDAY(A92,2)=5,FridaySchool="لا")),0,1)</f>
        <v/>
      </c>
      <c r="I92" s="106">
        <f>'KG1-1'!DM44+'KG1-2'!DM44+'KG1-3'!DM44+'KG1-4'!DM44+'KG1-5'!DM44+'KG1-6'!DM44+'KG1-7'!DM44</f>
        <v/>
      </c>
      <c r="J92" s="106">
        <f>'KG1-1'!DM43+'KG1-2'!DM43+'KG1-3'!DM43+'KG1-4'!DM43+'KG1-5'!DM43+'KG1-6'!DM43+'KG1-7'!DM43</f>
        <v/>
      </c>
      <c r="K92" s="106">
        <f>'KG1-1'!DM40+'KG1-2'!DM40+'KG1-3'!DM40+'KG1-4'!DM40+'KG1-5'!DM40+'KG1-6'!DM40+'KG1-7'!DM40</f>
        <v/>
      </c>
      <c r="L92" s="106">
        <f>'KG1-1'!DM41+'KG1-2'!DM41+'KG1-3'!DM41+'KG1-4'!DM41+'KG1-5'!DM41+'KG1-6'!DM41+'KG1-7'!DM41</f>
        <v/>
      </c>
      <c r="M92" s="106">
        <f>'KG1-1'!DM42+'KG1-2'!DM42+'KG1-3'!DM42+'KG1-4'!DM42+'KG1-5'!DM42+'KG1-6'!DM42+'KG1-7'!DM42</f>
        <v/>
      </c>
      <c r="N92" s="145">
        <f>IF(I92=0,"",(J92+IF(LateAsPresent="نعم",M92,0))/I92)</f>
        <v/>
      </c>
      <c r="O92" s="161">
        <f>IF(I92&gt;0,"نعم","")</f>
        <v/>
      </c>
      <c r="P92" s="159">
        <f>IF(I92&gt;0,COUNTIF($I$5:I92,"&gt;0"),"")</f>
        <v/>
      </c>
    </row>
    <row r="93">
      <c r="A93" s="105" t="n">
        <v>46387</v>
      </c>
      <c r="B93" s="106" t="inlineStr">
        <is>
          <t>الخميس</t>
        </is>
      </c>
      <c r="C93" s="106" t="inlineStr">
        <is>
          <t>ديسمبر 2026</t>
        </is>
      </c>
      <c r="D93" s="159" t="n">
        <v>202612</v>
      </c>
      <c r="E93" s="159" t="n">
        <v>18</v>
      </c>
      <c r="F93" s="106">
        <f>IFERROR(IF(A93&lt;=INDEX(TermEnd,MATCH(A93,TermStart,1)),INDEX(TermNames,MATCH(A93,TermStart,1)),"إجازة"),"")</f>
        <v/>
      </c>
      <c r="G93" s="160">
        <f>IF(COUNTIFS(HolFrom,"&lt;="&amp;A93,HolTo,"&gt;="&amp;A93)&gt;0,"عطلة","")</f>
        <v/>
      </c>
      <c r="H93" s="106">
        <f>IF(OR(G93="عطلة",AND(WEEKDAY(A93,2)=5,FridaySchool="لا")),0,1)</f>
        <v/>
      </c>
      <c r="I93" s="106">
        <f>'KG1-1'!DN44+'KG1-2'!DN44+'KG1-3'!DN44+'KG1-4'!DN44+'KG1-5'!DN44+'KG1-6'!DN44+'KG1-7'!DN44</f>
        <v/>
      </c>
      <c r="J93" s="106">
        <f>'KG1-1'!DN43+'KG1-2'!DN43+'KG1-3'!DN43+'KG1-4'!DN43+'KG1-5'!DN43+'KG1-6'!DN43+'KG1-7'!DN43</f>
        <v/>
      </c>
      <c r="K93" s="106">
        <f>'KG1-1'!DN40+'KG1-2'!DN40+'KG1-3'!DN40+'KG1-4'!DN40+'KG1-5'!DN40+'KG1-6'!DN40+'KG1-7'!DN40</f>
        <v/>
      </c>
      <c r="L93" s="106">
        <f>'KG1-1'!DN41+'KG1-2'!DN41+'KG1-3'!DN41+'KG1-4'!DN41+'KG1-5'!DN41+'KG1-6'!DN41+'KG1-7'!DN41</f>
        <v/>
      </c>
      <c r="M93" s="106">
        <f>'KG1-1'!DN42+'KG1-2'!DN42+'KG1-3'!DN42+'KG1-4'!DN42+'KG1-5'!DN42+'KG1-6'!DN42+'KG1-7'!DN42</f>
        <v/>
      </c>
      <c r="N93" s="145">
        <f>IF(I93=0,"",(J93+IF(LateAsPresent="نعم",M93,0))/I93)</f>
        <v/>
      </c>
      <c r="O93" s="161">
        <f>IF(I93&gt;0,"نعم","")</f>
        <v/>
      </c>
      <c r="P93" s="159">
        <f>IF(I93&gt;0,COUNTIF($I$5:I93,"&gt;0"),"")</f>
        <v/>
      </c>
    </row>
    <row r="94">
      <c r="A94" s="105" t="n">
        <v>46388</v>
      </c>
      <c r="B94" s="106" t="inlineStr">
        <is>
          <t>الجمعة</t>
        </is>
      </c>
      <c r="C94" s="106" t="inlineStr">
        <is>
          <t>يناير 2027</t>
        </is>
      </c>
      <c r="D94" s="159" t="n">
        <v>202701</v>
      </c>
      <c r="E94" s="159" t="n">
        <v>18</v>
      </c>
      <c r="F94" s="106">
        <f>IFERROR(IF(A94&lt;=INDEX(TermEnd,MATCH(A94,TermStart,1)),INDEX(TermNames,MATCH(A94,TermStart,1)),"إجازة"),"")</f>
        <v/>
      </c>
      <c r="G94" s="160">
        <f>IF(COUNTIFS(HolFrom,"&lt;="&amp;A94,HolTo,"&gt;="&amp;A94)&gt;0,"عطلة","")</f>
        <v/>
      </c>
      <c r="H94" s="106">
        <f>IF(OR(G94="عطلة",AND(WEEKDAY(A94,2)=5,FridaySchool="لا")),0,1)</f>
        <v/>
      </c>
      <c r="I94" s="106">
        <f>'KG1-1'!DO44+'KG1-2'!DO44+'KG1-3'!DO44+'KG1-4'!DO44+'KG1-5'!DO44+'KG1-6'!DO44+'KG1-7'!DO44</f>
        <v/>
      </c>
      <c r="J94" s="106">
        <f>'KG1-1'!DO43+'KG1-2'!DO43+'KG1-3'!DO43+'KG1-4'!DO43+'KG1-5'!DO43+'KG1-6'!DO43+'KG1-7'!DO43</f>
        <v/>
      </c>
      <c r="K94" s="106">
        <f>'KG1-1'!DO40+'KG1-2'!DO40+'KG1-3'!DO40+'KG1-4'!DO40+'KG1-5'!DO40+'KG1-6'!DO40+'KG1-7'!DO40</f>
        <v/>
      </c>
      <c r="L94" s="106">
        <f>'KG1-1'!DO41+'KG1-2'!DO41+'KG1-3'!DO41+'KG1-4'!DO41+'KG1-5'!DO41+'KG1-6'!DO41+'KG1-7'!DO41</f>
        <v/>
      </c>
      <c r="M94" s="106">
        <f>'KG1-1'!DO42+'KG1-2'!DO42+'KG1-3'!DO42+'KG1-4'!DO42+'KG1-5'!DO42+'KG1-6'!DO42+'KG1-7'!DO42</f>
        <v/>
      </c>
      <c r="N94" s="145">
        <f>IF(I94=0,"",(J94+IF(LateAsPresent="نعم",M94,0))/I94)</f>
        <v/>
      </c>
      <c r="O94" s="161">
        <f>IF(I94&gt;0,"نعم","")</f>
        <v/>
      </c>
      <c r="P94" s="159">
        <f>IF(I94&gt;0,COUNTIF($I$5:I94,"&gt;0"),"")</f>
        <v/>
      </c>
    </row>
    <row r="95">
      <c r="A95" s="105" t="n">
        <v>46391</v>
      </c>
      <c r="B95" s="106" t="inlineStr">
        <is>
          <t>الاثنين</t>
        </is>
      </c>
      <c r="C95" s="106" t="inlineStr">
        <is>
          <t>يناير 2027</t>
        </is>
      </c>
      <c r="D95" s="159" t="n">
        <v>202701</v>
      </c>
      <c r="E95" s="159" t="n">
        <v>19</v>
      </c>
      <c r="F95" s="106">
        <f>IFERROR(IF(A95&lt;=INDEX(TermEnd,MATCH(A95,TermStart,1)),INDEX(TermNames,MATCH(A95,TermStart,1)),"إجازة"),"")</f>
        <v/>
      </c>
      <c r="G95" s="160">
        <f>IF(COUNTIFS(HolFrom,"&lt;="&amp;A95,HolTo,"&gt;="&amp;A95)&gt;0,"عطلة","")</f>
        <v/>
      </c>
      <c r="H95" s="106">
        <f>IF(OR(G95="عطلة",AND(WEEKDAY(A95,2)=5,FridaySchool="لا")),0,1)</f>
        <v/>
      </c>
      <c r="I95" s="106">
        <f>'KG1-1'!DP44+'KG1-2'!DP44+'KG1-3'!DP44+'KG1-4'!DP44+'KG1-5'!DP44+'KG1-6'!DP44+'KG1-7'!DP44</f>
        <v/>
      </c>
      <c r="J95" s="106">
        <f>'KG1-1'!DP43+'KG1-2'!DP43+'KG1-3'!DP43+'KG1-4'!DP43+'KG1-5'!DP43+'KG1-6'!DP43+'KG1-7'!DP43</f>
        <v/>
      </c>
      <c r="K95" s="106">
        <f>'KG1-1'!DP40+'KG1-2'!DP40+'KG1-3'!DP40+'KG1-4'!DP40+'KG1-5'!DP40+'KG1-6'!DP40+'KG1-7'!DP40</f>
        <v/>
      </c>
      <c r="L95" s="106">
        <f>'KG1-1'!DP41+'KG1-2'!DP41+'KG1-3'!DP41+'KG1-4'!DP41+'KG1-5'!DP41+'KG1-6'!DP41+'KG1-7'!DP41</f>
        <v/>
      </c>
      <c r="M95" s="106">
        <f>'KG1-1'!DP42+'KG1-2'!DP42+'KG1-3'!DP42+'KG1-4'!DP42+'KG1-5'!DP42+'KG1-6'!DP42+'KG1-7'!DP42</f>
        <v/>
      </c>
      <c r="N95" s="145">
        <f>IF(I95=0,"",(J95+IF(LateAsPresent="نعم",M95,0))/I95)</f>
        <v/>
      </c>
      <c r="O95" s="161">
        <f>IF(I95&gt;0,"نعم","")</f>
        <v/>
      </c>
      <c r="P95" s="159">
        <f>IF(I95&gt;0,COUNTIF($I$5:I95,"&gt;0"),"")</f>
        <v/>
      </c>
    </row>
    <row r="96">
      <c r="A96" s="105" t="n">
        <v>46392</v>
      </c>
      <c r="B96" s="106" t="inlineStr">
        <is>
          <t>الثلاثاء</t>
        </is>
      </c>
      <c r="C96" s="106" t="inlineStr">
        <is>
          <t>يناير 2027</t>
        </is>
      </c>
      <c r="D96" s="159" t="n">
        <v>202701</v>
      </c>
      <c r="E96" s="159" t="n">
        <v>19</v>
      </c>
      <c r="F96" s="106">
        <f>IFERROR(IF(A96&lt;=INDEX(TermEnd,MATCH(A96,TermStart,1)),INDEX(TermNames,MATCH(A96,TermStart,1)),"إجازة"),"")</f>
        <v/>
      </c>
      <c r="G96" s="160">
        <f>IF(COUNTIFS(HolFrom,"&lt;="&amp;A96,HolTo,"&gt;="&amp;A96)&gt;0,"عطلة","")</f>
        <v/>
      </c>
      <c r="H96" s="106">
        <f>IF(OR(G96="عطلة",AND(WEEKDAY(A96,2)=5,FridaySchool="لا")),0,1)</f>
        <v/>
      </c>
      <c r="I96" s="106">
        <f>'KG1-1'!DQ44+'KG1-2'!DQ44+'KG1-3'!DQ44+'KG1-4'!DQ44+'KG1-5'!DQ44+'KG1-6'!DQ44+'KG1-7'!DQ44</f>
        <v/>
      </c>
      <c r="J96" s="106">
        <f>'KG1-1'!DQ43+'KG1-2'!DQ43+'KG1-3'!DQ43+'KG1-4'!DQ43+'KG1-5'!DQ43+'KG1-6'!DQ43+'KG1-7'!DQ43</f>
        <v/>
      </c>
      <c r="K96" s="106">
        <f>'KG1-1'!DQ40+'KG1-2'!DQ40+'KG1-3'!DQ40+'KG1-4'!DQ40+'KG1-5'!DQ40+'KG1-6'!DQ40+'KG1-7'!DQ40</f>
        <v/>
      </c>
      <c r="L96" s="106">
        <f>'KG1-1'!DQ41+'KG1-2'!DQ41+'KG1-3'!DQ41+'KG1-4'!DQ41+'KG1-5'!DQ41+'KG1-6'!DQ41+'KG1-7'!DQ41</f>
        <v/>
      </c>
      <c r="M96" s="106">
        <f>'KG1-1'!DQ42+'KG1-2'!DQ42+'KG1-3'!DQ42+'KG1-4'!DQ42+'KG1-5'!DQ42+'KG1-6'!DQ42+'KG1-7'!DQ42</f>
        <v/>
      </c>
      <c r="N96" s="145">
        <f>IF(I96=0,"",(J96+IF(LateAsPresent="نعم",M96,0))/I96)</f>
        <v/>
      </c>
      <c r="O96" s="161">
        <f>IF(I96&gt;0,"نعم","")</f>
        <v/>
      </c>
      <c r="P96" s="159">
        <f>IF(I96&gt;0,COUNTIF($I$5:I96,"&gt;0"),"")</f>
        <v/>
      </c>
    </row>
    <row r="97">
      <c r="A97" s="105" t="n">
        <v>46393</v>
      </c>
      <c r="B97" s="106" t="inlineStr">
        <is>
          <t>الأربعاء</t>
        </is>
      </c>
      <c r="C97" s="106" t="inlineStr">
        <is>
          <t>يناير 2027</t>
        </is>
      </c>
      <c r="D97" s="159" t="n">
        <v>202701</v>
      </c>
      <c r="E97" s="159" t="n">
        <v>19</v>
      </c>
      <c r="F97" s="106">
        <f>IFERROR(IF(A97&lt;=INDEX(TermEnd,MATCH(A97,TermStart,1)),INDEX(TermNames,MATCH(A97,TermStart,1)),"إجازة"),"")</f>
        <v/>
      </c>
      <c r="G97" s="160">
        <f>IF(COUNTIFS(HolFrom,"&lt;="&amp;A97,HolTo,"&gt;="&amp;A97)&gt;0,"عطلة","")</f>
        <v/>
      </c>
      <c r="H97" s="106">
        <f>IF(OR(G97="عطلة",AND(WEEKDAY(A97,2)=5,FridaySchool="لا")),0,1)</f>
        <v/>
      </c>
      <c r="I97" s="106">
        <f>'KG1-1'!DR44+'KG1-2'!DR44+'KG1-3'!DR44+'KG1-4'!DR44+'KG1-5'!DR44+'KG1-6'!DR44+'KG1-7'!DR44</f>
        <v/>
      </c>
      <c r="J97" s="106">
        <f>'KG1-1'!DR43+'KG1-2'!DR43+'KG1-3'!DR43+'KG1-4'!DR43+'KG1-5'!DR43+'KG1-6'!DR43+'KG1-7'!DR43</f>
        <v/>
      </c>
      <c r="K97" s="106">
        <f>'KG1-1'!DR40+'KG1-2'!DR40+'KG1-3'!DR40+'KG1-4'!DR40+'KG1-5'!DR40+'KG1-6'!DR40+'KG1-7'!DR40</f>
        <v/>
      </c>
      <c r="L97" s="106">
        <f>'KG1-1'!DR41+'KG1-2'!DR41+'KG1-3'!DR41+'KG1-4'!DR41+'KG1-5'!DR41+'KG1-6'!DR41+'KG1-7'!DR41</f>
        <v/>
      </c>
      <c r="M97" s="106">
        <f>'KG1-1'!DR42+'KG1-2'!DR42+'KG1-3'!DR42+'KG1-4'!DR42+'KG1-5'!DR42+'KG1-6'!DR42+'KG1-7'!DR42</f>
        <v/>
      </c>
      <c r="N97" s="145">
        <f>IF(I97=0,"",(J97+IF(LateAsPresent="نعم",M97,0))/I97)</f>
        <v/>
      </c>
      <c r="O97" s="161">
        <f>IF(I97&gt;0,"نعم","")</f>
        <v/>
      </c>
      <c r="P97" s="159">
        <f>IF(I97&gt;0,COUNTIF($I$5:I97,"&gt;0"),"")</f>
        <v/>
      </c>
    </row>
    <row r="98">
      <c r="A98" s="105" t="n">
        <v>46394</v>
      </c>
      <c r="B98" s="106" t="inlineStr">
        <is>
          <t>الخميس</t>
        </is>
      </c>
      <c r="C98" s="106" t="inlineStr">
        <is>
          <t>يناير 2027</t>
        </is>
      </c>
      <c r="D98" s="159" t="n">
        <v>202701</v>
      </c>
      <c r="E98" s="159" t="n">
        <v>19</v>
      </c>
      <c r="F98" s="106">
        <f>IFERROR(IF(A98&lt;=INDEX(TermEnd,MATCH(A98,TermStart,1)),INDEX(TermNames,MATCH(A98,TermStart,1)),"إجازة"),"")</f>
        <v/>
      </c>
      <c r="G98" s="160">
        <f>IF(COUNTIFS(HolFrom,"&lt;="&amp;A98,HolTo,"&gt;="&amp;A98)&gt;0,"عطلة","")</f>
        <v/>
      </c>
      <c r="H98" s="106">
        <f>IF(OR(G98="عطلة",AND(WEEKDAY(A98,2)=5,FridaySchool="لا")),0,1)</f>
        <v/>
      </c>
      <c r="I98" s="106">
        <f>'KG1-1'!DS44+'KG1-2'!DS44+'KG1-3'!DS44+'KG1-4'!DS44+'KG1-5'!DS44+'KG1-6'!DS44+'KG1-7'!DS44</f>
        <v/>
      </c>
      <c r="J98" s="106">
        <f>'KG1-1'!DS43+'KG1-2'!DS43+'KG1-3'!DS43+'KG1-4'!DS43+'KG1-5'!DS43+'KG1-6'!DS43+'KG1-7'!DS43</f>
        <v/>
      </c>
      <c r="K98" s="106">
        <f>'KG1-1'!DS40+'KG1-2'!DS40+'KG1-3'!DS40+'KG1-4'!DS40+'KG1-5'!DS40+'KG1-6'!DS40+'KG1-7'!DS40</f>
        <v/>
      </c>
      <c r="L98" s="106">
        <f>'KG1-1'!DS41+'KG1-2'!DS41+'KG1-3'!DS41+'KG1-4'!DS41+'KG1-5'!DS41+'KG1-6'!DS41+'KG1-7'!DS41</f>
        <v/>
      </c>
      <c r="M98" s="106">
        <f>'KG1-1'!DS42+'KG1-2'!DS42+'KG1-3'!DS42+'KG1-4'!DS42+'KG1-5'!DS42+'KG1-6'!DS42+'KG1-7'!DS42</f>
        <v/>
      </c>
      <c r="N98" s="145">
        <f>IF(I98=0,"",(J98+IF(LateAsPresent="نعم",M98,0))/I98)</f>
        <v/>
      </c>
      <c r="O98" s="161">
        <f>IF(I98&gt;0,"نعم","")</f>
        <v/>
      </c>
      <c r="P98" s="159">
        <f>IF(I98&gt;0,COUNTIF($I$5:I98,"&gt;0"),"")</f>
        <v/>
      </c>
    </row>
    <row r="99">
      <c r="A99" s="105" t="n">
        <v>46395</v>
      </c>
      <c r="B99" s="106" t="inlineStr">
        <is>
          <t>الجمعة</t>
        </is>
      </c>
      <c r="C99" s="106" t="inlineStr">
        <is>
          <t>يناير 2027</t>
        </is>
      </c>
      <c r="D99" s="159" t="n">
        <v>202701</v>
      </c>
      <c r="E99" s="159" t="n">
        <v>19</v>
      </c>
      <c r="F99" s="106">
        <f>IFERROR(IF(A99&lt;=INDEX(TermEnd,MATCH(A99,TermStart,1)),INDEX(TermNames,MATCH(A99,TermStart,1)),"إجازة"),"")</f>
        <v/>
      </c>
      <c r="G99" s="160">
        <f>IF(COUNTIFS(HolFrom,"&lt;="&amp;A99,HolTo,"&gt;="&amp;A99)&gt;0,"عطلة","")</f>
        <v/>
      </c>
      <c r="H99" s="106">
        <f>IF(OR(G99="عطلة",AND(WEEKDAY(A99,2)=5,FridaySchool="لا")),0,1)</f>
        <v/>
      </c>
      <c r="I99" s="106">
        <f>'KG1-1'!DT44+'KG1-2'!DT44+'KG1-3'!DT44+'KG1-4'!DT44+'KG1-5'!DT44+'KG1-6'!DT44+'KG1-7'!DT44</f>
        <v/>
      </c>
      <c r="J99" s="106">
        <f>'KG1-1'!DT43+'KG1-2'!DT43+'KG1-3'!DT43+'KG1-4'!DT43+'KG1-5'!DT43+'KG1-6'!DT43+'KG1-7'!DT43</f>
        <v/>
      </c>
      <c r="K99" s="106">
        <f>'KG1-1'!DT40+'KG1-2'!DT40+'KG1-3'!DT40+'KG1-4'!DT40+'KG1-5'!DT40+'KG1-6'!DT40+'KG1-7'!DT40</f>
        <v/>
      </c>
      <c r="L99" s="106">
        <f>'KG1-1'!DT41+'KG1-2'!DT41+'KG1-3'!DT41+'KG1-4'!DT41+'KG1-5'!DT41+'KG1-6'!DT41+'KG1-7'!DT41</f>
        <v/>
      </c>
      <c r="M99" s="106">
        <f>'KG1-1'!DT42+'KG1-2'!DT42+'KG1-3'!DT42+'KG1-4'!DT42+'KG1-5'!DT42+'KG1-6'!DT42+'KG1-7'!DT42</f>
        <v/>
      </c>
      <c r="N99" s="145">
        <f>IF(I99=0,"",(J99+IF(LateAsPresent="نعم",M99,0))/I99)</f>
        <v/>
      </c>
      <c r="O99" s="161">
        <f>IF(I99&gt;0,"نعم","")</f>
        <v/>
      </c>
      <c r="P99" s="159">
        <f>IF(I99&gt;0,COUNTIF($I$5:I99,"&gt;0"),"")</f>
        <v/>
      </c>
    </row>
    <row r="100">
      <c r="A100" s="105" t="n">
        <v>46398</v>
      </c>
      <c r="B100" s="106" t="inlineStr">
        <is>
          <t>الاثنين</t>
        </is>
      </c>
      <c r="C100" s="106" t="inlineStr">
        <is>
          <t>يناير 2027</t>
        </is>
      </c>
      <c r="D100" s="159" t="n">
        <v>202701</v>
      </c>
      <c r="E100" s="159" t="n">
        <v>20</v>
      </c>
      <c r="F100" s="106">
        <f>IFERROR(IF(A100&lt;=INDEX(TermEnd,MATCH(A100,TermStart,1)),INDEX(TermNames,MATCH(A100,TermStart,1)),"إجازة"),"")</f>
        <v/>
      </c>
      <c r="G100" s="160">
        <f>IF(COUNTIFS(HolFrom,"&lt;="&amp;A100,HolTo,"&gt;="&amp;A100)&gt;0,"عطلة","")</f>
        <v/>
      </c>
      <c r="H100" s="106">
        <f>IF(OR(G100="عطلة",AND(WEEKDAY(A100,2)=5,FridaySchool="لا")),0,1)</f>
        <v/>
      </c>
      <c r="I100" s="106">
        <f>'KG1-1'!DU44+'KG1-2'!DU44+'KG1-3'!DU44+'KG1-4'!DU44+'KG1-5'!DU44+'KG1-6'!DU44+'KG1-7'!DU44</f>
        <v/>
      </c>
      <c r="J100" s="106">
        <f>'KG1-1'!DU43+'KG1-2'!DU43+'KG1-3'!DU43+'KG1-4'!DU43+'KG1-5'!DU43+'KG1-6'!DU43+'KG1-7'!DU43</f>
        <v/>
      </c>
      <c r="K100" s="106">
        <f>'KG1-1'!DU40+'KG1-2'!DU40+'KG1-3'!DU40+'KG1-4'!DU40+'KG1-5'!DU40+'KG1-6'!DU40+'KG1-7'!DU40</f>
        <v/>
      </c>
      <c r="L100" s="106">
        <f>'KG1-1'!DU41+'KG1-2'!DU41+'KG1-3'!DU41+'KG1-4'!DU41+'KG1-5'!DU41+'KG1-6'!DU41+'KG1-7'!DU41</f>
        <v/>
      </c>
      <c r="M100" s="106">
        <f>'KG1-1'!DU42+'KG1-2'!DU42+'KG1-3'!DU42+'KG1-4'!DU42+'KG1-5'!DU42+'KG1-6'!DU42+'KG1-7'!DU42</f>
        <v/>
      </c>
      <c r="N100" s="145">
        <f>IF(I100=0,"",(J100+IF(LateAsPresent="نعم",M100,0))/I100)</f>
        <v/>
      </c>
      <c r="O100" s="161">
        <f>IF(I100&gt;0,"نعم","")</f>
        <v/>
      </c>
      <c r="P100" s="159">
        <f>IF(I100&gt;0,COUNTIF($I$5:I100,"&gt;0"),"")</f>
        <v/>
      </c>
    </row>
    <row r="101">
      <c r="A101" s="105" t="n">
        <v>46399</v>
      </c>
      <c r="B101" s="106" t="inlineStr">
        <is>
          <t>الثلاثاء</t>
        </is>
      </c>
      <c r="C101" s="106" t="inlineStr">
        <is>
          <t>يناير 2027</t>
        </is>
      </c>
      <c r="D101" s="159" t="n">
        <v>202701</v>
      </c>
      <c r="E101" s="159" t="n">
        <v>20</v>
      </c>
      <c r="F101" s="106">
        <f>IFERROR(IF(A101&lt;=INDEX(TermEnd,MATCH(A101,TermStart,1)),INDEX(TermNames,MATCH(A101,TermStart,1)),"إجازة"),"")</f>
        <v/>
      </c>
      <c r="G101" s="160">
        <f>IF(COUNTIFS(HolFrom,"&lt;="&amp;A101,HolTo,"&gt;="&amp;A101)&gt;0,"عطلة","")</f>
        <v/>
      </c>
      <c r="H101" s="106">
        <f>IF(OR(G101="عطلة",AND(WEEKDAY(A101,2)=5,FridaySchool="لا")),0,1)</f>
        <v/>
      </c>
      <c r="I101" s="106">
        <f>'KG1-1'!DV44+'KG1-2'!DV44+'KG1-3'!DV44+'KG1-4'!DV44+'KG1-5'!DV44+'KG1-6'!DV44+'KG1-7'!DV44</f>
        <v/>
      </c>
      <c r="J101" s="106">
        <f>'KG1-1'!DV43+'KG1-2'!DV43+'KG1-3'!DV43+'KG1-4'!DV43+'KG1-5'!DV43+'KG1-6'!DV43+'KG1-7'!DV43</f>
        <v/>
      </c>
      <c r="K101" s="106">
        <f>'KG1-1'!DV40+'KG1-2'!DV40+'KG1-3'!DV40+'KG1-4'!DV40+'KG1-5'!DV40+'KG1-6'!DV40+'KG1-7'!DV40</f>
        <v/>
      </c>
      <c r="L101" s="106">
        <f>'KG1-1'!DV41+'KG1-2'!DV41+'KG1-3'!DV41+'KG1-4'!DV41+'KG1-5'!DV41+'KG1-6'!DV41+'KG1-7'!DV41</f>
        <v/>
      </c>
      <c r="M101" s="106">
        <f>'KG1-1'!DV42+'KG1-2'!DV42+'KG1-3'!DV42+'KG1-4'!DV42+'KG1-5'!DV42+'KG1-6'!DV42+'KG1-7'!DV42</f>
        <v/>
      </c>
      <c r="N101" s="145">
        <f>IF(I101=0,"",(J101+IF(LateAsPresent="نعم",M101,0))/I101)</f>
        <v/>
      </c>
      <c r="O101" s="161">
        <f>IF(I101&gt;0,"نعم","")</f>
        <v/>
      </c>
      <c r="P101" s="159">
        <f>IF(I101&gt;0,COUNTIF($I$5:I101,"&gt;0"),"")</f>
        <v/>
      </c>
    </row>
    <row r="102">
      <c r="A102" s="105" t="n">
        <v>46400</v>
      </c>
      <c r="B102" s="106" t="inlineStr">
        <is>
          <t>الأربعاء</t>
        </is>
      </c>
      <c r="C102" s="106" t="inlineStr">
        <is>
          <t>يناير 2027</t>
        </is>
      </c>
      <c r="D102" s="159" t="n">
        <v>202701</v>
      </c>
      <c r="E102" s="159" t="n">
        <v>20</v>
      </c>
      <c r="F102" s="106">
        <f>IFERROR(IF(A102&lt;=INDEX(TermEnd,MATCH(A102,TermStart,1)),INDEX(TermNames,MATCH(A102,TermStart,1)),"إجازة"),"")</f>
        <v/>
      </c>
      <c r="G102" s="160">
        <f>IF(COUNTIFS(HolFrom,"&lt;="&amp;A102,HolTo,"&gt;="&amp;A102)&gt;0,"عطلة","")</f>
        <v/>
      </c>
      <c r="H102" s="106">
        <f>IF(OR(G102="عطلة",AND(WEEKDAY(A102,2)=5,FridaySchool="لا")),0,1)</f>
        <v/>
      </c>
      <c r="I102" s="106">
        <f>'KG1-1'!DW44+'KG1-2'!DW44+'KG1-3'!DW44+'KG1-4'!DW44+'KG1-5'!DW44+'KG1-6'!DW44+'KG1-7'!DW44</f>
        <v/>
      </c>
      <c r="J102" s="106">
        <f>'KG1-1'!DW43+'KG1-2'!DW43+'KG1-3'!DW43+'KG1-4'!DW43+'KG1-5'!DW43+'KG1-6'!DW43+'KG1-7'!DW43</f>
        <v/>
      </c>
      <c r="K102" s="106">
        <f>'KG1-1'!DW40+'KG1-2'!DW40+'KG1-3'!DW40+'KG1-4'!DW40+'KG1-5'!DW40+'KG1-6'!DW40+'KG1-7'!DW40</f>
        <v/>
      </c>
      <c r="L102" s="106">
        <f>'KG1-1'!DW41+'KG1-2'!DW41+'KG1-3'!DW41+'KG1-4'!DW41+'KG1-5'!DW41+'KG1-6'!DW41+'KG1-7'!DW41</f>
        <v/>
      </c>
      <c r="M102" s="106">
        <f>'KG1-1'!DW42+'KG1-2'!DW42+'KG1-3'!DW42+'KG1-4'!DW42+'KG1-5'!DW42+'KG1-6'!DW42+'KG1-7'!DW42</f>
        <v/>
      </c>
      <c r="N102" s="145">
        <f>IF(I102=0,"",(J102+IF(LateAsPresent="نعم",M102,0))/I102)</f>
        <v/>
      </c>
      <c r="O102" s="161">
        <f>IF(I102&gt;0,"نعم","")</f>
        <v/>
      </c>
      <c r="P102" s="159">
        <f>IF(I102&gt;0,COUNTIF($I$5:I102,"&gt;0"),"")</f>
        <v/>
      </c>
    </row>
    <row r="103">
      <c r="A103" s="105" t="n">
        <v>46401</v>
      </c>
      <c r="B103" s="106" t="inlineStr">
        <is>
          <t>الخميس</t>
        </is>
      </c>
      <c r="C103" s="106" t="inlineStr">
        <is>
          <t>يناير 2027</t>
        </is>
      </c>
      <c r="D103" s="159" t="n">
        <v>202701</v>
      </c>
      <c r="E103" s="159" t="n">
        <v>20</v>
      </c>
      <c r="F103" s="106">
        <f>IFERROR(IF(A103&lt;=INDEX(TermEnd,MATCH(A103,TermStart,1)),INDEX(TermNames,MATCH(A103,TermStart,1)),"إجازة"),"")</f>
        <v/>
      </c>
      <c r="G103" s="160">
        <f>IF(COUNTIFS(HolFrom,"&lt;="&amp;A103,HolTo,"&gt;="&amp;A103)&gt;0,"عطلة","")</f>
        <v/>
      </c>
      <c r="H103" s="106">
        <f>IF(OR(G103="عطلة",AND(WEEKDAY(A103,2)=5,FridaySchool="لا")),0,1)</f>
        <v/>
      </c>
      <c r="I103" s="106">
        <f>'KG1-1'!DX44+'KG1-2'!DX44+'KG1-3'!DX44+'KG1-4'!DX44+'KG1-5'!DX44+'KG1-6'!DX44+'KG1-7'!DX44</f>
        <v/>
      </c>
      <c r="J103" s="106">
        <f>'KG1-1'!DX43+'KG1-2'!DX43+'KG1-3'!DX43+'KG1-4'!DX43+'KG1-5'!DX43+'KG1-6'!DX43+'KG1-7'!DX43</f>
        <v/>
      </c>
      <c r="K103" s="106">
        <f>'KG1-1'!DX40+'KG1-2'!DX40+'KG1-3'!DX40+'KG1-4'!DX40+'KG1-5'!DX40+'KG1-6'!DX40+'KG1-7'!DX40</f>
        <v/>
      </c>
      <c r="L103" s="106">
        <f>'KG1-1'!DX41+'KG1-2'!DX41+'KG1-3'!DX41+'KG1-4'!DX41+'KG1-5'!DX41+'KG1-6'!DX41+'KG1-7'!DX41</f>
        <v/>
      </c>
      <c r="M103" s="106">
        <f>'KG1-1'!DX42+'KG1-2'!DX42+'KG1-3'!DX42+'KG1-4'!DX42+'KG1-5'!DX42+'KG1-6'!DX42+'KG1-7'!DX42</f>
        <v/>
      </c>
      <c r="N103" s="145">
        <f>IF(I103=0,"",(J103+IF(LateAsPresent="نعم",M103,0))/I103)</f>
        <v/>
      </c>
      <c r="O103" s="161">
        <f>IF(I103&gt;0,"نعم","")</f>
        <v/>
      </c>
      <c r="P103" s="159">
        <f>IF(I103&gt;0,COUNTIF($I$5:I103,"&gt;0"),"")</f>
        <v/>
      </c>
    </row>
    <row r="104">
      <c r="A104" s="105" t="n">
        <v>46402</v>
      </c>
      <c r="B104" s="106" t="inlineStr">
        <is>
          <t>الجمعة</t>
        </is>
      </c>
      <c r="C104" s="106" t="inlineStr">
        <is>
          <t>يناير 2027</t>
        </is>
      </c>
      <c r="D104" s="159" t="n">
        <v>202701</v>
      </c>
      <c r="E104" s="159" t="n">
        <v>20</v>
      </c>
      <c r="F104" s="106">
        <f>IFERROR(IF(A104&lt;=INDEX(TermEnd,MATCH(A104,TermStart,1)),INDEX(TermNames,MATCH(A104,TermStart,1)),"إجازة"),"")</f>
        <v/>
      </c>
      <c r="G104" s="160">
        <f>IF(COUNTIFS(HolFrom,"&lt;="&amp;A104,HolTo,"&gt;="&amp;A104)&gt;0,"عطلة","")</f>
        <v/>
      </c>
      <c r="H104" s="106">
        <f>IF(OR(G104="عطلة",AND(WEEKDAY(A104,2)=5,FridaySchool="لا")),0,1)</f>
        <v/>
      </c>
      <c r="I104" s="106">
        <f>'KG1-1'!DY44+'KG1-2'!DY44+'KG1-3'!DY44+'KG1-4'!DY44+'KG1-5'!DY44+'KG1-6'!DY44+'KG1-7'!DY44</f>
        <v/>
      </c>
      <c r="J104" s="106">
        <f>'KG1-1'!DY43+'KG1-2'!DY43+'KG1-3'!DY43+'KG1-4'!DY43+'KG1-5'!DY43+'KG1-6'!DY43+'KG1-7'!DY43</f>
        <v/>
      </c>
      <c r="K104" s="106">
        <f>'KG1-1'!DY40+'KG1-2'!DY40+'KG1-3'!DY40+'KG1-4'!DY40+'KG1-5'!DY40+'KG1-6'!DY40+'KG1-7'!DY40</f>
        <v/>
      </c>
      <c r="L104" s="106">
        <f>'KG1-1'!DY41+'KG1-2'!DY41+'KG1-3'!DY41+'KG1-4'!DY41+'KG1-5'!DY41+'KG1-6'!DY41+'KG1-7'!DY41</f>
        <v/>
      </c>
      <c r="M104" s="106">
        <f>'KG1-1'!DY42+'KG1-2'!DY42+'KG1-3'!DY42+'KG1-4'!DY42+'KG1-5'!DY42+'KG1-6'!DY42+'KG1-7'!DY42</f>
        <v/>
      </c>
      <c r="N104" s="145">
        <f>IF(I104=0,"",(J104+IF(LateAsPresent="نعم",M104,0))/I104)</f>
        <v/>
      </c>
      <c r="O104" s="161">
        <f>IF(I104&gt;0,"نعم","")</f>
        <v/>
      </c>
      <c r="P104" s="159">
        <f>IF(I104&gt;0,COUNTIF($I$5:I104,"&gt;0"),"")</f>
        <v/>
      </c>
    </row>
    <row r="105">
      <c r="A105" s="105" t="n">
        <v>46405</v>
      </c>
      <c r="B105" s="106" t="inlineStr">
        <is>
          <t>الاثنين</t>
        </is>
      </c>
      <c r="C105" s="106" t="inlineStr">
        <is>
          <t>يناير 2027</t>
        </is>
      </c>
      <c r="D105" s="159" t="n">
        <v>202701</v>
      </c>
      <c r="E105" s="159" t="n">
        <v>21</v>
      </c>
      <c r="F105" s="106">
        <f>IFERROR(IF(A105&lt;=INDEX(TermEnd,MATCH(A105,TermStart,1)),INDEX(TermNames,MATCH(A105,TermStart,1)),"إجازة"),"")</f>
        <v/>
      </c>
      <c r="G105" s="160">
        <f>IF(COUNTIFS(HolFrom,"&lt;="&amp;A105,HolTo,"&gt;="&amp;A105)&gt;0,"عطلة","")</f>
        <v/>
      </c>
      <c r="H105" s="106">
        <f>IF(OR(G105="عطلة",AND(WEEKDAY(A105,2)=5,FridaySchool="لا")),0,1)</f>
        <v/>
      </c>
      <c r="I105" s="106">
        <f>'KG1-1'!DZ44+'KG1-2'!DZ44+'KG1-3'!DZ44+'KG1-4'!DZ44+'KG1-5'!DZ44+'KG1-6'!DZ44+'KG1-7'!DZ44</f>
        <v/>
      </c>
      <c r="J105" s="106">
        <f>'KG1-1'!DZ43+'KG1-2'!DZ43+'KG1-3'!DZ43+'KG1-4'!DZ43+'KG1-5'!DZ43+'KG1-6'!DZ43+'KG1-7'!DZ43</f>
        <v/>
      </c>
      <c r="K105" s="106">
        <f>'KG1-1'!DZ40+'KG1-2'!DZ40+'KG1-3'!DZ40+'KG1-4'!DZ40+'KG1-5'!DZ40+'KG1-6'!DZ40+'KG1-7'!DZ40</f>
        <v/>
      </c>
      <c r="L105" s="106">
        <f>'KG1-1'!DZ41+'KG1-2'!DZ41+'KG1-3'!DZ41+'KG1-4'!DZ41+'KG1-5'!DZ41+'KG1-6'!DZ41+'KG1-7'!DZ41</f>
        <v/>
      </c>
      <c r="M105" s="106">
        <f>'KG1-1'!DZ42+'KG1-2'!DZ42+'KG1-3'!DZ42+'KG1-4'!DZ42+'KG1-5'!DZ42+'KG1-6'!DZ42+'KG1-7'!DZ42</f>
        <v/>
      </c>
      <c r="N105" s="145">
        <f>IF(I105=0,"",(J105+IF(LateAsPresent="نعم",M105,0))/I105)</f>
        <v/>
      </c>
      <c r="O105" s="161">
        <f>IF(I105&gt;0,"نعم","")</f>
        <v/>
      </c>
      <c r="P105" s="159">
        <f>IF(I105&gt;0,COUNTIF($I$5:I105,"&gt;0"),"")</f>
        <v/>
      </c>
    </row>
    <row r="106">
      <c r="A106" s="105" t="n">
        <v>46406</v>
      </c>
      <c r="B106" s="106" t="inlineStr">
        <is>
          <t>الثلاثاء</t>
        </is>
      </c>
      <c r="C106" s="106" t="inlineStr">
        <is>
          <t>يناير 2027</t>
        </is>
      </c>
      <c r="D106" s="159" t="n">
        <v>202701</v>
      </c>
      <c r="E106" s="159" t="n">
        <v>21</v>
      </c>
      <c r="F106" s="106">
        <f>IFERROR(IF(A106&lt;=INDEX(TermEnd,MATCH(A106,TermStart,1)),INDEX(TermNames,MATCH(A106,TermStart,1)),"إجازة"),"")</f>
        <v/>
      </c>
      <c r="G106" s="160">
        <f>IF(COUNTIFS(HolFrom,"&lt;="&amp;A106,HolTo,"&gt;="&amp;A106)&gt;0,"عطلة","")</f>
        <v/>
      </c>
      <c r="H106" s="106">
        <f>IF(OR(G106="عطلة",AND(WEEKDAY(A106,2)=5,FridaySchool="لا")),0,1)</f>
        <v/>
      </c>
      <c r="I106" s="106">
        <f>'KG1-1'!EA44+'KG1-2'!EA44+'KG1-3'!EA44+'KG1-4'!EA44+'KG1-5'!EA44+'KG1-6'!EA44+'KG1-7'!EA44</f>
        <v/>
      </c>
      <c r="J106" s="106">
        <f>'KG1-1'!EA43+'KG1-2'!EA43+'KG1-3'!EA43+'KG1-4'!EA43+'KG1-5'!EA43+'KG1-6'!EA43+'KG1-7'!EA43</f>
        <v/>
      </c>
      <c r="K106" s="106">
        <f>'KG1-1'!EA40+'KG1-2'!EA40+'KG1-3'!EA40+'KG1-4'!EA40+'KG1-5'!EA40+'KG1-6'!EA40+'KG1-7'!EA40</f>
        <v/>
      </c>
      <c r="L106" s="106">
        <f>'KG1-1'!EA41+'KG1-2'!EA41+'KG1-3'!EA41+'KG1-4'!EA41+'KG1-5'!EA41+'KG1-6'!EA41+'KG1-7'!EA41</f>
        <v/>
      </c>
      <c r="M106" s="106">
        <f>'KG1-1'!EA42+'KG1-2'!EA42+'KG1-3'!EA42+'KG1-4'!EA42+'KG1-5'!EA42+'KG1-6'!EA42+'KG1-7'!EA42</f>
        <v/>
      </c>
      <c r="N106" s="145">
        <f>IF(I106=0,"",(J106+IF(LateAsPresent="نعم",M106,0))/I106)</f>
        <v/>
      </c>
      <c r="O106" s="161">
        <f>IF(I106&gt;0,"نعم","")</f>
        <v/>
      </c>
      <c r="P106" s="159">
        <f>IF(I106&gt;0,COUNTIF($I$5:I106,"&gt;0"),"")</f>
        <v/>
      </c>
    </row>
    <row r="107">
      <c r="A107" s="105" t="n">
        <v>46407</v>
      </c>
      <c r="B107" s="106" t="inlineStr">
        <is>
          <t>الأربعاء</t>
        </is>
      </c>
      <c r="C107" s="106" t="inlineStr">
        <is>
          <t>يناير 2027</t>
        </is>
      </c>
      <c r="D107" s="159" t="n">
        <v>202701</v>
      </c>
      <c r="E107" s="159" t="n">
        <v>21</v>
      </c>
      <c r="F107" s="106">
        <f>IFERROR(IF(A107&lt;=INDEX(TermEnd,MATCH(A107,TermStart,1)),INDEX(TermNames,MATCH(A107,TermStart,1)),"إجازة"),"")</f>
        <v/>
      </c>
      <c r="G107" s="160">
        <f>IF(COUNTIFS(HolFrom,"&lt;="&amp;A107,HolTo,"&gt;="&amp;A107)&gt;0,"عطلة","")</f>
        <v/>
      </c>
      <c r="H107" s="106">
        <f>IF(OR(G107="عطلة",AND(WEEKDAY(A107,2)=5,FridaySchool="لا")),0,1)</f>
        <v/>
      </c>
      <c r="I107" s="106">
        <f>'KG1-1'!EB44+'KG1-2'!EB44+'KG1-3'!EB44+'KG1-4'!EB44+'KG1-5'!EB44+'KG1-6'!EB44+'KG1-7'!EB44</f>
        <v/>
      </c>
      <c r="J107" s="106">
        <f>'KG1-1'!EB43+'KG1-2'!EB43+'KG1-3'!EB43+'KG1-4'!EB43+'KG1-5'!EB43+'KG1-6'!EB43+'KG1-7'!EB43</f>
        <v/>
      </c>
      <c r="K107" s="106">
        <f>'KG1-1'!EB40+'KG1-2'!EB40+'KG1-3'!EB40+'KG1-4'!EB40+'KG1-5'!EB40+'KG1-6'!EB40+'KG1-7'!EB40</f>
        <v/>
      </c>
      <c r="L107" s="106">
        <f>'KG1-1'!EB41+'KG1-2'!EB41+'KG1-3'!EB41+'KG1-4'!EB41+'KG1-5'!EB41+'KG1-6'!EB41+'KG1-7'!EB41</f>
        <v/>
      </c>
      <c r="M107" s="106">
        <f>'KG1-1'!EB42+'KG1-2'!EB42+'KG1-3'!EB42+'KG1-4'!EB42+'KG1-5'!EB42+'KG1-6'!EB42+'KG1-7'!EB42</f>
        <v/>
      </c>
      <c r="N107" s="145">
        <f>IF(I107=0,"",(J107+IF(LateAsPresent="نعم",M107,0))/I107)</f>
        <v/>
      </c>
      <c r="O107" s="161">
        <f>IF(I107&gt;0,"نعم","")</f>
        <v/>
      </c>
      <c r="P107" s="159">
        <f>IF(I107&gt;0,COUNTIF($I$5:I107,"&gt;0"),"")</f>
        <v/>
      </c>
    </row>
    <row r="108">
      <c r="A108" s="105" t="n">
        <v>46408</v>
      </c>
      <c r="B108" s="106" t="inlineStr">
        <is>
          <t>الخميس</t>
        </is>
      </c>
      <c r="C108" s="106" t="inlineStr">
        <is>
          <t>يناير 2027</t>
        </is>
      </c>
      <c r="D108" s="159" t="n">
        <v>202701</v>
      </c>
      <c r="E108" s="159" t="n">
        <v>21</v>
      </c>
      <c r="F108" s="106">
        <f>IFERROR(IF(A108&lt;=INDEX(TermEnd,MATCH(A108,TermStart,1)),INDEX(TermNames,MATCH(A108,TermStart,1)),"إجازة"),"")</f>
        <v/>
      </c>
      <c r="G108" s="160">
        <f>IF(COUNTIFS(HolFrom,"&lt;="&amp;A108,HolTo,"&gt;="&amp;A108)&gt;0,"عطلة","")</f>
        <v/>
      </c>
      <c r="H108" s="106">
        <f>IF(OR(G108="عطلة",AND(WEEKDAY(A108,2)=5,FridaySchool="لا")),0,1)</f>
        <v/>
      </c>
      <c r="I108" s="106">
        <f>'KG1-1'!EC44+'KG1-2'!EC44+'KG1-3'!EC44+'KG1-4'!EC44+'KG1-5'!EC44+'KG1-6'!EC44+'KG1-7'!EC44</f>
        <v/>
      </c>
      <c r="J108" s="106">
        <f>'KG1-1'!EC43+'KG1-2'!EC43+'KG1-3'!EC43+'KG1-4'!EC43+'KG1-5'!EC43+'KG1-6'!EC43+'KG1-7'!EC43</f>
        <v/>
      </c>
      <c r="K108" s="106">
        <f>'KG1-1'!EC40+'KG1-2'!EC40+'KG1-3'!EC40+'KG1-4'!EC40+'KG1-5'!EC40+'KG1-6'!EC40+'KG1-7'!EC40</f>
        <v/>
      </c>
      <c r="L108" s="106">
        <f>'KG1-1'!EC41+'KG1-2'!EC41+'KG1-3'!EC41+'KG1-4'!EC41+'KG1-5'!EC41+'KG1-6'!EC41+'KG1-7'!EC41</f>
        <v/>
      </c>
      <c r="M108" s="106">
        <f>'KG1-1'!EC42+'KG1-2'!EC42+'KG1-3'!EC42+'KG1-4'!EC42+'KG1-5'!EC42+'KG1-6'!EC42+'KG1-7'!EC42</f>
        <v/>
      </c>
      <c r="N108" s="145">
        <f>IF(I108=0,"",(J108+IF(LateAsPresent="نعم",M108,0))/I108)</f>
        <v/>
      </c>
      <c r="O108" s="161">
        <f>IF(I108&gt;0,"نعم","")</f>
        <v/>
      </c>
      <c r="P108" s="159">
        <f>IF(I108&gt;0,COUNTIF($I$5:I108,"&gt;0"),"")</f>
        <v/>
      </c>
    </row>
    <row r="109">
      <c r="A109" s="105" t="n">
        <v>46409</v>
      </c>
      <c r="B109" s="106" t="inlineStr">
        <is>
          <t>الجمعة</t>
        </is>
      </c>
      <c r="C109" s="106" t="inlineStr">
        <is>
          <t>يناير 2027</t>
        </is>
      </c>
      <c r="D109" s="159" t="n">
        <v>202701</v>
      </c>
      <c r="E109" s="159" t="n">
        <v>21</v>
      </c>
      <c r="F109" s="106">
        <f>IFERROR(IF(A109&lt;=INDEX(TermEnd,MATCH(A109,TermStart,1)),INDEX(TermNames,MATCH(A109,TermStart,1)),"إجازة"),"")</f>
        <v/>
      </c>
      <c r="G109" s="160">
        <f>IF(COUNTIFS(HolFrom,"&lt;="&amp;A109,HolTo,"&gt;="&amp;A109)&gt;0,"عطلة","")</f>
        <v/>
      </c>
      <c r="H109" s="106">
        <f>IF(OR(G109="عطلة",AND(WEEKDAY(A109,2)=5,FridaySchool="لا")),0,1)</f>
        <v/>
      </c>
      <c r="I109" s="106">
        <f>'KG1-1'!ED44+'KG1-2'!ED44+'KG1-3'!ED44+'KG1-4'!ED44+'KG1-5'!ED44+'KG1-6'!ED44+'KG1-7'!ED44</f>
        <v/>
      </c>
      <c r="J109" s="106">
        <f>'KG1-1'!ED43+'KG1-2'!ED43+'KG1-3'!ED43+'KG1-4'!ED43+'KG1-5'!ED43+'KG1-6'!ED43+'KG1-7'!ED43</f>
        <v/>
      </c>
      <c r="K109" s="106">
        <f>'KG1-1'!ED40+'KG1-2'!ED40+'KG1-3'!ED40+'KG1-4'!ED40+'KG1-5'!ED40+'KG1-6'!ED40+'KG1-7'!ED40</f>
        <v/>
      </c>
      <c r="L109" s="106">
        <f>'KG1-1'!ED41+'KG1-2'!ED41+'KG1-3'!ED41+'KG1-4'!ED41+'KG1-5'!ED41+'KG1-6'!ED41+'KG1-7'!ED41</f>
        <v/>
      </c>
      <c r="M109" s="106">
        <f>'KG1-1'!ED42+'KG1-2'!ED42+'KG1-3'!ED42+'KG1-4'!ED42+'KG1-5'!ED42+'KG1-6'!ED42+'KG1-7'!ED42</f>
        <v/>
      </c>
      <c r="N109" s="145">
        <f>IF(I109=0,"",(J109+IF(LateAsPresent="نعم",M109,0))/I109)</f>
        <v/>
      </c>
      <c r="O109" s="161">
        <f>IF(I109&gt;0,"نعم","")</f>
        <v/>
      </c>
      <c r="P109" s="159">
        <f>IF(I109&gt;0,COUNTIF($I$5:I109,"&gt;0"),"")</f>
        <v/>
      </c>
    </row>
    <row r="110">
      <c r="A110" s="105" t="n">
        <v>46412</v>
      </c>
      <c r="B110" s="106" t="inlineStr">
        <is>
          <t>الاثنين</t>
        </is>
      </c>
      <c r="C110" s="106" t="inlineStr">
        <is>
          <t>يناير 2027</t>
        </is>
      </c>
      <c r="D110" s="159" t="n">
        <v>202701</v>
      </c>
      <c r="E110" s="159" t="n">
        <v>22</v>
      </c>
      <c r="F110" s="106">
        <f>IFERROR(IF(A110&lt;=INDEX(TermEnd,MATCH(A110,TermStart,1)),INDEX(TermNames,MATCH(A110,TermStart,1)),"إجازة"),"")</f>
        <v/>
      </c>
      <c r="G110" s="160">
        <f>IF(COUNTIFS(HolFrom,"&lt;="&amp;A110,HolTo,"&gt;="&amp;A110)&gt;0,"عطلة","")</f>
        <v/>
      </c>
      <c r="H110" s="106">
        <f>IF(OR(G110="عطلة",AND(WEEKDAY(A110,2)=5,FridaySchool="لا")),0,1)</f>
        <v/>
      </c>
      <c r="I110" s="106">
        <f>'KG1-1'!EE44+'KG1-2'!EE44+'KG1-3'!EE44+'KG1-4'!EE44+'KG1-5'!EE44+'KG1-6'!EE44+'KG1-7'!EE44</f>
        <v/>
      </c>
      <c r="J110" s="106">
        <f>'KG1-1'!EE43+'KG1-2'!EE43+'KG1-3'!EE43+'KG1-4'!EE43+'KG1-5'!EE43+'KG1-6'!EE43+'KG1-7'!EE43</f>
        <v/>
      </c>
      <c r="K110" s="106">
        <f>'KG1-1'!EE40+'KG1-2'!EE40+'KG1-3'!EE40+'KG1-4'!EE40+'KG1-5'!EE40+'KG1-6'!EE40+'KG1-7'!EE40</f>
        <v/>
      </c>
      <c r="L110" s="106">
        <f>'KG1-1'!EE41+'KG1-2'!EE41+'KG1-3'!EE41+'KG1-4'!EE41+'KG1-5'!EE41+'KG1-6'!EE41+'KG1-7'!EE41</f>
        <v/>
      </c>
      <c r="M110" s="106">
        <f>'KG1-1'!EE42+'KG1-2'!EE42+'KG1-3'!EE42+'KG1-4'!EE42+'KG1-5'!EE42+'KG1-6'!EE42+'KG1-7'!EE42</f>
        <v/>
      </c>
      <c r="N110" s="145">
        <f>IF(I110=0,"",(J110+IF(LateAsPresent="نعم",M110,0))/I110)</f>
        <v/>
      </c>
      <c r="O110" s="161">
        <f>IF(I110&gt;0,"نعم","")</f>
        <v/>
      </c>
      <c r="P110" s="159">
        <f>IF(I110&gt;0,COUNTIF($I$5:I110,"&gt;0"),"")</f>
        <v/>
      </c>
    </row>
    <row r="111">
      <c r="A111" s="105" t="n">
        <v>46413</v>
      </c>
      <c r="B111" s="106" t="inlineStr">
        <is>
          <t>الثلاثاء</t>
        </is>
      </c>
      <c r="C111" s="106" t="inlineStr">
        <is>
          <t>يناير 2027</t>
        </is>
      </c>
      <c r="D111" s="159" t="n">
        <v>202701</v>
      </c>
      <c r="E111" s="159" t="n">
        <v>22</v>
      </c>
      <c r="F111" s="106">
        <f>IFERROR(IF(A111&lt;=INDEX(TermEnd,MATCH(A111,TermStart,1)),INDEX(TermNames,MATCH(A111,TermStart,1)),"إجازة"),"")</f>
        <v/>
      </c>
      <c r="G111" s="160">
        <f>IF(COUNTIFS(HolFrom,"&lt;="&amp;A111,HolTo,"&gt;="&amp;A111)&gt;0,"عطلة","")</f>
        <v/>
      </c>
      <c r="H111" s="106">
        <f>IF(OR(G111="عطلة",AND(WEEKDAY(A111,2)=5,FridaySchool="لا")),0,1)</f>
        <v/>
      </c>
      <c r="I111" s="106">
        <f>'KG1-1'!EF44+'KG1-2'!EF44+'KG1-3'!EF44+'KG1-4'!EF44+'KG1-5'!EF44+'KG1-6'!EF44+'KG1-7'!EF44</f>
        <v/>
      </c>
      <c r="J111" s="106">
        <f>'KG1-1'!EF43+'KG1-2'!EF43+'KG1-3'!EF43+'KG1-4'!EF43+'KG1-5'!EF43+'KG1-6'!EF43+'KG1-7'!EF43</f>
        <v/>
      </c>
      <c r="K111" s="106">
        <f>'KG1-1'!EF40+'KG1-2'!EF40+'KG1-3'!EF40+'KG1-4'!EF40+'KG1-5'!EF40+'KG1-6'!EF40+'KG1-7'!EF40</f>
        <v/>
      </c>
      <c r="L111" s="106">
        <f>'KG1-1'!EF41+'KG1-2'!EF41+'KG1-3'!EF41+'KG1-4'!EF41+'KG1-5'!EF41+'KG1-6'!EF41+'KG1-7'!EF41</f>
        <v/>
      </c>
      <c r="M111" s="106">
        <f>'KG1-1'!EF42+'KG1-2'!EF42+'KG1-3'!EF42+'KG1-4'!EF42+'KG1-5'!EF42+'KG1-6'!EF42+'KG1-7'!EF42</f>
        <v/>
      </c>
      <c r="N111" s="145">
        <f>IF(I111=0,"",(J111+IF(LateAsPresent="نعم",M111,0))/I111)</f>
        <v/>
      </c>
      <c r="O111" s="161">
        <f>IF(I111&gt;0,"نعم","")</f>
        <v/>
      </c>
      <c r="P111" s="159">
        <f>IF(I111&gt;0,COUNTIF($I$5:I111,"&gt;0"),"")</f>
        <v/>
      </c>
    </row>
    <row r="112">
      <c r="A112" s="105" t="n">
        <v>46414</v>
      </c>
      <c r="B112" s="106" t="inlineStr">
        <is>
          <t>الأربعاء</t>
        </is>
      </c>
      <c r="C112" s="106" t="inlineStr">
        <is>
          <t>يناير 2027</t>
        </is>
      </c>
      <c r="D112" s="159" t="n">
        <v>202701</v>
      </c>
      <c r="E112" s="159" t="n">
        <v>22</v>
      </c>
      <c r="F112" s="106">
        <f>IFERROR(IF(A112&lt;=INDEX(TermEnd,MATCH(A112,TermStart,1)),INDEX(TermNames,MATCH(A112,TermStart,1)),"إجازة"),"")</f>
        <v/>
      </c>
      <c r="G112" s="160">
        <f>IF(COUNTIFS(HolFrom,"&lt;="&amp;A112,HolTo,"&gt;="&amp;A112)&gt;0,"عطلة","")</f>
        <v/>
      </c>
      <c r="H112" s="106">
        <f>IF(OR(G112="عطلة",AND(WEEKDAY(A112,2)=5,FridaySchool="لا")),0,1)</f>
        <v/>
      </c>
      <c r="I112" s="106">
        <f>'KG1-1'!EG44+'KG1-2'!EG44+'KG1-3'!EG44+'KG1-4'!EG44+'KG1-5'!EG44+'KG1-6'!EG44+'KG1-7'!EG44</f>
        <v/>
      </c>
      <c r="J112" s="106">
        <f>'KG1-1'!EG43+'KG1-2'!EG43+'KG1-3'!EG43+'KG1-4'!EG43+'KG1-5'!EG43+'KG1-6'!EG43+'KG1-7'!EG43</f>
        <v/>
      </c>
      <c r="K112" s="106">
        <f>'KG1-1'!EG40+'KG1-2'!EG40+'KG1-3'!EG40+'KG1-4'!EG40+'KG1-5'!EG40+'KG1-6'!EG40+'KG1-7'!EG40</f>
        <v/>
      </c>
      <c r="L112" s="106">
        <f>'KG1-1'!EG41+'KG1-2'!EG41+'KG1-3'!EG41+'KG1-4'!EG41+'KG1-5'!EG41+'KG1-6'!EG41+'KG1-7'!EG41</f>
        <v/>
      </c>
      <c r="M112" s="106">
        <f>'KG1-1'!EG42+'KG1-2'!EG42+'KG1-3'!EG42+'KG1-4'!EG42+'KG1-5'!EG42+'KG1-6'!EG42+'KG1-7'!EG42</f>
        <v/>
      </c>
      <c r="N112" s="145">
        <f>IF(I112=0,"",(J112+IF(LateAsPresent="نعم",M112,0))/I112)</f>
        <v/>
      </c>
      <c r="O112" s="161">
        <f>IF(I112&gt;0,"نعم","")</f>
        <v/>
      </c>
      <c r="P112" s="159">
        <f>IF(I112&gt;0,COUNTIF($I$5:I112,"&gt;0"),"")</f>
        <v/>
      </c>
    </row>
    <row r="113">
      <c r="A113" s="105" t="n">
        <v>46415</v>
      </c>
      <c r="B113" s="106" t="inlineStr">
        <is>
          <t>الخميس</t>
        </is>
      </c>
      <c r="C113" s="106" t="inlineStr">
        <is>
          <t>يناير 2027</t>
        </is>
      </c>
      <c r="D113" s="159" t="n">
        <v>202701</v>
      </c>
      <c r="E113" s="159" t="n">
        <v>22</v>
      </c>
      <c r="F113" s="106">
        <f>IFERROR(IF(A113&lt;=INDEX(TermEnd,MATCH(A113,TermStart,1)),INDEX(TermNames,MATCH(A113,TermStart,1)),"إجازة"),"")</f>
        <v/>
      </c>
      <c r="G113" s="160">
        <f>IF(COUNTIFS(HolFrom,"&lt;="&amp;A113,HolTo,"&gt;="&amp;A113)&gt;0,"عطلة","")</f>
        <v/>
      </c>
      <c r="H113" s="106">
        <f>IF(OR(G113="عطلة",AND(WEEKDAY(A113,2)=5,FridaySchool="لا")),0,1)</f>
        <v/>
      </c>
      <c r="I113" s="106">
        <f>'KG1-1'!EH44+'KG1-2'!EH44+'KG1-3'!EH44+'KG1-4'!EH44+'KG1-5'!EH44+'KG1-6'!EH44+'KG1-7'!EH44</f>
        <v/>
      </c>
      <c r="J113" s="106">
        <f>'KG1-1'!EH43+'KG1-2'!EH43+'KG1-3'!EH43+'KG1-4'!EH43+'KG1-5'!EH43+'KG1-6'!EH43+'KG1-7'!EH43</f>
        <v/>
      </c>
      <c r="K113" s="106">
        <f>'KG1-1'!EH40+'KG1-2'!EH40+'KG1-3'!EH40+'KG1-4'!EH40+'KG1-5'!EH40+'KG1-6'!EH40+'KG1-7'!EH40</f>
        <v/>
      </c>
      <c r="L113" s="106">
        <f>'KG1-1'!EH41+'KG1-2'!EH41+'KG1-3'!EH41+'KG1-4'!EH41+'KG1-5'!EH41+'KG1-6'!EH41+'KG1-7'!EH41</f>
        <v/>
      </c>
      <c r="M113" s="106">
        <f>'KG1-1'!EH42+'KG1-2'!EH42+'KG1-3'!EH42+'KG1-4'!EH42+'KG1-5'!EH42+'KG1-6'!EH42+'KG1-7'!EH42</f>
        <v/>
      </c>
      <c r="N113" s="145">
        <f>IF(I113=0,"",(J113+IF(LateAsPresent="نعم",M113,0))/I113)</f>
        <v/>
      </c>
      <c r="O113" s="161">
        <f>IF(I113&gt;0,"نعم","")</f>
        <v/>
      </c>
      <c r="P113" s="159">
        <f>IF(I113&gt;0,COUNTIF($I$5:I113,"&gt;0"),"")</f>
        <v/>
      </c>
    </row>
    <row r="114">
      <c r="A114" s="105" t="n">
        <v>46416</v>
      </c>
      <c r="B114" s="106" t="inlineStr">
        <is>
          <t>الجمعة</t>
        </is>
      </c>
      <c r="C114" s="106" t="inlineStr">
        <is>
          <t>يناير 2027</t>
        </is>
      </c>
      <c r="D114" s="159" t="n">
        <v>202701</v>
      </c>
      <c r="E114" s="159" t="n">
        <v>22</v>
      </c>
      <c r="F114" s="106">
        <f>IFERROR(IF(A114&lt;=INDEX(TermEnd,MATCH(A114,TermStart,1)),INDEX(TermNames,MATCH(A114,TermStart,1)),"إجازة"),"")</f>
        <v/>
      </c>
      <c r="G114" s="160">
        <f>IF(COUNTIFS(HolFrom,"&lt;="&amp;A114,HolTo,"&gt;="&amp;A114)&gt;0,"عطلة","")</f>
        <v/>
      </c>
      <c r="H114" s="106">
        <f>IF(OR(G114="عطلة",AND(WEEKDAY(A114,2)=5,FridaySchool="لا")),0,1)</f>
        <v/>
      </c>
      <c r="I114" s="106">
        <f>'KG1-1'!EI44+'KG1-2'!EI44+'KG1-3'!EI44+'KG1-4'!EI44+'KG1-5'!EI44+'KG1-6'!EI44+'KG1-7'!EI44</f>
        <v/>
      </c>
      <c r="J114" s="106">
        <f>'KG1-1'!EI43+'KG1-2'!EI43+'KG1-3'!EI43+'KG1-4'!EI43+'KG1-5'!EI43+'KG1-6'!EI43+'KG1-7'!EI43</f>
        <v/>
      </c>
      <c r="K114" s="106">
        <f>'KG1-1'!EI40+'KG1-2'!EI40+'KG1-3'!EI40+'KG1-4'!EI40+'KG1-5'!EI40+'KG1-6'!EI40+'KG1-7'!EI40</f>
        <v/>
      </c>
      <c r="L114" s="106">
        <f>'KG1-1'!EI41+'KG1-2'!EI41+'KG1-3'!EI41+'KG1-4'!EI41+'KG1-5'!EI41+'KG1-6'!EI41+'KG1-7'!EI41</f>
        <v/>
      </c>
      <c r="M114" s="106">
        <f>'KG1-1'!EI42+'KG1-2'!EI42+'KG1-3'!EI42+'KG1-4'!EI42+'KG1-5'!EI42+'KG1-6'!EI42+'KG1-7'!EI42</f>
        <v/>
      </c>
      <c r="N114" s="145">
        <f>IF(I114=0,"",(J114+IF(LateAsPresent="نعم",M114,0))/I114)</f>
        <v/>
      </c>
      <c r="O114" s="161">
        <f>IF(I114&gt;0,"نعم","")</f>
        <v/>
      </c>
      <c r="P114" s="159">
        <f>IF(I114&gt;0,COUNTIF($I$5:I114,"&gt;0"),"")</f>
        <v/>
      </c>
    </row>
    <row r="115">
      <c r="A115" s="105" t="n">
        <v>46419</v>
      </c>
      <c r="B115" s="106" t="inlineStr">
        <is>
          <t>الاثنين</t>
        </is>
      </c>
      <c r="C115" s="106" t="inlineStr">
        <is>
          <t>فبراير 2027</t>
        </is>
      </c>
      <c r="D115" s="159" t="n">
        <v>202702</v>
      </c>
      <c r="E115" s="159" t="n">
        <v>23</v>
      </c>
      <c r="F115" s="106">
        <f>IFERROR(IF(A115&lt;=INDEX(TermEnd,MATCH(A115,TermStart,1)),INDEX(TermNames,MATCH(A115,TermStart,1)),"إجازة"),"")</f>
        <v/>
      </c>
      <c r="G115" s="160">
        <f>IF(COUNTIFS(HolFrom,"&lt;="&amp;A115,HolTo,"&gt;="&amp;A115)&gt;0,"عطلة","")</f>
        <v/>
      </c>
      <c r="H115" s="106">
        <f>IF(OR(G115="عطلة",AND(WEEKDAY(A115,2)=5,FridaySchool="لا")),0,1)</f>
        <v/>
      </c>
      <c r="I115" s="106">
        <f>'KG1-1'!EJ44+'KG1-2'!EJ44+'KG1-3'!EJ44+'KG1-4'!EJ44+'KG1-5'!EJ44+'KG1-6'!EJ44+'KG1-7'!EJ44</f>
        <v/>
      </c>
      <c r="J115" s="106">
        <f>'KG1-1'!EJ43+'KG1-2'!EJ43+'KG1-3'!EJ43+'KG1-4'!EJ43+'KG1-5'!EJ43+'KG1-6'!EJ43+'KG1-7'!EJ43</f>
        <v/>
      </c>
      <c r="K115" s="106">
        <f>'KG1-1'!EJ40+'KG1-2'!EJ40+'KG1-3'!EJ40+'KG1-4'!EJ40+'KG1-5'!EJ40+'KG1-6'!EJ40+'KG1-7'!EJ40</f>
        <v/>
      </c>
      <c r="L115" s="106">
        <f>'KG1-1'!EJ41+'KG1-2'!EJ41+'KG1-3'!EJ41+'KG1-4'!EJ41+'KG1-5'!EJ41+'KG1-6'!EJ41+'KG1-7'!EJ41</f>
        <v/>
      </c>
      <c r="M115" s="106">
        <f>'KG1-1'!EJ42+'KG1-2'!EJ42+'KG1-3'!EJ42+'KG1-4'!EJ42+'KG1-5'!EJ42+'KG1-6'!EJ42+'KG1-7'!EJ42</f>
        <v/>
      </c>
      <c r="N115" s="145">
        <f>IF(I115=0,"",(J115+IF(LateAsPresent="نعم",M115,0))/I115)</f>
        <v/>
      </c>
      <c r="O115" s="161">
        <f>IF(I115&gt;0,"نعم","")</f>
        <v/>
      </c>
      <c r="P115" s="159">
        <f>IF(I115&gt;0,COUNTIF($I$5:I115,"&gt;0"),"")</f>
        <v/>
      </c>
    </row>
    <row r="116">
      <c r="A116" s="105" t="n">
        <v>46420</v>
      </c>
      <c r="B116" s="106" t="inlineStr">
        <is>
          <t>الثلاثاء</t>
        </is>
      </c>
      <c r="C116" s="106" t="inlineStr">
        <is>
          <t>فبراير 2027</t>
        </is>
      </c>
      <c r="D116" s="159" t="n">
        <v>202702</v>
      </c>
      <c r="E116" s="159" t="n">
        <v>23</v>
      </c>
      <c r="F116" s="106">
        <f>IFERROR(IF(A116&lt;=INDEX(TermEnd,MATCH(A116,TermStart,1)),INDEX(TermNames,MATCH(A116,TermStart,1)),"إجازة"),"")</f>
        <v/>
      </c>
      <c r="G116" s="160">
        <f>IF(COUNTIFS(HolFrom,"&lt;="&amp;A116,HolTo,"&gt;="&amp;A116)&gt;0,"عطلة","")</f>
        <v/>
      </c>
      <c r="H116" s="106">
        <f>IF(OR(G116="عطلة",AND(WEEKDAY(A116,2)=5,FridaySchool="لا")),0,1)</f>
        <v/>
      </c>
      <c r="I116" s="106">
        <f>'KG1-1'!EK44+'KG1-2'!EK44+'KG1-3'!EK44+'KG1-4'!EK44+'KG1-5'!EK44+'KG1-6'!EK44+'KG1-7'!EK44</f>
        <v/>
      </c>
      <c r="J116" s="106">
        <f>'KG1-1'!EK43+'KG1-2'!EK43+'KG1-3'!EK43+'KG1-4'!EK43+'KG1-5'!EK43+'KG1-6'!EK43+'KG1-7'!EK43</f>
        <v/>
      </c>
      <c r="K116" s="106">
        <f>'KG1-1'!EK40+'KG1-2'!EK40+'KG1-3'!EK40+'KG1-4'!EK40+'KG1-5'!EK40+'KG1-6'!EK40+'KG1-7'!EK40</f>
        <v/>
      </c>
      <c r="L116" s="106">
        <f>'KG1-1'!EK41+'KG1-2'!EK41+'KG1-3'!EK41+'KG1-4'!EK41+'KG1-5'!EK41+'KG1-6'!EK41+'KG1-7'!EK41</f>
        <v/>
      </c>
      <c r="M116" s="106">
        <f>'KG1-1'!EK42+'KG1-2'!EK42+'KG1-3'!EK42+'KG1-4'!EK42+'KG1-5'!EK42+'KG1-6'!EK42+'KG1-7'!EK42</f>
        <v/>
      </c>
      <c r="N116" s="145">
        <f>IF(I116=0,"",(J116+IF(LateAsPresent="نعم",M116,0))/I116)</f>
        <v/>
      </c>
      <c r="O116" s="161">
        <f>IF(I116&gt;0,"نعم","")</f>
        <v/>
      </c>
      <c r="P116" s="159">
        <f>IF(I116&gt;0,COUNTIF($I$5:I116,"&gt;0"),"")</f>
        <v/>
      </c>
    </row>
    <row r="117">
      <c r="A117" s="105" t="n">
        <v>46421</v>
      </c>
      <c r="B117" s="106" t="inlineStr">
        <is>
          <t>الأربعاء</t>
        </is>
      </c>
      <c r="C117" s="106" t="inlineStr">
        <is>
          <t>فبراير 2027</t>
        </is>
      </c>
      <c r="D117" s="159" t="n">
        <v>202702</v>
      </c>
      <c r="E117" s="159" t="n">
        <v>23</v>
      </c>
      <c r="F117" s="106">
        <f>IFERROR(IF(A117&lt;=INDEX(TermEnd,MATCH(A117,TermStart,1)),INDEX(TermNames,MATCH(A117,TermStart,1)),"إجازة"),"")</f>
        <v/>
      </c>
      <c r="G117" s="160">
        <f>IF(COUNTIFS(HolFrom,"&lt;="&amp;A117,HolTo,"&gt;="&amp;A117)&gt;0,"عطلة","")</f>
        <v/>
      </c>
      <c r="H117" s="106">
        <f>IF(OR(G117="عطلة",AND(WEEKDAY(A117,2)=5,FridaySchool="لا")),0,1)</f>
        <v/>
      </c>
      <c r="I117" s="106">
        <f>'KG1-1'!EL44+'KG1-2'!EL44+'KG1-3'!EL44+'KG1-4'!EL44+'KG1-5'!EL44+'KG1-6'!EL44+'KG1-7'!EL44</f>
        <v/>
      </c>
      <c r="J117" s="106">
        <f>'KG1-1'!EL43+'KG1-2'!EL43+'KG1-3'!EL43+'KG1-4'!EL43+'KG1-5'!EL43+'KG1-6'!EL43+'KG1-7'!EL43</f>
        <v/>
      </c>
      <c r="K117" s="106">
        <f>'KG1-1'!EL40+'KG1-2'!EL40+'KG1-3'!EL40+'KG1-4'!EL40+'KG1-5'!EL40+'KG1-6'!EL40+'KG1-7'!EL40</f>
        <v/>
      </c>
      <c r="L117" s="106">
        <f>'KG1-1'!EL41+'KG1-2'!EL41+'KG1-3'!EL41+'KG1-4'!EL41+'KG1-5'!EL41+'KG1-6'!EL41+'KG1-7'!EL41</f>
        <v/>
      </c>
      <c r="M117" s="106">
        <f>'KG1-1'!EL42+'KG1-2'!EL42+'KG1-3'!EL42+'KG1-4'!EL42+'KG1-5'!EL42+'KG1-6'!EL42+'KG1-7'!EL42</f>
        <v/>
      </c>
      <c r="N117" s="145">
        <f>IF(I117=0,"",(J117+IF(LateAsPresent="نعم",M117,0))/I117)</f>
        <v/>
      </c>
      <c r="O117" s="161">
        <f>IF(I117&gt;0,"نعم","")</f>
        <v/>
      </c>
      <c r="P117" s="159">
        <f>IF(I117&gt;0,COUNTIF($I$5:I117,"&gt;0"),"")</f>
        <v/>
      </c>
    </row>
    <row r="118">
      <c r="A118" s="105" t="n">
        <v>46422</v>
      </c>
      <c r="B118" s="106" t="inlineStr">
        <is>
          <t>الخميس</t>
        </is>
      </c>
      <c r="C118" s="106" t="inlineStr">
        <is>
          <t>فبراير 2027</t>
        </is>
      </c>
      <c r="D118" s="159" t="n">
        <v>202702</v>
      </c>
      <c r="E118" s="159" t="n">
        <v>23</v>
      </c>
      <c r="F118" s="106">
        <f>IFERROR(IF(A118&lt;=INDEX(TermEnd,MATCH(A118,TermStart,1)),INDEX(TermNames,MATCH(A118,TermStart,1)),"إجازة"),"")</f>
        <v/>
      </c>
      <c r="G118" s="160">
        <f>IF(COUNTIFS(HolFrom,"&lt;="&amp;A118,HolTo,"&gt;="&amp;A118)&gt;0,"عطلة","")</f>
        <v/>
      </c>
      <c r="H118" s="106">
        <f>IF(OR(G118="عطلة",AND(WEEKDAY(A118,2)=5,FridaySchool="لا")),0,1)</f>
        <v/>
      </c>
      <c r="I118" s="106">
        <f>'KG1-1'!EM44+'KG1-2'!EM44+'KG1-3'!EM44+'KG1-4'!EM44+'KG1-5'!EM44+'KG1-6'!EM44+'KG1-7'!EM44</f>
        <v/>
      </c>
      <c r="J118" s="106">
        <f>'KG1-1'!EM43+'KG1-2'!EM43+'KG1-3'!EM43+'KG1-4'!EM43+'KG1-5'!EM43+'KG1-6'!EM43+'KG1-7'!EM43</f>
        <v/>
      </c>
      <c r="K118" s="106">
        <f>'KG1-1'!EM40+'KG1-2'!EM40+'KG1-3'!EM40+'KG1-4'!EM40+'KG1-5'!EM40+'KG1-6'!EM40+'KG1-7'!EM40</f>
        <v/>
      </c>
      <c r="L118" s="106">
        <f>'KG1-1'!EM41+'KG1-2'!EM41+'KG1-3'!EM41+'KG1-4'!EM41+'KG1-5'!EM41+'KG1-6'!EM41+'KG1-7'!EM41</f>
        <v/>
      </c>
      <c r="M118" s="106">
        <f>'KG1-1'!EM42+'KG1-2'!EM42+'KG1-3'!EM42+'KG1-4'!EM42+'KG1-5'!EM42+'KG1-6'!EM42+'KG1-7'!EM42</f>
        <v/>
      </c>
      <c r="N118" s="145">
        <f>IF(I118=0,"",(J118+IF(LateAsPresent="نعم",M118,0))/I118)</f>
        <v/>
      </c>
      <c r="O118" s="161">
        <f>IF(I118&gt;0,"نعم","")</f>
        <v/>
      </c>
      <c r="P118" s="159">
        <f>IF(I118&gt;0,COUNTIF($I$5:I118,"&gt;0"),"")</f>
        <v/>
      </c>
    </row>
    <row r="119">
      <c r="A119" s="105" t="n">
        <v>46423</v>
      </c>
      <c r="B119" s="106" t="inlineStr">
        <is>
          <t>الجمعة</t>
        </is>
      </c>
      <c r="C119" s="106" t="inlineStr">
        <is>
          <t>فبراير 2027</t>
        </is>
      </c>
      <c r="D119" s="159" t="n">
        <v>202702</v>
      </c>
      <c r="E119" s="159" t="n">
        <v>23</v>
      </c>
      <c r="F119" s="106">
        <f>IFERROR(IF(A119&lt;=INDEX(TermEnd,MATCH(A119,TermStart,1)),INDEX(TermNames,MATCH(A119,TermStart,1)),"إجازة"),"")</f>
        <v/>
      </c>
      <c r="G119" s="160">
        <f>IF(COUNTIFS(HolFrom,"&lt;="&amp;A119,HolTo,"&gt;="&amp;A119)&gt;0,"عطلة","")</f>
        <v/>
      </c>
      <c r="H119" s="106">
        <f>IF(OR(G119="عطلة",AND(WEEKDAY(A119,2)=5,FridaySchool="لا")),0,1)</f>
        <v/>
      </c>
      <c r="I119" s="106">
        <f>'KG1-1'!EN44+'KG1-2'!EN44+'KG1-3'!EN44+'KG1-4'!EN44+'KG1-5'!EN44+'KG1-6'!EN44+'KG1-7'!EN44</f>
        <v/>
      </c>
      <c r="J119" s="106">
        <f>'KG1-1'!EN43+'KG1-2'!EN43+'KG1-3'!EN43+'KG1-4'!EN43+'KG1-5'!EN43+'KG1-6'!EN43+'KG1-7'!EN43</f>
        <v/>
      </c>
      <c r="K119" s="106">
        <f>'KG1-1'!EN40+'KG1-2'!EN40+'KG1-3'!EN40+'KG1-4'!EN40+'KG1-5'!EN40+'KG1-6'!EN40+'KG1-7'!EN40</f>
        <v/>
      </c>
      <c r="L119" s="106">
        <f>'KG1-1'!EN41+'KG1-2'!EN41+'KG1-3'!EN41+'KG1-4'!EN41+'KG1-5'!EN41+'KG1-6'!EN41+'KG1-7'!EN41</f>
        <v/>
      </c>
      <c r="M119" s="106">
        <f>'KG1-1'!EN42+'KG1-2'!EN42+'KG1-3'!EN42+'KG1-4'!EN42+'KG1-5'!EN42+'KG1-6'!EN42+'KG1-7'!EN42</f>
        <v/>
      </c>
      <c r="N119" s="145">
        <f>IF(I119=0,"",(J119+IF(LateAsPresent="نعم",M119,0))/I119)</f>
        <v/>
      </c>
      <c r="O119" s="161">
        <f>IF(I119&gt;0,"نعم","")</f>
        <v/>
      </c>
      <c r="P119" s="159">
        <f>IF(I119&gt;0,COUNTIF($I$5:I119,"&gt;0"),"")</f>
        <v/>
      </c>
    </row>
    <row r="120">
      <c r="A120" s="105" t="n">
        <v>46426</v>
      </c>
      <c r="B120" s="106" t="inlineStr">
        <is>
          <t>الاثنين</t>
        </is>
      </c>
      <c r="C120" s="106" t="inlineStr">
        <is>
          <t>فبراير 2027</t>
        </is>
      </c>
      <c r="D120" s="159" t="n">
        <v>202702</v>
      </c>
      <c r="E120" s="159" t="n">
        <v>24</v>
      </c>
      <c r="F120" s="106">
        <f>IFERROR(IF(A120&lt;=INDEX(TermEnd,MATCH(A120,TermStart,1)),INDEX(TermNames,MATCH(A120,TermStart,1)),"إجازة"),"")</f>
        <v/>
      </c>
      <c r="G120" s="160">
        <f>IF(COUNTIFS(HolFrom,"&lt;="&amp;A120,HolTo,"&gt;="&amp;A120)&gt;0,"عطلة","")</f>
        <v/>
      </c>
      <c r="H120" s="106">
        <f>IF(OR(G120="عطلة",AND(WEEKDAY(A120,2)=5,FridaySchool="لا")),0,1)</f>
        <v/>
      </c>
      <c r="I120" s="106">
        <f>'KG1-1'!EO44+'KG1-2'!EO44+'KG1-3'!EO44+'KG1-4'!EO44+'KG1-5'!EO44+'KG1-6'!EO44+'KG1-7'!EO44</f>
        <v/>
      </c>
      <c r="J120" s="106">
        <f>'KG1-1'!EO43+'KG1-2'!EO43+'KG1-3'!EO43+'KG1-4'!EO43+'KG1-5'!EO43+'KG1-6'!EO43+'KG1-7'!EO43</f>
        <v/>
      </c>
      <c r="K120" s="106">
        <f>'KG1-1'!EO40+'KG1-2'!EO40+'KG1-3'!EO40+'KG1-4'!EO40+'KG1-5'!EO40+'KG1-6'!EO40+'KG1-7'!EO40</f>
        <v/>
      </c>
      <c r="L120" s="106">
        <f>'KG1-1'!EO41+'KG1-2'!EO41+'KG1-3'!EO41+'KG1-4'!EO41+'KG1-5'!EO41+'KG1-6'!EO41+'KG1-7'!EO41</f>
        <v/>
      </c>
      <c r="M120" s="106">
        <f>'KG1-1'!EO42+'KG1-2'!EO42+'KG1-3'!EO42+'KG1-4'!EO42+'KG1-5'!EO42+'KG1-6'!EO42+'KG1-7'!EO42</f>
        <v/>
      </c>
      <c r="N120" s="145">
        <f>IF(I120=0,"",(J120+IF(LateAsPresent="نعم",M120,0))/I120)</f>
        <v/>
      </c>
      <c r="O120" s="161">
        <f>IF(I120&gt;0,"نعم","")</f>
        <v/>
      </c>
      <c r="P120" s="159">
        <f>IF(I120&gt;0,COUNTIF($I$5:I120,"&gt;0"),"")</f>
        <v/>
      </c>
    </row>
    <row r="121">
      <c r="A121" s="105" t="n">
        <v>46427</v>
      </c>
      <c r="B121" s="106" t="inlineStr">
        <is>
          <t>الثلاثاء</t>
        </is>
      </c>
      <c r="C121" s="106" t="inlineStr">
        <is>
          <t>فبراير 2027</t>
        </is>
      </c>
      <c r="D121" s="159" t="n">
        <v>202702</v>
      </c>
      <c r="E121" s="159" t="n">
        <v>24</v>
      </c>
      <c r="F121" s="106">
        <f>IFERROR(IF(A121&lt;=INDEX(TermEnd,MATCH(A121,TermStart,1)),INDEX(TermNames,MATCH(A121,TermStart,1)),"إجازة"),"")</f>
        <v/>
      </c>
      <c r="G121" s="160">
        <f>IF(COUNTIFS(HolFrom,"&lt;="&amp;A121,HolTo,"&gt;="&amp;A121)&gt;0,"عطلة","")</f>
        <v/>
      </c>
      <c r="H121" s="106">
        <f>IF(OR(G121="عطلة",AND(WEEKDAY(A121,2)=5,FridaySchool="لا")),0,1)</f>
        <v/>
      </c>
      <c r="I121" s="106">
        <f>'KG1-1'!EP44+'KG1-2'!EP44+'KG1-3'!EP44+'KG1-4'!EP44+'KG1-5'!EP44+'KG1-6'!EP44+'KG1-7'!EP44</f>
        <v/>
      </c>
      <c r="J121" s="106">
        <f>'KG1-1'!EP43+'KG1-2'!EP43+'KG1-3'!EP43+'KG1-4'!EP43+'KG1-5'!EP43+'KG1-6'!EP43+'KG1-7'!EP43</f>
        <v/>
      </c>
      <c r="K121" s="106">
        <f>'KG1-1'!EP40+'KG1-2'!EP40+'KG1-3'!EP40+'KG1-4'!EP40+'KG1-5'!EP40+'KG1-6'!EP40+'KG1-7'!EP40</f>
        <v/>
      </c>
      <c r="L121" s="106">
        <f>'KG1-1'!EP41+'KG1-2'!EP41+'KG1-3'!EP41+'KG1-4'!EP41+'KG1-5'!EP41+'KG1-6'!EP41+'KG1-7'!EP41</f>
        <v/>
      </c>
      <c r="M121" s="106">
        <f>'KG1-1'!EP42+'KG1-2'!EP42+'KG1-3'!EP42+'KG1-4'!EP42+'KG1-5'!EP42+'KG1-6'!EP42+'KG1-7'!EP42</f>
        <v/>
      </c>
      <c r="N121" s="145">
        <f>IF(I121=0,"",(J121+IF(LateAsPresent="نعم",M121,0))/I121)</f>
        <v/>
      </c>
      <c r="O121" s="161">
        <f>IF(I121&gt;0,"نعم","")</f>
        <v/>
      </c>
      <c r="P121" s="159">
        <f>IF(I121&gt;0,COUNTIF($I$5:I121,"&gt;0"),"")</f>
        <v/>
      </c>
    </row>
    <row r="122">
      <c r="A122" s="105" t="n">
        <v>46428</v>
      </c>
      <c r="B122" s="106" t="inlineStr">
        <is>
          <t>الأربعاء</t>
        </is>
      </c>
      <c r="C122" s="106" t="inlineStr">
        <is>
          <t>فبراير 2027</t>
        </is>
      </c>
      <c r="D122" s="159" t="n">
        <v>202702</v>
      </c>
      <c r="E122" s="159" t="n">
        <v>24</v>
      </c>
      <c r="F122" s="106">
        <f>IFERROR(IF(A122&lt;=INDEX(TermEnd,MATCH(A122,TermStart,1)),INDEX(TermNames,MATCH(A122,TermStart,1)),"إجازة"),"")</f>
        <v/>
      </c>
      <c r="G122" s="160">
        <f>IF(COUNTIFS(HolFrom,"&lt;="&amp;A122,HolTo,"&gt;="&amp;A122)&gt;0,"عطلة","")</f>
        <v/>
      </c>
      <c r="H122" s="106">
        <f>IF(OR(G122="عطلة",AND(WEEKDAY(A122,2)=5,FridaySchool="لا")),0,1)</f>
        <v/>
      </c>
      <c r="I122" s="106">
        <f>'KG1-1'!EQ44+'KG1-2'!EQ44+'KG1-3'!EQ44+'KG1-4'!EQ44+'KG1-5'!EQ44+'KG1-6'!EQ44+'KG1-7'!EQ44</f>
        <v/>
      </c>
      <c r="J122" s="106">
        <f>'KG1-1'!EQ43+'KG1-2'!EQ43+'KG1-3'!EQ43+'KG1-4'!EQ43+'KG1-5'!EQ43+'KG1-6'!EQ43+'KG1-7'!EQ43</f>
        <v/>
      </c>
      <c r="K122" s="106">
        <f>'KG1-1'!EQ40+'KG1-2'!EQ40+'KG1-3'!EQ40+'KG1-4'!EQ40+'KG1-5'!EQ40+'KG1-6'!EQ40+'KG1-7'!EQ40</f>
        <v/>
      </c>
      <c r="L122" s="106">
        <f>'KG1-1'!EQ41+'KG1-2'!EQ41+'KG1-3'!EQ41+'KG1-4'!EQ41+'KG1-5'!EQ41+'KG1-6'!EQ41+'KG1-7'!EQ41</f>
        <v/>
      </c>
      <c r="M122" s="106">
        <f>'KG1-1'!EQ42+'KG1-2'!EQ42+'KG1-3'!EQ42+'KG1-4'!EQ42+'KG1-5'!EQ42+'KG1-6'!EQ42+'KG1-7'!EQ42</f>
        <v/>
      </c>
      <c r="N122" s="145">
        <f>IF(I122=0,"",(J122+IF(LateAsPresent="نعم",M122,0))/I122)</f>
        <v/>
      </c>
      <c r="O122" s="161">
        <f>IF(I122&gt;0,"نعم","")</f>
        <v/>
      </c>
      <c r="P122" s="159">
        <f>IF(I122&gt;0,COUNTIF($I$5:I122,"&gt;0"),"")</f>
        <v/>
      </c>
    </row>
    <row r="123">
      <c r="A123" s="105" t="n">
        <v>46429</v>
      </c>
      <c r="B123" s="106" t="inlineStr">
        <is>
          <t>الخميس</t>
        </is>
      </c>
      <c r="C123" s="106" t="inlineStr">
        <is>
          <t>فبراير 2027</t>
        </is>
      </c>
      <c r="D123" s="159" t="n">
        <v>202702</v>
      </c>
      <c r="E123" s="159" t="n">
        <v>24</v>
      </c>
      <c r="F123" s="106">
        <f>IFERROR(IF(A123&lt;=INDEX(TermEnd,MATCH(A123,TermStart,1)),INDEX(TermNames,MATCH(A123,TermStart,1)),"إجازة"),"")</f>
        <v/>
      </c>
      <c r="G123" s="160">
        <f>IF(COUNTIFS(HolFrom,"&lt;="&amp;A123,HolTo,"&gt;="&amp;A123)&gt;0,"عطلة","")</f>
        <v/>
      </c>
      <c r="H123" s="106">
        <f>IF(OR(G123="عطلة",AND(WEEKDAY(A123,2)=5,FridaySchool="لا")),0,1)</f>
        <v/>
      </c>
      <c r="I123" s="106">
        <f>'KG1-1'!ER44+'KG1-2'!ER44+'KG1-3'!ER44+'KG1-4'!ER44+'KG1-5'!ER44+'KG1-6'!ER44+'KG1-7'!ER44</f>
        <v/>
      </c>
      <c r="J123" s="106">
        <f>'KG1-1'!ER43+'KG1-2'!ER43+'KG1-3'!ER43+'KG1-4'!ER43+'KG1-5'!ER43+'KG1-6'!ER43+'KG1-7'!ER43</f>
        <v/>
      </c>
      <c r="K123" s="106">
        <f>'KG1-1'!ER40+'KG1-2'!ER40+'KG1-3'!ER40+'KG1-4'!ER40+'KG1-5'!ER40+'KG1-6'!ER40+'KG1-7'!ER40</f>
        <v/>
      </c>
      <c r="L123" s="106">
        <f>'KG1-1'!ER41+'KG1-2'!ER41+'KG1-3'!ER41+'KG1-4'!ER41+'KG1-5'!ER41+'KG1-6'!ER41+'KG1-7'!ER41</f>
        <v/>
      </c>
      <c r="M123" s="106">
        <f>'KG1-1'!ER42+'KG1-2'!ER42+'KG1-3'!ER42+'KG1-4'!ER42+'KG1-5'!ER42+'KG1-6'!ER42+'KG1-7'!ER42</f>
        <v/>
      </c>
      <c r="N123" s="145">
        <f>IF(I123=0,"",(J123+IF(LateAsPresent="نعم",M123,0))/I123)</f>
        <v/>
      </c>
      <c r="O123" s="161">
        <f>IF(I123&gt;0,"نعم","")</f>
        <v/>
      </c>
      <c r="P123" s="159">
        <f>IF(I123&gt;0,COUNTIF($I$5:I123,"&gt;0"),"")</f>
        <v/>
      </c>
    </row>
    <row r="124">
      <c r="A124" s="105" t="n">
        <v>46430</v>
      </c>
      <c r="B124" s="106" t="inlineStr">
        <is>
          <t>الجمعة</t>
        </is>
      </c>
      <c r="C124" s="106" t="inlineStr">
        <is>
          <t>فبراير 2027</t>
        </is>
      </c>
      <c r="D124" s="159" t="n">
        <v>202702</v>
      </c>
      <c r="E124" s="159" t="n">
        <v>24</v>
      </c>
      <c r="F124" s="106">
        <f>IFERROR(IF(A124&lt;=INDEX(TermEnd,MATCH(A124,TermStart,1)),INDEX(TermNames,MATCH(A124,TermStart,1)),"إجازة"),"")</f>
        <v/>
      </c>
      <c r="G124" s="160">
        <f>IF(COUNTIFS(HolFrom,"&lt;="&amp;A124,HolTo,"&gt;="&amp;A124)&gt;0,"عطلة","")</f>
        <v/>
      </c>
      <c r="H124" s="106">
        <f>IF(OR(G124="عطلة",AND(WEEKDAY(A124,2)=5,FridaySchool="لا")),0,1)</f>
        <v/>
      </c>
      <c r="I124" s="106">
        <f>'KG1-1'!ES44+'KG1-2'!ES44+'KG1-3'!ES44+'KG1-4'!ES44+'KG1-5'!ES44+'KG1-6'!ES44+'KG1-7'!ES44</f>
        <v/>
      </c>
      <c r="J124" s="106">
        <f>'KG1-1'!ES43+'KG1-2'!ES43+'KG1-3'!ES43+'KG1-4'!ES43+'KG1-5'!ES43+'KG1-6'!ES43+'KG1-7'!ES43</f>
        <v/>
      </c>
      <c r="K124" s="106">
        <f>'KG1-1'!ES40+'KG1-2'!ES40+'KG1-3'!ES40+'KG1-4'!ES40+'KG1-5'!ES40+'KG1-6'!ES40+'KG1-7'!ES40</f>
        <v/>
      </c>
      <c r="L124" s="106">
        <f>'KG1-1'!ES41+'KG1-2'!ES41+'KG1-3'!ES41+'KG1-4'!ES41+'KG1-5'!ES41+'KG1-6'!ES41+'KG1-7'!ES41</f>
        <v/>
      </c>
      <c r="M124" s="106">
        <f>'KG1-1'!ES42+'KG1-2'!ES42+'KG1-3'!ES42+'KG1-4'!ES42+'KG1-5'!ES42+'KG1-6'!ES42+'KG1-7'!ES42</f>
        <v/>
      </c>
      <c r="N124" s="145">
        <f>IF(I124=0,"",(J124+IF(LateAsPresent="نعم",M124,0))/I124)</f>
        <v/>
      </c>
      <c r="O124" s="161">
        <f>IF(I124&gt;0,"نعم","")</f>
        <v/>
      </c>
      <c r="P124" s="159">
        <f>IF(I124&gt;0,COUNTIF($I$5:I124,"&gt;0"),"")</f>
        <v/>
      </c>
    </row>
    <row r="125">
      <c r="A125" s="105" t="n">
        <v>46433</v>
      </c>
      <c r="B125" s="106" t="inlineStr">
        <is>
          <t>الاثنين</t>
        </is>
      </c>
      <c r="C125" s="106" t="inlineStr">
        <is>
          <t>فبراير 2027</t>
        </is>
      </c>
      <c r="D125" s="159" t="n">
        <v>202702</v>
      </c>
      <c r="E125" s="159" t="n">
        <v>25</v>
      </c>
      <c r="F125" s="106">
        <f>IFERROR(IF(A125&lt;=INDEX(TermEnd,MATCH(A125,TermStart,1)),INDEX(TermNames,MATCH(A125,TermStart,1)),"إجازة"),"")</f>
        <v/>
      </c>
      <c r="G125" s="160">
        <f>IF(COUNTIFS(HolFrom,"&lt;="&amp;A125,HolTo,"&gt;="&amp;A125)&gt;0,"عطلة","")</f>
        <v/>
      </c>
      <c r="H125" s="106">
        <f>IF(OR(G125="عطلة",AND(WEEKDAY(A125,2)=5,FridaySchool="لا")),0,1)</f>
        <v/>
      </c>
      <c r="I125" s="106">
        <f>'KG1-1'!ET44+'KG1-2'!ET44+'KG1-3'!ET44+'KG1-4'!ET44+'KG1-5'!ET44+'KG1-6'!ET44+'KG1-7'!ET44</f>
        <v/>
      </c>
      <c r="J125" s="106">
        <f>'KG1-1'!ET43+'KG1-2'!ET43+'KG1-3'!ET43+'KG1-4'!ET43+'KG1-5'!ET43+'KG1-6'!ET43+'KG1-7'!ET43</f>
        <v/>
      </c>
      <c r="K125" s="106">
        <f>'KG1-1'!ET40+'KG1-2'!ET40+'KG1-3'!ET40+'KG1-4'!ET40+'KG1-5'!ET40+'KG1-6'!ET40+'KG1-7'!ET40</f>
        <v/>
      </c>
      <c r="L125" s="106">
        <f>'KG1-1'!ET41+'KG1-2'!ET41+'KG1-3'!ET41+'KG1-4'!ET41+'KG1-5'!ET41+'KG1-6'!ET41+'KG1-7'!ET41</f>
        <v/>
      </c>
      <c r="M125" s="106">
        <f>'KG1-1'!ET42+'KG1-2'!ET42+'KG1-3'!ET42+'KG1-4'!ET42+'KG1-5'!ET42+'KG1-6'!ET42+'KG1-7'!ET42</f>
        <v/>
      </c>
      <c r="N125" s="145">
        <f>IF(I125=0,"",(J125+IF(LateAsPresent="نعم",M125,0))/I125)</f>
        <v/>
      </c>
      <c r="O125" s="161">
        <f>IF(I125&gt;0,"نعم","")</f>
        <v/>
      </c>
      <c r="P125" s="159">
        <f>IF(I125&gt;0,COUNTIF($I$5:I125,"&gt;0"),"")</f>
        <v/>
      </c>
    </row>
    <row r="126">
      <c r="A126" s="105" t="n">
        <v>46434</v>
      </c>
      <c r="B126" s="106" t="inlineStr">
        <is>
          <t>الثلاثاء</t>
        </is>
      </c>
      <c r="C126" s="106" t="inlineStr">
        <is>
          <t>فبراير 2027</t>
        </is>
      </c>
      <c r="D126" s="159" t="n">
        <v>202702</v>
      </c>
      <c r="E126" s="159" t="n">
        <v>25</v>
      </c>
      <c r="F126" s="106">
        <f>IFERROR(IF(A126&lt;=INDEX(TermEnd,MATCH(A126,TermStart,1)),INDEX(TermNames,MATCH(A126,TermStart,1)),"إجازة"),"")</f>
        <v/>
      </c>
      <c r="G126" s="160">
        <f>IF(COUNTIFS(HolFrom,"&lt;="&amp;A126,HolTo,"&gt;="&amp;A126)&gt;0,"عطلة","")</f>
        <v/>
      </c>
      <c r="H126" s="106">
        <f>IF(OR(G126="عطلة",AND(WEEKDAY(A126,2)=5,FridaySchool="لا")),0,1)</f>
        <v/>
      </c>
      <c r="I126" s="106">
        <f>'KG1-1'!EU44+'KG1-2'!EU44+'KG1-3'!EU44+'KG1-4'!EU44+'KG1-5'!EU44+'KG1-6'!EU44+'KG1-7'!EU44</f>
        <v/>
      </c>
      <c r="J126" s="106">
        <f>'KG1-1'!EU43+'KG1-2'!EU43+'KG1-3'!EU43+'KG1-4'!EU43+'KG1-5'!EU43+'KG1-6'!EU43+'KG1-7'!EU43</f>
        <v/>
      </c>
      <c r="K126" s="106">
        <f>'KG1-1'!EU40+'KG1-2'!EU40+'KG1-3'!EU40+'KG1-4'!EU40+'KG1-5'!EU40+'KG1-6'!EU40+'KG1-7'!EU40</f>
        <v/>
      </c>
      <c r="L126" s="106">
        <f>'KG1-1'!EU41+'KG1-2'!EU41+'KG1-3'!EU41+'KG1-4'!EU41+'KG1-5'!EU41+'KG1-6'!EU41+'KG1-7'!EU41</f>
        <v/>
      </c>
      <c r="M126" s="106">
        <f>'KG1-1'!EU42+'KG1-2'!EU42+'KG1-3'!EU42+'KG1-4'!EU42+'KG1-5'!EU42+'KG1-6'!EU42+'KG1-7'!EU42</f>
        <v/>
      </c>
      <c r="N126" s="145">
        <f>IF(I126=0,"",(J126+IF(LateAsPresent="نعم",M126,0))/I126)</f>
        <v/>
      </c>
      <c r="O126" s="161">
        <f>IF(I126&gt;0,"نعم","")</f>
        <v/>
      </c>
      <c r="P126" s="159">
        <f>IF(I126&gt;0,COUNTIF($I$5:I126,"&gt;0"),"")</f>
        <v/>
      </c>
    </row>
    <row r="127">
      <c r="A127" s="105" t="n">
        <v>46435</v>
      </c>
      <c r="B127" s="106" t="inlineStr">
        <is>
          <t>الأربعاء</t>
        </is>
      </c>
      <c r="C127" s="106" t="inlineStr">
        <is>
          <t>فبراير 2027</t>
        </is>
      </c>
      <c r="D127" s="159" t="n">
        <v>202702</v>
      </c>
      <c r="E127" s="159" t="n">
        <v>25</v>
      </c>
      <c r="F127" s="106">
        <f>IFERROR(IF(A127&lt;=INDEX(TermEnd,MATCH(A127,TermStart,1)),INDEX(TermNames,MATCH(A127,TermStart,1)),"إجازة"),"")</f>
        <v/>
      </c>
      <c r="G127" s="160">
        <f>IF(COUNTIFS(HolFrom,"&lt;="&amp;A127,HolTo,"&gt;="&amp;A127)&gt;0,"عطلة","")</f>
        <v/>
      </c>
      <c r="H127" s="106">
        <f>IF(OR(G127="عطلة",AND(WEEKDAY(A127,2)=5,FridaySchool="لا")),0,1)</f>
        <v/>
      </c>
      <c r="I127" s="106">
        <f>'KG1-1'!EV44+'KG1-2'!EV44+'KG1-3'!EV44+'KG1-4'!EV44+'KG1-5'!EV44+'KG1-6'!EV44+'KG1-7'!EV44</f>
        <v/>
      </c>
      <c r="J127" s="106">
        <f>'KG1-1'!EV43+'KG1-2'!EV43+'KG1-3'!EV43+'KG1-4'!EV43+'KG1-5'!EV43+'KG1-6'!EV43+'KG1-7'!EV43</f>
        <v/>
      </c>
      <c r="K127" s="106">
        <f>'KG1-1'!EV40+'KG1-2'!EV40+'KG1-3'!EV40+'KG1-4'!EV40+'KG1-5'!EV40+'KG1-6'!EV40+'KG1-7'!EV40</f>
        <v/>
      </c>
      <c r="L127" s="106">
        <f>'KG1-1'!EV41+'KG1-2'!EV41+'KG1-3'!EV41+'KG1-4'!EV41+'KG1-5'!EV41+'KG1-6'!EV41+'KG1-7'!EV41</f>
        <v/>
      </c>
      <c r="M127" s="106">
        <f>'KG1-1'!EV42+'KG1-2'!EV42+'KG1-3'!EV42+'KG1-4'!EV42+'KG1-5'!EV42+'KG1-6'!EV42+'KG1-7'!EV42</f>
        <v/>
      </c>
      <c r="N127" s="145">
        <f>IF(I127=0,"",(J127+IF(LateAsPresent="نعم",M127,0))/I127)</f>
        <v/>
      </c>
      <c r="O127" s="161">
        <f>IF(I127&gt;0,"نعم","")</f>
        <v/>
      </c>
      <c r="P127" s="159">
        <f>IF(I127&gt;0,COUNTIF($I$5:I127,"&gt;0"),"")</f>
        <v/>
      </c>
    </row>
    <row r="128">
      <c r="A128" s="105" t="n">
        <v>46436</v>
      </c>
      <c r="B128" s="106" t="inlineStr">
        <is>
          <t>الخميس</t>
        </is>
      </c>
      <c r="C128" s="106" t="inlineStr">
        <is>
          <t>فبراير 2027</t>
        </is>
      </c>
      <c r="D128" s="159" t="n">
        <v>202702</v>
      </c>
      <c r="E128" s="159" t="n">
        <v>25</v>
      </c>
      <c r="F128" s="106">
        <f>IFERROR(IF(A128&lt;=INDEX(TermEnd,MATCH(A128,TermStart,1)),INDEX(TermNames,MATCH(A128,TermStart,1)),"إجازة"),"")</f>
        <v/>
      </c>
      <c r="G128" s="160">
        <f>IF(COUNTIFS(HolFrom,"&lt;="&amp;A128,HolTo,"&gt;="&amp;A128)&gt;0,"عطلة","")</f>
        <v/>
      </c>
      <c r="H128" s="106">
        <f>IF(OR(G128="عطلة",AND(WEEKDAY(A128,2)=5,FridaySchool="لا")),0,1)</f>
        <v/>
      </c>
      <c r="I128" s="106">
        <f>'KG1-1'!EW44+'KG1-2'!EW44+'KG1-3'!EW44+'KG1-4'!EW44+'KG1-5'!EW44+'KG1-6'!EW44+'KG1-7'!EW44</f>
        <v/>
      </c>
      <c r="J128" s="106">
        <f>'KG1-1'!EW43+'KG1-2'!EW43+'KG1-3'!EW43+'KG1-4'!EW43+'KG1-5'!EW43+'KG1-6'!EW43+'KG1-7'!EW43</f>
        <v/>
      </c>
      <c r="K128" s="106">
        <f>'KG1-1'!EW40+'KG1-2'!EW40+'KG1-3'!EW40+'KG1-4'!EW40+'KG1-5'!EW40+'KG1-6'!EW40+'KG1-7'!EW40</f>
        <v/>
      </c>
      <c r="L128" s="106">
        <f>'KG1-1'!EW41+'KG1-2'!EW41+'KG1-3'!EW41+'KG1-4'!EW41+'KG1-5'!EW41+'KG1-6'!EW41+'KG1-7'!EW41</f>
        <v/>
      </c>
      <c r="M128" s="106">
        <f>'KG1-1'!EW42+'KG1-2'!EW42+'KG1-3'!EW42+'KG1-4'!EW42+'KG1-5'!EW42+'KG1-6'!EW42+'KG1-7'!EW42</f>
        <v/>
      </c>
      <c r="N128" s="145">
        <f>IF(I128=0,"",(J128+IF(LateAsPresent="نعم",M128,0))/I128)</f>
        <v/>
      </c>
      <c r="O128" s="161">
        <f>IF(I128&gt;0,"نعم","")</f>
        <v/>
      </c>
      <c r="P128" s="159">
        <f>IF(I128&gt;0,COUNTIF($I$5:I128,"&gt;0"),"")</f>
        <v/>
      </c>
    </row>
    <row r="129">
      <c r="A129" s="105" t="n">
        <v>46437</v>
      </c>
      <c r="B129" s="106" t="inlineStr">
        <is>
          <t>الجمعة</t>
        </is>
      </c>
      <c r="C129" s="106" t="inlineStr">
        <is>
          <t>فبراير 2027</t>
        </is>
      </c>
      <c r="D129" s="159" t="n">
        <v>202702</v>
      </c>
      <c r="E129" s="159" t="n">
        <v>25</v>
      </c>
      <c r="F129" s="106">
        <f>IFERROR(IF(A129&lt;=INDEX(TermEnd,MATCH(A129,TermStart,1)),INDEX(TermNames,MATCH(A129,TermStart,1)),"إجازة"),"")</f>
        <v/>
      </c>
      <c r="G129" s="160">
        <f>IF(COUNTIFS(HolFrom,"&lt;="&amp;A129,HolTo,"&gt;="&amp;A129)&gt;0,"عطلة","")</f>
        <v/>
      </c>
      <c r="H129" s="106">
        <f>IF(OR(G129="عطلة",AND(WEEKDAY(A129,2)=5,FridaySchool="لا")),0,1)</f>
        <v/>
      </c>
      <c r="I129" s="106">
        <f>'KG1-1'!EX44+'KG1-2'!EX44+'KG1-3'!EX44+'KG1-4'!EX44+'KG1-5'!EX44+'KG1-6'!EX44+'KG1-7'!EX44</f>
        <v/>
      </c>
      <c r="J129" s="106">
        <f>'KG1-1'!EX43+'KG1-2'!EX43+'KG1-3'!EX43+'KG1-4'!EX43+'KG1-5'!EX43+'KG1-6'!EX43+'KG1-7'!EX43</f>
        <v/>
      </c>
      <c r="K129" s="106">
        <f>'KG1-1'!EX40+'KG1-2'!EX40+'KG1-3'!EX40+'KG1-4'!EX40+'KG1-5'!EX40+'KG1-6'!EX40+'KG1-7'!EX40</f>
        <v/>
      </c>
      <c r="L129" s="106">
        <f>'KG1-1'!EX41+'KG1-2'!EX41+'KG1-3'!EX41+'KG1-4'!EX41+'KG1-5'!EX41+'KG1-6'!EX41+'KG1-7'!EX41</f>
        <v/>
      </c>
      <c r="M129" s="106">
        <f>'KG1-1'!EX42+'KG1-2'!EX42+'KG1-3'!EX42+'KG1-4'!EX42+'KG1-5'!EX42+'KG1-6'!EX42+'KG1-7'!EX42</f>
        <v/>
      </c>
      <c r="N129" s="145">
        <f>IF(I129=0,"",(J129+IF(LateAsPresent="نعم",M129,0))/I129)</f>
        <v/>
      </c>
      <c r="O129" s="161">
        <f>IF(I129&gt;0,"نعم","")</f>
        <v/>
      </c>
      <c r="P129" s="159">
        <f>IF(I129&gt;0,COUNTIF($I$5:I129,"&gt;0"),"")</f>
        <v/>
      </c>
    </row>
    <row r="130">
      <c r="A130" s="105" t="n">
        <v>46440</v>
      </c>
      <c r="B130" s="106" t="inlineStr">
        <is>
          <t>الاثنين</t>
        </is>
      </c>
      <c r="C130" s="106" t="inlineStr">
        <is>
          <t>فبراير 2027</t>
        </is>
      </c>
      <c r="D130" s="159" t="n">
        <v>202702</v>
      </c>
      <c r="E130" s="159" t="n">
        <v>26</v>
      </c>
      <c r="F130" s="106">
        <f>IFERROR(IF(A130&lt;=INDEX(TermEnd,MATCH(A130,TermStart,1)),INDEX(TermNames,MATCH(A130,TermStart,1)),"إجازة"),"")</f>
        <v/>
      </c>
      <c r="G130" s="160">
        <f>IF(COUNTIFS(HolFrom,"&lt;="&amp;A130,HolTo,"&gt;="&amp;A130)&gt;0,"عطلة","")</f>
        <v/>
      </c>
      <c r="H130" s="106">
        <f>IF(OR(G130="عطلة",AND(WEEKDAY(A130,2)=5,FridaySchool="لا")),0,1)</f>
        <v/>
      </c>
      <c r="I130" s="106">
        <f>'KG1-1'!EY44+'KG1-2'!EY44+'KG1-3'!EY44+'KG1-4'!EY44+'KG1-5'!EY44+'KG1-6'!EY44+'KG1-7'!EY44</f>
        <v/>
      </c>
      <c r="J130" s="106">
        <f>'KG1-1'!EY43+'KG1-2'!EY43+'KG1-3'!EY43+'KG1-4'!EY43+'KG1-5'!EY43+'KG1-6'!EY43+'KG1-7'!EY43</f>
        <v/>
      </c>
      <c r="K130" s="106">
        <f>'KG1-1'!EY40+'KG1-2'!EY40+'KG1-3'!EY40+'KG1-4'!EY40+'KG1-5'!EY40+'KG1-6'!EY40+'KG1-7'!EY40</f>
        <v/>
      </c>
      <c r="L130" s="106">
        <f>'KG1-1'!EY41+'KG1-2'!EY41+'KG1-3'!EY41+'KG1-4'!EY41+'KG1-5'!EY41+'KG1-6'!EY41+'KG1-7'!EY41</f>
        <v/>
      </c>
      <c r="M130" s="106">
        <f>'KG1-1'!EY42+'KG1-2'!EY42+'KG1-3'!EY42+'KG1-4'!EY42+'KG1-5'!EY42+'KG1-6'!EY42+'KG1-7'!EY42</f>
        <v/>
      </c>
      <c r="N130" s="145">
        <f>IF(I130=0,"",(J130+IF(LateAsPresent="نعم",M130,0))/I130)</f>
        <v/>
      </c>
      <c r="O130" s="161">
        <f>IF(I130&gt;0,"نعم","")</f>
        <v/>
      </c>
      <c r="P130" s="159">
        <f>IF(I130&gt;0,COUNTIF($I$5:I130,"&gt;0"),"")</f>
        <v/>
      </c>
    </row>
    <row r="131">
      <c r="A131" s="105" t="n">
        <v>46441</v>
      </c>
      <c r="B131" s="106" t="inlineStr">
        <is>
          <t>الثلاثاء</t>
        </is>
      </c>
      <c r="C131" s="106" t="inlineStr">
        <is>
          <t>فبراير 2027</t>
        </is>
      </c>
      <c r="D131" s="159" t="n">
        <v>202702</v>
      </c>
      <c r="E131" s="159" t="n">
        <v>26</v>
      </c>
      <c r="F131" s="106">
        <f>IFERROR(IF(A131&lt;=INDEX(TermEnd,MATCH(A131,TermStart,1)),INDEX(TermNames,MATCH(A131,TermStart,1)),"إجازة"),"")</f>
        <v/>
      </c>
      <c r="G131" s="160">
        <f>IF(COUNTIFS(HolFrom,"&lt;="&amp;A131,HolTo,"&gt;="&amp;A131)&gt;0,"عطلة","")</f>
        <v/>
      </c>
      <c r="H131" s="106">
        <f>IF(OR(G131="عطلة",AND(WEEKDAY(A131,2)=5,FridaySchool="لا")),0,1)</f>
        <v/>
      </c>
      <c r="I131" s="106">
        <f>'KG1-1'!EZ44+'KG1-2'!EZ44+'KG1-3'!EZ44+'KG1-4'!EZ44+'KG1-5'!EZ44+'KG1-6'!EZ44+'KG1-7'!EZ44</f>
        <v/>
      </c>
      <c r="J131" s="106">
        <f>'KG1-1'!EZ43+'KG1-2'!EZ43+'KG1-3'!EZ43+'KG1-4'!EZ43+'KG1-5'!EZ43+'KG1-6'!EZ43+'KG1-7'!EZ43</f>
        <v/>
      </c>
      <c r="K131" s="106">
        <f>'KG1-1'!EZ40+'KG1-2'!EZ40+'KG1-3'!EZ40+'KG1-4'!EZ40+'KG1-5'!EZ40+'KG1-6'!EZ40+'KG1-7'!EZ40</f>
        <v/>
      </c>
      <c r="L131" s="106">
        <f>'KG1-1'!EZ41+'KG1-2'!EZ41+'KG1-3'!EZ41+'KG1-4'!EZ41+'KG1-5'!EZ41+'KG1-6'!EZ41+'KG1-7'!EZ41</f>
        <v/>
      </c>
      <c r="M131" s="106">
        <f>'KG1-1'!EZ42+'KG1-2'!EZ42+'KG1-3'!EZ42+'KG1-4'!EZ42+'KG1-5'!EZ42+'KG1-6'!EZ42+'KG1-7'!EZ42</f>
        <v/>
      </c>
      <c r="N131" s="145">
        <f>IF(I131=0,"",(J131+IF(LateAsPresent="نعم",M131,0))/I131)</f>
        <v/>
      </c>
      <c r="O131" s="161">
        <f>IF(I131&gt;0,"نعم","")</f>
        <v/>
      </c>
      <c r="P131" s="159">
        <f>IF(I131&gt;0,COUNTIF($I$5:I131,"&gt;0"),"")</f>
        <v/>
      </c>
    </row>
    <row r="132">
      <c r="A132" s="105" t="n">
        <v>46442</v>
      </c>
      <c r="B132" s="106" t="inlineStr">
        <is>
          <t>الأربعاء</t>
        </is>
      </c>
      <c r="C132" s="106" t="inlineStr">
        <is>
          <t>فبراير 2027</t>
        </is>
      </c>
      <c r="D132" s="159" t="n">
        <v>202702</v>
      </c>
      <c r="E132" s="159" t="n">
        <v>26</v>
      </c>
      <c r="F132" s="106">
        <f>IFERROR(IF(A132&lt;=INDEX(TermEnd,MATCH(A132,TermStart,1)),INDEX(TermNames,MATCH(A132,TermStart,1)),"إجازة"),"")</f>
        <v/>
      </c>
      <c r="G132" s="160">
        <f>IF(COUNTIFS(HolFrom,"&lt;="&amp;A132,HolTo,"&gt;="&amp;A132)&gt;0,"عطلة","")</f>
        <v/>
      </c>
      <c r="H132" s="106">
        <f>IF(OR(G132="عطلة",AND(WEEKDAY(A132,2)=5,FridaySchool="لا")),0,1)</f>
        <v/>
      </c>
      <c r="I132" s="106">
        <f>'KG1-1'!FA44+'KG1-2'!FA44+'KG1-3'!FA44+'KG1-4'!FA44+'KG1-5'!FA44+'KG1-6'!FA44+'KG1-7'!FA44</f>
        <v/>
      </c>
      <c r="J132" s="106">
        <f>'KG1-1'!FA43+'KG1-2'!FA43+'KG1-3'!FA43+'KG1-4'!FA43+'KG1-5'!FA43+'KG1-6'!FA43+'KG1-7'!FA43</f>
        <v/>
      </c>
      <c r="K132" s="106">
        <f>'KG1-1'!FA40+'KG1-2'!FA40+'KG1-3'!FA40+'KG1-4'!FA40+'KG1-5'!FA40+'KG1-6'!FA40+'KG1-7'!FA40</f>
        <v/>
      </c>
      <c r="L132" s="106">
        <f>'KG1-1'!FA41+'KG1-2'!FA41+'KG1-3'!FA41+'KG1-4'!FA41+'KG1-5'!FA41+'KG1-6'!FA41+'KG1-7'!FA41</f>
        <v/>
      </c>
      <c r="M132" s="106">
        <f>'KG1-1'!FA42+'KG1-2'!FA42+'KG1-3'!FA42+'KG1-4'!FA42+'KG1-5'!FA42+'KG1-6'!FA42+'KG1-7'!FA42</f>
        <v/>
      </c>
      <c r="N132" s="145">
        <f>IF(I132=0,"",(J132+IF(LateAsPresent="نعم",M132,0))/I132)</f>
        <v/>
      </c>
      <c r="O132" s="161">
        <f>IF(I132&gt;0,"نعم","")</f>
        <v/>
      </c>
      <c r="P132" s="159">
        <f>IF(I132&gt;0,COUNTIF($I$5:I132,"&gt;0"),"")</f>
        <v/>
      </c>
    </row>
    <row r="133">
      <c r="A133" s="105" t="n">
        <v>46443</v>
      </c>
      <c r="B133" s="106" t="inlineStr">
        <is>
          <t>الخميس</t>
        </is>
      </c>
      <c r="C133" s="106" t="inlineStr">
        <is>
          <t>فبراير 2027</t>
        </is>
      </c>
      <c r="D133" s="159" t="n">
        <v>202702</v>
      </c>
      <c r="E133" s="159" t="n">
        <v>26</v>
      </c>
      <c r="F133" s="106">
        <f>IFERROR(IF(A133&lt;=INDEX(TermEnd,MATCH(A133,TermStart,1)),INDEX(TermNames,MATCH(A133,TermStart,1)),"إجازة"),"")</f>
        <v/>
      </c>
      <c r="G133" s="160">
        <f>IF(COUNTIFS(HolFrom,"&lt;="&amp;A133,HolTo,"&gt;="&amp;A133)&gt;0,"عطلة","")</f>
        <v/>
      </c>
      <c r="H133" s="106">
        <f>IF(OR(G133="عطلة",AND(WEEKDAY(A133,2)=5,FridaySchool="لا")),0,1)</f>
        <v/>
      </c>
      <c r="I133" s="106">
        <f>'KG1-1'!FB44+'KG1-2'!FB44+'KG1-3'!FB44+'KG1-4'!FB44+'KG1-5'!FB44+'KG1-6'!FB44+'KG1-7'!FB44</f>
        <v/>
      </c>
      <c r="J133" s="106">
        <f>'KG1-1'!FB43+'KG1-2'!FB43+'KG1-3'!FB43+'KG1-4'!FB43+'KG1-5'!FB43+'KG1-6'!FB43+'KG1-7'!FB43</f>
        <v/>
      </c>
      <c r="K133" s="106">
        <f>'KG1-1'!FB40+'KG1-2'!FB40+'KG1-3'!FB40+'KG1-4'!FB40+'KG1-5'!FB40+'KG1-6'!FB40+'KG1-7'!FB40</f>
        <v/>
      </c>
      <c r="L133" s="106">
        <f>'KG1-1'!FB41+'KG1-2'!FB41+'KG1-3'!FB41+'KG1-4'!FB41+'KG1-5'!FB41+'KG1-6'!FB41+'KG1-7'!FB41</f>
        <v/>
      </c>
      <c r="M133" s="106">
        <f>'KG1-1'!FB42+'KG1-2'!FB42+'KG1-3'!FB42+'KG1-4'!FB42+'KG1-5'!FB42+'KG1-6'!FB42+'KG1-7'!FB42</f>
        <v/>
      </c>
      <c r="N133" s="145">
        <f>IF(I133=0,"",(J133+IF(LateAsPresent="نعم",M133,0))/I133)</f>
        <v/>
      </c>
      <c r="O133" s="161">
        <f>IF(I133&gt;0,"نعم","")</f>
        <v/>
      </c>
      <c r="P133" s="159">
        <f>IF(I133&gt;0,COUNTIF($I$5:I133,"&gt;0"),"")</f>
        <v/>
      </c>
    </row>
    <row r="134">
      <c r="A134" s="105" t="n">
        <v>46444</v>
      </c>
      <c r="B134" s="106" t="inlineStr">
        <is>
          <t>الجمعة</t>
        </is>
      </c>
      <c r="C134" s="106" t="inlineStr">
        <is>
          <t>فبراير 2027</t>
        </is>
      </c>
      <c r="D134" s="159" t="n">
        <v>202702</v>
      </c>
      <c r="E134" s="159" t="n">
        <v>26</v>
      </c>
      <c r="F134" s="106">
        <f>IFERROR(IF(A134&lt;=INDEX(TermEnd,MATCH(A134,TermStart,1)),INDEX(TermNames,MATCH(A134,TermStart,1)),"إجازة"),"")</f>
        <v/>
      </c>
      <c r="G134" s="160">
        <f>IF(COUNTIFS(HolFrom,"&lt;="&amp;A134,HolTo,"&gt;="&amp;A134)&gt;0,"عطلة","")</f>
        <v/>
      </c>
      <c r="H134" s="106">
        <f>IF(OR(G134="عطلة",AND(WEEKDAY(A134,2)=5,FridaySchool="لا")),0,1)</f>
        <v/>
      </c>
      <c r="I134" s="106">
        <f>'KG1-1'!FC44+'KG1-2'!FC44+'KG1-3'!FC44+'KG1-4'!FC44+'KG1-5'!FC44+'KG1-6'!FC44+'KG1-7'!FC44</f>
        <v/>
      </c>
      <c r="J134" s="106">
        <f>'KG1-1'!FC43+'KG1-2'!FC43+'KG1-3'!FC43+'KG1-4'!FC43+'KG1-5'!FC43+'KG1-6'!FC43+'KG1-7'!FC43</f>
        <v/>
      </c>
      <c r="K134" s="106">
        <f>'KG1-1'!FC40+'KG1-2'!FC40+'KG1-3'!FC40+'KG1-4'!FC40+'KG1-5'!FC40+'KG1-6'!FC40+'KG1-7'!FC40</f>
        <v/>
      </c>
      <c r="L134" s="106">
        <f>'KG1-1'!FC41+'KG1-2'!FC41+'KG1-3'!FC41+'KG1-4'!FC41+'KG1-5'!FC41+'KG1-6'!FC41+'KG1-7'!FC41</f>
        <v/>
      </c>
      <c r="M134" s="106">
        <f>'KG1-1'!FC42+'KG1-2'!FC42+'KG1-3'!FC42+'KG1-4'!FC42+'KG1-5'!FC42+'KG1-6'!FC42+'KG1-7'!FC42</f>
        <v/>
      </c>
      <c r="N134" s="145">
        <f>IF(I134=0,"",(J134+IF(LateAsPresent="نعم",M134,0))/I134)</f>
        <v/>
      </c>
      <c r="O134" s="161">
        <f>IF(I134&gt;0,"نعم","")</f>
        <v/>
      </c>
      <c r="P134" s="159">
        <f>IF(I134&gt;0,COUNTIF($I$5:I134,"&gt;0"),"")</f>
        <v/>
      </c>
    </row>
    <row r="135">
      <c r="A135" s="105" t="n">
        <v>46447</v>
      </c>
      <c r="B135" s="106" t="inlineStr">
        <is>
          <t>الاثنين</t>
        </is>
      </c>
      <c r="C135" s="106" t="inlineStr">
        <is>
          <t>مارس 2027</t>
        </is>
      </c>
      <c r="D135" s="159" t="n">
        <v>202703</v>
      </c>
      <c r="E135" s="159" t="n">
        <v>27</v>
      </c>
      <c r="F135" s="106">
        <f>IFERROR(IF(A135&lt;=INDEX(TermEnd,MATCH(A135,TermStart,1)),INDEX(TermNames,MATCH(A135,TermStart,1)),"إجازة"),"")</f>
        <v/>
      </c>
      <c r="G135" s="160">
        <f>IF(COUNTIFS(HolFrom,"&lt;="&amp;A135,HolTo,"&gt;="&amp;A135)&gt;0,"عطلة","")</f>
        <v/>
      </c>
      <c r="H135" s="106">
        <f>IF(OR(G135="عطلة",AND(WEEKDAY(A135,2)=5,FridaySchool="لا")),0,1)</f>
        <v/>
      </c>
      <c r="I135" s="106">
        <f>'KG1-1'!FD44+'KG1-2'!FD44+'KG1-3'!FD44+'KG1-4'!FD44+'KG1-5'!FD44+'KG1-6'!FD44+'KG1-7'!FD44</f>
        <v/>
      </c>
      <c r="J135" s="106">
        <f>'KG1-1'!FD43+'KG1-2'!FD43+'KG1-3'!FD43+'KG1-4'!FD43+'KG1-5'!FD43+'KG1-6'!FD43+'KG1-7'!FD43</f>
        <v/>
      </c>
      <c r="K135" s="106">
        <f>'KG1-1'!FD40+'KG1-2'!FD40+'KG1-3'!FD40+'KG1-4'!FD40+'KG1-5'!FD40+'KG1-6'!FD40+'KG1-7'!FD40</f>
        <v/>
      </c>
      <c r="L135" s="106">
        <f>'KG1-1'!FD41+'KG1-2'!FD41+'KG1-3'!FD41+'KG1-4'!FD41+'KG1-5'!FD41+'KG1-6'!FD41+'KG1-7'!FD41</f>
        <v/>
      </c>
      <c r="M135" s="106">
        <f>'KG1-1'!FD42+'KG1-2'!FD42+'KG1-3'!FD42+'KG1-4'!FD42+'KG1-5'!FD42+'KG1-6'!FD42+'KG1-7'!FD42</f>
        <v/>
      </c>
      <c r="N135" s="145">
        <f>IF(I135=0,"",(J135+IF(LateAsPresent="نعم",M135,0))/I135)</f>
        <v/>
      </c>
      <c r="O135" s="161">
        <f>IF(I135&gt;0,"نعم","")</f>
        <v/>
      </c>
      <c r="P135" s="159">
        <f>IF(I135&gt;0,COUNTIF($I$5:I135,"&gt;0"),"")</f>
        <v/>
      </c>
    </row>
    <row r="136">
      <c r="A136" s="105" t="n">
        <v>46448</v>
      </c>
      <c r="B136" s="106" t="inlineStr">
        <is>
          <t>الثلاثاء</t>
        </is>
      </c>
      <c r="C136" s="106" t="inlineStr">
        <is>
          <t>مارس 2027</t>
        </is>
      </c>
      <c r="D136" s="159" t="n">
        <v>202703</v>
      </c>
      <c r="E136" s="159" t="n">
        <v>27</v>
      </c>
      <c r="F136" s="106">
        <f>IFERROR(IF(A136&lt;=INDEX(TermEnd,MATCH(A136,TermStart,1)),INDEX(TermNames,MATCH(A136,TermStart,1)),"إجازة"),"")</f>
        <v/>
      </c>
      <c r="G136" s="160">
        <f>IF(COUNTIFS(HolFrom,"&lt;="&amp;A136,HolTo,"&gt;="&amp;A136)&gt;0,"عطلة","")</f>
        <v/>
      </c>
      <c r="H136" s="106">
        <f>IF(OR(G136="عطلة",AND(WEEKDAY(A136,2)=5,FridaySchool="لا")),0,1)</f>
        <v/>
      </c>
      <c r="I136" s="106">
        <f>'KG1-1'!FE44+'KG1-2'!FE44+'KG1-3'!FE44+'KG1-4'!FE44+'KG1-5'!FE44+'KG1-6'!FE44+'KG1-7'!FE44</f>
        <v/>
      </c>
      <c r="J136" s="106">
        <f>'KG1-1'!FE43+'KG1-2'!FE43+'KG1-3'!FE43+'KG1-4'!FE43+'KG1-5'!FE43+'KG1-6'!FE43+'KG1-7'!FE43</f>
        <v/>
      </c>
      <c r="K136" s="106">
        <f>'KG1-1'!FE40+'KG1-2'!FE40+'KG1-3'!FE40+'KG1-4'!FE40+'KG1-5'!FE40+'KG1-6'!FE40+'KG1-7'!FE40</f>
        <v/>
      </c>
      <c r="L136" s="106">
        <f>'KG1-1'!FE41+'KG1-2'!FE41+'KG1-3'!FE41+'KG1-4'!FE41+'KG1-5'!FE41+'KG1-6'!FE41+'KG1-7'!FE41</f>
        <v/>
      </c>
      <c r="M136" s="106">
        <f>'KG1-1'!FE42+'KG1-2'!FE42+'KG1-3'!FE42+'KG1-4'!FE42+'KG1-5'!FE42+'KG1-6'!FE42+'KG1-7'!FE42</f>
        <v/>
      </c>
      <c r="N136" s="145">
        <f>IF(I136=0,"",(J136+IF(LateAsPresent="نعم",M136,0))/I136)</f>
        <v/>
      </c>
      <c r="O136" s="161">
        <f>IF(I136&gt;0,"نعم","")</f>
        <v/>
      </c>
      <c r="P136" s="159">
        <f>IF(I136&gt;0,COUNTIF($I$5:I136,"&gt;0"),"")</f>
        <v/>
      </c>
    </row>
    <row r="137">
      <c r="A137" s="105" t="n">
        <v>46449</v>
      </c>
      <c r="B137" s="106" t="inlineStr">
        <is>
          <t>الأربعاء</t>
        </is>
      </c>
      <c r="C137" s="106" t="inlineStr">
        <is>
          <t>مارس 2027</t>
        </is>
      </c>
      <c r="D137" s="159" t="n">
        <v>202703</v>
      </c>
      <c r="E137" s="159" t="n">
        <v>27</v>
      </c>
      <c r="F137" s="106">
        <f>IFERROR(IF(A137&lt;=INDEX(TermEnd,MATCH(A137,TermStart,1)),INDEX(TermNames,MATCH(A137,TermStart,1)),"إجازة"),"")</f>
        <v/>
      </c>
      <c r="G137" s="160">
        <f>IF(COUNTIFS(HolFrom,"&lt;="&amp;A137,HolTo,"&gt;="&amp;A137)&gt;0,"عطلة","")</f>
        <v/>
      </c>
      <c r="H137" s="106">
        <f>IF(OR(G137="عطلة",AND(WEEKDAY(A137,2)=5,FridaySchool="لا")),0,1)</f>
        <v/>
      </c>
      <c r="I137" s="106">
        <f>'KG1-1'!FF44+'KG1-2'!FF44+'KG1-3'!FF44+'KG1-4'!FF44+'KG1-5'!FF44+'KG1-6'!FF44+'KG1-7'!FF44</f>
        <v/>
      </c>
      <c r="J137" s="106">
        <f>'KG1-1'!FF43+'KG1-2'!FF43+'KG1-3'!FF43+'KG1-4'!FF43+'KG1-5'!FF43+'KG1-6'!FF43+'KG1-7'!FF43</f>
        <v/>
      </c>
      <c r="K137" s="106">
        <f>'KG1-1'!FF40+'KG1-2'!FF40+'KG1-3'!FF40+'KG1-4'!FF40+'KG1-5'!FF40+'KG1-6'!FF40+'KG1-7'!FF40</f>
        <v/>
      </c>
      <c r="L137" s="106">
        <f>'KG1-1'!FF41+'KG1-2'!FF41+'KG1-3'!FF41+'KG1-4'!FF41+'KG1-5'!FF41+'KG1-6'!FF41+'KG1-7'!FF41</f>
        <v/>
      </c>
      <c r="M137" s="106">
        <f>'KG1-1'!FF42+'KG1-2'!FF42+'KG1-3'!FF42+'KG1-4'!FF42+'KG1-5'!FF42+'KG1-6'!FF42+'KG1-7'!FF42</f>
        <v/>
      </c>
      <c r="N137" s="145">
        <f>IF(I137=0,"",(J137+IF(LateAsPresent="نعم",M137,0))/I137)</f>
        <v/>
      </c>
      <c r="O137" s="161">
        <f>IF(I137&gt;0,"نعم","")</f>
        <v/>
      </c>
      <c r="P137" s="159">
        <f>IF(I137&gt;0,COUNTIF($I$5:I137,"&gt;0"),"")</f>
        <v/>
      </c>
    </row>
    <row r="138">
      <c r="A138" s="105" t="n">
        <v>46450</v>
      </c>
      <c r="B138" s="106" t="inlineStr">
        <is>
          <t>الخميس</t>
        </is>
      </c>
      <c r="C138" s="106" t="inlineStr">
        <is>
          <t>مارس 2027</t>
        </is>
      </c>
      <c r="D138" s="159" t="n">
        <v>202703</v>
      </c>
      <c r="E138" s="159" t="n">
        <v>27</v>
      </c>
      <c r="F138" s="106">
        <f>IFERROR(IF(A138&lt;=INDEX(TermEnd,MATCH(A138,TermStart,1)),INDEX(TermNames,MATCH(A138,TermStart,1)),"إجازة"),"")</f>
        <v/>
      </c>
      <c r="G138" s="160">
        <f>IF(COUNTIFS(HolFrom,"&lt;="&amp;A138,HolTo,"&gt;="&amp;A138)&gt;0,"عطلة","")</f>
        <v/>
      </c>
      <c r="H138" s="106">
        <f>IF(OR(G138="عطلة",AND(WEEKDAY(A138,2)=5,FridaySchool="لا")),0,1)</f>
        <v/>
      </c>
      <c r="I138" s="106">
        <f>'KG1-1'!FG44+'KG1-2'!FG44+'KG1-3'!FG44+'KG1-4'!FG44+'KG1-5'!FG44+'KG1-6'!FG44+'KG1-7'!FG44</f>
        <v/>
      </c>
      <c r="J138" s="106">
        <f>'KG1-1'!FG43+'KG1-2'!FG43+'KG1-3'!FG43+'KG1-4'!FG43+'KG1-5'!FG43+'KG1-6'!FG43+'KG1-7'!FG43</f>
        <v/>
      </c>
      <c r="K138" s="106">
        <f>'KG1-1'!FG40+'KG1-2'!FG40+'KG1-3'!FG40+'KG1-4'!FG40+'KG1-5'!FG40+'KG1-6'!FG40+'KG1-7'!FG40</f>
        <v/>
      </c>
      <c r="L138" s="106">
        <f>'KG1-1'!FG41+'KG1-2'!FG41+'KG1-3'!FG41+'KG1-4'!FG41+'KG1-5'!FG41+'KG1-6'!FG41+'KG1-7'!FG41</f>
        <v/>
      </c>
      <c r="M138" s="106">
        <f>'KG1-1'!FG42+'KG1-2'!FG42+'KG1-3'!FG42+'KG1-4'!FG42+'KG1-5'!FG42+'KG1-6'!FG42+'KG1-7'!FG42</f>
        <v/>
      </c>
      <c r="N138" s="145">
        <f>IF(I138=0,"",(J138+IF(LateAsPresent="نعم",M138,0))/I138)</f>
        <v/>
      </c>
      <c r="O138" s="161">
        <f>IF(I138&gt;0,"نعم","")</f>
        <v/>
      </c>
      <c r="P138" s="159">
        <f>IF(I138&gt;0,COUNTIF($I$5:I138,"&gt;0"),"")</f>
        <v/>
      </c>
    </row>
    <row r="139">
      <c r="A139" s="105" t="n">
        <v>46451</v>
      </c>
      <c r="B139" s="106" t="inlineStr">
        <is>
          <t>الجمعة</t>
        </is>
      </c>
      <c r="C139" s="106" t="inlineStr">
        <is>
          <t>مارس 2027</t>
        </is>
      </c>
      <c r="D139" s="159" t="n">
        <v>202703</v>
      </c>
      <c r="E139" s="159" t="n">
        <v>27</v>
      </c>
      <c r="F139" s="106">
        <f>IFERROR(IF(A139&lt;=INDEX(TermEnd,MATCH(A139,TermStart,1)),INDEX(TermNames,MATCH(A139,TermStart,1)),"إجازة"),"")</f>
        <v/>
      </c>
      <c r="G139" s="160">
        <f>IF(COUNTIFS(HolFrom,"&lt;="&amp;A139,HolTo,"&gt;="&amp;A139)&gt;0,"عطلة","")</f>
        <v/>
      </c>
      <c r="H139" s="106">
        <f>IF(OR(G139="عطلة",AND(WEEKDAY(A139,2)=5,FridaySchool="لا")),0,1)</f>
        <v/>
      </c>
      <c r="I139" s="106">
        <f>'KG1-1'!FH44+'KG1-2'!FH44+'KG1-3'!FH44+'KG1-4'!FH44+'KG1-5'!FH44+'KG1-6'!FH44+'KG1-7'!FH44</f>
        <v/>
      </c>
      <c r="J139" s="106">
        <f>'KG1-1'!FH43+'KG1-2'!FH43+'KG1-3'!FH43+'KG1-4'!FH43+'KG1-5'!FH43+'KG1-6'!FH43+'KG1-7'!FH43</f>
        <v/>
      </c>
      <c r="K139" s="106">
        <f>'KG1-1'!FH40+'KG1-2'!FH40+'KG1-3'!FH40+'KG1-4'!FH40+'KG1-5'!FH40+'KG1-6'!FH40+'KG1-7'!FH40</f>
        <v/>
      </c>
      <c r="L139" s="106">
        <f>'KG1-1'!FH41+'KG1-2'!FH41+'KG1-3'!FH41+'KG1-4'!FH41+'KG1-5'!FH41+'KG1-6'!FH41+'KG1-7'!FH41</f>
        <v/>
      </c>
      <c r="M139" s="106">
        <f>'KG1-1'!FH42+'KG1-2'!FH42+'KG1-3'!FH42+'KG1-4'!FH42+'KG1-5'!FH42+'KG1-6'!FH42+'KG1-7'!FH42</f>
        <v/>
      </c>
      <c r="N139" s="145">
        <f>IF(I139=0,"",(J139+IF(LateAsPresent="نعم",M139,0))/I139)</f>
        <v/>
      </c>
      <c r="O139" s="161">
        <f>IF(I139&gt;0,"نعم","")</f>
        <v/>
      </c>
      <c r="P139" s="159">
        <f>IF(I139&gt;0,COUNTIF($I$5:I139,"&gt;0"),"")</f>
        <v/>
      </c>
    </row>
    <row r="140">
      <c r="A140" s="105" t="n">
        <v>46454</v>
      </c>
      <c r="B140" s="106" t="inlineStr">
        <is>
          <t>الاثنين</t>
        </is>
      </c>
      <c r="C140" s="106" t="inlineStr">
        <is>
          <t>مارس 2027</t>
        </is>
      </c>
      <c r="D140" s="159" t="n">
        <v>202703</v>
      </c>
      <c r="E140" s="159" t="n">
        <v>28</v>
      </c>
      <c r="F140" s="106">
        <f>IFERROR(IF(A140&lt;=INDEX(TermEnd,MATCH(A140,TermStart,1)),INDEX(TermNames,MATCH(A140,TermStart,1)),"إجازة"),"")</f>
        <v/>
      </c>
      <c r="G140" s="160">
        <f>IF(COUNTIFS(HolFrom,"&lt;="&amp;A140,HolTo,"&gt;="&amp;A140)&gt;0,"عطلة","")</f>
        <v/>
      </c>
      <c r="H140" s="106">
        <f>IF(OR(G140="عطلة",AND(WEEKDAY(A140,2)=5,FridaySchool="لا")),0,1)</f>
        <v/>
      </c>
      <c r="I140" s="106">
        <f>'KG1-1'!FI44+'KG1-2'!FI44+'KG1-3'!FI44+'KG1-4'!FI44+'KG1-5'!FI44+'KG1-6'!FI44+'KG1-7'!FI44</f>
        <v/>
      </c>
      <c r="J140" s="106">
        <f>'KG1-1'!FI43+'KG1-2'!FI43+'KG1-3'!FI43+'KG1-4'!FI43+'KG1-5'!FI43+'KG1-6'!FI43+'KG1-7'!FI43</f>
        <v/>
      </c>
      <c r="K140" s="106">
        <f>'KG1-1'!FI40+'KG1-2'!FI40+'KG1-3'!FI40+'KG1-4'!FI40+'KG1-5'!FI40+'KG1-6'!FI40+'KG1-7'!FI40</f>
        <v/>
      </c>
      <c r="L140" s="106">
        <f>'KG1-1'!FI41+'KG1-2'!FI41+'KG1-3'!FI41+'KG1-4'!FI41+'KG1-5'!FI41+'KG1-6'!FI41+'KG1-7'!FI41</f>
        <v/>
      </c>
      <c r="M140" s="106">
        <f>'KG1-1'!FI42+'KG1-2'!FI42+'KG1-3'!FI42+'KG1-4'!FI42+'KG1-5'!FI42+'KG1-6'!FI42+'KG1-7'!FI42</f>
        <v/>
      </c>
      <c r="N140" s="145">
        <f>IF(I140=0,"",(J140+IF(LateAsPresent="نعم",M140,0))/I140)</f>
        <v/>
      </c>
      <c r="O140" s="161">
        <f>IF(I140&gt;0,"نعم","")</f>
        <v/>
      </c>
      <c r="P140" s="159">
        <f>IF(I140&gt;0,COUNTIF($I$5:I140,"&gt;0"),"")</f>
        <v/>
      </c>
    </row>
    <row r="141">
      <c r="A141" s="105" t="n">
        <v>46455</v>
      </c>
      <c r="B141" s="106" t="inlineStr">
        <is>
          <t>الثلاثاء</t>
        </is>
      </c>
      <c r="C141" s="106" t="inlineStr">
        <is>
          <t>مارس 2027</t>
        </is>
      </c>
      <c r="D141" s="159" t="n">
        <v>202703</v>
      </c>
      <c r="E141" s="159" t="n">
        <v>28</v>
      </c>
      <c r="F141" s="106">
        <f>IFERROR(IF(A141&lt;=INDEX(TermEnd,MATCH(A141,TermStart,1)),INDEX(TermNames,MATCH(A141,TermStart,1)),"إجازة"),"")</f>
        <v/>
      </c>
      <c r="G141" s="160">
        <f>IF(COUNTIFS(HolFrom,"&lt;="&amp;A141,HolTo,"&gt;="&amp;A141)&gt;0,"عطلة","")</f>
        <v/>
      </c>
      <c r="H141" s="106">
        <f>IF(OR(G141="عطلة",AND(WEEKDAY(A141,2)=5,FridaySchool="لا")),0,1)</f>
        <v/>
      </c>
      <c r="I141" s="106">
        <f>'KG1-1'!FJ44+'KG1-2'!FJ44+'KG1-3'!FJ44+'KG1-4'!FJ44+'KG1-5'!FJ44+'KG1-6'!FJ44+'KG1-7'!FJ44</f>
        <v/>
      </c>
      <c r="J141" s="106">
        <f>'KG1-1'!FJ43+'KG1-2'!FJ43+'KG1-3'!FJ43+'KG1-4'!FJ43+'KG1-5'!FJ43+'KG1-6'!FJ43+'KG1-7'!FJ43</f>
        <v/>
      </c>
      <c r="K141" s="106">
        <f>'KG1-1'!FJ40+'KG1-2'!FJ40+'KG1-3'!FJ40+'KG1-4'!FJ40+'KG1-5'!FJ40+'KG1-6'!FJ40+'KG1-7'!FJ40</f>
        <v/>
      </c>
      <c r="L141" s="106">
        <f>'KG1-1'!FJ41+'KG1-2'!FJ41+'KG1-3'!FJ41+'KG1-4'!FJ41+'KG1-5'!FJ41+'KG1-6'!FJ41+'KG1-7'!FJ41</f>
        <v/>
      </c>
      <c r="M141" s="106">
        <f>'KG1-1'!FJ42+'KG1-2'!FJ42+'KG1-3'!FJ42+'KG1-4'!FJ42+'KG1-5'!FJ42+'KG1-6'!FJ42+'KG1-7'!FJ42</f>
        <v/>
      </c>
      <c r="N141" s="145">
        <f>IF(I141=0,"",(J141+IF(LateAsPresent="نعم",M141,0))/I141)</f>
        <v/>
      </c>
      <c r="O141" s="161">
        <f>IF(I141&gt;0,"نعم","")</f>
        <v/>
      </c>
      <c r="P141" s="159">
        <f>IF(I141&gt;0,COUNTIF($I$5:I141,"&gt;0"),"")</f>
        <v/>
      </c>
    </row>
    <row r="142">
      <c r="A142" s="105" t="n">
        <v>46456</v>
      </c>
      <c r="B142" s="106" t="inlineStr">
        <is>
          <t>الأربعاء</t>
        </is>
      </c>
      <c r="C142" s="106" t="inlineStr">
        <is>
          <t>مارس 2027</t>
        </is>
      </c>
      <c r="D142" s="159" t="n">
        <v>202703</v>
      </c>
      <c r="E142" s="159" t="n">
        <v>28</v>
      </c>
      <c r="F142" s="106">
        <f>IFERROR(IF(A142&lt;=INDEX(TermEnd,MATCH(A142,TermStart,1)),INDEX(TermNames,MATCH(A142,TermStart,1)),"إجازة"),"")</f>
        <v/>
      </c>
      <c r="G142" s="160">
        <f>IF(COUNTIFS(HolFrom,"&lt;="&amp;A142,HolTo,"&gt;="&amp;A142)&gt;0,"عطلة","")</f>
        <v/>
      </c>
      <c r="H142" s="106">
        <f>IF(OR(G142="عطلة",AND(WEEKDAY(A142,2)=5,FridaySchool="لا")),0,1)</f>
        <v/>
      </c>
      <c r="I142" s="106">
        <f>'KG1-1'!FK44+'KG1-2'!FK44+'KG1-3'!FK44+'KG1-4'!FK44+'KG1-5'!FK44+'KG1-6'!FK44+'KG1-7'!FK44</f>
        <v/>
      </c>
      <c r="J142" s="106">
        <f>'KG1-1'!FK43+'KG1-2'!FK43+'KG1-3'!FK43+'KG1-4'!FK43+'KG1-5'!FK43+'KG1-6'!FK43+'KG1-7'!FK43</f>
        <v/>
      </c>
      <c r="K142" s="106">
        <f>'KG1-1'!FK40+'KG1-2'!FK40+'KG1-3'!FK40+'KG1-4'!FK40+'KG1-5'!FK40+'KG1-6'!FK40+'KG1-7'!FK40</f>
        <v/>
      </c>
      <c r="L142" s="106">
        <f>'KG1-1'!FK41+'KG1-2'!FK41+'KG1-3'!FK41+'KG1-4'!FK41+'KG1-5'!FK41+'KG1-6'!FK41+'KG1-7'!FK41</f>
        <v/>
      </c>
      <c r="M142" s="106">
        <f>'KG1-1'!FK42+'KG1-2'!FK42+'KG1-3'!FK42+'KG1-4'!FK42+'KG1-5'!FK42+'KG1-6'!FK42+'KG1-7'!FK42</f>
        <v/>
      </c>
      <c r="N142" s="145">
        <f>IF(I142=0,"",(J142+IF(LateAsPresent="نعم",M142,0))/I142)</f>
        <v/>
      </c>
      <c r="O142" s="161">
        <f>IF(I142&gt;0,"نعم","")</f>
        <v/>
      </c>
      <c r="P142" s="159">
        <f>IF(I142&gt;0,COUNTIF($I$5:I142,"&gt;0"),"")</f>
        <v/>
      </c>
    </row>
    <row r="143">
      <c r="A143" s="105" t="n">
        <v>46457</v>
      </c>
      <c r="B143" s="106" t="inlineStr">
        <is>
          <t>الخميس</t>
        </is>
      </c>
      <c r="C143" s="106" t="inlineStr">
        <is>
          <t>مارس 2027</t>
        </is>
      </c>
      <c r="D143" s="159" t="n">
        <v>202703</v>
      </c>
      <c r="E143" s="159" t="n">
        <v>28</v>
      </c>
      <c r="F143" s="106">
        <f>IFERROR(IF(A143&lt;=INDEX(TermEnd,MATCH(A143,TermStart,1)),INDEX(TermNames,MATCH(A143,TermStart,1)),"إجازة"),"")</f>
        <v/>
      </c>
      <c r="G143" s="160">
        <f>IF(COUNTIFS(HolFrom,"&lt;="&amp;A143,HolTo,"&gt;="&amp;A143)&gt;0,"عطلة","")</f>
        <v/>
      </c>
      <c r="H143" s="106">
        <f>IF(OR(G143="عطلة",AND(WEEKDAY(A143,2)=5,FridaySchool="لا")),0,1)</f>
        <v/>
      </c>
      <c r="I143" s="106">
        <f>'KG1-1'!FL44+'KG1-2'!FL44+'KG1-3'!FL44+'KG1-4'!FL44+'KG1-5'!FL44+'KG1-6'!FL44+'KG1-7'!FL44</f>
        <v/>
      </c>
      <c r="J143" s="106">
        <f>'KG1-1'!FL43+'KG1-2'!FL43+'KG1-3'!FL43+'KG1-4'!FL43+'KG1-5'!FL43+'KG1-6'!FL43+'KG1-7'!FL43</f>
        <v/>
      </c>
      <c r="K143" s="106">
        <f>'KG1-1'!FL40+'KG1-2'!FL40+'KG1-3'!FL40+'KG1-4'!FL40+'KG1-5'!FL40+'KG1-6'!FL40+'KG1-7'!FL40</f>
        <v/>
      </c>
      <c r="L143" s="106">
        <f>'KG1-1'!FL41+'KG1-2'!FL41+'KG1-3'!FL41+'KG1-4'!FL41+'KG1-5'!FL41+'KG1-6'!FL41+'KG1-7'!FL41</f>
        <v/>
      </c>
      <c r="M143" s="106">
        <f>'KG1-1'!FL42+'KG1-2'!FL42+'KG1-3'!FL42+'KG1-4'!FL42+'KG1-5'!FL42+'KG1-6'!FL42+'KG1-7'!FL42</f>
        <v/>
      </c>
      <c r="N143" s="145">
        <f>IF(I143=0,"",(J143+IF(LateAsPresent="نعم",M143,0))/I143)</f>
        <v/>
      </c>
      <c r="O143" s="161">
        <f>IF(I143&gt;0,"نعم","")</f>
        <v/>
      </c>
      <c r="P143" s="159">
        <f>IF(I143&gt;0,COUNTIF($I$5:I143,"&gt;0"),"")</f>
        <v/>
      </c>
    </row>
    <row r="144">
      <c r="A144" s="105" t="n">
        <v>46458</v>
      </c>
      <c r="B144" s="106" t="inlineStr">
        <is>
          <t>الجمعة</t>
        </is>
      </c>
      <c r="C144" s="106" t="inlineStr">
        <is>
          <t>مارس 2027</t>
        </is>
      </c>
      <c r="D144" s="159" t="n">
        <v>202703</v>
      </c>
      <c r="E144" s="159" t="n">
        <v>28</v>
      </c>
      <c r="F144" s="106">
        <f>IFERROR(IF(A144&lt;=INDEX(TermEnd,MATCH(A144,TermStart,1)),INDEX(TermNames,MATCH(A144,TermStart,1)),"إجازة"),"")</f>
        <v/>
      </c>
      <c r="G144" s="160">
        <f>IF(COUNTIFS(HolFrom,"&lt;="&amp;A144,HolTo,"&gt;="&amp;A144)&gt;0,"عطلة","")</f>
        <v/>
      </c>
      <c r="H144" s="106">
        <f>IF(OR(G144="عطلة",AND(WEEKDAY(A144,2)=5,FridaySchool="لا")),0,1)</f>
        <v/>
      </c>
      <c r="I144" s="106">
        <f>'KG1-1'!FM44+'KG1-2'!FM44+'KG1-3'!FM44+'KG1-4'!FM44+'KG1-5'!FM44+'KG1-6'!FM44+'KG1-7'!FM44</f>
        <v/>
      </c>
      <c r="J144" s="106">
        <f>'KG1-1'!FM43+'KG1-2'!FM43+'KG1-3'!FM43+'KG1-4'!FM43+'KG1-5'!FM43+'KG1-6'!FM43+'KG1-7'!FM43</f>
        <v/>
      </c>
      <c r="K144" s="106">
        <f>'KG1-1'!FM40+'KG1-2'!FM40+'KG1-3'!FM40+'KG1-4'!FM40+'KG1-5'!FM40+'KG1-6'!FM40+'KG1-7'!FM40</f>
        <v/>
      </c>
      <c r="L144" s="106">
        <f>'KG1-1'!FM41+'KG1-2'!FM41+'KG1-3'!FM41+'KG1-4'!FM41+'KG1-5'!FM41+'KG1-6'!FM41+'KG1-7'!FM41</f>
        <v/>
      </c>
      <c r="M144" s="106">
        <f>'KG1-1'!FM42+'KG1-2'!FM42+'KG1-3'!FM42+'KG1-4'!FM42+'KG1-5'!FM42+'KG1-6'!FM42+'KG1-7'!FM42</f>
        <v/>
      </c>
      <c r="N144" s="145">
        <f>IF(I144=0,"",(J144+IF(LateAsPresent="نعم",M144,0))/I144)</f>
        <v/>
      </c>
      <c r="O144" s="161">
        <f>IF(I144&gt;0,"نعم","")</f>
        <v/>
      </c>
      <c r="P144" s="159">
        <f>IF(I144&gt;0,COUNTIF($I$5:I144,"&gt;0"),"")</f>
        <v/>
      </c>
    </row>
    <row r="145">
      <c r="A145" s="105" t="n">
        <v>46461</v>
      </c>
      <c r="B145" s="106" t="inlineStr">
        <is>
          <t>الاثنين</t>
        </is>
      </c>
      <c r="C145" s="106" t="inlineStr">
        <is>
          <t>مارس 2027</t>
        </is>
      </c>
      <c r="D145" s="159" t="n">
        <v>202703</v>
      </c>
      <c r="E145" s="159" t="n">
        <v>29</v>
      </c>
      <c r="F145" s="106">
        <f>IFERROR(IF(A145&lt;=INDEX(TermEnd,MATCH(A145,TermStart,1)),INDEX(TermNames,MATCH(A145,TermStart,1)),"إجازة"),"")</f>
        <v/>
      </c>
      <c r="G145" s="160">
        <f>IF(COUNTIFS(HolFrom,"&lt;="&amp;A145,HolTo,"&gt;="&amp;A145)&gt;0,"عطلة","")</f>
        <v/>
      </c>
      <c r="H145" s="106">
        <f>IF(OR(G145="عطلة",AND(WEEKDAY(A145,2)=5,FridaySchool="لا")),0,1)</f>
        <v/>
      </c>
      <c r="I145" s="106">
        <f>'KG1-1'!FN44+'KG1-2'!FN44+'KG1-3'!FN44+'KG1-4'!FN44+'KG1-5'!FN44+'KG1-6'!FN44+'KG1-7'!FN44</f>
        <v/>
      </c>
      <c r="J145" s="106">
        <f>'KG1-1'!FN43+'KG1-2'!FN43+'KG1-3'!FN43+'KG1-4'!FN43+'KG1-5'!FN43+'KG1-6'!FN43+'KG1-7'!FN43</f>
        <v/>
      </c>
      <c r="K145" s="106">
        <f>'KG1-1'!FN40+'KG1-2'!FN40+'KG1-3'!FN40+'KG1-4'!FN40+'KG1-5'!FN40+'KG1-6'!FN40+'KG1-7'!FN40</f>
        <v/>
      </c>
      <c r="L145" s="106">
        <f>'KG1-1'!FN41+'KG1-2'!FN41+'KG1-3'!FN41+'KG1-4'!FN41+'KG1-5'!FN41+'KG1-6'!FN41+'KG1-7'!FN41</f>
        <v/>
      </c>
      <c r="M145" s="106">
        <f>'KG1-1'!FN42+'KG1-2'!FN42+'KG1-3'!FN42+'KG1-4'!FN42+'KG1-5'!FN42+'KG1-6'!FN42+'KG1-7'!FN42</f>
        <v/>
      </c>
      <c r="N145" s="145">
        <f>IF(I145=0,"",(J145+IF(LateAsPresent="نعم",M145,0))/I145)</f>
        <v/>
      </c>
      <c r="O145" s="161">
        <f>IF(I145&gt;0,"نعم","")</f>
        <v/>
      </c>
      <c r="P145" s="159">
        <f>IF(I145&gt;0,COUNTIF($I$5:I145,"&gt;0"),"")</f>
        <v/>
      </c>
    </row>
    <row r="146">
      <c r="A146" s="105" t="n">
        <v>46462</v>
      </c>
      <c r="B146" s="106" t="inlineStr">
        <is>
          <t>الثلاثاء</t>
        </is>
      </c>
      <c r="C146" s="106" t="inlineStr">
        <is>
          <t>مارس 2027</t>
        </is>
      </c>
      <c r="D146" s="159" t="n">
        <v>202703</v>
      </c>
      <c r="E146" s="159" t="n">
        <v>29</v>
      </c>
      <c r="F146" s="106">
        <f>IFERROR(IF(A146&lt;=INDEX(TermEnd,MATCH(A146,TermStart,1)),INDEX(TermNames,MATCH(A146,TermStart,1)),"إجازة"),"")</f>
        <v/>
      </c>
      <c r="G146" s="160">
        <f>IF(COUNTIFS(HolFrom,"&lt;="&amp;A146,HolTo,"&gt;="&amp;A146)&gt;0,"عطلة","")</f>
        <v/>
      </c>
      <c r="H146" s="106">
        <f>IF(OR(G146="عطلة",AND(WEEKDAY(A146,2)=5,FridaySchool="لا")),0,1)</f>
        <v/>
      </c>
      <c r="I146" s="106">
        <f>'KG1-1'!FO44+'KG1-2'!FO44+'KG1-3'!FO44+'KG1-4'!FO44+'KG1-5'!FO44+'KG1-6'!FO44+'KG1-7'!FO44</f>
        <v/>
      </c>
      <c r="J146" s="106">
        <f>'KG1-1'!FO43+'KG1-2'!FO43+'KG1-3'!FO43+'KG1-4'!FO43+'KG1-5'!FO43+'KG1-6'!FO43+'KG1-7'!FO43</f>
        <v/>
      </c>
      <c r="K146" s="106">
        <f>'KG1-1'!FO40+'KG1-2'!FO40+'KG1-3'!FO40+'KG1-4'!FO40+'KG1-5'!FO40+'KG1-6'!FO40+'KG1-7'!FO40</f>
        <v/>
      </c>
      <c r="L146" s="106">
        <f>'KG1-1'!FO41+'KG1-2'!FO41+'KG1-3'!FO41+'KG1-4'!FO41+'KG1-5'!FO41+'KG1-6'!FO41+'KG1-7'!FO41</f>
        <v/>
      </c>
      <c r="M146" s="106">
        <f>'KG1-1'!FO42+'KG1-2'!FO42+'KG1-3'!FO42+'KG1-4'!FO42+'KG1-5'!FO42+'KG1-6'!FO42+'KG1-7'!FO42</f>
        <v/>
      </c>
      <c r="N146" s="145">
        <f>IF(I146=0,"",(J146+IF(LateAsPresent="نعم",M146,0))/I146)</f>
        <v/>
      </c>
      <c r="O146" s="161">
        <f>IF(I146&gt;0,"نعم","")</f>
        <v/>
      </c>
      <c r="P146" s="159">
        <f>IF(I146&gt;0,COUNTIF($I$5:I146,"&gt;0"),"")</f>
        <v/>
      </c>
    </row>
    <row r="147">
      <c r="A147" s="105" t="n">
        <v>46463</v>
      </c>
      <c r="B147" s="106" t="inlineStr">
        <is>
          <t>الأربعاء</t>
        </is>
      </c>
      <c r="C147" s="106" t="inlineStr">
        <is>
          <t>مارس 2027</t>
        </is>
      </c>
      <c r="D147" s="159" t="n">
        <v>202703</v>
      </c>
      <c r="E147" s="159" t="n">
        <v>29</v>
      </c>
      <c r="F147" s="106">
        <f>IFERROR(IF(A147&lt;=INDEX(TermEnd,MATCH(A147,TermStart,1)),INDEX(TermNames,MATCH(A147,TermStart,1)),"إجازة"),"")</f>
        <v/>
      </c>
      <c r="G147" s="160">
        <f>IF(COUNTIFS(HolFrom,"&lt;="&amp;A147,HolTo,"&gt;="&amp;A147)&gt;0,"عطلة","")</f>
        <v/>
      </c>
      <c r="H147" s="106">
        <f>IF(OR(G147="عطلة",AND(WEEKDAY(A147,2)=5,FridaySchool="لا")),0,1)</f>
        <v/>
      </c>
      <c r="I147" s="106">
        <f>'KG1-1'!FP44+'KG1-2'!FP44+'KG1-3'!FP44+'KG1-4'!FP44+'KG1-5'!FP44+'KG1-6'!FP44+'KG1-7'!FP44</f>
        <v/>
      </c>
      <c r="J147" s="106">
        <f>'KG1-1'!FP43+'KG1-2'!FP43+'KG1-3'!FP43+'KG1-4'!FP43+'KG1-5'!FP43+'KG1-6'!FP43+'KG1-7'!FP43</f>
        <v/>
      </c>
      <c r="K147" s="106">
        <f>'KG1-1'!FP40+'KG1-2'!FP40+'KG1-3'!FP40+'KG1-4'!FP40+'KG1-5'!FP40+'KG1-6'!FP40+'KG1-7'!FP40</f>
        <v/>
      </c>
      <c r="L147" s="106">
        <f>'KG1-1'!FP41+'KG1-2'!FP41+'KG1-3'!FP41+'KG1-4'!FP41+'KG1-5'!FP41+'KG1-6'!FP41+'KG1-7'!FP41</f>
        <v/>
      </c>
      <c r="M147" s="106">
        <f>'KG1-1'!FP42+'KG1-2'!FP42+'KG1-3'!FP42+'KG1-4'!FP42+'KG1-5'!FP42+'KG1-6'!FP42+'KG1-7'!FP42</f>
        <v/>
      </c>
      <c r="N147" s="145">
        <f>IF(I147=0,"",(J147+IF(LateAsPresent="نعم",M147,0))/I147)</f>
        <v/>
      </c>
      <c r="O147" s="161">
        <f>IF(I147&gt;0,"نعم","")</f>
        <v/>
      </c>
      <c r="P147" s="159">
        <f>IF(I147&gt;0,COUNTIF($I$5:I147,"&gt;0"),"")</f>
        <v/>
      </c>
    </row>
    <row r="148">
      <c r="A148" s="105" t="n">
        <v>46464</v>
      </c>
      <c r="B148" s="106" t="inlineStr">
        <is>
          <t>الخميس</t>
        </is>
      </c>
      <c r="C148" s="106" t="inlineStr">
        <is>
          <t>مارس 2027</t>
        </is>
      </c>
      <c r="D148" s="159" t="n">
        <v>202703</v>
      </c>
      <c r="E148" s="159" t="n">
        <v>29</v>
      </c>
      <c r="F148" s="106">
        <f>IFERROR(IF(A148&lt;=INDEX(TermEnd,MATCH(A148,TermStart,1)),INDEX(TermNames,MATCH(A148,TermStart,1)),"إجازة"),"")</f>
        <v/>
      </c>
      <c r="G148" s="160">
        <f>IF(COUNTIFS(HolFrom,"&lt;="&amp;A148,HolTo,"&gt;="&amp;A148)&gt;0,"عطلة","")</f>
        <v/>
      </c>
      <c r="H148" s="106">
        <f>IF(OR(G148="عطلة",AND(WEEKDAY(A148,2)=5,FridaySchool="لا")),0,1)</f>
        <v/>
      </c>
      <c r="I148" s="106">
        <f>'KG1-1'!FQ44+'KG1-2'!FQ44+'KG1-3'!FQ44+'KG1-4'!FQ44+'KG1-5'!FQ44+'KG1-6'!FQ44+'KG1-7'!FQ44</f>
        <v/>
      </c>
      <c r="J148" s="106">
        <f>'KG1-1'!FQ43+'KG1-2'!FQ43+'KG1-3'!FQ43+'KG1-4'!FQ43+'KG1-5'!FQ43+'KG1-6'!FQ43+'KG1-7'!FQ43</f>
        <v/>
      </c>
      <c r="K148" s="106">
        <f>'KG1-1'!FQ40+'KG1-2'!FQ40+'KG1-3'!FQ40+'KG1-4'!FQ40+'KG1-5'!FQ40+'KG1-6'!FQ40+'KG1-7'!FQ40</f>
        <v/>
      </c>
      <c r="L148" s="106">
        <f>'KG1-1'!FQ41+'KG1-2'!FQ41+'KG1-3'!FQ41+'KG1-4'!FQ41+'KG1-5'!FQ41+'KG1-6'!FQ41+'KG1-7'!FQ41</f>
        <v/>
      </c>
      <c r="M148" s="106">
        <f>'KG1-1'!FQ42+'KG1-2'!FQ42+'KG1-3'!FQ42+'KG1-4'!FQ42+'KG1-5'!FQ42+'KG1-6'!FQ42+'KG1-7'!FQ42</f>
        <v/>
      </c>
      <c r="N148" s="145">
        <f>IF(I148=0,"",(J148+IF(LateAsPresent="نعم",M148,0))/I148)</f>
        <v/>
      </c>
      <c r="O148" s="161">
        <f>IF(I148&gt;0,"نعم","")</f>
        <v/>
      </c>
      <c r="P148" s="159">
        <f>IF(I148&gt;0,COUNTIF($I$5:I148,"&gt;0"),"")</f>
        <v/>
      </c>
    </row>
    <row r="149">
      <c r="A149" s="105" t="n">
        <v>46465</v>
      </c>
      <c r="B149" s="106" t="inlineStr">
        <is>
          <t>الجمعة</t>
        </is>
      </c>
      <c r="C149" s="106" t="inlineStr">
        <is>
          <t>مارس 2027</t>
        </is>
      </c>
      <c r="D149" s="159" t="n">
        <v>202703</v>
      </c>
      <c r="E149" s="159" t="n">
        <v>29</v>
      </c>
      <c r="F149" s="106">
        <f>IFERROR(IF(A149&lt;=INDEX(TermEnd,MATCH(A149,TermStart,1)),INDEX(TermNames,MATCH(A149,TermStart,1)),"إجازة"),"")</f>
        <v/>
      </c>
      <c r="G149" s="160">
        <f>IF(COUNTIFS(HolFrom,"&lt;="&amp;A149,HolTo,"&gt;="&amp;A149)&gt;0,"عطلة","")</f>
        <v/>
      </c>
      <c r="H149" s="106">
        <f>IF(OR(G149="عطلة",AND(WEEKDAY(A149,2)=5,FridaySchool="لا")),0,1)</f>
        <v/>
      </c>
      <c r="I149" s="106">
        <f>'KG1-1'!FR44+'KG1-2'!FR44+'KG1-3'!FR44+'KG1-4'!FR44+'KG1-5'!FR44+'KG1-6'!FR44+'KG1-7'!FR44</f>
        <v/>
      </c>
      <c r="J149" s="106">
        <f>'KG1-1'!FR43+'KG1-2'!FR43+'KG1-3'!FR43+'KG1-4'!FR43+'KG1-5'!FR43+'KG1-6'!FR43+'KG1-7'!FR43</f>
        <v/>
      </c>
      <c r="K149" s="106">
        <f>'KG1-1'!FR40+'KG1-2'!FR40+'KG1-3'!FR40+'KG1-4'!FR40+'KG1-5'!FR40+'KG1-6'!FR40+'KG1-7'!FR40</f>
        <v/>
      </c>
      <c r="L149" s="106">
        <f>'KG1-1'!FR41+'KG1-2'!FR41+'KG1-3'!FR41+'KG1-4'!FR41+'KG1-5'!FR41+'KG1-6'!FR41+'KG1-7'!FR41</f>
        <v/>
      </c>
      <c r="M149" s="106">
        <f>'KG1-1'!FR42+'KG1-2'!FR42+'KG1-3'!FR42+'KG1-4'!FR42+'KG1-5'!FR42+'KG1-6'!FR42+'KG1-7'!FR42</f>
        <v/>
      </c>
      <c r="N149" s="145">
        <f>IF(I149=0,"",(J149+IF(LateAsPresent="نعم",M149,0))/I149)</f>
        <v/>
      </c>
      <c r="O149" s="161">
        <f>IF(I149&gt;0,"نعم","")</f>
        <v/>
      </c>
      <c r="P149" s="159">
        <f>IF(I149&gt;0,COUNTIF($I$5:I149,"&gt;0"),"")</f>
        <v/>
      </c>
    </row>
    <row r="150">
      <c r="A150" s="105" t="n">
        <v>46468</v>
      </c>
      <c r="B150" s="106" t="inlineStr">
        <is>
          <t>الاثنين</t>
        </is>
      </c>
      <c r="C150" s="106" t="inlineStr">
        <is>
          <t>مارس 2027</t>
        </is>
      </c>
      <c r="D150" s="159" t="n">
        <v>202703</v>
      </c>
      <c r="E150" s="159" t="n">
        <v>30</v>
      </c>
      <c r="F150" s="106">
        <f>IFERROR(IF(A150&lt;=INDEX(TermEnd,MATCH(A150,TermStart,1)),INDEX(TermNames,MATCH(A150,TermStart,1)),"إجازة"),"")</f>
        <v/>
      </c>
      <c r="G150" s="160">
        <f>IF(COUNTIFS(HolFrom,"&lt;="&amp;A150,HolTo,"&gt;="&amp;A150)&gt;0,"عطلة","")</f>
        <v/>
      </c>
      <c r="H150" s="106">
        <f>IF(OR(G150="عطلة",AND(WEEKDAY(A150,2)=5,FridaySchool="لا")),0,1)</f>
        <v/>
      </c>
      <c r="I150" s="106">
        <f>'KG1-1'!FS44+'KG1-2'!FS44+'KG1-3'!FS44+'KG1-4'!FS44+'KG1-5'!FS44+'KG1-6'!FS44+'KG1-7'!FS44</f>
        <v/>
      </c>
      <c r="J150" s="106">
        <f>'KG1-1'!FS43+'KG1-2'!FS43+'KG1-3'!FS43+'KG1-4'!FS43+'KG1-5'!FS43+'KG1-6'!FS43+'KG1-7'!FS43</f>
        <v/>
      </c>
      <c r="K150" s="106">
        <f>'KG1-1'!FS40+'KG1-2'!FS40+'KG1-3'!FS40+'KG1-4'!FS40+'KG1-5'!FS40+'KG1-6'!FS40+'KG1-7'!FS40</f>
        <v/>
      </c>
      <c r="L150" s="106">
        <f>'KG1-1'!FS41+'KG1-2'!FS41+'KG1-3'!FS41+'KG1-4'!FS41+'KG1-5'!FS41+'KG1-6'!FS41+'KG1-7'!FS41</f>
        <v/>
      </c>
      <c r="M150" s="106">
        <f>'KG1-1'!FS42+'KG1-2'!FS42+'KG1-3'!FS42+'KG1-4'!FS42+'KG1-5'!FS42+'KG1-6'!FS42+'KG1-7'!FS42</f>
        <v/>
      </c>
      <c r="N150" s="145">
        <f>IF(I150=0,"",(J150+IF(LateAsPresent="نعم",M150,0))/I150)</f>
        <v/>
      </c>
      <c r="O150" s="161">
        <f>IF(I150&gt;0,"نعم","")</f>
        <v/>
      </c>
      <c r="P150" s="159">
        <f>IF(I150&gt;0,COUNTIF($I$5:I150,"&gt;0"),"")</f>
        <v/>
      </c>
    </row>
    <row r="151">
      <c r="A151" s="105" t="n">
        <v>46469</v>
      </c>
      <c r="B151" s="106" t="inlineStr">
        <is>
          <t>الثلاثاء</t>
        </is>
      </c>
      <c r="C151" s="106" t="inlineStr">
        <is>
          <t>مارس 2027</t>
        </is>
      </c>
      <c r="D151" s="159" t="n">
        <v>202703</v>
      </c>
      <c r="E151" s="159" t="n">
        <v>30</v>
      </c>
      <c r="F151" s="106">
        <f>IFERROR(IF(A151&lt;=INDEX(TermEnd,MATCH(A151,TermStart,1)),INDEX(TermNames,MATCH(A151,TermStart,1)),"إجازة"),"")</f>
        <v/>
      </c>
      <c r="G151" s="160">
        <f>IF(COUNTIFS(HolFrom,"&lt;="&amp;A151,HolTo,"&gt;="&amp;A151)&gt;0,"عطلة","")</f>
        <v/>
      </c>
      <c r="H151" s="106">
        <f>IF(OR(G151="عطلة",AND(WEEKDAY(A151,2)=5,FridaySchool="لا")),0,1)</f>
        <v/>
      </c>
      <c r="I151" s="106">
        <f>'KG1-1'!FT44+'KG1-2'!FT44+'KG1-3'!FT44+'KG1-4'!FT44+'KG1-5'!FT44+'KG1-6'!FT44+'KG1-7'!FT44</f>
        <v/>
      </c>
      <c r="J151" s="106">
        <f>'KG1-1'!FT43+'KG1-2'!FT43+'KG1-3'!FT43+'KG1-4'!FT43+'KG1-5'!FT43+'KG1-6'!FT43+'KG1-7'!FT43</f>
        <v/>
      </c>
      <c r="K151" s="106">
        <f>'KG1-1'!FT40+'KG1-2'!FT40+'KG1-3'!FT40+'KG1-4'!FT40+'KG1-5'!FT40+'KG1-6'!FT40+'KG1-7'!FT40</f>
        <v/>
      </c>
      <c r="L151" s="106">
        <f>'KG1-1'!FT41+'KG1-2'!FT41+'KG1-3'!FT41+'KG1-4'!FT41+'KG1-5'!FT41+'KG1-6'!FT41+'KG1-7'!FT41</f>
        <v/>
      </c>
      <c r="M151" s="106">
        <f>'KG1-1'!FT42+'KG1-2'!FT42+'KG1-3'!FT42+'KG1-4'!FT42+'KG1-5'!FT42+'KG1-6'!FT42+'KG1-7'!FT42</f>
        <v/>
      </c>
      <c r="N151" s="145">
        <f>IF(I151=0,"",(J151+IF(LateAsPresent="نعم",M151,0))/I151)</f>
        <v/>
      </c>
      <c r="O151" s="161">
        <f>IF(I151&gt;0,"نعم","")</f>
        <v/>
      </c>
      <c r="P151" s="159">
        <f>IF(I151&gt;0,COUNTIF($I$5:I151,"&gt;0"),"")</f>
        <v/>
      </c>
    </row>
    <row r="152">
      <c r="A152" s="105" t="n">
        <v>46470</v>
      </c>
      <c r="B152" s="106" t="inlineStr">
        <is>
          <t>الأربعاء</t>
        </is>
      </c>
      <c r="C152" s="106" t="inlineStr">
        <is>
          <t>مارس 2027</t>
        </is>
      </c>
      <c r="D152" s="159" t="n">
        <v>202703</v>
      </c>
      <c r="E152" s="159" t="n">
        <v>30</v>
      </c>
      <c r="F152" s="106">
        <f>IFERROR(IF(A152&lt;=INDEX(TermEnd,MATCH(A152,TermStart,1)),INDEX(TermNames,MATCH(A152,TermStart,1)),"إجازة"),"")</f>
        <v/>
      </c>
      <c r="G152" s="160">
        <f>IF(COUNTIFS(HolFrom,"&lt;="&amp;A152,HolTo,"&gt;="&amp;A152)&gt;0,"عطلة","")</f>
        <v/>
      </c>
      <c r="H152" s="106">
        <f>IF(OR(G152="عطلة",AND(WEEKDAY(A152,2)=5,FridaySchool="لا")),0,1)</f>
        <v/>
      </c>
      <c r="I152" s="106">
        <f>'KG1-1'!FU44+'KG1-2'!FU44+'KG1-3'!FU44+'KG1-4'!FU44+'KG1-5'!FU44+'KG1-6'!FU44+'KG1-7'!FU44</f>
        <v/>
      </c>
      <c r="J152" s="106">
        <f>'KG1-1'!FU43+'KG1-2'!FU43+'KG1-3'!FU43+'KG1-4'!FU43+'KG1-5'!FU43+'KG1-6'!FU43+'KG1-7'!FU43</f>
        <v/>
      </c>
      <c r="K152" s="106">
        <f>'KG1-1'!FU40+'KG1-2'!FU40+'KG1-3'!FU40+'KG1-4'!FU40+'KG1-5'!FU40+'KG1-6'!FU40+'KG1-7'!FU40</f>
        <v/>
      </c>
      <c r="L152" s="106">
        <f>'KG1-1'!FU41+'KG1-2'!FU41+'KG1-3'!FU41+'KG1-4'!FU41+'KG1-5'!FU41+'KG1-6'!FU41+'KG1-7'!FU41</f>
        <v/>
      </c>
      <c r="M152" s="106">
        <f>'KG1-1'!FU42+'KG1-2'!FU42+'KG1-3'!FU42+'KG1-4'!FU42+'KG1-5'!FU42+'KG1-6'!FU42+'KG1-7'!FU42</f>
        <v/>
      </c>
      <c r="N152" s="145">
        <f>IF(I152=0,"",(J152+IF(LateAsPresent="نعم",M152,0))/I152)</f>
        <v/>
      </c>
      <c r="O152" s="161">
        <f>IF(I152&gt;0,"نعم","")</f>
        <v/>
      </c>
      <c r="P152" s="159">
        <f>IF(I152&gt;0,COUNTIF($I$5:I152,"&gt;0"),"")</f>
        <v/>
      </c>
    </row>
    <row r="153">
      <c r="A153" s="105" t="n">
        <v>46471</v>
      </c>
      <c r="B153" s="106" t="inlineStr">
        <is>
          <t>الخميس</t>
        </is>
      </c>
      <c r="C153" s="106" t="inlineStr">
        <is>
          <t>مارس 2027</t>
        </is>
      </c>
      <c r="D153" s="159" t="n">
        <v>202703</v>
      </c>
      <c r="E153" s="159" t="n">
        <v>30</v>
      </c>
      <c r="F153" s="106">
        <f>IFERROR(IF(A153&lt;=INDEX(TermEnd,MATCH(A153,TermStart,1)),INDEX(TermNames,MATCH(A153,TermStart,1)),"إجازة"),"")</f>
        <v/>
      </c>
      <c r="G153" s="160">
        <f>IF(COUNTIFS(HolFrom,"&lt;="&amp;A153,HolTo,"&gt;="&amp;A153)&gt;0,"عطلة","")</f>
        <v/>
      </c>
      <c r="H153" s="106">
        <f>IF(OR(G153="عطلة",AND(WEEKDAY(A153,2)=5,FridaySchool="لا")),0,1)</f>
        <v/>
      </c>
      <c r="I153" s="106">
        <f>'KG1-1'!FV44+'KG1-2'!FV44+'KG1-3'!FV44+'KG1-4'!FV44+'KG1-5'!FV44+'KG1-6'!FV44+'KG1-7'!FV44</f>
        <v/>
      </c>
      <c r="J153" s="106">
        <f>'KG1-1'!FV43+'KG1-2'!FV43+'KG1-3'!FV43+'KG1-4'!FV43+'KG1-5'!FV43+'KG1-6'!FV43+'KG1-7'!FV43</f>
        <v/>
      </c>
      <c r="K153" s="106">
        <f>'KG1-1'!FV40+'KG1-2'!FV40+'KG1-3'!FV40+'KG1-4'!FV40+'KG1-5'!FV40+'KG1-6'!FV40+'KG1-7'!FV40</f>
        <v/>
      </c>
      <c r="L153" s="106">
        <f>'KG1-1'!FV41+'KG1-2'!FV41+'KG1-3'!FV41+'KG1-4'!FV41+'KG1-5'!FV41+'KG1-6'!FV41+'KG1-7'!FV41</f>
        <v/>
      </c>
      <c r="M153" s="106">
        <f>'KG1-1'!FV42+'KG1-2'!FV42+'KG1-3'!FV42+'KG1-4'!FV42+'KG1-5'!FV42+'KG1-6'!FV42+'KG1-7'!FV42</f>
        <v/>
      </c>
      <c r="N153" s="145">
        <f>IF(I153=0,"",(J153+IF(LateAsPresent="نعم",M153,0))/I153)</f>
        <v/>
      </c>
      <c r="O153" s="161">
        <f>IF(I153&gt;0,"نعم","")</f>
        <v/>
      </c>
      <c r="P153" s="159">
        <f>IF(I153&gt;0,COUNTIF($I$5:I153,"&gt;0"),"")</f>
        <v/>
      </c>
    </row>
    <row r="154">
      <c r="A154" s="105" t="n">
        <v>46472</v>
      </c>
      <c r="B154" s="106" t="inlineStr">
        <is>
          <t>الجمعة</t>
        </is>
      </c>
      <c r="C154" s="106" t="inlineStr">
        <is>
          <t>مارس 2027</t>
        </is>
      </c>
      <c r="D154" s="159" t="n">
        <v>202703</v>
      </c>
      <c r="E154" s="159" t="n">
        <v>30</v>
      </c>
      <c r="F154" s="106">
        <f>IFERROR(IF(A154&lt;=INDEX(TermEnd,MATCH(A154,TermStart,1)),INDEX(TermNames,MATCH(A154,TermStart,1)),"إجازة"),"")</f>
        <v/>
      </c>
      <c r="G154" s="160">
        <f>IF(COUNTIFS(HolFrom,"&lt;="&amp;A154,HolTo,"&gt;="&amp;A154)&gt;0,"عطلة","")</f>
        <v/>
      </c>
      <c r="H154" s="106">
        <f>IF(OR(G154="عطلة",AND(WEEKDAY(A154,2)=5,FridaySchool="لا")),0,1)</f>
        <v/>
      </c>
      <c r="I154" s="106">
        <f>'KG1-1'!FW44+'KG1-2'!FW44+'KG1-3'!FW44+'KG1-4'!FW44+'KG1-5'!FW44+'KG1-6'!FW44+'KG1-7'!FW44</f>
        <v/>
      </c>
      <c r="J154" s="106">
        <f>'KG1-1'!FW43+'KG1-2'!FW43+'KG1-3'!FW43+'KG1-4'!FW43+'KG1-5'!FW43+'KG1-6'!FW43+'KG1-7'!FW43</f>
        <v/>
      </c>
      <c r="K154" s="106">
        <f>'KG1-1'!FW40+'KG1-2'!FW40+'KG1-3'!FW40+'KG1-4'!FW40+'KG1-5'!FW40+'KG1-6'!FW40+'KG1-7'!FW40</f>
        <v/>
      </c>
      <c r="L154" s="106">
        <f>'KG1-1'!FW41+'KG1-2'!FW41+'KG1-3'!FW41+'KG1-4'!FW41+'KG1-5'!FW41+'KG1-6'!FW41+'KG1-7'!FW41</f>
        <v/>
      </c>
      <c r="M154" s="106">
        <f>'KG1-1'!FW42+'KG1-2'!FW42+'KG1-3'!FW42+'KG1-4'!FW42+'KG1-5'!FW42+'KG1-6'!FW42+'KG1-7'!FW42</f>
        <v/>
      </c>
      <c r="N154" s="145">
        <f>IF(I154=0,"",(J154+IF(LateAsPresent="نعم",M154,0))/I154)</f>
        <v/>
      </c>
      <c r="O154" s="161">
        <f>IF(I154&gt;0,"نعم","")</f>
        <v/>
      </c>
      <c r="P154" s="159">
        <f>IF(I154&gt;0,COUNTIF($I$5:I154,"&gt;0"),"")</f>
        <v/>
      </c>
    </row>
    <row r="155">
      <c r="A155" s="105" t="n">
        <v>46475</v>
      </c>
      <c r="B155" s="106" t="inlineStr">
        <is>
          <t>الاثنين</t>
        </is>
      </c>
      <c r="C155" s="106" t="inlineStr">
        <is>
          <t>مارس 2027</t>
        </is>
      </c>
      <c r="D155" s="159" t="n">
        <v>202703</v>
      </c>
      <c r="E155" s="159" t="n">
        <v>31</v>
      </c>
      <c r="F155" s="106">
        <f>IFERROR(IF(A155&lt;=INDEX(TermEnd,MATCH(A155,TermStart,1)),INDEX(TermNames,MATCH(A155,TermStart,1)),"إجازة"),"")</f>
        <v/>
      </c>
      <c r="G155" s="160">
        <f>IF(COUNTIFS(HolFrom,"&lt;="&amp;A155,HolTo,"&gt;="&amp;A155)&gt;0,"عطلة","")</f>
        <v/>
      </c>
      <c r="H155" s="106">
        <f>IF(OR(G155="عطلة",AND(WEEKDAY(A155,2)=5,FridaySchool="لا")),0,1)</f>
        <v/>
      </c>
      <c r="I155" s="106">
        <f>'KG1-1'!FX44+'KG1-2'!FX44+'KG1-3'!FX44+'KG1-4'!FX44+'KG1-5'!FX44+'KG1-6'!FX44+'KG1-7'!FX44</f>
        <v/>
      </c>
      <c r="J155" s="106">
        <f>'KG1-1'!FX43+'KG1-2'!FX43+'KG1-3'!FX43+'KG1-4'!FX43+'KG1-5'!FX43+'KG1-6'!FX43+'KG1-7'!FX43</f>
        <v/>
      </c>
      <c r="K155" s="106">
        <f>'KG1-1'!FX40+'KG1-2'!FX40+'KG1-3'!FX40+'KG1-4'!FX40+'KG1-5'!FX40+'KG1-6'!FX40+'KG1-7'!FX40</f>
        <v/>
      </c>
      <c r="L155" s="106">
        <f>'KG1-1'!FX41+'KG1-2'!FX41+'KG1-3'!FX41+'KG1-4'!FX41+'KG1-5'!FX41+'KG1-6'!FX41+'KG1-7'!FX41</f>
        <v/>
      </c>
      <c r="M155" s="106">
        <f>'KG1-1'!FX42+'KG1-2'!FX42+'KG1-3'!FX42+'KG1-4'!FX42+'KG1-5'!FX42+'KG1-6'!FX42+'KG1-7'!FX42</f>
        <v/>
      </c>
      <c r="N155" s="145">
        <f>IF(I155=0,"",(J155+IF(LateAsPresent="نعم",M155,0))/I155)</f>
        <v/>
      </c>
      <c r="O155" s="161">
        <f>IF(I155&gt;0,"نعم","")</f>
        <v/>
      </c>
      <c r="P155" s="159">
        <f>IF(I155&gt;0,COUNTIF($I$5:I155,"&gt;0"),"")</f>
        <v/>
      </c>
    </row>
    <row r="156">
      <c r="A156" s="105" t="n">
        <v>46476</v>
      </c>
      <c r="B156" s="106" t="inlineStr">
        <is>
          <t>الثلاثاء</t>
        </is>
      </c>
      <c r="C156" s="106" t="inlineStr">
        <is>
          <t>مارس 2027</t>
        </is>
      </c>
      <c r="D156" s="159" t="n">
        <v>202703</v>
      </c>
      <c r="E156" s="159" t="n">
        <v>31</v>
      </c>
      <c r="F156" s="106">
        <f>IFERROR(IF(A156&lt;=INDEX(TermEnd,MATCH(A156,TermStart,1)),INDEX(TermNames,MATCH(A156,TermStart,1)),"إجازة"),"")</f>
        <v/>
      </c>
      <c r="G156" s="160">
        <f>IF(COUNTIFS(HolFrom,"&lt;="&amp;A156,HolTo,"&gt;="&amp;A156)&gt;0,"عطلة","")</f>
        <v/>
      </c>
      <c r="H156" s="106">
        <f>IF(OR(G156="عطلة",AND(WEEKDAY(A156,2)=5,FridaySchool="لا")),0,1)</f>
        <v/>
      </c>
      <c r="I156" s="106">
        <f>'KG1-1'!FY44+'KG1-2'!FY44+'KG1-3'!FY44+'KG1-4'!FY44+'KG1-5'!FY44+'KG1-6'!FY44+'KG1-7'!FY44</f>
        <v/>
      </c>
      <c r="J156" s="106">
        <f>'KG1-1'!FY43+'KG1-2'!FY43+'KG1-3'!FY43+'KG1-4'!FY43+'KG1-5'!FY43+'KG1-6'!FY43+'KG1-7'!FY43</f>
        <v/>
      </c>
      <c r="K156" s="106">
        <f>'KG1-1'!FY40+'KG1-2'!FY40+'KG1-3'!FY40+'KG1-4'!FY40+'KG1-5'!FY40+'KG1-6'!FY40+'KG1-7'!FY40</f>
        <v/>
      </c>
      <c r="L156" s="106">
        <f>'KG1-1'!FY41+'KG1-2'!FY41+'KG1-3'!FY41+'KG1-4'!FY41+'KG1-5'!FY41+'KG1-6'!FY41+'KG1-7'!FY41</f>
        <v/>
      </c>
      <c r="M156" s="106">
        <f>'KG1-1'!FY42+'KG1-2'!FY42+'KG1-3'!FY42+'KG1-4'!FY42+'KG1-5'!FY42+'KG1-6'!FY42+'KG1-7'!FY42</f>
        <v/>
      </c>
      <c r="N156" s="145">
        <f>IF(I156=0,"",(J156+IF(LateAsPresent="نعم",M156,0))/I156)</f>
        <v/>
      </c>
      <c r="O156" s="161">
        <f>IF(I156&gt;0,"نعم","")</f>
        <v/>
      </c>
      <c r="P156" s="159">
        <f>IF(I156&gt;0,COUNTIF($I$5:I156,"&gt;0"),"")</f>
        <v/>
      </c>
    </row>
    <row r="157">
      <c r="A157" s="105" t="n">
        <v>46477</v>
      </c>
      <c r="B157" s="106" t="inlineStr">
        <is>
          <t>الأربعاء</t>
        </is>
      </c>
      <c r="C157" s="106" t="inlineStr">
        <is>
          <t>مارس 2027</t>
        </is>
      </c>
      <c r="D157" s="159" t="n">
        <v>202703</v>
      </c>
      <c r="E157" s="159" t="n">
        <v>31</v>
      </c>
      <c r="F157" s="106">
        <f>IFERROR(IF(A157&lt;=INDEX(TermEnd,MATCH(A157,TermStart,1)),INDEX(TermNames,MATCH(A157,TermStart,1)),"إجازة"),"")</f>
        <v/>
      </c>
      <c r="G157" s="160">
        <f>IF(COUNTIFS(HolFrom,"&lt;="&amp;A157,HolTo,"&gt;="&amp;A157)&gt;0,"عطلة","")</f>
        <v/>
      </c>
      <c r="H157" s="106">
        <f>IF(OR(G157="عطلة",AND(WEEKDAY(A157,2)=5,FridaySchool="لا")),0,1)</f>
        <v/>
      </c>
      <c r="I157" s="106">
        <f>'KG1-1'!FZ44+'KG1-2'!FZ44+'KG1-3'!FZ44+'KG1-4'!FZ44+'KG1-5'!FZ44+'KG1-6'!FZ44+'KG1-7'!FZ44</f>
        <v/>
      </c>
      <c r="J157" s="106">
        <f>'KG1-1'!FZ43+'KG1-2'!FZ43+'KG1-3'!FZ43+'KG1-4'!FZ43+'KG1-5'!FZ43+'KG1-6'!FZ43+'KG1-7'!FZ43</f>
        <v/>
      </c>
      <c r="K157" s="106">
        <f>'KG1-1'!FZ40+'KG1-2'!FZ40+'KG1-3'!FZ40+'KG1-4'!FZ40+'KG1-5'!FZ40+'KG1-6'!FZ40+'KG1-7'!FZ40</f>
        <v/>
      </c>
      <c r="L157" s="106">
        <f>'KG1-1'!FZ41+'KG1-2'!FZ41+'KG1-3'!FZ41+'KG1-4'!FZ41+'KG1-5'!FZ41+'KG1-6'!FZ41+'KG1-7'!FZ41</f>
        <v/>
      </c>
      <c r="M157" s="106">
        <f>'KG1-1'!FZ42+'KG1-2'!FZ42+'KG1-3'!FZ42+'KG1-4'!FZ42+'KG1-5'!FZ42+'KG1-6'!FZ42+'KG1-7'!FZ42</f>
        <v/>
      </c>
      <c r="N157" s="145">
        <f>IF(I157=0,"",(J157+IF(LateAsPresent="نعم",M157,0))/I157)</f>
        <v/>
      </c>
      <c r="O157" s="161">
        <f>IF(I157&gt;0,"نعم","")</f>
        <v/>
      </c>
      <c r="P157" s="159">
        <f>IF(I157&gt;0,COUNTIF($I$5:I157,"&gt;0"),"")</f>
        <v/>
      </c>
    </row>
    <row r="158">
      <c r="A158" s="105" t="n">
        <v>46478</v>
      </c>
      <c r="B158" s="106" t="inlineStr">
        <is>
          <t>الخميس</t>
        </is>
      </c>
      <c r="C158" s="106" t="inlineStr">
        <is>
          <t>أبريل 2027</t>
        </is>
      </c>
      <c r="D158" s="159" t="n">
        <v>202704</v>
      </c>
      <c r="E158" s="159" t="n">
        <v>31</v>
      </c>
      <c r="F158" s="106">
        <f>IFERROR(IF(A158&lt;=INDEX(TermEnd,MATCH(A158,TermStart,1)),INDEX(TermNames,MATCH(A158,TermStart,1)),"إجازة"),"")</f>
        <v/>
      </c>
      <c r="G158" s="160">
        <f>IF(COUNTIFS(HolFrom,"&lt;="&amp;A158,HolTo,"&gt;="&amp;A158)&gt;0,"عطلة","")</f>
        <v/>
      </c>
      <c r="H158" s="106">
        <f>IF(OR(G158="عطلة",AND(WEEKDAY(A158,2)=5,FridaySchool="لا")),0,1)</f>
        <v/>
      </c>
      <c r="I158" s="106">
        <f>'KG1-1'!GA44+'KG1-2'!GA44+'KG1-3'!GA44+'KG1-4'!GA44+'KG1-5'!GA44+'KG1-6'!GA44+'KG1-7'!GA44</f>
        <v/>
      </c>
      <c r="J158" s="106">
        <f>'KG1-1'!GA43+'KG1-2'!GA43+'KG1-3'!GA43+'KG1-4'!GA43+'KG1-5'!GA43+'KG1-6'!GA43+'KG1-7'!GA43</f>
        <v/>
      </c>
      <c r="K158" s="106">
        <f>'KG1-1'!GA40+'KG1-2'!GA40+'KG1-3'!GA40+'KG1-4'!GA40+'KG1-5'!GA40+'KG1-6'!GA40+'KG1-7'!GA40</f>
        <v/>
      </c>
      <c r="L158" s="106">
        <f>'KG1-1'!GA41+'KG1-2'!GA41+'KG1-3'!GA41+'KG1-4'!GA41+'KG1-5'!GA41+'KG1-6'!GA41+'KG1-7'!GA41</f>
        <v/>
      </c>
      <c r="M158" s="106">
        <f>'KG1-1'!GA42+'KG1-2'!GA42+'KG1-3'!GA42+'KG1-4'!GA42+'KG1-5'!GA42+'KG1-6'!GA42+'KG1-7'!GA42</f>
        <v/>
      </c>
      <c r="N158" s="145">
        <f>IF(I158=0,"",(J158+IF(LateAsPresent="نعم",M158,0))/I158)</f>
        <v/>
      </c>
      <c r="O158" s="161">
        <f>IF(I158&gt;0,"نعم","")</f>
        <v/>
      </c>
      <c r="P158" s="159">
        <f>IF(I158&gt;0,COUNTIF($I$5:I158,"&gt;0"),"")</f>
        <v/>
      </c>
    </row>
    <row r="159">
      <c r="A159" s="105" t="n">
        <v>46479</v>
      </c>
      <c r="B159" s="106" t="inlineStr">
        <is>
          <t>الجمعة</t>
        </is>
      </c>
      <c r="C159" s="106" t="inlineStr">
        <is>
          <t>أبريل 2027</t>
        </is>
      </c>
      <c r="D159" s="159" t="n">
        <v>202704</v>
      </c>
      <c r="E159" s="159" t="n">
        <v>31</v>
      </c>
      <c r="F159" s="106">
        <f>IFERROR(IF(A159&lt;=INDEX(TermEnd,MATCH(A159,TermStart,1)),INDEX(TermNames,MATCH(A159,TermStart,1)),"إجازة"),"")</f>
        <v/>
      </c>
      <c r="G159" s="160">
        <f>IF(COUNTIFS(HolFrom,"&lt;="&amp;A159,HolTo,"&gt;="&amp;A159)&gt;0,"عطلة","")</f>
        <v/>
      </c>
      <c r="H159" s="106">
        <f>IF(OR(G159="عطلة",AND(WEEKDAY(A159,2)=5,FridaySchool="لا")),0,1)</f>
        <v/>
      </c>
      <c r="I159" s="106">
        <f>'KG1-1'!GB44+'KG1-2'!GB44+'KG1-3'!GB44+'KG1-4'!GB44+'KG1-5'!GB44+'KG1-6'!GB44+'KG1-7'!GB44</f>
        <v/>
      </c>
      <c r="J159" s="106">
        <f>'KG1-1'!GB43+'KG1-2'!GB43+'KG1-3'!GB43+'KG1-4'!GB43+'KG1-5'!GB43+'KG1-6'!GB43+'KG1-7'!GB43</f>
        <v/>
      </c>
      <c r="K159" s="106">
        <f>'KG1-1'!GB40+'KG1-2'!GB40+'KG1-3'!GB40+'KG1-4'!GB40+'KG1-5'!GB40+'KG1-6'!GB40+'KG1-7'!GB40</f>
        <v/>
      </c>
      <c r="L159" s="106">
        <f>'KG1-1'!GB41+'KG1-2'!GB41+'KG1-3'!GB41+'KG1-4'!GB41+'KG1-5'!GB41+'KG1-6'!GB41+'KG1-7'!GB41</f>
        <v/>
      </c>
      <c r="M159" s="106">
        <f>'KG1-1'!GB42+'KG1-2'!GB42+'KG1-3'!GB42+'KG1-4'!GB42+'KG1-5'!GB42+'KG1-6'!GB42+'KG1-7'!GB42</f>
        <v/>
      </c>
      <c r="N159" s="145">
        <f>IF(I159=0,"",(J159+IF(LateAsPresent="نعم",M159,0))/I159)</f>
        <v/>
      </c>
      <c r="O159" s="161">
        <f>IF(I159&gt;0,"نعم","")</f>
        <v/>
      </c>
      <c r="P159" s="159">
        <f>IF(I159&gt;0,COUNTIF($I$5:I159,"&gt;0"),"")</f>
        <v/>
      </c>
    </row>
    <row r="160">
      <c r="A160" s="105" t="n">
        <v>46482</v>
      </c>
      <c r="B160" s="106" t="inlineStr">
        <is>
          <t>الاثنين</t>
        </is>
      </c>
      <c r="C160" s="106" t="inlineStr">
        <is>
          <t>أبريل 2027</t>
        </is>
      </c>
      <c r="D160" s="159" t="n">
        <v>202704</v>
      </c>
      <c r="E160" s="159" t="n">
        <v>32</v>
      </c>
      <c r="F160" s="106">
        <f>IFERROR(IF(A160&lt;=INDEX(TermEnd,MATCH(A160,TermStart,1)),INDEX(TermNames,MATCH(A160,TermStart,1)),"إجازة"),"")</f>
        <v/>
      </c>
      <c r="G160" s="160">
        <f>IF(COUNTIFS(HolFrom,"&lt;="&amp;A160,HolTo,"&gt;="&amp;A160)&gt;0,"عطلة","")</f>
        <v/>
      </c>
      <c r="H160" s="106">
        <f>IF(OR(G160="عطلة",AND(WEEKDAY(A160,2)=5,FridaySchool="لا")),0,1)</f>
        <v/>
      </c>
      <c r="I160" s="106">
        <f>'KG1-1'!GC44+'KG1-2'!GC44+'KG1-3'!GC44+'KG1-4'!GC44+'KG1-5'!GC44+'KG1-6'!GC44+'KG1-7'!GC44</f>
        <v/>
      </c>
      <c r="J160" s="106">
        <f>'KG1-1'!GC43+'KG1-2'!GC43+'KG1-3'!GC43+'KG1-4'!GC43+'KG1-5'!GC43+'KG1-6'!GC43+'KG1-7'!GC43</f>
        <v/>
      </c>
      <c r="K160" s="106">
        <f>'KG1-1'!GC40+'KG1-2'!GC40+'KG1-3'!GC40+'KG1-4'!GC40+'KG1-5'!GC40+'KG1-6'!GC40+'KG1-7'!GC40</f>
        <v/>
      </c>
      <c r="L160" s="106">
        <f>'KG1-1'!GC41+'KG1-2'!GC41+'KG1-3'!GC41+'KG1-4'!GC41+'KG1-5'!GC41+'KG1-6'!GC41+'KG1-7'!GC41</f>
        <v/>
      </c>
      <c r="M160" s="106">
        <f>'KG1-1'!GC42+'KG1-2'!GC42+'KG1-3'!GC42+'KG1-4'!GC42+'KG1-5'!GC42+'KG1-6'!GC42+'KG1-7'!GC42</f>
        <v/>
      </c>
      <c r="N160" s="145">
        <f>IF(I160=0,"",(J160+IF(LateAsPresent="نعم",M160,0))/I160)</f>
        <v/>
      </c>
      <c r="O160" s="161">
        <f>IF(I160&gt;0,"نعم","")</f>
        <v/>
      </c>
      <c r="P160" s="159">
        <f>IF(I160&gt;0,COUNTIF($I$5:I160,"&gt;0"),"")</f>
        <v/>
      </c>
    </row>
    <row r="161">
      <c r="A161" s="105" t="n">
        <v>46483</v>
      </c>
      <c r="B161" s="106" t="inlineStr">
        <is>
          <t>الثلاثاء</t>
        </is>
      </c>
      <c r="C161" s="106" t="inlineStr">
        <is>
          <t>أبريل 2027</t>
        </is>
      </c>
      <c r="D161" s="159" t="n">
        <v>202704</v>
      </c>
      <c r="E161" s="159" t="n">
        <v>32</v>
      </c>
      <c r="F161" s="106">
        <f>IFERROR(IF(A161&lt;=INDEX(TermEnd,MATCH(A161,TermStart,1)),INDEX(TermNames,MATCH(A161,TermStart,1)),"إجازة"),"")</f>
        <v/>
      </c>
      <c r="G161" s="160">
        <f>IF(COUNTIFS(HolFrom,"&lt;="&amp;A161,HolTo,"&gt;="&amp;A161)&gt;0,"عطلة","")</f>
        <v/>
      </c>
      <c r="H161" s="106">
        <f>IF(OR(G161="عطلة",AND(WEEKDAY(A161,2)=5,FridaySchool="لا")),0,1)</f>
        <v/>
      </c>
      <c r="I161" s="106">
        <f>'KG1-1'!GD44+'KG1-2'!GD44+'KG1-3'!GD44+'KG1-4'!GD44+'KG1-5'!GD44+'KG1-6'!GD44+'KG1-7'!GD44</f>
        <v/>
      </c>
      <c r="J161" s="106">
        <f>'KG1-1'!GD43+'KG1-2'!GD43+'KG1-3'!GD43+'KG1-4'!GD43+'KG1-5'!GD43+'KG1-6'!GD43+'KG1-7'!GD43</f>
        <v/>
      </c>
      <c r="K161" s="106">
        <f>'KG1-1'!GD40+'KG1-2'!GD40+'KG1-3'!GD40+'KG1-4'!GD40+'KG1-5'!GD40+'KG1-6'!GD40+'KG1-7'!GD40</f>
        <v/>
      </c>
      <c r="L161" s="106">
        <f>'KG1-1'!GD41+'KG1-2'!GD41+'KG1-3'!GD41+'KG1-4'!GD41+'KG1-5'!GD41+'KG1-6'!GD41+'KG1-7'!GD41</f>
        <v/>
      </c>
      <c r="M161" s="106">
        <f>'KG1-1'!GD42+'KG1-2'!GD42+'KG1-3'!GD42+'KG1-4'!GD42+'KG1-5'!GD42+'KG1-6'!GD42+'KG1-7'!GD42</f>
        <v/>
      </c>
      <c r="N161" s="145">
        <f>IF(I161=0,"",(J161+IF(LateAsPresent="نعم",M161,0))/I161)</f>
        <v/>
      </c>
      <c r="O161" s="161">
        <f>IF(I161&gt;0,"نعم","")</f>
        <v/>
      </c>
      <c r="P161" s="159">
        <f>IF(I161&gt;0,COUNTIF($I$5:I161,"&gt;0"),"")</f>
        <v/>
      </c>
    </row>
    <row r="162">
      <c r="A162" s="105" t="n">
        <v>46484</v>
      </c>
      <c r="B162" s="106" t="inlineStr">
        <is>
          <t>الأربعاء</t>
        </is>
      </c>
      <c r="C162" s="106" t="inlineStr">
        <is>
          <t>أبريل 2027</t>
        </is>
      </c>
      <c r="D162" s="159" t="n">
        <v>202704</v>
      </c>
      <c r="E162" s="159" t="n">
        <v>32</v>
      </c>
      <c r="F162" s="106">
        <f>IFERROR(IF(A162&lt;=INDEX(TermEnd,MATCH(A162,TermStart,1)),INDEX(TermNames,MATCH(A162,TermStart,1)),"إجازة"),"")</f>
        <v/>
      </c>
      <c r="G162" s="160">
        <f>IF(COUNTIFS(HolFrom,"&lt;="&amp;A162,HolTo,"&gt;="&amp;A162)&gt;0,"عطلة","")</f>
        <v/>
      </c>
      <c r="H162" s="106">
        <f>IF(OR(G162="عطلة",AND(WEEKDAY(A162,2)=5,FridaySchool="لا")),0,1)</f>
        <v/>
      </c>
      <c r="I162" s="106">
        <f>'KG1-1'!GE44+'KG1-2'!GE44+'KG1-3'!GE44+'KG1-4'!GE44+'KG1-5'!GE44+'KG1-6'!GE44+'KG1-7'!GE44</f>
        <v/>
      </c>
      <c r="J162" s="106">
        <f>'KG1-1'!GE43+'KG1-2'!GE43+'KG1-3'!GE43+'KG1-4'!GE43+'KG1-5'!GE43+'KG1-6'!GE43+'KG1-7'!GE43</f>
        <v/>
      </c>
      <c r="K162" s="106">
        <f>'KG1-1'!GE40+'KG1-2'!GE40+'KG1-3'!GE40+'KG1-4'!GE40+'KG1-5'!GE40+'KG1-6'!GE40+'KG1-7'!GE40</f>
        <v/>
      </c>
      <c r="L162" s="106">
        <f>'KG1-1'!GE41+'KG1-2'!GE41+'KG1-3'!GE41+'KG1-4'!GE41+'KG1-5'!GE41+'KG1-6'!GE41+'KG1-7'!GE41</f>
        <v/>
      </c>
      <c r="M162" s="106">
        <f>'KG1-1'!GE42+'KG1-2'!GE42+'KG1-3'!GE42+'KG1-4'!GE42+'KG1-5'!GE42+'KG1-6'!GE42+'KG1-7'!GE42</f>
        <v/>
      </c>
      <c r="N162" s="145">
        <f>IF(I162=0,"",(J162+IF(LateAsPresent="نعم",M162,0))/I162)</f>
        <v/>
      </c>
      <c r="O162" s="161">
        <f>IF(I162&gt;0,"نعم","")</f>
        <v/>
      </c>
      <c r="P162" s="159">
        <f>IF(I162&gt;0,COUNTIF($I$5:I162,"&gt;0"),"")</f>
        <v/>
      </c>
    </row>
    <row r="163">
      <c r="A163" s="105" t="n">
        <v>46485</v>
      </c>
      <c r="B163" s="106" t="inlineStr">
        <is>
          <t>الخميس</t>
        </is>
      </c>
      <c r="C163" s="106" t="inlineStr">
        <is>
          <t>أبريل 2027</t>
        </is>
      </c>
      <c r="D163" s="159" t="n">
        <v>202704</v>
      </c>
      <c r="E163" s="159" t="n">
        <v>32</v>
      </c>
      <c r="F163" s="106">
        <f>IFERROR(IF(A163&lt;=INDEX(TermEnd,MATCH(A163,TermStart,1)),INDEX(TermNames,MATCH(A163,TermStart,1)),"إجازة"),"")</f>
        <v/>
      </c>
      <c r="G163" s="160">
        <f>IF(COUNTIFS(HolFrom,"&lt;="&amp;A163,HolTo,"&gt;="&amp;A163)&gt;0,"عطلة","")</f>
        <v/>
      </c>
      <c r="H163" s="106">
        <f>IF(OR(G163="عطلة",AND(WEEKDAY(A163,2)=5,FridaySchool="لا")),0,1)</f>
        <v/>
      </c>
      <c r="I163" s="106">
        <f>'KG1-1'!GF44+'KG1-2'!GF44+'KG1-3'!GF44+'KG1-4'!GF44+'KG1-5'!GF44+'KG1-6'!GF44+'KG1-7'!GF44</f>
        <v/>
      </c>
      <c r="J163" s="106">
        <f>'KG1-1'!GF43+'KG1-2'!GF43+'KG1-3'!GF43+'KG1-4'!GF43+'KG1-5'!GF43+'KG1-6'!GF43+'KG1-7'!GF43</f>
        <v/>
      </c>
      <c r="K163" s="106">
        <f>'KG1-1'!GF40+'KG1-2'!GF40+'KG1-3'!GF40+'KG1-4'!GF40+'KG1-5'!GF40+'KG1-6'!GF40+'KG1-7'!GF40</f>
        <v/>
      </c>
      <c r="L163" s="106">
        <f>'KG1-1'!GF41+'KG1-2'!GF41+'KG1-3'!GF41+'KG1-4'!GF41+'KG1-5'!GF41+'KG1-6'!GF41+'KG1-7'!GF41</f>
        <v/>
      </c>
      <c r="M163" s="106">
        <f>'KG1-1'!GF42+'KG1-2'!GF42+'KG1-3'!GF42+'KG1-4'!GF42+'KG1-5'!GF42+'KG1-6'!GF42+'KG1-7'!GF42</f>
        <v/>
      </c>
      <c r="N163" s="145">
        <f>IF(I163=0,"",(J163+IF(LateAsPresent="نعم",M163,0))/I163)</f>
        <v/>
      </c>
      <c r="O163" s="161">
        <f>IF(I163&gt;0,"نعم","")</f>
        <v/>
      </c>
      <c r="P163" s="159">
        <f>IF(I163&gt;0,COUNTIF($I$5:I163,"&gt;0"),"")</f>
        <v/>
      </c>
    </row>
    <row r="164">
      <c r="A164" s="105" t="n">
        <v>46486</v>
      </c>
      <c r="B164" s="106" t="inlineStr">
        <is>
          <t>الجمعة</t>
        </is>
      </c>
      <c r="C164" s="106" t="inlineStr">
        <is>
          <t>أبريل 2027</t>
        </is>
      </c>
      <c r="D164" s="159" t="n">
        <v>202704</v>
      </c>
      <c r="E164" s="159" t="n">
        <v>32</v>
      </c>
      <c r="F164" s="106">
        <f>IFERROR(IF(A164&lt;=INDEX(TermEnd,MATCH(A164,TermStart,1)),INDEX(TermNames,MATCH(A164,TermStart,1)),"إجازة"),"")</f>
        <v/>
      </c>
      <c r="G164" s="160">
        <f>IF(COUNTIFS(HolFrom,"&lt;="&amp;A164,HolTo,"&gt;="&amp;A164)&gt;0,"عطلة","")</f>
        <v/>
      </c>
      <c r="H164" s="106">
        <f>IF(OR(G164="عطلة",AND(WEEKDAY(A164,2)=5,FridaySchool="لا")),0,1)</f>
        <v/>
      </c>
      <c r="I164" s="106">
        <f>'KG1-1'!GG44+'KG1-2'!GG44+'KG1-3'!GG44+'KG1-4'!GG44+'KG1-5'!GG44+'KG1-6'!GG44+'KG1-7'!GG44</f>
        <v/>
      </c>
      <c r="J164" s="106">
        <f>'KG1-1'!GG43+'KG1-2'!GG43+'KG1-3'!GG43+'KG1-4'!GG43+'KG1-5'!GG43+'KG1-6'!GG43+'KG1-7'!GG43</f>
        <v/>
      </c>
      <c r="K164" s="106">
        <f>'KG1-1'!GG40+'KG1-2'!GG40+'KG1-3'!GG40+'KG1-4'!GG40+'KG1-5'!GG40+'KG1-6'!GG40+'KG1-7'!GG40</f>
        <v/>
      </c>
      <c r="L164" s="106">
        <f>'KG1-1'!GG41+'KG1-2'!GG41+'KG1-3'!GG41+'KG1-4'!GG41+'KG1-5'!GG41+'KG1-6'!GG41+'KG1-7'!GG41</f>
        <v/>
      </c>
      <c r="M164" s="106">
        <f>'KG1-1'!GG42+'KG1-2'!GG42+'KG1-3'!GG42+'KG1-4'!GG42+'KG1-5'!GG42+'KG1-6'!GG42+'KG1-7'!GG42</f>
        <v/>
      </c>
      <c r="N164" s="145">
        <f>IF(I164=0,"",(J164+IF(LateAsPresent="نعم",M164,0))/I164)</f>
        <v/>
      </c>
      <c r="O164" s="161">
        <f>IF(I164&gt;0,"نعم","")</f>
        <v/>
      </c>
      <c r="P164" s="159">
        <f>IF(I164&gt;0,COUNTIF($I$5:I164,"&gt;0"),"")</f>
        <v/>
      </c>
    </row>
    <row r="165">
      <c r="A165" s="105" t="n">
        <v>46489</v>
      </c>
      <c r="B165" s="106" t="inlineStr">
        <is>
          <t>الاثنين</t>
        </is>
      </c>
      <c r="C165" s="106" t="inlineStr">
        <is>
          <t>أبريل 2027</t>
        </is>
      </c>
      <c r="D165" s="159" t="n">
        <v>202704</v>
      </c>
      <c r="E165" s="159" t="n">
        <v>33</v>
      </c>
      <c r="F165" s="106">
        <f>IFERROR(IF(A165&lt;=INDEX(TermEnd,MATCH(A165,TermStart,1)),INDEX(TermNames,MATCH(A165,TermStart,1)),"إجازة"),"")</f>
        <v/>
      </c>
      <c r="G165" s="160">
        <f>IF(COUNTIFS(HolFrom,"&lt;="&amp;A165,HolTo,"&gt;="&amp;A165)&gt;0,"عطلة","")</f>
        <v/>
      </c>
      <c r="H165" s="106">
        <f>IF(OR(G165="عطلة",AND(WEEKDAY(A165,2)=5,FridaySchool="لا")),0,1)</f>
        <v/>
      </c>
      <c r="I165" s="106">
        <f>'KG1-1'!GH44+'KG1-2'!GH44+'KG1-3'!GH44+'KG1-4'!GH44+'KG1-5'!GH44+'KG1-6'!GH44+'KG1-7'!GH44</f>
        <v/>
      </c>
      <c r="J165" s="106">
        <f>'KG1-1'!GH43+'KG1-2'!GH43+'KG1-3'!GH43+'KG1-4'!GH43+'KG1-5'!GH43+'KG1-6'!GH43+'KG1-7'!GH43</f>
        <v/>
      </c>
      <c r="K165" s="106">
        <f>'KG1-1'!GH40+'KG1-2'!GH40+'KG1-3'!GH40+'KG1-4'!GH40+'KG1-5'!GH40+'KG1-6'!GH40+'KG1-7'!GH40</f>
        <v/>
      </c>
      <c r="L165" s="106">
        <f>'KG1-1'!GH41+'KG1-2'!GH41+'KG1-3'!GH41+'KG1-4'!GH41+'KG1-5'!GH41+'KG1-6'!GH41+'KG1-7'!GH41</f>
        <v/>
      </c>
      <c r="M165" s="106">
        <f>'KG1-1'!GH42+'KG1-2'!GH42+'KG1-3'!GH42+'KG1-4'!GH42+'KG1-5'!GH42+'KG1-6'!GH42+'KG1-7'!GH42</f>
        <v/>
      </c>
      <c r="N165" s="145">
        <f>IF(I165=0,"",(J165+IF(LateAsPresent="نعم",M165,0))/I165)</f>
        <v/>
      </c>
      <c r="O165" s="161">
        <f>IF(I165&gt;0,"نعم","")</f>
        <v/>
      </c>
      <c r="P165" s="159">
        <f>IF(I165&gt;0,COUNTIF($I$5:I165,"&gt;0"),"")</f>
        <v/>
      </c>
    </row>
    <row r="166">
      <c r="A166" s="105" t="n">
        <v>46490</v>
      </c>
      <c r="B166" s="106" t="inlineStr">
        <is>
          <t>الثلاثاء</t>
        </is>
      </c>
      <c r="C166" s="106" t="inlineStr">
        <is>
          <t>أبريل 2027</t>
        </is>
      </c>
      <c r="D166" s="159" t="n">
        <v>202704</v>
      </c>
      <c r="E166" s="159" t="n">
        <v>33</v>
      </c>
      <c r="F166" s="106">
        <f>IFERROR(IF(A166&lt;=INDEX(TermEnd,MATCH(A166,TermStart,1)),INDEX(TermNames,MATCH(A166,TermStart,1)),"إجازة"),"")</f>
        <v/>
      </c>
      <c r="G166" s="160">
        <f>IF(COUNTIFS(HolFrom,"&lt;="&amp;A166,HolTo,"&gt;="&amp;A166)&gt;0,"عطلة","")</f>
        <v/>
      </c>
      <c r="H166" s="106">
        <f>IF(OR(G166="عطلة",AND(WEEKDAY(A166,2)=5,FridaySchool="لا")),0,1)</f>
        <v/>
      </c>
      <c r="I166" s="106">
        <f>'KG1-1'!GI44+'KG1-2'!GI44+'KG1-3'!GI44+'KG1-4'!GI44+'KG1-5'!GI44+'KG1-6'!GI44+'KG1-7'!GI44</f>
        <v/>
      </c>
      <c r="J166" s="106">
        <f>'KG1-1'!GI43+'KG1-2'!GI43+'KG1-3'!GI43+'KG1-4'!GI43+'KG1-5'!GI43+'KG1-6'!GI43+'KG1-7'!GI43</f>
        <v/>
      </c>
      <c r="K166" s="106">
        <f>'KG1-1'!GI40+'KG1-2'!GI40+'KG1-3'!GI40+'KG1-4'!GI40+'KG1-5'!GI40+'KG1-6'!GI40+'KG1-7'!GI40</f>
        <v/>
      </c>
      <c r="L166" s="106">
        <f>'KG1-1'!GI41+'KG1-2'!GI41+'KG1-3'!GI41+'KG1-4'!GI41+'KG1-5'!GI41+'KG1-6'!GI41+'KG1-7'!GI41</f>
        <v/>
      </c>
      <c r="M166" s="106">
        <f>'KG1-1'!GI42+'KG1-2'!GI42+'KG1-3'!GI42+'KG1-4'!GI42+'KG1-5'!GI42+'KG1-6'!GI42+'KG1-7'!GI42</f>
        <v/>
      </c>
      <c r="N166" s="145">
        <f>IF(I166=0,"",(J166+IF(LateAsPresent="نعم",M166,0))/I166)</f>
        <v/>
      </c>
      <c r="O166" s="161">
        <f>IF(I166&gt;0,"نعم","")</f>
        <v/>
      </c>
      <c r="P166" s="159">
        <f>IF(I166&gt;0,COUNTIF($I$5:I166,"&gt;0"),"")</f>
        <v/>
      </c>
    </row>
    <row r="167">
      <c r="A167" s="105" t="n">
        <v>46491</v>
      </c>
      <c r="B167" s="106" t="inlineStr">
        <is>
          <t>الأربعاء</t>
        </is>
      </c>
      <c r="C167" s="106" t="inlineStr">
        <is>
          <t>أبريل 2027</t>
        </is>
      </c>
      <c r="D167" s="159" t="n">
        <v>202704</v>
      </c>
      <c r="E167" s="159" t="n">
        <v>33</v>
      </c>
      <c r="F167" s="106">
        <f>IFERROR(IF(A167&lt;=INDEX(TermEnd,MATCH(A167,TermStart,1)),INDEX(TermNames,MATCH(A167,TermStart,1)),"إجازة"),"")</f>
        <v/>
      </c>
      <c r="G167" s="160">
        <f>IF(COUNTIFS(HolFrom,"&lt;="&amp;A167,HolTo,"&gt;="&amp;A167)&gt;0,"عطلة","")</f>
        <v/>
      </c>
      <c r="H167" s="106">
        <f>IF(OR(G167="عطلة",AND(WEEKDAY(A167,2)=5,FridaySchool="لا")),0,1)</f>
        <v/>
      </c>
      <c r="I167" s="106">
        <f>'KG1-1'!GJ44+'KG1-2'!GJ44+'KG1-3'!GJ44+'KG1-4'!GJ44+'KG1-5'!GJ44+'KG1-6'!GJ44+'KG1-7'!GJ44</f>
        <v/>
      </c>
      <c r="J167" s="106">
        <f>'KG1-1'!GJ43+'KG1-2'!GJ43+'KG1-3'!GJ43+'KG1-4'!GJ43+'KG1-5'!GJ43+'KG1-6'!GJ43+'KG1-7'!GJ43</f>
        <v/>
      </c>
      <c r="K167" s="106">
        <f>'KG1-1'!GJ40+'KG1-2'!GJ40+'KG1-3'!GJ40+'KG1-4'!GJ40+'KG1-5'!GJ40+'KG1-6'!GJ40+'KG1-7'!GJ40</f>
        <v/>
      </c>
      <c r="L167" s="106">
        <f>'KG1-1'!GJ41+'KG1-2'!GJ41+'KG1-3'!GJ41+'KG1-4'!GJ41+'KG1-5'!GJ41+'KG1-6'!GJ41+'KG1-7'!GJ41</f>
        <v/>
      </c>
      <c r="M167" s="106">
        <f>'KG1-1'!GJ42+'KG1-2'!GJ42+'KG1-3'!GJ42+'KG1-4'!GJ42+'KG1-5'!GJ42+'KG1-6'!GJ42+'KG1-7'!GJ42</f>
        <v/>
      </c>
      <c r="N167" s="145">
        <f>IF(I167=0,"",(J167+IF(LateAsPresent="نعم",M167,0))/I167)</f>
        <v/>
      </c>
      <c r="O167" s="161">
        <f>IF(I167&gt;0,"نعم","")</f>
        <v/>
      </c>
      <c r="P167" s="159">
        <f>IF(I167&gt;0,COUNTIF($I$5:I167,"&gt;0"),"")</f>
        <v/>
      </c>
    </row>
    <row r="168">
      <c r="A168" s="105" t="n">
        <v>46492</v>
      </c>
      <c r="B168" s="106" t="inlineStr">
        <is>
          <t>الخميس</t>
        </is>
      </c>
      <c r="C168" s="106" t="inlineStr">
        <is>
          <t>أبريل 2027</t>
        </is>
      </c>
      <c r="D168" s="159" t="n">
        <v>202704</v>
      </c>
      <c r="E168" s="159" t="n">
        <v>33</v>
      </c>
      <c r="F168" s="106">
        <f>IFERROR(IF(A168&lt;=INDEX(TermEnd,MATCH(A168,TermStart,1)),INDEX(TermNames,MATCH(A168,TermStart,1)),"إجازة"),"")</f>
        <v/>
      </c>
      <c r="G168" s="160">
        <f>IF(COUNTIFS(HolFrom,"&lt;="&amp;A168,HolTo,"&gt;="&amp;A168)&gt;0,"عطلة","")</f>
        <v/>
      </c>
      <c r="H168" s="106">
        <f>IF(OR(G168="عطلة",AND(WEEKDAY(A168,2)=5,FridaySchool="لا")),0,1)</f>
        <v/>
      </c>
      <c r="I168" s="106">
        <f>'KG1-1'!GK44+'KG1-2'!GK44+'KG1-3'!GK44+'KG1-4'!GK44+'KG1-5'!GK44+'KG1-6'!GK44+'KG1-7'!GK44</f>
        <v/>
      </c>
      <c r="J168" s="106">
        <f>'KG1-1'!GK43+'KG1-2'!GK43+'KG1-3'!GK43+'KG1-4'!GK43+'KG1-5'!GK43+'KG1-6'!GK43+'KG1-7'!GK43</f>
        <v/>
      </c>
      <c r="K168" s="106">
        <f>'KG1-1'!GK40+'KG1-2'!GK40+'KG1-3'!GK40+'KG1-4'!GK40+'KG1-5'!GK40+'KG1-6'!GK40+'KG1-7'!GK40</f>
        <v/>
      </c>
      <c r="L168" s="106">
        <f>'KG1-1'!GK41+'KG1-2'!GK41+'KG1-3'!GK41+'KG1-4'!GK41+'KG1-5'!GK41+'KG1-6'!GK41+'KG1-7'!GK41</f>
        <v/>
      </c>
      <c r="M168" s="106">
        <f>'KG1-1'!GK42+'KG1-2'!GK42+'KG1-3'!GK42+'KG1-4'!GK42+'KG1-5'!GK42+'KG1-6'!GK42+'KG1-7'!GK42</f>
        <v/>
      </c>
      <c r="N168" s="145">
        <f>IF(I168=0,"",(J168+IF(LateAsPresent="نعم",M168,0))/I168)</f>
        <v/>
      </c>
      <c r="O168" s="161">
        <f>IF(I168&gt;0,"نعم","")</f>
        <v/>
      </c>
      <c r="P168" s="159">
        <f>IF(I168&gt;0,COUNTIF($I$5:I168,"&gt;0"),"")</f>
        <v/>
      </c>
    </row>
    <row r="169">
      <c r="A169" s="105" t="n">
        <v>46493</v>
      </c>
      <c r="B169" s="106" t="inlineStr">
        <is>
          <t>الجمعة</t>
        </is>
      </c>
      <c r="C169" s="106" t="inlineStr">
        <is>
          <t>أبريل 2027</t>
        </is>
      </c>
      <c r="D169" s="159" t="n">
        <v>202704</v>
      </c>
      <c r="E169" s="159" t="n">
        <v>33</v>
      </c>
      <c r="F169" s="106">
        <f>IFERROR(IF(A169&lt;=INDEX(TermEnd,MATCH(A169,TermStart,1)),INDEX(TermNames,MATCH(A169,TermStart,1)),"إجازة"),"")</f>
        <v/>
      </c>
      <c r="G169" s="160">
        <f>IF(COUNTIFS(HolFrom,"&lt;="&amp;A169,HolTo,"&gt;="&amp;A169)&gt;0,"عطلة","")</f>
        <v/>
      </c>
      <c r="H169" s="106">
        <f>IF(OR(G169="عطلة",AND(WEEKDAY(A169,2)=5,FridaySchool="لا")),0,1)</f>
        <v/>
      </c>
      <c r="I169" s="106">
        <f>'KG1-1'!GL44+'KG1-2'!GL44+'KG1-3'!GL44+'KG1-4'!GL44+'KG1-5'!GL44+'KG1-6'!GL44+'KG1-7'!GL44</f>
        <v/>
      </c>
      <c r="J169" s="106">
        <f>'KG1-1'!GL43+'KG1-2'!GL43+'KG1-3'!GL43+'KG1-4'!GL43+'KG1-5'!GL43+'KG1-6'!GL43+'KG1-7'!GL43</f>
        <v/>
      </c>
      <c r="K169" s="106">
        <f>'KG1-1'!GL40+'KG1-2'!GL40+'KG1-3'!GL40+'KG1-4'!GL40+'KG1-5'!GL40+'KG1-6'!GL40+'KG1-7'!GL40</f>
        <v/>
      </c>
      <c r="L169" s="106">
        <f>'KG1-1'!GL41+'KG1-2'!GL41+'KG1-3'!GL41+'KG1-4'!GL41+'KG1-5'!GL41+'KG1-6'!GL41+'KG1-7'!GL41</f>
        <v/>
      </c>
      <c r="M169" s="106">
        <f>'KG1-1'!GL42+'KG1-2'!GL42+'KG1-3'!GL42+'KG1-4'!GL42+'KG1-5'!GL42+'KG1-6'!GL42+'KG1-7'!GL42</f>
        <v/>
      </c>
      <c r="N169" s="145">
        <f>IF(I169=0,"",(J169+IF(LateAsPresent="نعم",M169,0))/I169)</f>
        <v/>
      </c>
      <c r="O169" s="161">
        <f>IF(I169&gt;0,"نعم","")</f>
        <v/>
      </c>
      <c r="P169" s="159">
        <f>IF(I169&gt;0,COUNTIF($I$5:I169,"&gt;0"),"")</f>
        <v/>
      </c>
    </row>
    <row r="170">
      <c r="A170" s="105" t="n">
        <v>46496</v>
      </c>
      <c r="B170" s="106" t="inlineStr">
        <is>
          <t>الاثنين</t>
        </is>
      </c>
      <c r="C170" s="106" t="inlineStr">
        <is>
          <t>أبريل 2027</t>
        </is>
      </c>
      <c r="D170" s="159" t="n">
        <v>202704</v>
      </c>
      <c r="E170" s="159" t="n">
        <v>34</v>
      </c>
      <c r="F170" s="106">
        <f>IFERROR(IF(A170&lt;=INDEX(TermEnd,MATCH(A170,TermStart,1)),INDEX(TermNames,MATCH(A170,TermStart,1)),"إجازة"),"")</f>
        <v/>
      </c>
      <c r="G170" s="160">
        <f>IF(COUNTIFS(HolFrom,"&lt;="&amp;A170,HolTo,"&gt;="&amp;A170)&gt;0,"عطلة","")</f>
        <v/>
      </c>
      <c r="H170" s="106">
        <f>IF(OR(G170="عطلة",AND(WEEKDAY(A170,2)=5,FridaySchool="لا")),0,1)</f>
        <v/>
      </c>
      <c r="I170" s="106">
        <f>'KG1-1'!GM44+'KG1-2'!GM44+'KG1-3'!GM44+'KG1-4'!GM44+'KG1-5'!GM44+'KG1-6'!GM44+'KG1-7'!GM44</f>
        <v/>
      </c>
      <c r="J170" s="106">
        <f>'KG1-1'!GM43+'KG1-2'!GM43+'KG1-3'!GM43+'KG1-4'!GM43+'KG1-5'!GM43+'KG1-6'!GM43+'KG1-7'!GM43</f>
        <v/>
      </c>
      <c r="K170" s="106">
        <f>'KG1-1'!GM40+'KG1-2'!GM40+'KG1-3'!GM40+'KG1-4'!GM40+'KG1-5'!GM40+'KG1-6'!GM40+'KG1-7'!GM40</f>
        <v/>
      </c>
      <c r="L170" s="106">
        <f>'KG1-1'!GM41+'KG1-2'!GM41+'KG1-3'!GM41+'KG1-4'!GM41+'KG1-5'!GM41+'KG1-6'!GM41+'KG1-7'!GM41</f>
        <v/>
      </c>
      <c r="M170" s="106">
        <f>'KG1-1'!GM42+'KG1-2'!GM42+'KG1-3'!GM42+'KG1-4'!GM42+'KG1-5'!GM42+'KG1-6'!GM42+'KG1-7'!GM42</f>
        <v/>
      </c>
      <c r="N170" s="145">
        <f>IF(I170=0,"",(J170+IF(LateAsPresent="نعم",M170,0))/I170)</f>
        <v/>
      </c>
      <c r="O170" s="161">
        <f>IF(I170&gt;0,"نعم","")</f>
        <v/>
      </c>
      <c r="P170" s="159">
        <f>IF(I170&gt;0,COUNTIF($I$5:I170,"&gt;0"),"")</f>
        <v/>
      </c>
    </row>
    <row r="171">
      <c r="A171" s="105" t="n">
        <v>46497</v>
      </c>
      <c r="B171" s="106" t="inlineStr">
        <is>
          <t>الثلاثاء</t>
        </is>
      </c>
      <c r="C171" s="106" t="inlineStr">
        <is>
          <t>أبريل 2027</t>
        </is>
      </c>
      <c r="D171" s="159" t="n">
        <v>202704</v>
      </c>
      <c r="E171" s="159" t="n">
        <v>34</v>
      </c>
      <c r="F171" s="106">
        <f>IFERROR(IF(A171&lt;=INDEX(TermEnd,MATCH(A171,TermStart,1)),INDEX(TermNames,MATCH(A171,TermStart,1)),"إجازة"),"")</f>
        <v/>
      </c>
      <c r="G171" s="160">
        <f>IF(COUNTIFS(HolFrom,"&lt;="&amp;A171,HolTo,"&gt;="&amp;A171)&gt;0,"عطلة","")</f>
        <v/>
      </c>
      <c r="H171" s="106">
        <f>IF(OR(G171="عطلة",AND(WEEKDAY(A171,2)=5,FridaySchool="لا")),0,1)</f>
        <v/>
      </c>
      <c r="I171" s="106">
        <f>'KG1-1'!GN44+'KG1-2'!GN44+'KG1-3'!GN44+'KG1-4'!GN44+'KG1-5'!GN44+'KG1-6'!GN44+'KG1-7'!GN44</f>
        <v/>
      </c>
      <c r="J171" s="106">
        <f>'KG1-1'!GN43+'KG1-2'!GN43+'KG1-3'!GN43+'KG1-4'!GN43+'KG1-5'!GN43+'KG1-6'!GN43+'KG1-7'!GN43</f>
        <v/>
      </c>
      <c r="K171" s="106">
        <f>'KG1-1'!GN40+'KG1-2'!GN40+'KG1-3'!GN40+'KG1-4'!GN40+'KG1-5'!GN40+'KG1-6'!GN40+'KG1-7'!GN40</f>
        <v/>
      </c>
      <c r="L171" s="106">
        <f>'KG1-1'!GN41+'KG1-2'!GN41+'KG1-3'!GN41+'KG1-4'!GN41+'KG1-5'!GN41+'KG1-6'!GN41+'KG1-7'!GN41</f>
        <v/>
      </c>
      <c r="M171" s="106">
        <f>'KG1-1'!GN42+'KG1-2'!GN42+'KG1-3'!GN42+'KG1-4'!GN42+'KG1-5'!GN42+'KG1-6'!GN42+'KG1-7'!GN42</f>
        <v/>
      </c>
      <c r="N171" s="145">
        <f>IF(I171=0,"",(J171+IF(LateAsPresent="نعم",M171,0))/I171)</f>
        <v/>
      </c>
      <c r="O171" s="161">
        <f>IF(I171&gt;0,"نعم","")</f>
        <v/>
      </c>
      <c r="P171" s="159">
        <f>IF(I171&gt;0,COUNTIF($I$5:I171,"&gt;0"),"")</f>
        <v/>
      </c>
    </row>
    <row r="172">
      <c r="A172" s="105" t="n">
        <v>46498</v>
      </c>
      <c r="B172" s="106" t="inlineStr">
        <is>
          <t>الأربعاء</t>
        </is>
      </c>
      <c r="C172" s="106" t="inlineStr">
        <is>
          <t>أبريل 2027</t>
        </is>
      </c>
      <c r="D172" s="159" t="n">
        <v>202704</v>
      </c>
      <c r="E172" s="159" t="n">
        <v>34</v>
      </c>
      <c r="F172" s="106">
        <f>IFERROR(IF(A172&lt;=INDEX(TermEnd,MATCH(A172,TermStart,1)),INDEX(TermNames,MATCH(A172,TermStart,1)),"إجازة"),"")</f>
        <v/>
      </c>
      <c r="G172" s="160">
        <f>IF(COUNTIFS(HolFrom,"&lt;="&amp;A172,HolTo,"&gt;="&amp;A172)&gt;0,"عطلة","")</f>
        <v/>
      </c>
      <c r="H172" s="106">
        <f>IF(OR(G172="عطلة",AND(WEEKDAY(A172,2)=5,FridaySchool="لا")),0,1)</f>
        <v/>
      </c>
      <c r="I172" s="106">
        <f>'KG1-1'!GO44+'KG1-2'!GO44+'KG1-3'!GO44+'KG1-4'!GO44+'KG1-5'!GO44+'KG1-6'!GO44+'KG1-7'!GO44</f>
        <v/>
      </c>
      <c r="J172" s="106">
        <f>'KG1-1'!GO43+'KG1-2'!GO43+'KG1-3'!GO43+'KG1-4'!GO43+'KG1-5'!GO43+'KG1-6'!GO43+'KG1-7'!GO43</f>
        <v/>
      </c>
      <c r="K172" s="106">
        <f>'KG1-1'!GO40+'KG1-2'!GO40+'KG1-3'!GO40+'KG1-4'!GO40+'KG1-5'!GO40+'KG1-6'!GO40+'KG1-7'!GO40</f>
        <v/>
      </c>
      <c r="L172" s="106">
        <f>'KG1-1'!GO41+'KG1-2'!GO41+'KG1-3'!GO41+'KG1-4'!GO41+'KG1-5'!GO41+'KG1-6'!GO41+'KG1-7'!GO41</f>
        <v/>
      </c>
      <c r="M172" s="106">
        <f>'KG1-1'!GO42+'KG1-2'!GO42+'KG1-3'!GO42+'KG1-4'!GO42+'KG1-5'!GO42+'KG1-6'!GO42+'KG1-7'!GO42</f>
        <v/>
      </c>
      <c r="N172" s="145">
        <f>IF(I172=0,"",(J172+IF(LateAsPresent="نعم",M172,0))/I172)</f>
        <v/>
      </c>
      <c r="O172" s="161">
        <f>IF(I172&gt;0,"نعم","")</f>
        <v/>
      </c>
      <c r="P172" s="159">
        <f>IF(I172&gt;0,COUNTIF($I$5:I172,"&gt;0"),"")</f>
        <v/>
      </c>
    </row>
    <row r="173">
      <c r="A173" s="105" t="n">
        <v>46499</v>
      </c>
      <c r="B173" s="106" t="inlineStr">
        <is>
          <t>الخميس</t>
        </is>
      </c>
      <c r="C173" s="106" t="inlineStr">
        <is>
          <t>أبريل 2027</t>
        </is>
      </c>
      <c r="D173" s="159" t="n">
        <v>202704</v>
      </c>
      <c r="E173" s="159" t="n">
        <v>34</v>
      </c>
      <c r="F173" s="106">
        <f>IFERROR(IF(A173&lt;=INDEX(TermEnd,MATCH(A173,TermStart,1)),INDEX(TermNames,MATCH(A173,TermStart,1)),"إجازة"),"")</f>
        <v/>
      </c>
      <c r="G173" s="160">
        <f>IF(COUNTIFS(HolFrom,"&lt;="&amp;A173,HolTo,"&gt;="&amp;A173)&gt;0,"عطلة","")</f>
        <v/>
      </c>
      <c r="H173" s="106">
        <f>IF(OR(G173="عطلة",AND(WEEKDAY(A173,2)=5,FridaySchool="لا")),0,1)</f>
        <v/>
      </c>
      <c r="I173" s="106">
        <f>'KG1-1'!GP44+'KG1-2'!GP44+'KG1-3'!GP44+'KG1-4'!GP44+'KG1-5'!GP44+'KG1-6'!GP44+'KG1-7'!GP44</f>
        <v/>
      </c>
      <c r="J173" s="106">
        <f>'KG1-1'!GP43+'KG1-2'!GP43+'KG1-3'!GP43+'KG1-4'!GP43+'KG1-5'!GP43+'KG1-6'!GP43+'KG1-7'!GP43</f>
        <v/>
      </c>
      <c r="K173" s="106">
        <f>'KG1-1'!GP40+'KG1-2'!GP40+'KG1-3'!GP40+'KG1-4'!GP40+'KG1-5'!GP40+'KG1-6'!GP40+'KG1-7'!GP40</f>
        <v/>
      </c>
      <c r="L173" s="106">
        <f>'KG1-1'!GP41+'KG1-2'!GP41+'KG1-3'!GP41+'KG1-4'!GP41+'KG1-5'!GP41+'KG1-6'!GP41+'KG1-7'!GP41</f>
        <v/>
      </c>
      <c r="M173" s="106">
        <f>'KG1-1'!GP42+'KG1-2'!GP42+'KG1-3'!GP42+'KG1-4'!GP42+'KG1-5'!GP42+'KG1-6'!GP42+'KG1-7'!GP42</f>
        <v/>
      </c>
      <c r="N173" s="145">
        <f>IF(I173=0,"",(J173+IF(LateAsPresent="نعم",M173,0))/I173)</f>
        <v/>
      </c>
      <c r="O173" s="161">
        <f>IF(I173&gt;0,"نعم","")</f>
        <v/>
      </c>
      <c r="P173" s="159">
        <f>IF(I173&gt;0,COUNTIF($I$5:I173,"&gt;0"),"")</f>
        <v/>
      </c>
    </row>
    <row r="174">
      <c r="A174" s="105" t="n">
        <v>46500</v>
      </c>
      <c r="B174" s="106" t="inlineStr">
        <is>
          <t>الجمعة</t>
        </is>
      </c>
      <c r="C174" s="106" t="inlineStr">
        <is>
          <t>أبريل 2027</t>
        </is>
      </c>
      <c r="D174" s="159" t="n">
        <v>202704</v>
      </c>
      <c r="E174" s="159" t="n">
        <v>34</v>
      </c>
      <c r="F174" s="106">
        <f>IFERROR(IF(A174&lt;=INDEX(TermEnd,MATCH(A174,TermStart,1)),INDEX(TermNames,MATCH(A174,TermStart,1)),"إجازة"),"")</f>
        <v/>
      </c>
      <c r="G174" s="160">
        <f>IF(COUNTIFS(HolFrom,"&lt;="&amp;A174,HolTo,"&gt;="&amp;A174)&gt;0,"عطلة","")</f>
        <v/>
      </c>
      <c r="H174" s="106">
        <f>IF(OR(G174="عطلة",AND(WEEKDAY(A174,2)=5,FridaySchool="لا")),0,1)</f>
        <v/>
      </c>
      <c r="I174" s="106">
        <f>'KG1-1'!GQ44+'KG1-2'!GQ44+'KG1-3'!GQ44+'KG1-4'!GQ44+'KG1-5'!GQ44+'KG1-6'!GQ44+'KG1-7'!GQ44</f>
        <v/>
      </c>
      <c r="J174" s="106">
        <f>'KG1-1'!GQ43+'KG1-2'!GQ43+'KG1-3'!GQ43+'KG1-4'!GQ43+'KG1-5'!GQ43+'KG1-6'!GQ43+'KG1-7'!GQ43</f>
        <v/>
      </c>
      <c r="K174" s="106">
        <f>'KG1-1'!GQ40+'KG1-2'!GQ40+'KG1-3'!GQ40+'KG1-4'!GQ40+'KG1-5'!GQ40+'KG1-6'!GQ40+'KG1-7'!GQ40</f>
        <v/>
      </c>
      <c r="L174" s="106">
        <f>'KG1-1'!GQ41+'KG1-2'!GQ41+'KG1-3'!GQ41+'KG1-4'!GQ41+'KG1-5'!GQ41+'KG1-6'!GQ41+'KG1-7'!GQ41</f>
        <v/>
      </c>
      <c r="M174" s="106">
        <f>'KG1-1'!GQ42+'KG1-2'!GQ42+'KG1-3'!GQ42+'KG1-4'!GQ42+'KG1-5'!GQ42+'KG1-6'!GQ42+'KG1-7'!GQ42</f>
        <v/>
      </c>
      <c r="N174" s="145">
        <f>IF(I174=0,"",(J174+IF(LateAsPresent="نعم",M174,0))/I174)</f>
        <v/>
      </c>
      <c r="O174" s="161">
        <f>IF(I174&gt;0,"نعم","")</f>
        <v/>
      </c>
      <c r="P174" s="159">
        <f>IF(I174&gt;0,COUNTIF($I$5:I174,"&gt;0"),"")</f>
        <v/>
      </c>
    </row>
    <row r="175">
      <c r="A175" s="105" t="n">
        <v>46503</v>
      </c>
      <c r="B175" s="106" t="inlineStr">
        <is>
          <t>الاثنين</t>
        </is>
      </c>
      <c r="C175" s="106" t="inlineStr">
        <is>
          <t>أبريل 2027</t>
        </is>
      </c>
      <c r="D175" s="159" t="n">
        <v>202704</v>
      </c>
      <c r="E175" s="159" t="n">
        <v>35</v>
      </c>
      <c r="F175" s="106">
        <f>IFERROR(IF(A175&lt;=INDEX(TermEnd,MATCH(A175,TermStart,1)),INDEX(TermNames,MATCH(A175,TermStart,1)),"إجازة"),"")</f>
        <v/>
      </c>
      <c r="G175" s="160">
        <f>IF(COUNTIFS(HolFrom,"&lt;="&amp;A175,HolTo,"&gt;="&amp;A175)&gt;0,"عطلة","")</f>
        <v/>
      </c>
      <c r="H175" s="106">
        <f>IF(OR(G175="عطلة",AND(WEEKDAY(A175,2)=5,FridaySchool="لا")),0,1)</f>
        <v/>
      </c>
      <c r="I175" s="106">
        <f>'KG1-1'!GR44+'KG1-2'!GR44+'KG1-3'!GR44+'KG1-4'!GR44+'KG1-5'!GR44+'KG1-6'!GR44+'KG1-7'!GR44</f>
        <v/>
      </c>
      <c r="J175" s="106">
        <f>'KG1-1'!GR43+'KG1-2'!GR43+'KG1-3'!GR43+'KG1-4'!GR43+'KG1-5'!GR43+'KG1-6'!GR43+'KG1-7'!GR43</f>
        <v/>
      </c>
      <c r="K175" s="106">
        <f>'KG1-1'!GR40+'KG1-2'!GR40+'KG1-3'!GR40+'KG1-4'!GR40+'KG1-5'!GR40+'KG1-6'!GR40+'KG1-7'!GR40</f>
        <v/>
      </c>
      <c r="L175" s="106">
        <f>'KG1-1'!GR41+'KG1-2'!GR41+'KG1-3'!GR41+'KG1-4'!GR41+'KG1-5'!GR41+'KG1-6'!GR41+'KG1-7'!GR41</f>
        <v/>
      </c>
      <c r="M175" s="106">
        <f>'KG1-1'!GR42+'KG1-2'!GR42+'KG1-3'!GR42+'KG1-4'!GR42+'KG1-5'!GR42+'KG1-6'!GR42+'KG1-7'!GR42</f>
        <v/>
      </c>
      <c r="N175" s="145">
        <f>IF(I175=0,"",(J175+IF(LateAsPresent="نعم",M175,0))/I175)</f>
        <v/>
      </c>
      <c r="O175" s="161">
        <f>IF(I175&gt;0,"نعم","")</f>
        <v/>
      </c>
      <c r="P175" s="159">
        <f>IF(I175&gt;0,COUNTIF($I$5:I175,"&gt;0"),"")</f>
        <v/>
      </c>
    </row>
    <row r="176">
      <c r="A176" s="105" t="n">
        <v>46504</v>
      </c>
      <c r="B176" s="106" t="inlineStr">
        <is>
          <t>الثلاثاء</t>
        </is>
      </c>
      <c r="C176" s="106" t="inlineStr">
        <is>
          <t>أبريل 2027</t>
        </is>
      </c>
      <c r="D176" s="159" t="n">
        <v>202704</v>
      </c>
      <c r="E176" s="159" t="n">
        <v>35</v>
      </c>
      <c r="F176" s="106">
        <f>IFERROR(IF(A176&lt;=INDEX(TermEnd,MATCH(A176,TermStart,1)),INDEX(TermNames,MATCH(A176,TermStart,1)),"إجازة"),"")</f>
        <v/>
      </c>
      <c r="G176" s="160">
        <f>IF(COUNTIFS(HolFrom,"&lt;="&amp;A176,HolTo,"&gt;="&amp;A176)&gt;0,"عطلة","")</f>
        <v/>
      </c>
      <c r="H176" s="106">
        <f>IF(OR(G176="عطلة",AND(WEEKDAY(A176,2)=5,FridaySchool="لا")),0,1)</f>
        <v/>
      </c>
      <c r="I176" s="106">
        <f>'KG1-1'!GS44+'KG1-2'!GS44+'KG1-3'!GS44+'KG1-4'!GS44+'KG1-5'!GS44+'KG1-6'!GS44+'KG1-7'!GS44</f>
        <v/>
      </c>
      <c r="J176" s="106">
        <f>'KG1-1'!GS43+'KG1-2'!GS43+'KG1-3'!GS43+'KG1-4'!GS43+'KG1-5'!GS43+'KG1-6'!GS43+'KG1-7'!GS43</f>
        <v/>
      </c>
      <c r="K176" s="106">
        <f>'KG1-1'!GS40+'KG1-2'!GS40+'KG1-3'!GS40+'KG1-4'!GS40+'KG1-5'!GS40+'KG1-6'!GS40+'KG1-7'!GS40</f>
        <v/>
      </c>
      <c r="L176" s="106">
        <f>'KG1-1'!GS41+'KG1-2'!GS41+'KG1-3'!GS41+'KG1-4'!GS41+'KG1-5'!GS41+'KG1-6'!GS41+'KG1-7'!GS41</f>
        <v/>
      </c>
      <c r="M176" s="106">
        <f>'KG1-1'!GS42+'KG1-2'!GS42+'KG1-3'!GS42+'KG1-4'!GS42+'KG1-5'!GS42+'KG1-6'!GS42+'KG1-7'!GS42</f>
        <v/>
      </c>
      <c r="N176" s="145">
        <f>IF(I176=0,"",(J176+IF(LateAsPresent="نعم",M176,0))/I176)</f>
        <v/>
      </c>
      <c r="O176" s="161">
        <f>IF(I176&gt;0,"نعم","")</f>
        <v/>
      </c>
      <c r="P176" s="159">
        <f>IF(I176&gt;0,COUNTIF($I$5:I176,"&gt;0"),"")</f>
        <v/>
      </c>
    </row>
    <row r="177">
      <c r="A177" s="105" t="n">
        <v>46505</v>
      </c>
      <c r="B177" s="106" t="inlineStr">
        <is>
          <t>الأربعاء</t>
        </is>
      </c>
      <c r="C177" s="106" t="inlineStr">
        <is>
          <t>أبريل 2027</t>
        </is>
      </c>
      <c r="D177" s="159" t="n">
        <v>202704</v>
      </c>
      <c r="E177" s="159" t="n">
        <v>35</v>
      </c>
      <c r="F177" s="106">
        <f>IFERROR(IF(A177&lt;=INDEX(TermEnd,MATCH(A177,TermStart,1)),INDEX(TermNames,MATCH(A177,TermStart,1)),"إجازة"),"")</f>
        <v/>
      </c>
      <c r="G177" s="160">
        <f>IF(COUNTIFS(HolFrom,"&lt;="&amp;A177,HolTo,"&gt;="&amp;A177)&gt;0,"عطلة","")</f>
        <v/>
      </c>
      <c r="H177" s="106">
        <f>IF(OR(G177="عطلة",AND(WEEKDAY(A177,2)=5,FridaySchool="لا")),0,1)</f>
        <v/>
      </c>
      <c r="I177" s="106">
        <f>'KG1-1'!GT44+'KG1-2'!GT44+'KG1-3'!GT44+'KG1-4'!GT44+'KG1-5'!GT44+'KG1-6'!GT44+'KG1-7'!GT44</f>
        <v/>
      </c>
      <c r="J177" s="106">
        <f>'KG1-1'!GT43+'KG1-2'!GT43+'KG1-3'!GT43+'KG1-4'!GT43+'KG1-5'!GT43+'KG1-6'!GT43+'KG1-7'!GT43</f>
        <v/>
      </c>
      <c r="K177" s="106">
        <f>'KG1-1'!GT40+'KG1-2'!GT40+'KG1-3'!GT40+'KG1-4'!GT40+'KG1-5'!GT40+'KG1-6'!GT40+'KG1-7'!GT40</f>
        <v/>
      </c>
      <c r="L177" s="106">
        <f>'KG1-1'!GT41+'KG1-2'!GT41+'KG1-3'!GT41+'KG1-4'!GT41+'KG1-5'!GT41+'KG1-6'!GT41+'KG1-7'!GT41</f>
        <v/>
      </c>
      <c r="M177" s="106">
        <f>'KG1-1'!GT42+'KG1-2'!GT42+'KG1-3'!GT42+'KG1-4'!GT42+'KG1-5'!GT42+'KG1-6'!GT42+'KG1-7'!GT42</f>
        <v/>
      </c>
      <c r="N177" s="145">
        <f>IF(I177=0,"",(J177+IF(LateAsPresent="نعم",M177,0))/I177)</f>
        <v/>
      </c>
      <c r="O177" s="161">
        <f>IF(I177&gt;0,"نعم","")</f>
        <v/>
      </c>
      <c r="P177" s="159">
        <f>IF(I177&gt;0,COUNTIF($I$5:I177,"&gt;0"),"")</f>
        <v/>
      </c>
    </row>
    <row r="178">
      <c r="A178" s="105" t="n">
        <v>46506</v>
      </c>
      <c r="B178" s="106" t="inlineStr">
        <is>
          <t>الخميس</t>
        </is>
      </c>
      <c r="C178" s="106" t="inlineStr">
        <is>
          <t>أبريل 2027</t>
        </is>
      </c>
      <c r="D178" s="159" t="n">
        <v>202704</v>
      </c>
      <c r="E178" s="159" t="n">
        <v>35</v>
      </c>
      <c r="F178" s="106">
        <f>IFERROR(IF(A178&lt;=INDEX(TermEnd,MATCH(A178,TermStart,1)),INDEX(TermNames,MATCH(A178,TermStart,1)),"إجازة"),"")</f>
        <v/>
      </c>
      <c r="G178" s="160">
        <f>IF(COUNTIFS(HolFrom,"&lt;="&amp;A178,HolTo,"&gt;="&amp;A178)&gt;0,"عطلة","")</f>
        <v/>
      </c>
      <c r="H178" s="106">
        <f>IF(OR(G178="عطلة",AND(WEEKDAY(A178,2)=5,FridaySchool="لا")),0,1)</f>
        <v/>
      </c>
      <c r="I178" s="106">
        <f>'KG1-1'!GU44+'KG1-2'!GU44+'KG1-3'!GU44+'KG1-4'!GU44+'KG1-5'!GU44+'KG1-6'!GU44+'KG1-7'!GU44</f>
        <v/>
      </c>
      <c r="J178" s="106">
        <f>'KG1-1'!GU43+'KG1-2'!GU43+'KG1-3'!GU43+'KG1-4'!GU43+'KG1-5'!GU43+'KG1-6'!GU43+'KG1-7'!GU43</f>
        <v/>
      </c>
      <c r="K178" s="106">
        <f>'KG1-1'!GU40+'KG1-2'!GU40+'KG1-3'!GU40+'KG1-4'!GU40+'KG1-5'!GU40+'KG1-6'!GU40+'KG1-7'!GU40</f>
        <v/>
      </c>
      <c r="L178" s="106">
        <f>'KG1-1'!GU41+'KG1-2'!GU41+'KG1-3'!GU41+'KG1-4'!GU41+'KG1-5'!GU41+'KG1-6'!GU41+'KG1-7'!GU41</f>
        <v/>
      </c>
      <c r="M178" s="106">
        <f>'KG1-1'!GU42+'KG1-2'!GU42+'KG1-3'!GU42+'KG1-4'!GU42+'KG1-5'!GU42+'KG1-6'!GU42+'KG1-7'!GU42</f>
        <v/>
      </c>
      <c r="N178" s="145">
        <f>IF(I178=0,"",(J178+IF(LateAsPresent="نعم",M178,0))/I178)</f>
        <v/>
      </c>
      <c r="O178" s="161">
        <f>IF(I178&gt;0,"نعم","")</f>
        <v/>
      </c>
      <c r="P178" s="159">
        <f>IF(I178&gt;0,COUNTIF($I$5:I178,"&gt;0"),"")</f>
        <v/>
      </c>
    </row>
    <row r="179">
      <c r="A179" s="105" t="n">
        <v>46507</v>
      </c>
      <c r="B179" s="106" t="inlineStr">
        <is>
          <t>الجمعة</t>
        </is>
      </c>
      <c r="C179" s="106" t="inlineStr">
        <is>
          <t>أبريل 2027</t>
        </is>
      </c>
      <c r="D179" s="159" t="n">
        <v>202704</v>
      </c>
      <c r="E179" s="159" t="n">
        <v>35</v>
      </c>
      <c r="F179" s="106">
        <f>IFERROR(IF(A179&lt;=INDEX(TermEnd,MATCH(A179,TermStart,1)),INDEX(TermNames,MATCH(A179,TermStart,1)),"إجازة"),"")</f>
        <v/>
      </c>
      <c r="G179" s="160">
        <f>IF(COUNTIFS(HolFrom,"&lt;="&amp;A179,HolTo,"&gt;="&amp;A179)&gt;0,"عطلة","")</f>
        <v/>
      </c>
      <c r="H179" s="106">
        <f>IF(OR(G179="عطلة",AND(WEEKDAY(A179,2)=5,FridaySchool="لا")),0,1)</f>
        <v/>
      </c>
      <c r="I179" s="106">
        <f>'KG1-1'!GV44+'KG1-2'!GV44+'KG1-3'!GV44+'KG1-4'!GV44+'KG1-5'!GV44+'KG1-6'!GV44+'KG1-7'!GV44</f>
        <v/>
      </c>
      <c r="J179" s="106">
        <f>'KG1-1'!GV43+'KG1-2'!GV43+'KG1-3'!GV43+'KG1-4'!GV43+'KG1-5'!GV43+'KG1-6'!GV43+'KG1-7'!GV43</f>
        <v/>
      </c>
      <c r="K179" s="106">
        <f>'KG1-1'!GV40+'KG1-2'!GV40+'KG1-3'!GV40+'KG1-4'!GV40+'KG1-5'!GV40+'KG1-6'!GV40+'KG1-7'!GV40</f>
        <v/>
      </c>
      <c r="L179" s="106">
        <f>'KG1-1'!GV41+'KG1-2'!GV41+'KG1-3'!GV41+'KG1-4'!GV41+'KG1-5'!GV41+'KG1-6'!GV41+'KG1-7'!GV41</f>
        <v/>
      </c>
      <c r="M179" s="106">
        <f>'KG1-1'!GV42+'KG1-2'!GV42+'KG1-3'!GV42+'KG1-4'!GV42+'KG1-5'!GV42+'KG1-6'!GV42+'KG1-7'!GV42</f>
        <v/>
      </c>
      <c r="N179" s="145">
        <f>IF(I179=0,"",(J179+IF(LateAsPresent="نعم",M179,0))/I179)</f>
        <v/>
      </c>
      <c r="O179" s="161">
        <f>IF(I179&gt;0,"نعم","")</f>
        <v/>
      </c>
      <c r="P179" s="159">
        <f>IF(I179&gt;0,COUNTIF($I$5:I179,"&gt;0"),"")</f>
        <v/>
      </c>
    </row>
    <row r="180">
      <c r="A180" s="105" t="n">
        <v>46510</v>
      </c>
      <c r="B180" s="106" t="inlineStr">
        <is>
          <t>الاثنين</t>
        </is>
      </c>
      <c r="C180" s="106" t="inlineStr">
        <is>
          <t>مايو 2027</t>
        </is>
      </c>
      <c r="D180" s="159" t="n">
        <v>202705</v>
      </c>
      <c r="E180" s="159" t="n">
        <v>36</v>
      </c>
      <c r="F180" s="106">
        <f>IFERROR(IF(A180&lt;=INDEX(TermEnd,MATCH(A180,TermStart,1)),INDEX(TermNames,MATCH(A180,TermStart,1)),"إجازة"),"")</f>
        <v/>
      </c>
      <c r="G180" s="160">
        <f>IF(COUNTIFS(HolFrom,"&lt;="&amp;A180,HolTo,"&gt;="&amp;A180)&gt;0,"عطلة","")</f>
        <v/>
      </c>
      <c r="H180" s="106">
        <f>IF(OR(G180="عطلة",AND(WEEKDAY(A180,2)=5,FridaySchool="لا")),0,1)</f>
        <v/>
      </c>
      <c r="I180" s="106">
        <f>'KG1-1'!GW44+'KG1-2'!GW44+'KG1-3'!GW44+'KG1-4'!GW44+'KG1-5'!GW44+'KG1-6'!GW44+'KG1-7'!GW44</f>
        <v/>
      </c>
      <c r="J180" s="106">
        <f>'KG1-1'!GW43+'KG1-2'!GW43+'KG1-3'!GW43+'KG1-4'!GW43+'KG1-5'!GW43+'KG1-6'!GW43+'KG1-7'!GW43</f>
        <v/>
      </c>
      <c r="K180" s="106">
        <f>'KG1-1'!GW40+'KG1-2'!GW40+'KG1-3'!GW40+'KG1-4'!GW40+'KG1-5'!GW40+'KG1-6'!GW40+'KG1-7'!GW40</f>
        <v/>
      </c>
      <c r="L180" s="106">
        <f>'KG1-1'!GW41+'KG1-2'!GW41+'KG1-3'!GW41+'KG1-4'!GW41+'KG1-5'!GW41+'KG1-6'!GW41+'KG1-7'!GW41</f>
        <v/>
      </c>
      <c r="M180" s="106">
        <f>'KG1-1'!GW42+'KG1-2'!GW42+'KG1-3'!GW42+'KG1-4'!GW42+'KG1-5'!GW42+'KG1-6'!GW42+'KG1-7'!GW42</f>
        <v/>
      </c>
      <c r="N180" s="145">
        <f>IF(I180=0,"",(J180+IF(LateAsPresent="نعم",M180,0))/I180)</f>
        <v/>
      </c>
      <c r="O180" s="161">
        <f>IF(I180&gt;0,"نعم","")</f>
        <v/>
      </c>
      <c r="P180" s="159">
        <f>IF(I180&gt;0,COUNTIF($I$5:I180,"&gt;0"),"")</f>
        <v/>
      </c>
    </row>
    <row r="181">
      <c r="A181" s="105" t="n">
        <v>46511</v>
      </c>
      <c r="B181" s="106" t="inlineStr">
        <is>
          <t>الثلاثاء</t>
        </is>
      </c>
      <c r="C181" s="106" t="inlineStr">
        <is>
          <t>مايو 2027</t>
        </is>
      </c>
      <c r="D181" s="159" t="n">
        <v>202705</v>
      </c>
      <c r="E181" s="159" t="n">
        <v>36</v>
      </c>
      <c r="F181" s="106">
        <f>IFERROR(IF(A181&lt;=INDEX(TermEnd,MATCH(A181,TermStart,1)),INDEX(TermNames,MATCH(A181,TermStart,1)),"إجازة"),"")</f>
        <v/>
      </c>
      <c r="G181" s="160">
        <f>IF(COUNTIFS(HolFrom,"&lt;="&amp;A181,HolTo,"&gt;="&amp;A181)&gt;0,"عطلة","")</f>
        <v/>
      </c>
      <c r="H181" s="106">
        <f>IF(OR(G181="عطلة",AND(WEEKDAY(A181,2)=5,FridaySchool="لا")),0,1)</f>
        <v/>
      </c>
      <c r="I181" s="106">
        <f>'KG1-1'!GX44+'KG1-2'!GX44+'KG1-3'!GX44+'KG1-4'!GX44+'KG1-5'!GX44+'KG1-6'!GX44+'KG1-7'!GX44</f>
        <v/>
      </c>
      <c r="J181" s="106">
        <f>'KG1-1'!GX43+'KG1-2'!GX43+'KG1-3'!GX43+'KG1-4'!GX43+'KG1-5'!GX43+'KG1-6'!GX43+'KG1-7'!GX43</f>
        <v/>
      </c>
      <c r="K181" s="106">
        <f>'KG1-1'!GX40+'KG1-2'!GX40+'KG1-3'!GX40+'KG1-4'!GX40+'KG1-5'!GX40+'KG1-6'!GX40+'KG1-7'!GX40</f>
        <v/>
      </c>
      <c r="L181" s="106">
        <f>'KG1-1'!GX41+'KG1-2'!GX41+'KG1-3'!GX41+'KG1-4'!GX41+'KG1-5'!GX41+'KG1-6'!GX41+'KG1-7'!GX41</f>
        <v/>
      </c>
      <c r="M181" s="106">
        <f>'KG1-1'!GX42+'KG1-2'!GX42+'KG1-3'!GX42+'KG1-4'!GX42+'KG1-5'!GX42+'KG1-6'!GX42+'KG1-7'!GX42</f>
        <v/>
      </c>
      <c r="N181" s="145">
        <f>IF(I181=0,"",(J181+IF(LateAsPresent="نعم",M181,0))/I181)</f>
        <v/>
      </c>
      <c r="O181" s="161">
        <f>IF(I181&gt;0,"نعم","")</f>
        <v/>
      </c>
      <c r="P181" s="159">
        <f>IF(I181&gt;0,COUNTIF($I$5:I181,"&gt;0"),"")</f>
        <v/>
      </c>
    </row>
    <row r="182">
      <c r="A182" s="105" t="n">
        <v>46512</v>
      </c>
      <c r="B182" s="106" t="inlineStr">
        <is>
          <t>الأربعاء</t>
        </is>
      </c>
      <c r="C182" s="106" t="inlineStr">
        <is>
          <t>مايو 2027</t>
        </is>
      </c>
      <c r="D182" s="159" t="n">
        <v>202705</v>
      </c>
      <c r="E182" s="159" t="n">
        <v>36</v>
      </c>
      <c r="F182" s="106">
        <f>IFERROR(IF(A182&lt;=INDEX(TermEnd,MATCH(A182,TermStart,1)),INDEX(TermNames,MATCH(A182,TermStart,1)),"إجازة"),"")</f>
        <v/>
      </c>
      <c r="G182" s="160">
        <f>IF(COUNTIFS(HolFrom,"&lt;="&amp;A182,HolTo,"&gt;="&amp;A182)&gt;0,"عطلة","")</f>
        <v/>
      </c>
      <c r="H182" s="106">
        <f>IF(OR(G182="عطلة",AND(WEEKDAY(A182,2)=5,FridaySchool="لا")),0,1)</f>
        <v/>
      </c>
      <c r="I182" s="106">
        <f>'KG1-1'!GY44+'KG1-2'!GY44+'KG1-3'!GY44+'KG1-4'!GY44+'KG1-5'!GY44+'KG1-6'!GY44+'KG1-7'!GY44</f>
        <v/>
      </c>
      <c r="J182" s="106">
        <f>'KG1-1'!GY43+'KG1-2'!GY43+'KG1-3'!GY43+'KG1-4'!GY43+'KG1-5'!GY43+'KG1-6'!GY43+'KG1-7'!GY43</f>
        <v/>
      </c>
      <c r="K182" s="106">
        <f>'KG1-1'!GY40+'KG1-2'!GY40+'KG1-3'!GY40+'KG1-4'!GY40+'KG1-5'!GY40+'KG1-6'!GY40+'KG1-7'!GY40</f>
        <v/>
      </c>
      <c r="L182" s="106">
        <f>'KG1-1'!GY41+'KG1-2'!GY41+'KG1-3'!GY41+'KG1-4'!GY41+'KG1-5'!GY41+'KG1-6'!GY41+'KG1-7'!GY41</f>
        <v/>
      </c>
      <c r="M182" s="106">
        <f>'KG1-1'!GY42+'KG1-2'!GY42+'KG1-3'!GY42+'KG1-4'!GY42+'KG1-5'!GY42+'KG1-6'!GY42+'KG1-7'!GY42</f>
        <v/>
      </c>
      <c r="N182" s="145">
        <f>IF(I182=0,"",(J182+IF(LateAsPresent="نعم",M182,0))/I182)</f>
        <v/>
      </c>
      <c r="O182" s="161">
        <f>IF(I182&gt;0,"نعم","")</f>
        <v/>
      </c>
      <c r="P182" s="159">
        <f>IF(I182&gt;0,COUNTIF($I$5:I182,"&gt;0"),"")</f>
        <v/>
      </c>
    </row>
    <row r="183">
      <c r="A183" s="105" t="n">
        <v>46513</v>
      </c>
      <c r="B183" s="106" t="inlineStr">
        <is>
          <t>الخميس</t>
        </is>
      </c>
      <c r="C183" s="106" t="inlineStr">
        <is>
          <t>مايو 2027</t>
        </is>
      </c>
      <c r="D183" s="159" t="n">
        <v>202705</v>
      </c>
      <c r="E183" s="159" t="n">
        <v>36</v>
      </c>
      <c r="F183" s="106">
        <f>IFERROR(IF(A183&lt;=INDEX(TermEnd,MATCH(A183,TermStart,1)),INDEX(TermNames,MATCH(A183,TermStart,1)),"إجازة"),"")</f>
        <v/>
      </c>
      <c r="G183" s="160">
        <f>IF(COUNTIFS(HolFrom,"&lt;="&amp;A183,HolTo,"&gt;="&amp;A183)&gt;0,"عطلة","")</f>
        <v/>
      </c>
      <c r="H183" s="106">
        <f>IF(OR(G183="عطلة",AND(WEEKDAY(A183,2)=5,FridaySchool="لا")),0,1)</f>
        <v/>
      </c>
      <c r="I183" s="106">
        <f>'KG1-1'!GZ44+'KG1-2'!GZ44+'KG1-3'!GZ44+'KG1-4'!GZ44+'KG1-5'!GZ44+'KG1-6'!GZ44+'KG1-7'!GZ44</f>
        <v/>
      </c>
      <c r="J183" s="106">
        <f>'KG1-1'!GZ43+'KG1-2'!GZ43+'KG1-3'!GZ43+'KG1-4'!GZ43+'KG1-5'!GZ43+'KG1-6'!GZ43+'KG1-7'!GZ43</f>
        <v/>
      </c>
      <c r="K183" s="106">
        <f>'KG1-1'!GZ40+'KG1-2'!GZ40+'KG1-3'!GZ40+'KG1-4'!GZ40+'KG1-5'!GZ40+'KG1-6'!GZ40+'KG1-7'!GZ40</f>
        <v/>
      </c>
      <c r="L183" s="106">
        <f>'KG1-1'!GZ41+'KG1-2'!GZ41+'KG1-3'!GZ41+'KG1-4'!GZ41+'KG1-5'!GZ41+'KG1-6'!GZ41+'KG1-7'!GZ41</f>
        <v/>
      </c>
      <c r="M183" s="106">
        <f>'KG1-1'!GZ42+'KG1-2'!GZ42+'KG1-3'!GZ42+'KG1-4'!GZ42+'KG1-5'!GZ42+'KG1-6'!GZ42+'KG1-7'!GZ42</f>
        <v/>
      </c>
      <c r="N183" s="145">
        <f>IF(I183=0,"",(J183+IF(LateAsPresent="نعم",M183,0))/I183)</f>
        <v/>
      </c>
      <c r="O183" s="161">
        <f>IF(I183&gt;0,"نعم","")</f>
        <v/>
      </c>
      <c r="P183" s="159">
        <f>IF(I183&gt;0,COUNTIF($I$5:I183,"&gt;0"),"")</f>
        <v/>
      </c>
    </row>
    <row r="184">
      <c r="A184" s="105" t="n">
        <v>46514</v>
      </c>
      <c r="B184" s="106" t="inlineStr">
        <is>
          <t>الجمعة</t>
        </is>
      </c>
      <c r="C184" s="106" t="inlineStr">
        <is>
          <t>مايو 2027</t>
        </is>
      </c>
      <c r="D184" s="159" t="n">
        <v>202705</v>
      </c>
      <c r="E184" s="159" t="n">
        <v>36</v>
      </c>
      <c r="F184" s="106">
        <f>IFERROR(IF(A184&lt;=INDEX(TermEnd,MATCH(A184,TermStart,1)),INDEX(TermNames,MATCH(A184,TermStart,1)),"إجازة"),"")</f>
        <v/>
      </c>
      <c r="G184" s="160">
        <f>IF(COUNTIFS(HolFrom,"&lt;="&amp;A184,HolTo,"&gt;="&amp;A184)&gt;0,"عطلة","")</f>
        <v/>
      </c>
      <c r="H184" s="106">
        <f>IF(OR(G184="عطلة",AND(WEEKDAY(A184,2)=5,FridaySchool="لا")),0,1)</f>
        <v/>
      </c>
      <c r="I184" s="106">
        <f>'KG1-1'!HA44+'KG1-2'!HA44+'KG1-3'!HA44+'KG1-4'!HA44+'KG1-5'!HA44+'KG1-6'!HA44+'KG1-7'!HA44</f>
        <v/>
      </c>
      <c r="J184" s="106">
        <f>'KG1-1'!HA43+'KG1-2'!HA43+'KG1-3'!HA43+'KG1-4'!HA43+'KG1-5'!HA43+'KG1-6'!HA43+'KG1-7'!HA43</f>
        <v/>
      </c>
      <c r="K184" s="106">
        <f>'KG1-1'!HA40+'KG1-2'!HA40+'KG1-3'!HA40+'KG1-4'!HA40+'KG1-5'!HA40+'KG1-6'!HA40+'KG1-7'!HA40</f>
        <v/>
      </c>
      <c r="L184" s="106">
        <f>'KG1-1'!HA41+'KG1-2'!HA41+'KG1-3'!HA41+'KG1-4'!HA41+'KG1-5'!HA41+'KG1-6'!HA41+'KG1-7'!HA41</f>
        <v/>
      </c>
      <c r="M184" s="106">
        <f>'KG1-1'!HA42+'KG1-2'!HA42+'KG1-3'!HA42+'KG1-4'!HA42+'KG1-5'!HA42+'KG1-6'!HA42+'KG1-7'!HA42</f>
        <v/>
      </c>
      <c r="N184" s="145">
        <f>IF(I184=0,"",(J184+IF(LateAsPresent="نعم",M184,0))/I184)</f>
        <v/>
      </c>
      <c r="O184" s="161">
        <f>IF(I184&gt;0,"نعم","")</f>
        <v/>
      </c>
      <c r="P184" s="159">
        <f>IF(I184&gt;0,COUNTIF($I$5:I184,"&gt;0"),"")</f>
        <v/>
      </c>
    </row>
    <row r="185">
      <c r="A185" s="105" t="n">
        <v>46517</v>
      </c>
      <c r="B185" s="106" t="inlineStr">
        <is>
          <t>الاثنين</t>
        </is>
      </c>
      <c r="C185" s="106" t="inlineStr">
        <is>
          <t>مايو 2027</t>
        </is>
      </c>
      <c r="D185" s="159" t="n">
        <v>202705</v>
      </c>
      <c r="E185" s="159" t="n">
        <v>37</v>
      </c>
      <c r="F185" s="106">
        <f>IFERROR(IF(A185&lt;=INDEX(TermEnd,MATCH(A185,TermStart,1)),INDEX(TermNames,MATCH(A185,TermStart,1)),"إجازة"),"")</f>
        <v/>
      </c>
      <c r="G185" s="160">
        <f>IF(COUNTIFS(HolFrom,"&lt;="&amp;A185,HolTo,"&gt;="&amp;A185)&gt;0,"عطلة","")</f>
        <v/>
      </c>
      <c r="H185" s="106">
        <f>IF(OR(G185="عطلة",AND(WEEKDAY(A185,2)=5,FridaySchool="لا")),0,1)</f>
        <v/>
      </c>
      <c r="I185" s="106">
        <f>'KG1-1'!HB44+'KG1-2'!HB44+'KG1-3'!HB44+'KG1-4'!HB44+'KG1-5'!HB44+'KG1-6'!HB44+'KG1-7'!HB44</f>
        <v/>
      </c>
      <c r="J185" s="106">
        <f>'KG1-1'!HB43+'KG1-2'!HB43+'KG1-3'!HB43+'KG1-4'!HB43+'KG1-5'!HB43+'KG1-6'!HB43+'KG1-7'!HB43</f>
        <v/>
      </c>
      <c r="K185" s="106">
        <f>'KG1-1'!HB40+'KG1-2'!HB40+'KG1-3'!HB40+'KG1-4'!HB40+'KG1-5'!HB40+'KG1-6'!HB40+'KG1-7'!HB40</f>
        <v/>
      </c>
      <c r="L185" s="106">
        <f>'KG1-1'!HB41+'KG1-2'!HB41+'KG1-3'!HB41+'KG1-4'!HB41+'KG1-5'!HB41+'KG1-6'!HB41+'KG1-7'!HB41</f>
        <v/>
      </c>
      <c r="M185" s="106">
        <f>'KG1-1'!HB42+'KG1-2'!HB42+'KG1-3'!HB42+'KG1-4'!HB42+'KG1-5'!HB42+'KG1-6'!HB42+'KG1-7'!HB42</f>
        <v/>
      </c>
      <c r="N185" s="145">
        <f>IF(I185=0,"",(J185+IF(LateAsPresent="نعم",M185,0))/I185)</f>
        <v/>
      </c>
      <c r="O185" s="161">
        <f>IF(I185&gt;0,"نعم","")</f>
        <v/>
      </c>
      <c r="P185" s="159">
        <f>IF(I185&gt;0,COUNTIF($I$5:I185,"&gt;0"),"")</f>
        <v/>
      </c>
    </row>
    <row r="186">
      <c r="A186" s="105" t="n">
        <v>46518</v>
      </c>
      <c r="B186" s="106" t="inlineStr">
        <is>
          <t>الثلاثاء</t>
        </is>
      </c>
      <c r="C186" s="106" t="inlineStr">
        <is>
          <t>مايو 2027</t>
        </is>
      </c>
      <c r="D186" s="159" t="n">
        <v>202705</v>
      </c>
      <c r="E186" s="159" t="n">
        <v>37</v>
      </c>
      <c r="F186" s="106">
        <f>IFERROR(IF(A186&lt;=INDEX(TermEnd,MATCH(A186,TermStart,1)),INDEX(TermNames,MATCH(A186,TermStart,1)),"إجازة"),"")</f>
        <v/>
      </c>
      <c r="G186" s="160">
        <f>IF(COUNTIFS(HolFrom,"&lt;="&amp;A186,HolTo,"&gt;="&amp;A186)&gt;0,"عطلة","")</f>
        <v/>
      </c>
      <c r="H186" s="106">
        <f>IF(OR(G186="عطلة",AND(WEEKDAY(A186,2)=5,FridaySchool="لا")),0,1)</f>
        <v/>
      </c>
      <c r="I186" s="106">
        <f>'KG1-1'!HC44+'KG1-2'!HC44+'KG1-3'!HC44+'KG1-4'!HC44+'KG1-5'!HC44+'KG1-6'!HC44+'KG1-7'!HC44</f>
        <v/>
      </c>
      <c r="J186" s="106">
        <f>'KG1-1'!HC43+'KG1-2'!HC43+'KG1-3'!HC43+'KG1-4'!HC43+'KG1-5'!HC43+'KG1-6'!HC43+'KG1-7'!HC43</f>
        <v/>
      </c>
      <c r="K186" s="106">
        <f>'KG1-1'!HC40+'KG1-2'!HC40+'KG1-3'!HC40+'KG1-4'!HC40+'KG1-5'!HC40+'KG1-6'!HC40+'KG1-7'!HC40</f>
        <v/>
      </c>
      <c r="L186" s="106">
        <f>'KG1-1'!HC41+'KG1-2'!HC41+'KG1-3'!HC41+'KG1-4'!HC41+'KG1-5'!HC41+'KG1-6'!HC41+'KG1-7'!HC41</f>
        <v/>
      </c>
      <c r="M186" s="106">
        <f>'KG1-1'!HC42+'KG1-2'!HC42+'KG1-3'!HC42+'KG1-4'!HC42+'KG1-5'!HC42+'KG1-6'!HC42+'KG1-7'!HC42</f>
        <v/>
      </c>
      <c r="N186" s="145">
        <f>IF(I186=0,"",(J186+IF(LateAsPresent="نعم",M186,0))/I186)</f>
        <v/>
      </c>
      <c r="O186" s="161">
        <f>IF(I186&gt;0,"نعم","")</f>
        <v/>
      </c>
      <c r="P186" s="159">
        <f>IF(I186&gt;0,COUNTIF($I$5:I186,"&gt;0"),"")</f>
        <v/>
      </c>
    </row>
    <row r="187">
      <c r="A187" s="105" t="n">
        <v>46519</v>
      </c>
      <c r="B187" s="106" t="inlineStr">
        <is>
          <t>الأربعاء</t>
        </is>
      </c>
      <c r="C187" s="106" t="inlineStr">
        <is>
          <t>مايو 2027</t>
        </is>
      </c>
      <c r="D187" s="159" t="n">
        <v>202705</v>
      </c>
      <c r="E187" s="159" t="n">
        <v>37</v>
      </c>
      <c r="F187" s="106">
        <f>IFERROR(IF(A187&lt;=INDEX(TermEnd,MATCH(A187,TermStart,1)),INDEX(TermNames,MATCH(A187,TermStart,1)),"إجازة"),"")</f>
        <v/>
      </c>
      <c r="G187" s="160">
        <f>IF(COUNTIFS(HolFrom,"&lt;="&amp;A187,HolTo,"&gt;="&amp;A187)&gt;0,"عطلة","")</f>
        <v/>
      </c>
      <c r="H187" s="106">
        <f>IF(OR(G187="عطلة",AND(WEEKDAY(A187,2)=5,FridaySchool="لا")),0,1)</f>
        <v/>
      </c>
      <c r="I187" s="106">
        <f>'KG1-1'!HD44+'KG1-2'!HD44+'KG1-3'!HD44+'KG1-4'!HD44+'KG1-5'!HD44+'KG1-6'!HD44+'KG1-7'!HD44</f>
        <v/>
      </c>
      <c r="J187" s="106">
        <f>'KG1-1'!HD43+'KG1-2'!HD43+'KG1-3'!HD43+'KG1-4'!HD43+'KG1-5'!HD43+'KG1-6'!HD43+'KG1-7'!HD43</f>
        <v/>
      </c>
      <c r="K187" s="106">
        <f>'KG1-1'!HD40+'KG1-2'!HD40+'KG1-3'!HD40+'KG1-4'!HD40+'KG1-5'!HD40+'KG1-6'!HD40+'KG1-7'!HD40</f>
        <v/>
      </c>
      <c r="L187" s="106">
        <f>'KG1-1'!HD41+'KG1-2'!HD41+'KG1-3'!HD41+'KG1-4'!HD41+'KG1-5'!HD41+'KG1-6'!HD41+'KG1-7'!HD41</f>
        <v/>
      </c>
      <c r="M187" s="106">
        <f>'KG1-1'!HD42+'KG1-2'!HD42+'KG1-3'!HD42+'KG1-4'!HD42+'KG1-5'!HD42+'KG1-6'!HD42+'KG1-7'!HD42</f>
        <v/>
      </c>
      <c r="N187" s="145">
        <f>IF(I187=0,"",(J187+IF(LateAsPresent="نعم",M187,0))/I187)</f>
        <v/>
      </c>
      <c r="O187" s="161">
        <f>IF(I187&gt;0,"نعم","")</f>
        <v/>
      </c>
      <c r="P187" s="159">
        <f>IF(I187&gt;0,COUNTIF($I$5:I187,"&gt;0"),"")</f>
        <v/>
      </c>
    </row>
    <row r="188">
      <c r="A188" s="105" t="n">
        <v>46520</v>
      </c>
      <c r="B188" s="106" t="inlineStr">
        <is>
          <t>الخميس</t>
        </is>
      </c>
      <c r="C188" s="106" t="inlineStr">
        <is>
          <t>مايو 2027</t>
        </is>
      </c>
      <c r="D188" s="159" t="n">
        <v>202705</v>
      </c>
      <c r="E188" s="159" t="n">
        <v>37</v>
      </c>
      <c r="F188" s="106">
        <f>IFERROR(IF(A188&lt;=INDEX(TermEnd,MATCH(A188,TermStart,1)),INDEX(TermNames,MATCH(A188,TermStart,1)),"إجازة"),"")</f>
        <v/>
      </c>
      <c r="G188" s="160">
        <f>IF(COUNTIFS(HolFrom,"&lt;="&amp;A188,HolTo,"&gt;="&amp;A188)&gt;0,"عطلة","")</f>
        <v/>
      </c>
      <c r="H188" s="106">
        <f>IF(OR(G188="عطلة",AND(WEEKDAY(A188,2)=5,FridaySchool="لا")),0,1)</f>
        <v/>
      </c>
      <c r="I188" s="106">
        <f>'KG1-1'!HE44+'KG1-2'!HE44+'KG1-3'!HE44+'KG1-4'!HE44+'KG1-5'!HE44+'KG1-6'!HE44+'KG1-7'!HE44</f>
        <v/>
      </c>
      <c r="J188" s="106">
        <f>'KG1-1'!HE43+'KG1-2'!HE43+'KG1-3'!HE43+'KG1-4'!HE43+'KG1-5'!HE43+'KG1-6'!HE43+'KG1-7'!HE43</f>
        <v/>
      </c>
      <c r="K188" s="106">
        <f>'KG1-1'!HE40+'KG1-2'!HE40+'KG1-3'!HE40+'KG1-4'!HE40+'KG1-5'!HE40+'KG1-6'!HE40+'KG1-7'!HE40</f>
        <v/>
      </c>
      <c r="L188" s="106">
        <f>'KG1-1'!HE41+'KG1-2'!HE41+'KG1-3'!HE41+'KG1-4'!HE41+'KG1-5'!HE41+'KG1-6'!HE41+'KG1-7'!HE41</f>
        <v/>
      </c>
      <c r="M188" s="106">
        <f>'KG1-1'!HE42+'KG1-2'!HE42+'KG1-3'!HE42+'KG1-4'!HE42+'KG1-5'!HE42+'KG1-6'!HE42+'KG1-7'!HE42</f>
        <v/>
      </c>
      <c r="N188" s="145">
        <f>IF(I188=0,"",(J188+IF(LateAsPresent="نعم",M188,0))/I188)</f>
        <v/>
      </c>
      <c r="O188" s="161">
        <f>IF(I188&gt;0,"نعم","")</f>
        <v/>
      </c>
      <c r="P188" s="159">
        <f>IF(I188&gt;0,COUNTIF($I$5:I188,"&gt;0"),"")</f>
        <v/>
      </c>
    </row>
    <row r="189">
      <c r="A189" s="105" t="n">
        <v>46521</v>
      </c>
      <c r="B189" s="106" t="inlineStr">
        <is>
          <t>الجمعة</t>
        </is>
      </c>
      <c r="C189" s="106" t="inlineStr">
        <is>
          <t>مايو 2027</t>
        </is>
      </c>
      <c r="D189" s="159" t="n">
        <v>202705</v>
      </c>
      <c r="E189" s="159" t="n">
        <v>37</v>
      </c>
      <c r="F189" s="106">
        <f>IFERROR(IF(A189&lt;=INDEX(TermEnd,MATCH(A189,TermStart,1)),INDEX(TermNames,MATCH(A189,TermStart,1)),"إجازة"),"")</f>
        <v/>
      </c>
      <c r="G189" s="160">
        <f>IF(COUNTIFS(HolFrom,"&lt;="&amp;A189,HolTo,"&gt;="&amp;A189)&gt;0,"عطلة","")</f>
        <v/>
      </c>
      <c r="H189" s="106">
        <f>IF(OR(G189="عطلة",AND(WEEKDAY(A189,2)=5,FridaySchool="لا")),0,1)</f>
        <v/>
      </c>
      <c r="I189" s="106">
        <f>'KG1-1'!HF44+'KG1-2'!HF44+'KG1-3'!HF44+'KG1-4'!HF44+'KG1-5'!HF44+'KG1-6'!HF44+'KG1-7'!HF44</f>
        <v/>
      </c>
      <c r="J189" s="106">
        <f>'KG1-1'!HF43+'KG1-2'!HF43+'KG1-3'!HF43+'KG1-4'!HF43+'KG1-5'!HF43+'KG1-6'!HF43+'KG1-7'!HF43</f>
        <v/>
      </c>
      <c r="K189" s="106">
        <f>'KG1-1'!HF40+'KG1-2'!HF40+'KG1-3'!HF40+'KG1-4'!HF40+'KG1-5'!HF40+'KG1-6'!HF40+'KG1-7'!HF40</f>
        <v/>
      </c>
      <c r="L189" s="106">
        <f>'KG1-1'!HF41+'KG1-2'!HF41+'KG1-3'!HF41+'KG1-4'!HF41+'KG1-5'!HF41+'KG1-6'!HF41+'KG1-7'!HF41</f>
        <v/>
      </c>
      <c r="M189" s="106">
        <f>'KG1-1'!HF42+'KG1-2'!HF42+'KG1-3'!HF42+'KG1-4'!HF42+'KG1-5'!HF42+'KG1-6'!HF42+'KG1-7'!HF42</f>
        <v/>
      </c>
      <c r="N189" s="145">
        <f>IF(I189=0,"",(J189+IF(LateAsPresent="نعم",M189,0))/I189)</f>
        <v/>
      </c>
      <c r="O189" s="161">
        <f>IF(I189&gt;0,"نعم","")</f>
        <v/>
      </c>
      <c r="P189" s="159">
        <f>IF(I189&gt;0,COUNTIF($I$5:I189,"&gt;0"),"")</f>
        <v/>
      </c>
    </row>
    <row r="190">
      <c r="A190" s="105" t="n">
        <v>46524</v>
      </c>
      <c r="B190" s="106" t="inlineStr">
        <is>
          <t>الاثنين</t>
        </is>
      </c>
      <c r="C190" s="106" t="inlineStr">
        <is>
          <t>مايو 2027</t>
        </is>
      </c>
      <c r="D190" s="159" t="n">
        <v>202705</v>
      </c>
      <c r="E190" s="159" t="n">
        <v>38</v>
      </c>
      <c r="F190" s="106">
        <f>IFERROR(IF(A190&lt;=INDEX(TermEnd,MATCH(A190,TermStart,1)),INDEX(TermNames,MATCH(A190,TermStart,1)),"إجازة"),"")</f>
        <v/>
      </c>
      <c r="G190" s="160">
        <f>IF(COUNTIFS(HolFrom,"&lt;="&amp;A190,HolTo,"&gt;="&amp;A190)&gt;0,"عطلة","")</f>
        <v/>
      </c>
      <c r="H190" s="106">
        <f>IF(OR(G190="عطلة",AND(WEEKDAY(A190,2)=5,FridaySchool="لا")),0,1)</f>
        <v/>
      </c>
      <c r="I190" s="106">
        <f>'KG1-1'!HG44+'KG1-2'!HG44+'KG1-3'!HG44+'KG1-4'!HG44+'KG1-5'!HG44+'KG1-6'!HG44+'KG1-7'!HG44</f>
        <v/>
      </c>
      <c r="J190" s="106">
        <f>'KG1-1'!HG43+'KG1-2'!HG43+'KG1-3'!HG43+'KG1-4'!HG43+'KG1-5'!HG43+'KG1-6'!HG43+'KG1-7'!HG43</f>
        <v/>
      </c>
      <c r="K190" s="106">
        <f>'KG1-1'!HG40+'KG1-2'!HG40+'KG1-3'!HG40+'KG1-4'!HG40+'KG1-5'!HG40+'KG1-6'!HG40+'KG1-7'!HG40</f>
        <v/>
      </c>
      <c r="L190" s="106">
        <f>'KG1-1'!HG41+'KG1-2'!HG41+'KG1-3'!HG41+'KG1-4'!HG41+'KG1-5'!HG41+'KG1-6'!HG41+'KG1-7'!HG41</f>
        <v/>
      </c>
      <c r="M190" s="106">
        <f>'KG1-1'!HG42+'KG1-2'!HG42+'KG1-3'!HG42+'KG1-4'!HG42+'KG1-5'!HG42+'KG1-6'!HG42+'KG1-7'!HG42</f>
        <v/>
      </c>
      <c r="N190" s="145">
        <f>IF(I190=0,"",(J190+IF(LateAsPresent="نعم",M190,0))/I190)</f>
        <v/>
      </c>
      <c r="O190" s="161">
        <f>IF(I190&gt;0,"نعم","")</f>
        <v/>
      </c>
      <c r="P190" s="159">
        <f>IF(I190&gt;0,COUNTIF($I$5:I190,"&gt;0"),"")</f>
        <v/>
      </c>
    </row>
    <row r="191">
      <c r="A191" s="105" t="n">
        <v>46525</v>
      </c>
      <c r="B191" s="106" t="inlineStr">
        <is>
          <t>الثلاثاء</t>
        </is>
      </c>
      <c r="C191" s="106" t="inlineStr">
        <is>
          <t>مايو 2027</t>
        </is>
      </c>
      <c r="D191" s="159" t="n">
        <v>202705</v>
      </c>
      <c r="E191" s="159" t="n">
        <v>38</v>
      </c>
      <c r="F191" s="106">
        <f>IFERROR(IF(A191&lt;=INDEX(TermEnd,MATCH(A191,TermStart,1)),INDEX(TermNames,MATCH(A191,TermStart,1)),"إجازة"),"")</f>
        <v/>
      </c>
      <c r="G191" s="160">
        <f>IF(COUNTIFS(HolFrom,"&lt;="&amp;A191,HolTo,"&gt;="&amp;A191)&gt;0,"عطلة","")</f>
        <v/>
      </c>
      <c r="H191" s="106">
        <f>IF(OR(G191="عطلة",AND(WEEKDAY(A191,2)=5,FridaySchool="لا")),0,1)</f>
        <v/>
      </c>
      <c r="I191" s="106">
        <f>'KG1-1'!HH44+'KG1-2'!HH44+'KG1-3'!HH44+'KG1-4'!HH44+'KG1-5'!HH44+'KG1-6'!HH44+'KG1-7'!HH44</f>
        <v/>
      </c>
      <c r="J191" s="106">
        <f>'KG1-1'!HH43+'KG1-2'!HH43+'KG1-3'!HH43+'KG1-4'!HH43+'KG1-5'!HH43+'KG1-6'!HH43+'KG1-7'!HH43</f>
        <v/>
      </c>
      <c r="K191" s="106">
        <f>'KG1-1'!HH40+'KG1-2'!HH40+'KG1-3'!HH40+'KG1-4'!HH40+'KG1-5'!HH40+'KG1-6'!HH40+'KG1-7'!HH40</f>
        <v/>
      </c>
      <c r="L191" s="106">
        <f>'KG1-1'!HH41+'KG1-2'!HH41+'KG1-3'!HH41+'KG1-4'!HH41+'KG1-5'!HH41+'KG1-6'!HH41+'KG1-7'!HH41</f>
        <v/>
      </c>
      <c r="M191" s="106">
        <f>'KG1-1'!HH42+'KG1-2'!HH42+'KG1-3'!HH42+'KG1-4'!HH42+'KG1-5'!HH42+'KG1-6'!HH42+'KG1-7'!HH42</f>
        <v/>
      </c>
      <c r="N191" s="145">
        <f>IF(I191=0,"",(J191+IF(LateAsPresent="نعم",M191,0))/I191)</f>
        <v/>
      </c>
      <c r="O191" s="161">
        <f>IF(I191&gt;0,"نعم","")</f>
        <v/>
      </c>
      <c r="P191" s="159">
        <f>IF(I191&gt;0,COUNTIF($I$5:I191,"&gt;0"),"")</f>
        <v/>
      </c>
    </row>
    <row r="192">
      <c r="A192" s="105" t="n">
        <v>46526</v>
      </c>
      <c r="B192" s="106" t="inlineStr">
        <is>
          <t>الأربعاء</t>
        </is>
      </c>
      <c r="C192" s="106" t="inlineStr">
        <is>
          <t>مايو 2027</t>
        </is>
      </c>
      <c r="D192" s="159" t="n">
        <v>202705</v>
      </c>
      <c r="E192" s="159" t="n">
        <v>38</v>
      </c>
      <c r="F192" s="106">
        <f>IFERROR(IF(A192&lt;=INDEX(TermEnd,MATCH(A192,TermStart,1)),INDEX(TermNames,MATCH(A192,TermStart,1)),"إجازة"),"")</f>
        <v/>
      </c>
      <c r="G192" s="160">
        <f>IF(COUNTIFS(HolFrom,"&lt;="&amp;A192,HolTo,"&gt;="&amp;A192)&gt;0,"عطلة","")</f>
        <v/>
      </c>
      <c r="H192" s="106">
        <f>IF(OR(G192="عطلة",AND(WEEKDAY(A192,2)=5,FridaySchool="لا")),0,1)</f>
        <v/>
      </c>
      <c r="I192" s="106">
        <f>'KG1-1'!HI44+'KG1-2'!HI44+'KG1-3'!HI44+'KG1-4'!HI44+'KG1-5'!HI44+'KG1-6'!HI44+'KG1-7'!HI44</f>
        <v/>
      </c>
      <c r="J192" s="106">
        <f>'KG1-1'!HI43+'KG1-2'!HI43+'KG1-3'!HI43+'KG1-4'!HI43+'KG1-5'!HI43+'KG1-6'!HI43+'KG1-7'!HI43</f>
        <v/>
      </c>
      <c r="K192" s="106">
        <f>'KG1-1'!HI40+'KG1-2'!HI40+'KG1-3'!HI40+'KG1-4'!HI40+'KG1-5'!HI40+'KG1-6'!HI40+'KG1-7'!HI40</f>
        <v/>
      </c>
      <c r="L192" s="106">
        <f>'KG1-1'!HI41+'KG1-2'!HI41+'KG1-3'!HI41+'KG1-4'!HI41+'KG1-5'!HI41+'KG1-6'!HI41+'KG1-7'!HI41</f>
        <v/>
      </c>
      <c r="M192" s="106">
        <f>'KG1-1'!HI42+'KG1-2'!HI42+'KG1-3'!HI42+'KG1-4'!HI42+'KG1-5'!HI42+'KG1-6'!HI42+'KG1-7'!HI42</f>
        <v/>
      </c>
      <c r="N192" s="145">
        <f>IF(I192=0,"",(J192+IF(LateAsPresent="نعم",M192,0))/I192)</f>
        <v/>
      </c>
      <c r="O192" s="161">
        <f>IF(I192&gt;0,"نعم","")</f>
        <v/>
      </c>
      <c r="P192" s="159">
        <f>IF(I192&gt;0,COUNTIF($I$5:I192,"&gt;0"),"")</f>
        <v/>
      </c>
    </row>
    <row r="193">
      <c r="A193" s="105" t="n">
        <v>46527</v>
      </c>
      <c r="B193" s="106" t="inlineStr">
        <is>
          <t>الخميس</t>
        </is>
      </c>
      <c r="C193" s="106" t="inlineStr">
        <is>
          <t>مايو 2027</t>
        </is>
      </c>
      <c r="D193" s="159" t="n">
        <v>202705</v>
      </c>
      <c r="E193" s="159" t="n">
        <v>38</v>
      </c>
      <c r="F193" s="106">
        <f>IFERROR(IF(A193&lt;=INDEX(TermEnd,MATCH(A193,TermStart,1)),INDEX(TermNames,MATCH(A193,TermStart,1)),"إجازة"),"")</f>
        <v/>
      </c>
      <c r="G193" s="160">
        <f>IF(COUNTIFS(HolFrom,"&lt;="&amp;A193,HolTo,"&gt;="&amp;A193)&gt;0,"عطلة","")</f>
        <v/>
      </c>
      <c r="H193" s="106">
        <f>IF(OR(G193="عطلة",AND(WEEKDAY(A193,2)=5,FridaySchool="لا")),0,1)</f>
        <v/>
      </c>
      <c r="I193" s="106">
        <f>'KG1-1'!HJ44+'KG1-2'!HJ44+'KG1-3'!HJ44+'KG1-4'!HJ44+'KG1-5'!HJ44+'KG1-6'!HJ44+'KG1-7'!HJ44</f>
        <v/>
      </c>
      <c r="J193" s="106">
        <f>'KG1-1'!HJ43+'KG1-2'!HJ43+'KG1-3'!HJ43+'KG1-4'!HJ43+'KG1-5'!HJ43+'KG1-6'!HJ43+'KG1-7'!HJ43</f>
        <v/>
      </c>
      <c r="K193" s="106">
        <f>'KG1-1'!HJ40+'KG1-2'!HJ40+'KG1-3'!HJ40+'KG1-4'!HJ40+'KG1-5'!HJ40+'KG1-6'!HJ40+'KG1-7'!HJ40</f>
        <v/>
      </c>
      <c r="L193" s="106">
        <f>'KG1-1'!HJ41+'KG1-2'!HJ41+'KG1-3'!HJ41+'KG1-4'!HJ41+'KG1-5'!HJ41+'KG1-6'!HJ41+'KG1-7'!HJ41</f>
        <v/>
      </c>
      <c r="M193" s="106">
        <f>'KG1-1'!HJ42+'KG1-2'!HJ42+'KG1-3'!HJ42+'KG1-4'!HJ42+'KG1-5'!HJ42+'KG1-6'!HJ42+'KG1-7'!HJ42</f>
        <v/>
      </c>
      <c r="N193" s="145">
        <f>IF(I193=0,"",(J193+IF(LateAsPresent="نعم",M193,0))/I193)</f>
        <v/>
      </c>
      <c r="O193" s="161">
        <f>IF(I193&gt;0,"نعم","")</f>
        <v/>
      </c>
      <c r="P193" s="159">
        <f>IF(I193&gt;0,COUNTIF($I$5:I193,"&gt;0"),"")</f>
        <v/>
      </c>
    </row>
    <row r="194">
      <c r="A194" s="105" t="n">
        <v>46528</v>
      </c>
      <c r="B194" s="106" t="inlineStr">
        <is>
          <t>الجمعة</t>
        </is>
      </c>
      <c r="C194" s="106" t="inlineStr">
        <is>
          <t>مايو 2027</t>
        </is>
      </c>
      <c r="D194" s="159" t="n">
        <v>202705</v>
      </c>
      <c r="E194" s="159" t="n">
        <v>38</v>
      </c>
      <c r="F194" s="106">
        <f>IFERROR(IF(A194&lt;=INDEX(TermEnd,MATCH(A194,TermStart,1)),INDEX(TermNames,MATCH(A194,TermStart,1)),"إجازة"),"")</f>
        <v/>
      </c>
      <c r="G194" s="160">
        <f>IF(COUNTIFS(HolFrom,"&lt;="&amp;A194,HolTo,"&gt;="&amp;A194)&gt;0,"عطلة","")</f>
        <v/>
      </c>
      <c r="H194" s="106">
        <f>IF(OR(G194="عطلة",AND(WEEKDAY(A194,2)=5,FridaySchool="لا")),0,1)</f>
        <v/>
      </c>
      <c r="I194" s="106">
        <f>'KG1-1'!HK44+'KG1-2'!HK44+'KG1-3'!HK44+'KG1-4'!HK44+'KG1-5'!HK44+'KG1-6'!HK44+'KG1-7'!HK44</f>
        <v/>
      </c>
      <c r="J194" s="106">
        <f>'KG1-1'!HK43+'KG1-2'!HK43+'KG1-3'!HK43+'KG1-4'!HK43+'KG1-5'!HK43+'KG1-6'!HK43+'KG1-7'!HK43</f>
        <v/>
      </c>
      <c r="K194" s="106">
        <f>'KG1-1'!HK40+'KG1-2'!HK40+'KG1-3'!HK40+'KG1-4'!HK40+'KG1-5'!HK40+'KG1-6'!HK40+'KG1-7'!HK40</f>
        <v/>
      </c>
      <c r="L194" s="106">
        <f>'KG1-1'!HK41+'KG1-2'!HK41+'KG1-3'!HK41+'KG1-4'!HK41+'KG1-5'!HK41+'KG1-6'!HK41+'KG1-7'!HK41</f>
        <v/>
      </c>
      <c r="M194" s="106">
        <f>'KG1-1'!HK42+'KG1-2'!HK42+'KG1-3'!HK42+'KG1-4'!HK42+'KG1-5'!HK42+'KG1-6'!HK42+'KG1-7'!HK42</f>
        <v/>
      </c>
      <c r="N194" s="145">
        <f>IF(I194=0,"",(J194+IF(LateAsPresent="نعم",M194,0))/I194)</f>
        <v/>
      </c>
      <c r="O194" s="161">
        <f>IF(I194&gt;0,"نعم","")</f>
        <v/>
      </c>
      <c r="P194" s="159">
        <f>IF(I194&gt;0,COUNTIF($I$5:I194,"&gt;0"),"")</f>
        <v/>
      </c>
    </row>
    <row r="195">
      <c r="A195" s="105" t="n">
        <v>46531</v>
      </c>
      <c r="B195" s="106" t="inlineStr">
        <is>
          <t>الاثنين</t>
        </is>
      </c>
      <c r="C195" s="106" t="inlineStr">
        <is>
          <t>مايو 2027</t>
        </is>
      </c>
      <c r="D195" s="159" t="n">
        <v>202705</v>
      </c>
      <c r="E195" s="159" t="n">
        <v>39</v>
      </c>
      <c r="F195" s="106">
        <f>IFERROR(IF(A195&lt;=INDEX(TermEnd,MATCH(A195,TermStart,1)),INDEX(TermNames,MATCH(A195,TermStart,1)),"إجازة"),"")</f>
        <v/>
      </c>
      <c r="G195" s="160">
        <f>IF(COUNTIFS(HolFrom,"&lt;="&amp;A195,HolTo,"&gt;="&amp;A195)&gt;0,"عطلة","")</f>
        <v/>
      </c>
      <c r="H195" s="106">
        <f>IF(OR(G195="عطلة",AND(WEEKDAY(A195,2)=5,FridaySchool="لا")),0,1)</f>
        <v/>
      </c>
      <c r="I195" s="106">
        <f>'KG1-1'!HL44+'KG1-2'!HL44+'KG1-3'!HL44+'KG1-4'!HL44+'KG1-5'!HL44+'KG1-6'!HL44+'KG1-7'!HL44</f>
        <v/>
      </c>
      <c r="J195" s="106">
        <f>'KG1-1'!HL43+'KG1-2'!HL43+'KG1-3'!HL43+'KG1-4'!HL43+'KG1-5'!HL43+'KG1-6'!HL43+'KG1-7'!HL43</f>
        <v/>
      </c>
      <c r="K195" s="106">
        <f>'KG1-1'!HL40+'KG1-2'!HL40+'KG1-3'!HL40+'KG1-4'!HL40+'KG1-5'!HL40+'KG1-6'!HL40+'KG1-7'!HL40</f>
        <v/>
      </c>
      <c r="L195" s="106">
        <f>'KG1-1'!HL41+'KG1-2'!HL41+'KG1-3'!HL41+'KG1-4'!HL41+'KG1-5'!HL41+'KG1-6'!HL41+'KG1-7'!HL41</f>
        <v/>
      </c>
      <c r="M195" s="106">
        <f>'KG1-1'!HL42+'KG1-2'!HL42+'KG1-3'!HL42+'KG1-4'!HL42+'KG1-5'!HL42+'KG1-6'!HL42+'KG1-7'!HL42</f>
        <v/>
      </c>
      <c r="N195" s="145">
        <f>IF(I195=0,"",(J195+IF(LateAsPresent="نعم",M195,0))/I195)</f>
        <v/>
      </c>
      <c r="O195" s="161">
        <f>IF(I195&gt;0,"نعم","")</f>
        <v/>
      </c>
      <c r="P195" s="159">
        <f>IF(I195&gt;0,COUNTIF($I$5:I195,"&gt;0"),"")</f>
        <v/>
      </c>
    </row>
    <row r="196">
      <c r="A196" s="105" t="n">
        <v>46532</v>
      </c>
      <c r="B196" s="106" t="inlineStr">
        <is>
          <t>الثلاثاء</t>
        </is>
      </c>
      <c r="C196" s="106" t="inlineStr">
        <is>
          <t>مايو 2027</t>
        </is>
      </c>
      <c r="D196" s="159" t="n">
        <v>202705</v>
      </c>
      <c r="E196" s="159" t="n">
        <v>39</v>
      </c>
      <c r="F196" s="106">
        <f>IFERROR(IF(A196&lt;=INDEX(TermEnd,MATCH(A196,TermStart,1)),INDEX(TermNames,MATCH(A196,TermStart,1)),"إجازة"),"")</f>
        <v/>
      </c>
      <c r="G196" s="160">
        <f>IF(COUNTIFS(HolFrom,"&lt;="&amp;A196,HolTo,"&gt;="&amp;A196)&gt;0,"عطلة","")</f>
        <v/>
      </c>
      <c r="H196" s="106">
        <f>IF(OR(G196="عطلة",AND(WEEKDAY(A196,2)=5,FridaySchool="لا")),0,1)</f>
        <v/>
      </c>
      <c r="I196" s="106">
        <f>'KG1-1'!HM44+'KG1-2'!HM44+'KG1-3'!HM44+'KG1-4'!HM44+'KG1-5'!HM44+'KG1-6'!HM44+'KG1-7'!HM44</f>
        <v/>
      </c>
      <c r="J196" s="106">
        <f>'KG1-1'!HM43+'KG1-2'!HM43+'KG1-3'!HM43+'KG1-4'!HM43+'KG1-5'!HM43+'KG1-6'!HM43+'KG1-7'!HM43</f>
        <v/>
      </c>
      <c r="K196" s="106">
        <f>'KG1-1'!HM40+'KG1-2'!HM40+'KG1-3'!HM40+'KG1-4'!HM40+'KG1-5'!HM40+'KG1-6'!HM40+'KG1-7'!HM40</f>
        <v/>
      </c>
      <c r="L196" s="106">
        <f>'KG1-1'!HM41+'KG1-2'!HM41+'KG1-3'!HM41+'KG1-4'!HM41+'KG1-5'!HM41+'KG1-6'!HM41+'KG1-7'!HM41</f>
        <v/>
      </c>
      <c r="M196" s="106">
        <f>'KG1-1'!HM42+'KG1-2'!HM42+'KG1-3'!HM42+'KG1-4'!HM42+'KG1-5'!HM42+'KG1-6'!HM42+'KG1-7'!HM42</f>
        <v/>
      </c>
      <c r="N196" s="145">
        <f>IF(I196=0,"",(J196+IF(LateAsPresent="نعم",M196,0))/I196)</f>
        <v/>
      </c>
      <c r="O196" s="161">
        <f>IF(I196&gt;0,"نعم","")</f>
        <v/>
      </c>
      <c r="P196" s="159">
        <f>IF(I196&gt;0,COUNTIF($I$5:I196,"&gt;0"),"")</f>
        <v/>
      </c>
    </row>
    <row r="197">
      <c r="A197" s="105" t="n">
        <v>46533</v>
      </c>
      <c r="B197" s="106" t="inlineStr">
        <is>
          <t>الأربعاء</t>
        </is>
      </c>
      <c r="C197" s="106" t="inlineStr">
        <is>
          <t>مايو 2027</t>
        </is>
      </c>
      <c r="D197" s="159" t="n">
        <v>202705</v>
      </c>
      <c r="E197" s="159" t="n">
        <v>39</v>
      </c>
      <c r="F197" s="106">
        <f>IFERROR(IF(A197&lt;=INDEX(TermEnd,MATCH(A197,TermStart,1)),INDEX(TermNames,MATCH(A197,TermStart,1)),"إجازة"),"")</f>
        <v/>
      </c>
      <c r="G197" s="160">
        <f>IF(COUNTIFS(HolFrom,"&lt;="&amp;A197,HolTo,"&gt;="&amp;A197)&gt;0,"عطلة","")</f>
        <v/>
      </c>
      <c r="H197" s="106">
        <f>IF(OR(G197="عطلة",AND(WEEKDAY(A197,2)=5,FridaySchool="لا")),0,1)</f>
        <v/>
      </c>
      <c r="I197" s="106">
        <f>'KG1-1'!HN44+'KG1-2'!HN44+'KG1-3'!HN44+'KG1-4'!HN44+'KG1-5'!HN44+'KG1-6'!HN44+'KG1-7'!HN44</f>
        <v/>
      </c>
      <c r="J197" s="106">
        <f>'KG1-1'!HN43+'KG1-2'!HN43+'KG1-3'!HN43+'KG1-4'!HN43+'KG1-5'!HN43+'KG1-6'!HN43+'KG1-7'!HN43</f>
        <v/>
      </c>
      <c r="K197" s="106">
        <f>'KG1-1'!HN40+'KG1-2'!HN40+'KG1-3'!HN40+'KG1-4'!HN40+'KG1-5'!HN40+'KG1-6'!HN40+'KG1-7'!HN40</f>
        <v/>
      </c>
      <c r="L197" s="106">
        <f>'KG1-1'!HN41+'KG1-2'!HN41+'KG1-3'!HN41+'KG1-4'!HN41+'KG1-5'!HN41+'KG1-6'!HN41+'KG1-7'!HN41</f>
        <v/>
      </c>
      <c r="M197" s="106">
        <f>'KG1-1'!HN42+'KG1-2'!HN42+'KG1-3'!HN42+'KG1-4'!HN42+'KG1-5'!HN42+'KG1-6'!HN42+'KG1-7'!HN42</f>
        <v/>
      </c>
      <c r="N197" s="145">
        <f>IF(I197=0,"",(J197+IF(LateAsPresent="نعم",M197,0))/I197)</f>
        <v/>
      </c>
      <c r="O197" s="161">
        <f>IF(I197&gt;0,"نعم","")</f>
        <v/>
      </c>
      <c r="P197" s="159">
        <f>IF(I197&gt;0,COUNTIF($I$5:I197,"&gt;0"),"")</f>
        <v/>
      </c>
    </row>
    <row r="198">
      <c r="A198" s="105" t="n">
        <v>46534</v>
      </c>
      <c r="B198" s="106" t="inlineStr">
        <is>
          <t>الخميس</t>
        </is>
      </c>
      <c r="C198" s="106" t="inlineStr">
        <is>
          <t>مايو 2027</t>
        </is>
      </c>
      <c r="D198" s="159" t="n">
        <v>202705</v>
      </c>
      <c r="E198" s="159" t="n">
        <v>39</v>
      </c>
      <c r="F198" s="106">
        <f>IFERROR(IF(A198&lt;=INDEX(TermEnd,MATCH(A198,TermStart,1)),INDEX(TermNames,MATCH(A198,TermStart,1)),"إجازة"),"")</f>
        <v/>
      </c>
      <c r="G198" s="160">
        <f>IF(COUNTIFS(HolFrom,"&lt;="&amp;A198,HolTo,"&gt;="&amp;A198)&gt;0,"عطلة","")</f>
        <v/>
      </c>
      <c r="H198" s="106">
        <f>IF(OR(G198="عطلة",AND(WEEKDAY(A198,2)=5,FridaySchool="لا")),0,1)</f>
        <v/>
      </c>
      <c r="I198" s="106">
        <f>'KG1-1'!HO44+'KG1-2'!HO44+'KG1-3'!HO44+'KG1-4'!HO44+'KG1-5'!HO44+'KG1-6'!HO44+'KG1-7'!HO44</f>
        <v/>
      </c>
      <c r="J198" s="106">
        <f>'KG1-1'!HO43+'KG1-2'!HO43+'KG1-3'!HO43+'KG1-4'!HO43+'KG1-5'!HO43+'KG1-6'!HO43+'KG1-7'!HO43</f>
        <v/>
      </c>
      <c r="K198" s="106">
        <f>'KG1-1'!HO40+'KG1-2'!HO40+'KG1-3'!HO40+'KG1-4'!HO40+'KG1-5'!HO40+'KG1-6'!HO40+'KG1-7'!HO40</f>
        <v/>
      </c>
      <c r="L198" s="106">
        <f>'KG1-1'!HO41+'KG1-2'!HO41+'KG1-3'!HO41+'KG1-4'!HO41+'KG1-5'!HO41+'KG1-6'!HO41+'KG1-7'!HO41</f>
        <v/>
      </c>
      <c r="M198" s="106">
        <f>'KG1-1'!HO42+'KG1-2'!HO42+'KG1-3'!HO42+'KG1-4'!HO42+'KG1-5'!HO42+'KG1-6'!HO42+'KG1-7'!HO42</f>
        <v/>
      </c>
      <c r="N198" s="145">
        <f>IF(I198=0,"",(J198+IF(LateAsPresent="نعم",M198,0))/I198)</f>
        <v/>
      </c>
      <c r="O198" s="161">
        <f>IF(I198&gt;0,"نعم","")</f>
        <v/>
      </c>
      <c r="P198" s="159">
        <f>IF(I198&gt;0,COUNTIF($I$5:I198,"&gt;0"),"")</f>
        <v/>
      </c>
    </row>
    <row r="199">
      <c r="A199" s="105" t="n">
        <v>46535</v>
      </c>
      <c r="B199" s="106" t="inlineStr">
        <is>
          <t>الجمعة</t>
        </is>
      </c>
      <c r="C199" s="106" t="inlineStr">
        <is>
          <t>مايو 2027</t>
        </is>
      </c>
      <c r="D199" s="159" t="n">
        <v>202705</v>
      </c>
      <c r="E199" s="159" t="n">
        <v>39</v>
      </c>
      <c r="F199" s="106">
        <f>IFERROR(IF(A199&lt;=INDEX(TermEnd,MATCH(A199,TermStart,1)),INDEX(TermNames,MATCH(A199,TermStart,1)),"إجازة"),"")</f>
        <v/>
      </c>
      <c r="G199" s="160">
        <f>IF(COUNTIFS(HolFrom,"&lt;="&amp;A199,HolTo,"&gt;="&amp;A199)&gt;0,"عطلة","")</f>
        <v/>
      </c>
      <c r="H199" s="106">
        <f>IF(OR(G199="عطلة",AND(WEEKDAY(A199,2)=5,FridaySchool="لا")),0,1)</f>
        <v/>
      </c>
      <c r="I199" s="106">
        <f>'KG1-1'!HP44+'KG1-2'!HP44+'KG1-3'!HP44+'KG1-4'!HP44+'KG1-5'!HP44+'KG1-6'!HP44+'KG1-7'!HP44</f>
        <v/>
      </c>
      <c r="J199" s="106">
        <f>'KG1-1'!HP43+'KG1-2'!HP43+'KG1-3'!HP43+'KG1-4'!HP43+'KG1-5'!HP43+'KG1-6'!HP43+'KG1-7'!HP43</f>
        <v/>
      </c>
      <c r="K199" s="106">
        <f>'KG1-1'!HP40+'KG1-2'!HP40+'KG1-3'!HP40+'KG1-4'!HP40+'KG1-5'!HP40+'KG1-6'!HP40+'KG1-7'!HP40</f>
        <v/>
      </c>
      <c r="L199" s="106">
        <f>'KG1-1'!HP41+'KG1-2'!HP41+'KG1-3'!HP41+'KG1-4'!HP41+'KG1-5'!HP41+'KG1-6'!HP41+'KG1-7'!HP41</f>
        <v/>
      </c>
      <c r="M199" s="106">
        <f>'KG1-1'!HP42+'KG1-2'!HP42+'KG1-3'!HP42+'KG1-4'!HP42+'KG1-5'!HP42+'KG1-6'!HP42+'KG1-7'!HP42</f>
        <v/>
      </c>
      <c r="N199" s="145">
        <f>IF(I199=0,"",(J199+IF(LateAsPresent="نعم",M199,0))/I199)</f>
        <v/>
      </c>
      <c r="O199" s="161">
        <f>IF(I199&gt;0,"نعم","")</f>
        <v/>
      </c>
      <c r="P199" s="159">
        <f>IF(I199&gt;0,COUNTIF($I$5:I199,"&gt;0"),"")</f>
        <v/>
      </c>
    </row>
    <row r="200">
      <c r="A200" s="105" t="n">
        <v>46538</v>
      </c>
      <c r="B200" s="106" t="inlineStr">
        <is>
          <t>الاثنين</t>
        </is>
      </c>
      <c r="C200" s="106" t="inlineStr">
        <is>
          <t>مايو 2027</t>
        </is>
      </c>
      <c r="D200" s="159" t="n">
        <v>202705</v>
      </c>
      <c r="E200" s="159" t="n">
        <v>40</v>
      </c>
      <c r="F200" s="106">
        <f>IFERROR(IF(A200&lt;=INDEX(TermEnd,MATCH(A200,TermStart,1)),INDEX(TermNames,MATCH(A200,TermStart,1)),"إجازة"),"")</f>
        <v/>
      </c>
      <c r="G200" s="160">
        <f>IF(COUNTIFS(HolFrom,"&lt;="&amp;A200,HolTo,"&gt;="&amp;A200)&gt;0,"عطلة","")</f>
        <v/>
      </c>
      <c r="H200" s="106">
        <f>IF(OR(G200="عطلة",AND(WEEKDAY(A200,2)=5,FridaySchool="لا")),0,1)</f>
        <v/>
      </c>
      <c r="I200" s="106">
        <f>'KG1-1'!HQ44+'KG1-2'!HQ44+'KG1-3'!HQ44+'KG1-4'!HQ44+'KG1-5'!HQ44+'KG1-6'!HQ44+'KG1-7'!HQ44</f>
        <v/>
      </c>
      <c r="J200" s="106">
        <f>'KG1-1'!HQ43+'KG1-2'!HQ43+'KG1-3'!HQ43+'KG1-4'!HQ43+'KG1-5'!HQ43+'KG1-6'!HQ43+'KG1-7'!HQ43</f>
        <v/>
      </c>
      <c r="K200" s="106">
        <f>'KG1-1'!HQ40+'KG1-2'!HQ40+'KG1-3'!HQ40+'KG1-4'!HQ40+'KG1-5'!HQ40+'KG1-6'!HQ40+'KG1-7'!HQ40</f>
        <v/>
      </c>
      <c r="L200" s="106">
        <f>'KG1-1'!HQ41+'KG1-2'!HQ41+'KG1-3'!HQ41+'KG1-4'!HQ41+'KG1-5'!HQ41+'KG1-6'!HQ41+'KG1-7'!HQ41</f>
        <v/>
      </c>
      <c r="M200" s="106">
        <f>'KG1-1'!HQ42+'KG1-2'!HQ42+'KG1-3'!HQ42+'KG1-4'!HQ42+'KG1-5'!HQ42+'KG1-6'!HQ42+'KG1-7'!HQ42</f>
        <v/>
      </c>
      <c r="N200" s="145">
        <f>IF(I200=0,"",(J200+IF(LateAsPresent="نعم",M200,0))/I200)</f>
        <v/>
      </c>
      <c r="O200" s="161">
        <f>IF(I200&gt;0,"نعم","")</f>
        <v/>
      </c>
      <c r="P200" s="159">
        <f>IF(I200&gt;0,COUNTIF($I$5:I200,"&gt;0"),"")</f>
        <v/>
      </c>
    </row>
    <row r="201">
      <c r="A201" s="105" t="n">
        <v>46539</v>
      </c>
      <c r="B201" s="106" t="inlineStr">
        <is>
          <t>الثلاثاء</t>
        </is>
      </c>
      <c r="C201" s="106" t="inlineStr">
        <is>
          <t>يونيو 2027</t>
        </is>
      </c>
      <c r="D201" s="159" t="n">
        <v>202706</v>
      </c>
      <c r="E201" s="159" t="n">
        <v>40</v>
      </c>
      <c r="F201" s="106">
        <f>IFERROR(IF(A201&lt;=INDEX(TermEnd,MATCH(A201,TermStart,1)),INDEX(TermNames,MATCH(A201,TermStart,1)),"إجازة"),"")</f>
        <v/>
      </c>
      <c r="G201" s="160">
        <f>IF(COUNTIFS(HolFrom,"&lt;="&amp;A201,HolTo,"&gt;="&amp;A201)&gt;0,"عطلة","")</f>
        <v/>
      </c>
      <c r="H201" s="106">
        <f>IF(OR(G201="عطلة",AND(WEEKDAY(A201,2)=5,FridaySchool="لا")),0,1)</f>
        <v/>
      </c>
      <c r="I201" s="106">
        <f>'KG1-1'!HR44+'KG1-2'!HR44+'KG1-3'!HR44+'KG1-4'!HR44+'KG1-5'!HR44+'KG1-6'!HR44+'KG1-7'!HR44</f>
        <v/>
      </c>
      <c r="J201" s="106">
        <f>'KG1-1'!HR43+'KG1-2'!HR43+'KG1-3'!HR43+'KG1-4'!HR43+'KG1-5'!HR43+'KG1-6'!HR43+'KG1-7'!HR43</f>
        <v/>
      </c>
      <c r="K201" s="106">
        <f>'KG1-1'!HR40+'KG1-2'!HR40+'KG1-3'!HR40+'KG1-4'!HR40+'KG1-5'!HR40+'KG1-6'!HR40+'KG1-7'!HR40</f>
        <v/>
      </c>
      <c r="L201" s="106">
        <f>'KG1-1'!HR41+'KG1-2'!HR41+'KG1-3'!HR41+'KG1-4'!HR41+'KG1-5'!HR41+'KG1-6'!HR41+'KG1-7'!HR41</f>
        <v/>
      </c>
      <c r="M201" s="106">
        <f>'KG1-1'!HR42+'KG1-2'!HR42+'KG1-3'!HR42+'KG1-4'!HR42+'KG1-5'!HR42+'KG1-6'!HR42+'KG1-7'!HR42</f>
        <v/>
      </c>
      <c r="N201" s="145">
        <f>IF(I201=0,"",(J201+IF(LateAsPresent="نعم",M201,0))/I201)</f>
        <v/>
      </c>
      <c r="O201" s="161">
        <f>IF(I201&gt;0,"نعم","")</f>
        <v/>
      </c>
      <c r="P201" s="159">
        <f>IF(I201&gt;0,COUNTIF($I$5:I201,"&gt;0"),"")</f>
        <v/>
      </c>
    </row>
    <row r="202">
      <c r="A202" s="105" t="n">
        <v>46540</v>
      </c>
      <c r="B202" s="106" t="inlineStr">
        <is>
          <t>الأربعاء</t>
        </is>
      </c>
      <c r="C202" s="106" t="inlineStr">
        <is>
          <t>يونيو 2027</t>
        </is>
      </c>
      <c r="D202" s="159" t="n">
        <v>202706</v>
      </c>
      <c r="E202" s="159" t="n">
        <v>40</v>
      </c>
      <c r="F202" s="106">
        <f>IFERROR(IF(A202&lt;=INDEX(TermEnd,MATCH(A202,TermStart,1)),INDEX(TermNames,MATCH(A202,TermStart,1)),"إجازة"),"")</f>
        <v/>
      </c>
      <c r="G202" s="160">
        <f>IF(COUNTIFS(HolFrom,"&lt;="&amp;A202,HolTo,"&gt;="&amp;A202)&gt;0,"عطلة","")</f>
        <v/>
      </c>
      <c r="H202" s="106">
        <f>IF(OR(G202="عطلة",AND(WEEKDAY(A202,2)=5,FridaySchool="لا")),0,1)</f>
        <v/>
      </c>
      <c r="I202" s="106">
        <f>'KG1-1'!HS44+'KG1-2'!HS44+'KG1-3'!HS44+'KG1-4'!HS44+'KG1-5'!HS44+'KG1-6'!HS44+'KG1-7'!HS44</f>
        <v/>
      </c>
      <c r="J202" s="106">
        <f>'KG1-1'!HS43+'KG1-2'!HS43+'KG1-3'!HS43+'KG1-4'!HS43+'KG1-5'!HS43+'KG1-6'!HS43+'KG1-7'!HS43</f>
        <v/>
      </c>
      <c r="K202" s="106">
        <f>'KG1-1'!HS40+'KG1-2'!HS40+'KG1-3'!HS40+'KG1-4'!HS40+'KG1-5'!HS40+'KG1-6'!HS40+'KG1-7'!HS40</f>
        <v/>
      </c>
      <c r="L202" s="106">
        <f>'KG1-1'!HS41+'KG1-2'!HS41+'KG1-3'!HS41+'KG1-4'!HS41+'KG1-5'!HS41+'KG1-6'!HS41+'KG1-7'!HS41</f>
        <v/>
      </c>
      <c r="M202" s="106">
        <f>'KG1-1'!HS42+'KG1-2'!HS42+'KG1-3'!HS42+'KG1-4'!HS42+'KG1-5'!HS42+'KG1-6'!HS42+'KG1-7'!HS42</f>
        <v/>
      </c>
      <c r="N202" s="145">
        <f>IF(I202=0,"",(J202+IF(LateAsPresent="نعم",M202,0))/I202)</f>
        <v/>
      </c>
      <c r="O202" s="161">
        <f>IF(I202&gt;0,"نعم","")</f>
        <v/>
      </c>
      <c r="P202" s="159">
        <f>IF(I202&gt;0,COUNTIF($I$5:I202,"&gt;0"),"")</f>
        <v/>
      </c>
    </row>
    <row r="203">
      <c r="A203" s="105" t="n">
        <v>46541</v>
      </c>
      <c r="B203" s="106" t="inlineStr">
        <is>
          <t>الخميس</t>
        </is>
      </c>
      <c r="C203" s="106" t="inlineStr">
        <is>
          <t>يونيو 2027</t>
        </is>
      </c>
      <c r="D203" s="159" t="n">
        <v>202706</v>
      </c>
      <c r="E203" s="159" t="n">
        <v>40</v>
      </c>
      <c r="F203" s="106">
        <f>IFERROR(IF(A203&lt;=INDEX(TermEnd,MATCH(A203,TermStart,1)),INDEX(TermNames,MATCH(A203,TermStart,1)),"إجازة"),"")</f>
        <v/>
      </c>
      <c r="G203" s="160">
        <f>IF(COUNTIFS(HolFrom,"&lt;="&amp;A203,HolTo,"&gt;="&amp;A203)&gt;0,"عطلة","")</f>
        <v/>
      </c>
      <c r="H203" s="106">
        <f>IF(OR(G203="عطلة",AND(WEEKDAY(A203,2)=5,FridaySchool="لا")),0,1)</f>
        <v/>
      </c>
      <c r="I203" s="106">
        <f>'KG1-1'!HT44+'KG1-2'!HT44+'KG1-3'!HT44+'KG1-4'!HT44+'KG1-5'!HT44+'KG1-6'!HT44+'KG1-7'!HT44</f>
        <v/>
      </c>
      <c r="J203" s="106">
        <f>'KG1-1'!HT43+'KG1-2'!HT43+'KG1-3'!HT43+'KG1-4'!HT43+'KG1-5'!HT43+'KG1-6'!HT43+'KG1-7'!HT43</f>
        <v/>
      </c>
      <c r="K203" s="106">
        <f>'KG1-1'!HT40+'KG1-2'!HT40+'KG1-3'!HT40+'KG1-4'!HT40+'KG1-5'!HT40+'KG1-6'!HT40+'KG1-7'!HT40</f>
        <v/>
      </c>
      <c r="L203" s="106">
        <f>'KG1-1'!HT41+'KG1-2'!HT41+'KG1-3'!HT41+'KG1-4'!HT41+'KG1-5'!HT41+'KG1-6'!HT41+'KG1-7'!HT41</f>
        <v/>
      </c>
      <c r="M203" s="106">
        <f>'KG1-1'!HT42+'KG1-2'!HT42+'KG1-3'!HT42+'KG1-4'!HT42+'KG1-5'!HT42+'KG1-6'!HT42+'KG1-7'!HT42</f>
        <v/>
      </c>
      <c r="N203" s="145">
        <f>IF(I203=0,"",(J203+IF(LateAsPresent="نعم",M203,0))/I203)</f>
        <v/>
      </c>
      <c r="O203" s="161">
        <f>IF(I203&gt;0,"نعم","")</f>
        <v/>
      </c>
      <c r="P203" s="159">
        <f>IF(I203&gt;0,COUNTIF($I$5:I203,"&gt;0"),"")</f>
        <v/>
      </c>
    </row>
    <row r="204">
      <c r="A204" s="105" t="n">
        <v>46542</v>
      </c>
      <c r="B204" s="106" t="inlineStr">
        <is>
          <t>الجمعة</t>
        </is>
      </c>
      <c r="C204" s="106" t="inlineStr">
        <is>
          <t>يونيو 2027</t>
        </is>
      </c>
      <c r="D204" s="159" t="n">
        <v>202706</v>
      </c>
      <c r="E204" s="159" t="n">
        <v>40</v>
      </c>
      <c r="F204" s="106">
        <f>IFERROR(IF(A204&lt;=INDEX(TermEnd,MATCH(A204,TermStart,1)),INDEX(TermNames,MATCH(A204,TermStart,1)),"إجازة"),"")</f>
        <v/>
      </c>
      <c r="G204" s="160">
        <f>IF(COUNTIFS(HolFrom,"&lt;="&amp;A204,HolTo,"&gt;="&amp;A204)&gt;0,"عطلة","")</f>
        <v/>
      </c>
      <c r="H204" s="106">
        <f>IF(OR(G204="عطلة",AND(WEEKDAY(A204,2)=5,FridaySchool="لا")),0,1)</f>
        <v/>
      </c>
      <c r="I204" s="106">
        <f>'KG1-1'!HU44+'KG1-2'!HU44+'KG1-3'!HU44+'KG1-4'!HU44+'KG1-5'!HU44+'KG1-6'!HU44+'KG1-7'!HU44</f>
        <v/>
      </c>
      <c r="J204" s="106">
        <f>'KG1-1'!HU43+'KG1-2'!HU43+'KG1-3'!HU43+'KG1-4'!HU43+'KG1-5'!HU43+'KG1-6'!HU43+'KG1-7'!HU43</f>
        <v/>
      </c>
      <c r="K204" s="106">
        <f>'KG1-1'!HU40+'KG1-2'!HU40+'KG1-3'!HU40+'KG1-4'!HU40+'KG1-5'!HU40+'KG1-6'!HU40+'KG1-7'!HU40</f>
        <v/>
      </c>
      <c r="L204" s="106">
        <f>'KG1-1'!HU41+'KG1-2'!HU41+'KG1-3'!HU41+'KG1-4'!HU41+'KG1-5'!HU41+'KG1-6'!HU41+'KG1-7'!HU41</f>
        <v/>
      </c>
      <c r="M204" s="106">
        <f>'KG1-1'!HU42+'KG1-2'!HU42+'KG1-3'!HU42+'KG1-4'!HU42+'KG1-5'!HU42+'KG1-6'!HU42+'KG1-7'!HU42</f>
        <v/>
      </c>
      <c r="N204" s="145">
        <f>IF(I204=0,"",(J204+IF(LateAsPresent="نعم",M204,0))/I204)</f>
        <v/>
      </c>
      <c r="O204" s="161">
        <f>IF(I204&gt;0,"نعم","")</f>
        <v/>
      </c>
      <c r="P204" s="159">
        <f>IF(I204&gt;0,COUNTIF($I$5:I204,"&gt;0"),"")</f>
        <v/>
      </c>
    </row>
    <row r="205">
      <c r="A205" s="105" t="n">
        <v>46545</v>
      </c>
      <c r="B205" s="106" t="inlineStr">
        <is>
          <t>الاثنين</t>
        </is>
      </c>
      <c r="C205" s="106" t="inlineStr">
        <is>
          <t>يونيو 2027</t>
        </is>
      </c>
      <c r="D205" s="159" t="n">
        <v>202706</v>
      </c>
      <c r="E205" s="159" t="n">
        <v>41</v>
      </c>
      <c r="F205" s="106">
        <f>IFERROR(IF(A205&lt;=INDEX(TermEnd,MATCH(A205,TermStart,1)),INDEX(TermNames,MATCH(A205,TermStart,1)),"إجازة"),"")</f>
        <v/>
      </c>
      <c r="G205" s="160">
        <f>IF(COUNTIFS(HolFrom,"&lt;="&amp;A205,HolTo,"&gt;="&amp;A205)&gt;0,"عطلة","")</f>
        <v/>
      </c>
      <c r="H205" s="106">
        <f>IF(OR(G205="عطلة",AND(WEEKDAY(A205,2)=5,FridaySchool="لا")),0,1)</f>
        <v/>
      </c>
      <c r="I205" s="106">
        <f>'KG1-1'!HV44+'KG1-2'!HV44+'KG1-3'!HV44+'KG1-4'!HV44+'KG1-5'!HV44+'KG1-6'!HV44+'KG1-7'!HV44</f>
        <v/>
      </c>
      <c r="J205" s="106">
        <f>'KG1-1'!HV43+'KG1-2'!HV43+'KG1-3'!HV43+'KG1-4'!HV43+'KG1-5'!HV43+'KG1-6'!HV43+'KG1-7'!HV43</f>
        <v/>
      </c>
      <c r="K205" s="106">
        <f>'KG1-1'!HV40+'KG1-2'!HV40+'KG1-3'!HV40+'KG1-4'!HV40+'KG1-5'!HV40+'KG1-6'!HV40+'KG1-7'!HV40</f>
        <v/>
      </c>
      <c r="L205" s="106">
        <f>'KG1-1'!HV41+'KG1-2'!HV41+'KG1-3'!HV41+'KG1-4'!HV41+'KG1-5'!HV41+'KG1-6'!HV41+'KG1-7'!HV41</f>
        <v/>
      </c>
      <c r="M205" s="106">
        <f>'KG1-1'!HV42+'KG1-2'!HV42+'KG1-3'!HV42+'KG1-4'!HV42+'KG1-5'!HV42+'KG1-6'!HV42+'KG1-7'!HV42</f>
        <v/>
      </c>
      <c r="N205" s="145">
        <f>IF(I205=0,"",(J205+IF(LateAsPresent="نعم",M205,0))/I205)</f>
        <v/>
      </c>
      <c r="O205" s="161">
        <f>IF(I205&gt;0,"نعم","")</f>
        <v/>
      </c>
      <c r="P205" s="159">
        <f>IF(I205&gt;0,COUNTIF($I$5:I205,"&gt;0"),"")</f>
        <v/>
      </c>
    </row>
    <row r="206">
      <c r="A206" s="105" t="n">
        <v>46546</v>
      </c>
      <c r="B206" s="106" t="inlineStr">
        <is>
          <t>الثلاثاء</t>
        </is>
      </c>
      <c r="C206" s="106" t="inlineStr">
        <is>
          <t>يونيو 2027</t>
        </is>
      </c>
      <c r="D206" s="159" t="n">
        <v>202706</v>
      </c>
      <c r="E206" s="159" t="n">
        <v>41</v>
      </c>
      <c r="F206" s="106">
        <f>IFERROR(IF(A206&lt;=INDEX(TermEnd,MATCH(A206,TermStart,1)),INDEX(TermNames,MATCH(A206,TermStart,1)),"إجازة"),"")</f>
        <v/>
      </c>
      <c r="G206" s="160">
        <f>IF(COUNTIFS(HolFrom,"&lt;="&amp;A206,HolTo,"&gt;="&amp;A206)&gt;0,"عطلة","")</f>
        <v/>
      </c>
      <c r="H206" s="106">
        <f>IF(OR(G206="عطلة",AND(WEEKDAY(A206,2)=5,FridaySchool="لا")),0,1)</f>
        <v/>
      </c>
      <c r="I206" s="106">
        <f>'KG1-1'!HW44+'KG1-2'!HW44+'KG1-3'!HW44+'KG1-4'!HW44+'KG1-5'!HW44+'KG1-6'!HW44+'KG1-7'!HW44</f>
        <v/>
      </c>
      <c r="J206" s="106">
        <f>'KG1-1'!HW43+'KG1-2'!HW43+'KG1-3'!HW43+'KG1-4'!HW43+'KG1-5'!HW43+'KG1-6'!HW43+'KG1-7'!HW43</f>
        <v/>
      </c>
      <c r="K206" s="106">
        <f>'KG1-1'!HW40+'KG1-2'!HW40+'KG1-3'!HW40+'KG1-4'!HW40+'KG1-5'!HW40+'KG1-6'!HW40+'KG1-7'!HW40</f>
        <v/>
      </c>
      <c r="L206" s="106">
        <f>'KG1-1'!HW41+'KG1-2'!HW41+'KG1-3'!HW41+'KG1-4'!HW41+'KG1-5'!HW41+'KG1-6'!HW41+'KG1-7'!HW41</f>
        <v/>
      </c>
      <c r="M206" s="106">
        <f>'KG1-1'!HW42+'KG1-2'!HW42+'KG1-3'!HW42+'KG1-4'!HW42+'KG1-5'!HW42+'KG1-6'!HW42+'KG1-7'!HW42</f>
        <v/>
      </c>
      <c r="N206" s="145">
        <f>IF(I206=0,"",(J206+IF(LateAsPresent="نعم",M206,0))/I206)</f>
        <v/>
      </c>
      <c r="O206" s="161">
        <f>IF(I206&gt;0,"نعم","")</f>
        <v/>
      </c>
      <c r="P206" s="159">
        <f>IF(I206&gt;0,COUNTIF($I$5:I206,"&gt;0"),"")</f>
        <v/>
      </c>
    </row>
    <row r="207">
      <c r="A207" s="105" t="n">
        <v>46547</v>
      </c>
      <c r="B207" s="106" t="inlineStr">
        <is>
          <t>الأربعاء</t>
        </is>
      </c>
      <c r="C207" s="106" t="inlineStr">
        <is>
          <t>يونيو 2027</t>
        </is>
      </c>
      <c r="D207" s="159" t="n">
        <v>202706</v>
      </c>
      <c r="E207" s="159" t="n">
        <v>41</v>
      </c>
      <c r="F207" s="106">
        <f>IFERROR(IF(A207&lt;=INDEX(TermEnd,MATCH(A207,TermStart,1)),INDEX(TermNames,MATCH(A207,TermStart,1)),"إجازة"),"")</f>
        <v/>
      </c>
      <c r="G207" s="160">
        <f>IF(COUNTIFS(HolFrom,"&lt;="&amp;A207,HolTo,"&gt;="&amp;A207)&gt;0,"عطلة","")</f>
        <v/>
      </c>
      <c r="H207" s="106">
        <f>IF(OR(G207="عطلة",AND(WEEKDAY(A207,2)=5,FridaySchool="لا")),0,1)</f>
        <v/>
      </c>
      <c r="I207" s="106">
        <f>'KG1-1'!HX44+'KG1-2'!HX44+'KG1-3'!HX44+'KG1-4'!HX44+'KG1-5'!HX44+'KG1-6'!HX44+'KG1-7'!HX44</f>
        <v/>
      </c>
      <c r="J207" s="106">
        <f>'KG1-1'!HX43+'KG1-2'!HX43+'KG1-3'!HX43+'KG1-4'!HX43+'KG1-5'!HX43+'KG1-6'!HX43+'KG1-7'!HX43</f>
        <v/>
      </c>
      <c r="K207" s="106">
        <f>'KG1-1'!HX40+'KG1-2'!HX40+'KG1-3'!HX40+'KG1-4'!HX40+'KG1-5'!HX40+'KG1-6'!HX40+'KG1-7'!HX40</f>
        <v/>
      </c>
      <c r="L207" s="106">
        <f>'KG1-1'!HX41+'KG1-2'!HX41+'KG1-3'!HX41+'KG1-4'!HX41+'KG1-5'!HX41+'KG1-6'!HX41+'KG1-7'!HX41</f>
        <v/>
      </c>
      <c r="M207" s="106">
        <f>'KG1-1'!HX42+'KG1-2'!HX42+'KG1-3'!HX42+'KG1-4'!HX42+'KG1-5'!HX42+'KG1-6'!HX42+'KG1-7'!HX42</f>
        <v/>
      </c>
      <c r="N207" s="145">
        <f>IF(I207=0,"",(J207+IF(LateAsPresent="نعم",M207,0))/I207)</f>
        <v/>
      </c>
      <c r="O207" s="161">
        <f>IF(I207&gt;0,"نعم","")</f>
        <v/>
      </c>
      <c r="P207" s="159">
        <f>IF(I207&gt;0,COUNTIF($I$5:I207,"&gt;0"),"")</f>
        <v/>
      </c>
    </row>
    <row r="208">
      <c r="A208" s="105" t="n">
        <v>46548</v>
      </c>
      <c r="B208" s="106" t="inlineStr">
        <is>
          <t>الخميس</t>
        </is>
      </c>
      <c r="C208" s="106" t="inlineStr">
        <is>
          <t>يونيو 2027</t>
        </is>
      </c>
      <c r="D208" s="159" t="n">
        <v>202706</v>
      </c>
      <c r="E208" s="159" t="n">
        <v>41</v>
      </c>
      <c r="F208" s="106">
        <f>IFERROR(IF(A208&lt;=INDEX(TermEnd,MATCH(A208,TermStart,1)),INDEX(TermNames,MATCH(A208,TermStart,1)),"إجازة"),"")</f>
        <v/>
      </c>
      <c r="G208" s="160">
        <f>IF(COUNTIFS(HolFrom,"&lt;="&amp;A208,HolTo,"&gt;="&amp;A208)&gt;0,"عطلة","")</f>
        <v/>
      </c>
      <c r="H208" s="106">
        <f>IF(OR(G208="عطلة",AND(WEEKDAY(A208,2)=5,FridaySchool="لا")),0,1)</f>
        <v/>
      </c>
      <c r="I208" s="106">
        <f>'KG1-1'!HY44+'KG1-2'!HY44+'KG1-3'!HY44+'KG1-4'!HY44+'KG1-5'!HY44+'KG1-6'!HY44+'KG1-7'!HY44</f>
        <v/>
      </c>
      <c r="J208" s="106">
        <f>'KG1-1'!HY43+'KG1-2'!HY43+'KG1-3'!HY43+'KG1-4'!HY43+'KG1-5'!HY43+'KG1-6'!HY43+'KG1-7'!HY43</f>
        <v/>
      </c>
      <c r="K208" s="106">
        <f>'KG1-1'!HY40+'KG1-2'!HY40+'KG1-3'!HY40+'KG1-4'!HY40+'KG1-5'!HY40+'KG1-6'!HY40+'KG1-7'!HY40</f>
        <v/>
      </c>
      <c r="L208" s="106">
        <f>'KG1-1'!HY41+'KG1-2'!HY41+'KG1-3'!HY41+'KG1-4'!HY41+'KG1-5'!HY41+'KG1-6'!HY41+'KG1-7'!HY41</f>
        <v/>
      </c>
      <c r="M208" s="106">
        <f>'KG1-1'!HY42+'KG1-2'!HY42+'KG1-3'!HY42+'KG1-4'!HY42+'KG1-5'!HY42+'KG1-6'!HY42+'KG1-7'!HY42</f>
        <v/>
      </c>
      <c r="N208" s="145">
        <f>IF(I208=0,"",(J208+IF(LateAsPresent="نعم",M208,0))/I208)</f>
        <v/>
      </c>
      <c r="O208" s="161">
        <f>IF(I208&gt;0,"نعم","")</f>
        <v/>
      </c>
      <c r="P208" s="159">
        <f>IF(I208&gt;0,COUNTIF($I$5:I208,"&gt;0"),"")</f>
        <v/>
      </c>
    </row>
    <row r="209">
      <c r="A209" s="105" t="n">
        <v>46549</v>
      </c>
      <c r="B209" s="106" t="inlineStr">
        <is>
          <t>الجمعة</t>
        </is>
      </c>
      <c r="C209" s="106" t="inlineStr">
        <is>
          <t>يونيو 2027</t>
        </is>
      </c>
      <c r="D209" s="159" t="n">
        <v>202706</v>
      </c>
      <c r="E209" s="159" t="n">
        <v>41</v>
      </c>
      <c r="F209" s="106">
        <f>IFERROR(IF(A209&lt;=INDEX(TermEnd,MATCH(A209,TermStart,1)),INDEX(TermNames,MATCH(A209,TermStart,1)),"إجازة"),"")</f>
        <v/>
      </c>
      <c r="G209" s="160">
        <f>IF(COUNTIFS(HolFrom,"&lt;="&amp;A209,HolTo,"&gt;="&amp;A209)&gt;0,"عطلة","")</f>
        <v/>
      </c>
      <c r="H209" s="106">
        <f>IF(OR(G209="عطلة",AND(WEEKDAY(A209,2)=5,FridaySchool="لا")),0,1)</f>
        <v/>
      </c>
      <c r="I209" s="106">
        <f>'KG1-1'!HZ44+'KG1-2'!HZ44+'KG1-3'!HZ44+'KG1-4'!HZ44+'KG1-5'!HZ44+'KG1-6'!HZ44+'KG1-7'!HZ44</f>
        <v/>
      </c>
      <c r="J209" s="106">
        <f>'KG1-1'!HZ43+'KG1-2'!HZ43+'KG1-3'!HZ43+'KG1-4'!HZ43+'KG1-5'!HZ43+'KG1-6'!HZ43+'KG1-7'!HZ43</f>
        <v/>
      </c>
      <c r="K209" s="106">
        <f>'KG1-1'!HZ40+'KG1-2'!HZ40+'KG1-3'!HZ40+'KG1-4'!HZ40+'KG1-5'!HZ40+'KG1-6'!HZ40+'KG1-7'!HZ40</f>
        <v/>
      </c>
      <c r="L209" s="106">
        <f>'KG1-1'!HZ41+'KG1-2'!HZ41+'KG1-3'!HZ41+'KG1-4'!HZ41+'KG1-5'!HZ41+'KG1-6'!HZ41+'KG1-7'!HZ41</f>
        <v/>
      </c>
      <c r="M209" s="106">
        <f>'KG1-1'!HZ42+'KG1-2'!HZ42+'KG1-3'!HZ42+'KG1-4'!HZ42+'KG1-5'!HZ42+'KG1-6'!HZ42+'KG1-7'!HZ42</f>
        <v/>
      </c>
      <c r="N209" s="145">
        <f>IF(I209=0,"",(J209+IF(LateAsPresent="نعم",M209,0))/I209)</f>
        <v/>
      </c>
      <c r="O209" s="161">
        <f>IF(I209&gt;0,"نعم","")</f>
        <v/>
      </c>
      <c r="P209" s="159">
        <f>IF(I209&gt;0,COUNTIF($I$5:I209,"&gt;0"),"")</f>
        <v/>
      </c>
    </row>
    <row r="210">
      <c r="A210" s="105" t="n">
        <v>46552</v>
      </c>
      <c r="B210" s="106" t="inlineStr">
        <is>
          <t>الاثنين</t>
        </is>
      </c>
      <c r="C210" s="106" t="inlineStr">
        <is>
          <t>يونيو 2027</t>
        </is>
      </c>
      <c r="D210" s="159" t="n">
        <v>202706</v>
      </c>
      <c r="E210" s="159" t="n">
        <v>42</v>
      </c>
      <c r="F210" s="106">
        <f>IFERROR(IF(A210&lt;=INDEX(TermEnd,MATCH(A210,TermStart,1)),INDEX(TermNames,MATCH(A210,TermStart,1)),"إجازة"),"")</f>
        <v/>
      </c>
      <c r="G210" s="160">
        <f>IF(COUNTIFS(HolFrom,"&lt;="&amp;A210,HolTo,"&gt;="&amp;A210)&gt;0,"عطلة","")</f>
        <v/>
      </c>
      <c r="H210" s="106">
        <f>IF(OR(G210="عطلة",AND(WEEKDAY(A210,2)=5,FridaySchool="لا")),0,1)</f>
        <v/>
      </c>
      <c r="I210" s="106">
        <f>'KG1-1'!IA44+'KG1-2'!IA44+'KG1-3'!IA44+'KG1-4'!IA44+'KG1-5'!IA44+'KG1-6'!IA44+'KG1-7'!IA44</f>
        <v/>
      </c>
      <c r="J210" s="106">
        <f>'KG1-1'!IA43+'KG1-2'!IA43+'KG1-3'!IA43+'KG1-4'!IA43+'KG1-5'!IA43+'KG1-6'!IA43+'KG1-7'!IA43</f>
        <v/>
      </c>
      <c r="K210" s="106">
        <f>'KG1-1'!IA40+'KG1-2'!IA40+'KG1-3'!IA40+'KG1-4'!IA40+'KG1-5'!IA40+'KG1-6'!IA40+'KG1-7'!IA40</f>
        <v/>
      </c>
      <c r="L210" s="106">
        <f>'KG1-1'!IA41+'KG1-2'!IA41+'KG1-3'!IA41+'KG1-4'!IA41+'KG1-5'!IA41+'KG1-6'!IA41+'KG1-7'!IA41</f>
        <v/>
      </c>
      <c r="M210" s="106">
        <f>'KG1-1'!IA42+'KG1-2'!IA42+'KG1-3'!IA42+'KG1-4'!IA42+'KG1-5'!IA42+'KG1-6'!IA42+'KG1-7'!IA42</f>
        <v/>
      </c>
      <c r="N210" s="145">
        <f>IF(I210=0,"",(J210+IF(LateAsPresent="نعم",M210,0))/I210)</f>
        <v/>
      </c>
      <c r="O210" s="161">
        <f>IF(I210&gt;0,"نعم","")</f>
        <v/>
      </c>
      <c r="P210" s="159">
        <f>IF(I210&gt;0,COUNTIF($I$5:I210,"&gt;0"),"")</f>
        <v/>
      </c>
    </row>
    <row r="211">
      <c r="A211" s="105" t="n">
        <v>46553</v>
      </c>
      <c r="B211" s="106" t="inlineStr">
        <is>
          <t>الثلاثاء</t>
        </is>
      </c>
      <c r="C211" s="106" t="inlineStr">
        <is>
          <t>يونيو 2027</t>
        </is>
      </c>
      <c r="D211" s="159" t="n">
        <v>202706</v>
      </c>
      <c r="E211" s="159" t="n">
        <v>42</v>
      </c>
      <c r="F211" s="106">
        <f>IFERROR(IF(A211&lt;=INDEX(TermEnd,MATCH(A211,TermStart,1)),INDEX(TermNames,MATCH(A211,TermStart,1)),"إجازة"),"")</f>
        <v/>
      </c>
      <c r="G211" s="160">
        <f>IF(COUNTIFS(HolFrom,"&lt;="&amp;A211,HolTo,"&gt;="&amp;A211)&gt;0,"عطلة","")</f>
        <v/>
      </c>
      <c r="H211" s="106">
        <f>IF(OR(G211="عطلة",AND(WEEKDAY(A211,2)=5,FridaySchool="لا")),0,1)</f>
        <v/>
      </c>
      <c r="I211" s="106">
        <f>'KG1-1'!IB44+'KG1-2'!IB44+'KG1-3'!IB44+'KG1-4'!IB44+'KG1-5'!IB44+'KG1-6'!IB44+'KG1-7'!IB44</f>
        <v/>
      </c>
      <c r="J211" s="106">
        <f>'KG1-1'!IB43+'KG1-2'!IB43+'KG1-3'!IB43+'KG1-4'!IB43+'KG1-5'!IB43+'KG1-6'!IB43+'KG1-7'!IB43</f>
        <v/>
      </c>
      <c r="K211" s="106">
        <f>'KG1-1'!IB40+'KG1-2'!IB40+'KG1-3'!IB40+'KG1-4'!IB40+'KG1-5'!IB40+'KG1-6'!IB40+'KG1-7'!IB40</f>
        <v/>
      </c>
      <c r="L211" s="106">
        <f>'KG1-1'!IB41+'KG1-2'!IB41+'KG1-3'!IB41+'KG1-4'!IB41+'KG1-5'!IB41+'KG1-6'!IB41+'KG1-7'!IB41</f>
        <v/>
      </c>
      <c r="M211" s="106">
        <f>'KG1-1'!IB42+'KG1-2'!IB42+'KG1-3'!IB42+'KG1-4'!IB42+'KG1-5'!IB42+'KG1-6'!IB42+'KG1-7'!IB42</f>
        <v/>
      </c>
      <c r="N211" s="145">
        <f>IF(I211=0,"",(J211+IF(LateAsPresent="نعم",M211,0))/I211)</f>
        <v/>
      </c>
      <c r="O211" s="161">
        <f>IF(I211&gt;0,"نعم","")</f>
        <v/>
      </c>
      <c r="P211" s="159">
        <f>IF(I211&gt;0,COUNTIF($I$5:I211,"&gt;0"),"")</f>
        <v/>
      </c>
    </row>
    <row r="212">
      <c r="A212" s="105" t="n">
        <v>46554</v>
      </c>
      <c r="B212" s="106" t="inlineStr">
        <is>
          <t>الأربعاء</t>
        </is>
      </c>
      <c r="C212" s="106" t="inlineStr">
        <is>
          <t>يونيو 2027</t>
        </is>
      </c>
      <c r="D212" s="159" t="n">
        <v>202706</v>
      </c>
      <c r="E212" s="159" t="n">
        <v>42</v>
      </c>
      <c r="F212" s="106">
        <f>IFERROR(IF(A212&lt;=INDEX(TermEnd,MATCH(A212,TermStart,1)),INDEX(TermNames,MATCH(A212,TermStart,1)),"إجازة"),"")</f>
        <v/>
      </c>
      <c r="G212" s="160">
        <f>IF(COUNTIFS(HolFrom,"&lt;="&amp;A212,HolTo,"&gt;="&amp;A212)&gt;0,"عطلة","")</f>
        <v/>
      </c>
      <c r="H212" s="106">
        <f>IF(OR(G212="عطلة",AND(WEEKDAY(A212,2)=5,FridaySchool="لا")),0,1)</f>
        <v/>
      </c>
      <c r="I212" s="106">
        <f>'KG1-1'!IC44+'KG1-2'!IC44+'KG1-3'!IC44+'KG1-4'!IC44+'KG1-5'!IC44+'KG1-6'!IC44+'KG1-7'!IC44</f>
        <v/>
      </c>
      <c r="J212" s="106">
        <f>'KG1-1'!IC43+'KG1-2'!IC43+'KG1-3'!IC43+'KG1-4'!IC43+'KG1-5'!IC43+'KG1-6'!IC43+'KG1-7'!IC43</f>
        <v/>
      </c>
      <c r="K212" s="106">
        <f>'KG1-1'!IC40+'KG1-2'!IC40+'KG1-3'!IC40+'KG1-4'!IC40+'KG1-5'!IC40+'KG1-6'!IC40+'KG1-7'!IC40</f>
        <v/>
      </c>
      <c r="L212" s="106">
        <f>'KG1-1'!IC41+'KG1-2'!IC41+'KG1-3'!IC41+'KG1-4'!IC41+'KG1-5'!IC41+'KG1-6'!IC41+'KG1-7'!IC41</f>
        <v/>
      </c>
      <c r="M212" s="106">
        <f>'KG1-1'!IC42+'KG1-2'!IC42+'KG1-3'!IC42+'KG1-4'!IC42+'KG1-5'!IC42+'KG1-6'!IC42+'KG1-7'!IC42</f>
        <v/>
      </c>
      <c r="N212" s="145">
        <f>IF(I212=0,"",(J212+IF(LateAsPresent="نعم",M212,0))/I212)</f>
        <v/>
      </c>
      <c r="O212" s="161">
        <f>IF(I212&gt;0,"نعم","")</f>
        <v/>
      </c>
      <c r="P212" s="159">
        <f>IF(I212&gt;0,COUNTIF($I$5:I212,"&gt;0"),"")</f>
        <v/>
      </c>
    </row>
    <row r="213">
      <c r="A213" s="105" t="n">
        <v>46555</v>
      </c>
      <c r="B213" s="106" t="inlineStr">
        <is>
          <t>الخميس</t>
        </is>
      </c>
      <c r="C213" s="106" t="inlineStr">
        <is>
          <t>يونيو 2027</t>
        </is>
      </c>
      <c r="D213" s="159" t="n">
        <v>202706</v>
      </c>
      <c r="E213" s="159" t="n">
        <v>42</v>
      </c>
      <c r="F213" s="106">
        <f>IFERROR(IF(A213&lt;=INDEX(TermEnd,MATCH(A213,TermStart,1)),INDEX(TermNames,MATCH(A213,TermStart,1)),"إجازة"),"")</f>
        <v/>
      </c>
      <c r="G213" s="160">
        <f>IF(COUNTIFS(HolFrom,"&lt;="&amp;A213,HolTo,"&gt;="&amp;A213)&gt;0,"عطلة","")</f>
        <v/>
      </c>
      <c r="H213" s="106">
        <f>IF(OR(G213="عطلة",AND(WEEKDAY(A213,2)=5,FridaySchool="لا")),0,1)</f>
        <v/>
      </c>
      <c r="I213" s="106">
        <f>'KG1-1'!ID44+'KG1-2'!ID44+'KG1-3'!ID44+'KG1-4'!ID44+'KG1-5'!ID44+'KG1-6'!ID44+'KG1-7'!ID44</f>
        <v/>
      </c>
      <c r="J213" s="106">
        <f>'KG1-1'!ID43+'KG1-2'!ID43+'KG1-3'!ID43+'KG1-4'!ID43+'KG1-5'!ID43+'KG1-6'!ID43+'KG1-7'!ID43</f>
        <v/>
      </c>
      <c r="K213" s="106">
        <f>'KG1-1'!ID40+'KG1-2'!ID40+'KG1-3'!ID40+'KG1-4'!ID40+'KG1-5'!ID40+'KG1-6'!ID40+'KG1-7'!ID40</f>
        <v/>
      </c>
      <c r="L213" s="106">
        <f>'KG1-1'!ID41+'KG1-2'!ID41+'KG1-3'!ID41+'KG1-4'!ID41+'KG1-5'!ID41+'KG1-6'!ID41+'KG1-7'!ID41</f>
        <v/>
      </c>
      <c r="M213" s="106">
        <f>'KG1-1'!ID42+'KG1-2'!ID42+'KG1-3'!ID42+'KG1-4'!ID42+'KG1-5'!ID42+'KG1-6'!ID42+'KG1-7'!ID42</f>
        <v/>
      </c>
      <c r="N213" s="145">
        <f>IF(I213=0,"",(J213+IF(LateAsPresent="نعم",M213,0))/I213)</f>
        <v/>
      </c>
      <c r="O213" s="161">
        <f>IF(I213&gt;0,"نعم","")</f>
        <v/>
      </c>
      <c r="P213" s="159">
        <f>IF(I213&gt;0,COUNTIF($I$5:I213,"&gt;0"),"")</f>
        <v/>
      </c>
    </row>
    <row r="214">
      <c r="A214" s="105" t="n">
        <v>46556</v>
      </c>
      <c r="B214" s="106" t="inlineStr">
        <is>
          <t>الجمعة</t>
        </is>
      </c>
      <c r="C214" s="106" t="inlineStr">
        <is>
          <t>يونيو 2027</t>
        </is>
      </c>
      <c r="D214" s="159" t="n">
        <v>202706</v>
      </c>
      <c r="E214" s="159" t="n">
        <v>42</v>
      </c>
      <c r="F214" s="106">
        <f>IFERROR(IF(A214&lt;=INDEX(TermEnd,MATCH(A214,TermStart,1)),INDEX(TermNames,MATCH(A214,TermStart,1)),"إجازة"),"")</f>
        <v/>
      </c>
      <c r="G214" s="160">
        <f>IF(COUNTIFS(HolFrom,"&lt;="&amp;A214,HolTo,"&gt;="&amp;A214)&gt;0,"عطلة","")</f>
        <v/>
      </c>
      <c r="H214" s="106">
        <f>IF(OR(G214="عطلة",AND(WEEKDAY(A214,2)=5,FridaySchool="لا")),0,1)</f>
        <v/>
      </c>
      <c r="I214" s="106">
        <f>'KG1-1'!IE44+'KG1-2'!IE44+'KG1-3'!IE44+'KG1-4'!IE44+'KG1-5'!IE44+'KG1-6'!IE44+'KG1-7'!IE44</f>
        <v/>
      </c>
      <c r="J214" s="106">
        <f>'KG1-1'!IE43+'KG1-2'!IE43+'KG1-3'!IE43+'KG1-4'!IE43+'KG1-5'!IE43+'KG1-6'!IE43+'KG1-7'!IE43</f>
        <v/>
      </c>
      <c r="K214" s="106">
        <f>'KG1-1'!IE40+'KG1-2'!IE40+'KG1-3'!IE40+'KG1-4'!IE40+'KG1-5'!IE40+'KG1-6'!IE40+'KG1-7'!IE40</f>
        <v/>
      </c>
      <c r="L214" s="106">
        <f>'KG1-1'!IE41+'KG1-2'!IE41+'KG1-3'!IE41+'KG1-4'!IE41+'KG1-5'!IE41+'KG1-6'!IE41+'KG1-7'!IE41</f>
        <v/>
      </c>
      <c r="M214" s="106">
        <f>'KG1-1'!IE42+'KG1-2'!IE42+'KG1-3'!IE42+'KG1-4'!IE42+'KG1-5'!IE42+'KG1-6'!IE42+'KG1-7'!IE42</f>
        <v/>
      </c>
      <c r="N214" s="145">
        <f>IF(I214=0,"",(J214+IF(LateAsPresent="نعم",M214,0))/I214)</f>
        <v/>
      </c>
      <c r="O214" s="161">
        <f>IF(I214&gt;0,"نعم","")</f>
        <v/>
      </c>
      <c r="P214" s="159">
        <f>IF(I214&gt;0,COUNTIF($I$5:I214,"&gt;0"),"")</f>
        <v/>
      </c>
    </row>
    <row r="215">
      <c r="A215" s="105" t="n">
        <v>46559</v>
      </c>
      <c r="B215" s="106" t="inlineStr">
        <is>
          <t>الاثنين</t>
        </is>
      </c>
      <c r="C215" s="106" t="inlineStr">
        <is>
          <t>يونيو 2027</t>
        </is>
      </c>
      <c r="D215" s="159" t="n">
        <v>202706</v>
      </c>
      <c r="E215" s="159" t="n">
        <v>43</v>
      </c>
      <c r="F215" s="106">
        <f>IFERROR(IF(A215&lt;=INDEX(TermEnd,MATCH(A215,TermStart,1)),INDEX(TermNames,MATCH(A215,TermStart,1)),"إجازة"),"")</f>
        <v/>
      </c>
      <c r="G215" s="160">
        <f>IF(COUNTIFS(HolFrom,"&lt;="&amp;A215,HolTo,"&gt;="&amp;A215)&gt;0,"عطلة","")</f>
        <v/>
      </c>
      <c r="H215" s="106">
        <f>IF(OR(G215="عطلة",AND(WEEKDAY(A215,2)=5,FridaySchool="لا")),0,1)</f>
        <v/>
      </c>
      <c r="I215" s="106">
        <f>'KG1-1'!IF44+'KG1-2'!IF44+'KG1-3'!IF44+'KG1-4'!IF44+'KG1-5'!IF44+'KG1-6'!IF44+'KG1-7'!IF44</f>
        <v/>
      </c>
      <c r="J215" s="106">
        <f>'KG1-1'!IF43+'KG1-2'!IF43+'KG1-3'!IF43+'KG1-4'!IF43+'KG1-5'!IF43+'KG1-6'!IF43+'KG1-7'!IF43</f>
        <v/>
      </c>
      <c r="K215" s="106">
        <f>'KG1-1'!IF40+'KG1-2'!IF40+'KG1-3'!IF40+'KG1-4'!IF40+'KG1-5'!IF40+'KG1-6'!IF40+'KG1-7'!IF40</f>
        <v/>
      </c>
      <c r="L215" s="106">
        <f>'KG1-1'!IF41+'KG1-2'!IF41+'KG1-3'!IF41+'KG1-4'!IF41+'KG1-5'!IF41+'KG1-6'!IF41+'KG1-7'!IF41</f>
        <v/>
      </c>
      <c r="M215" s="106">
        <f>'KG1-1'!IF42+'KG1-2'!IF42+'KG1-3'!IF42+'KG1-4'!IF42+'KG1-5'!IF42+'KG1-6'!IF42+'KG1-7'!IF42</f>
        <v/>
      </c>
      <c r="N215" s="145">
        <f>IF(I215=0,"",(J215+IF(LateAsPresent="نعم",M215,0))/I215)</f>
        <v/>
      </c>
      <c r="O215" s="161">
        <f>IF(I215&gt;0,"نعم","")</f>
        <v/>
      </c>
      <c r="P215" s="159">
        <f>IF(I215&gt;0,COUNTIF($I$5:I215,"&gt;0"),"")</f>
        <v/>
      </c>
    </row>
    <row r="216">
      <c r="A216" s="105" t="n">
        <v>46560</v>
      </c>
      <c r="B216" s="106" t="inlineStr">
        <is>
          <t>الثلاثاء</t>
        </is>
      </c>
      <c r="C216" s="106" t="inlineStr">
        <is>
          <t>يونيو 2027</t>
        </is>
      </c>
      <c r="D216" s="159" t="n">
        <v>202706</v>
      </c>
      <c r="E216" s="159" t="n">
        <v>43</v>
      </c>
      <c r="F216" s="106">
        <f>IFERROR(IF(A216&lt;=INDEX(TermEnd,MATCH(A216,TermStart,1)),INDEX(TermNames,MATCH(A216,TermStart,1)),"إجازة"),"")</f>
        <v/>
      </c>
      <c r="G216" s="160">
        <f>IF(COUNTIFS(HolFrom,"&lt;="&amp;A216,HolTo,"&gt;="&amp;A216)&gt;0,"عطلة","")</f>
        <v/>
      </c>
      <c r="H216" s="106">
        <f>IF(OR(G216="عطلة",AND(WEEKDAY(A216,2)=5,FridaySchool="لا")),0,1)</f>
        <v/>
      </c>
      <c r="I216" s="106">
        <f>'KG1-1'!IG44+'KG1-2'!IG44+'KG1-3'!IG44+'KG1-4'!IG44+'KG1-5'!IG44+'KG1-6'!IG44+'KG1-7'!IG44</f>
        <v/>
      </c>
      <c r="J216" s="106">
        <f>'KG1-1'!IG43+'KG1-2'!IG43+'KG1-3'!IG43+'KG1-4'!IG43+'KG1-5'!IG43+'KG1-6'!IG43+'KG1-7'!IG43</f>
        <v/>
      </c>
      <c r="K216" s="106">
        <f>'KG1-1'!IG40+'KG1-2'!IG40+'KG1-3'!IG40+'KG1-4'!IG40+'KG1-5'!IG40+'KG1-6'!IG40+'KG1-7'!IG40</f>
        <v/>
      </c>
      <c r="L216" s="106">
        <f>'KG1-1'!IG41+'KG1-2'!IG41+'KG1-3'!IG41+'KG1-4'!IG41+'KG1-5'!IG41+'KG1-6'!IG41+'KG1-7'!IG41</f>
        <v/>
      </c>
      <c r="M216" s="106">
        <f>'KG1-1'!IG42+'KG1-2'!IG42+'KG1-3'!IG42+'KG1-4'!IG42+'KG1-5'!IG42+'KG1-6'!IG42+'KG1-7'!IG42</f>
        <v/>
      </c>
      <c r="N216" s="145">
        <f>IF(I216=0,"",(J216+IF(LateAsPresent="نعم",M216,0))/I216)</f>
        <v/>
      </c>
      <c r="O216" s="161">
        <f>IF(I216&gt;0,"نعم","")</f>
        <v/>
      </c>
      <c r="P216" s="159">
        <f>IF(I216&gt;0,COUNTIF($I$5:I216,"&gt;0"),"")</f>
        <v/>
      </c>
    </row>
    <row r="217">
      <c r="A217" s="105" t="n">
        <v>46561</v>
      </c>
      <c r="B217" s="106" t="inlineStr">
        <is>
          <t>الأربعاء</t>
        </is>
      </c>
      <c r="C217" s="106" t="inlineStr">
        <is>
          <t>يونيو 2027</t>
        </is>
      </c>
      <c r="D217" s="159" t="n">
        <v>202706</v>
      </c>
      <c r="E217" s="159" t="n">
        <v>43</v>
      </c>
      <c r="F217" s="106">
        <f>IFERROR(IF(A217&lt;=INDEX(TermEnd,MATCH(A217,TermStart,1)),INDEX(TermNames,MATCH(A217,TermStart,1)),"إجازة"),"")</f>
        <v/>
      </c>
      <c r="G217" s="160">
        <f>IF(COUNTIFS(HolFrom,"&lt;="&amp;A217,HolTo,"&gt;="&amp;A217)&gt;0,"عطلة","")</f>
        <v/>
      </c>
      <c r="H217" s="106">
        <f>IF(OR(G217="عطلة",AND(WEEKDAY(A217,2)=5,FridaySchool="لا")),0,1)</f>
        <v/>
      </c>
      <c r="I217" s="106">
        <f>'KG1-1'!IH44+'KG1-2'!IH44+'KG1-3'!IH44+'KG1-4'!IH44+'KG1-5'!IH44+'KG1-6'!IH44+'KG1-7'!IH44</f>
        <v/>
      </c>
      <c r="J217" s="106">
        <f>'KG1-1'!IH43+'KG1-2'!IH43+'KG1-3'!IH43+'KG1-4'!IH43+'KG1-5'!IH43+'KG1-6'!IH43+'KG1-7'!IH43</f>
        <v/>
      </c>
      <c r="K217" s="106">
        <f>'KG1-1'!IH40+'KG1-2'!IH40+'KG1-3'!IH40+'KG1-4'!IH40+'KG1-5'!IH40+'KG1-6'!IH40+'KG1-7'!IH40</f>
        <v/>
      </c>
      <c r="L217" s="106">
        <f>'KG1-1'!IH41+'KG1-2'!IH41+'KG1-3'!IH41+'KG1-4'!IH41+'KG1-5'!IH41+'KG1-6'!IH41+'KG1-7'!IH41</f>
        <v/>
      </c>
      <c r="M217" s="106">
        <f>'KG1-1'!IH42+'KG1-2'!IH42+'KG1-3'!IH42+'KG1-4'!IH42+'KG1-5'!IH42+'KG1-6'!IH42+'KG1-7'!IH42</f>
        <v/>
      </c>
      <c r="N217" s="145">
        <f>IF(I217=0,"",(J217+IF(LateAsPresent="نعم",M217,0))/I217)</f>
        <v/>
      </c>
      <c r="O217" s="161">
        <f>IF(I217&gt;0,"نعم","")</f>
        <v/>
      </c>
      <c r="P217" s="159">
        <f>IF(I217&gt;0,COUNTIF($I$5:I217,"&gt;0"),"")</f>
        <v/>
      </c>
    </row>
    <row r="218">
      <c r="A218" s="105" t="n">
        <v>46562</v>
      </c>
      <c r="B218" s="106" t="inlineStr">
        <is>
          <t>الخميس</t>
        </is>
      </c>
      <c r="C218" s="106" t="inlineStr">
        <is>
          <t>يونيو 2027</t>
        </is>
      </c>
      <c r="D218" s="159" t="n">
        <v>202706</v>
      </c>
      <c r="E218" s="159" t="n">
        <v>43</v>
      </c>
      <c r="F218" s="106">
        <f>IFERROR(IF(A218&lt;=INDEX(TermEnd,MATCH(A218,TermStart,1)),INDEX(TermNames,MATCH(A218,TermStart,1)),"إجازة"),"")</f>
        <v/>
      </c>
      <c r="G218" s="160">
        <f>IF(COUNTIFS(HolFrom,"&lt;="&amp;A218,HolTo,"&gt;="&amp;A218)&gt;0,"عطلة","")</f>
        <v/>
      </c>
      <c r="H218" s="106">
        <f>IF(OR(G218="عطلة",AND(WEEKDAY(A218,2)=5,FridaySchool="لا")),0,1)</f>
        <v/>
      </c>
      <c r="I218" s="106">
        <f>'KG1-1'!II44+'KG1-2'!II44+'KG1-3'!II44+'KG1-4'!II44+'KG1-5'!II44+'KG1-6'!II44+'KG1-7'!II44</f>
        <v/>
      </c>
      <c r="J218" s="106">
        <f>'KG1-1'!II43+'KG1-2'!II43+'KG1-3'!II43+'KG1-4'!II43+'KG1-5'!II43+'KG1-6'!II43+'KG1-7'!II43</f>
        <v/>
      </c>
      <c r="K218" s="106">
        <f>'KG1-1'!II40+'KG1-2'!II40+'KG1-3'!II40+'KG1-4'!II40+'KG1-5'!II40+'KG1-6'!II40+'KG1-7'!II40</f>
        <v/>
      </c>
      <c r="L218" s="106">
        <f>'KG1-1'!II41+'KG1-2'!II41+'KG1-3'!II41+'KG1-4'!II41+'KG1-5'!II41+'KG1-6'!II41+'KG1-7'!II41</f>
        <v/>
      </c>
      <c r="M218" s="106">
        <f>'KG1-1'!II42+'KG1-2'!II42+'KG1-3'!II42+'KG1-4'!II42+'KG1-5'!II42+'KG1-6'!II42+'KG1-7'!II42</f>
        <v/>
      </c>
      <c r="N218" s="145">
        <f>IF(I218=0,"",(J218+IF(LateAsPresent="نعم",M218,0))/I218)</f>
        <v/>
      </c>
      <c r="O218" s="161">
        <f>IF(I218&gt;0,"نعم","")</f>
        <v/>
      </c>
      <c r="P218" s="159">
        <f>IF(I218&gt;0,COUNTIF($I$5:I218,"&gt;0"),"")</f>
        <v/>
      </c>
    </row>
    <row r="219">
      <c r="A219" s="105" t="n">
        <v>46563</v>
      </c>
      <c r="B219" s="106" t="inlineStr">
        <is>
          <t>الجمعة</t>
        </is>
      </c>
      <c r="C219" s="106" t="inlineStr">
        <is>
          <t>يونيو 2027</t>
        </is>
      </c>
      <c r="D219" s="159" t="n">
        <v>202706</v>
      </c>
      <c r="E219" s="159" t="n">
        <v>43</v>
      </c>
      <c r="F219" s="106">
        <f>IFERROR(IF(A219&lt;=INDEX(TermEnd,MATCH(A219,TermStart,1)),INDEX(TermNames,MATCH(A219,TermStart,1)),"إجازة"),"")</f>
        <v/>
      </c>
      <c r="G219" s="160">
        <f>IF(COUNTIFS(HolFrom,"&lt;="&amp;A219,HolTo,"&gt;="&amp;A219)&gt;0,"عطلة","")</f>
        <v/>
      </c>
      <c r="H219" s="106">
        <f>IF(OR(G219="عطلة",AND(WEEKDAY(A219,2)=5,FridaySchool="لا")),0,1)</f>
        <v/>
      </c>
      <c r="I219" s="106">
        <f>'KG1-1'!IJ44+'KG1-2'!IJ44+'KG1-3'!IJ44+'KG1-4'!IJ44+'KG1-5'!IJ44+'KG1-6'!IJ44+'KG1-7'!IJ44</f>
        <v/>
      </c>
      <c r="J219" s="106">
        <f>'KG1-1'!IJ43+'KG1-2'!IJ43+'KG1-3'!IJ43+'KG1-4'!IJ43+'KG1-5'!IJ43+'KG1-6'!IJ43+'KG1-7'!IJ43</f>
        <v/>
      </c>
      <c r="K219" s="106">
        <f>'KG1-1'!IJ40+'KG1-2'!IJ40+'KG1-3'!IJ40+'KG1-4'!IJ40+'KG1-5'!IJ40+'KG1-6'!IJ40+'KG1-7'!IJ40</f>
        <v/>
      </c>
      <c r="L219" s="106">
        <f>'KG1-1'!IJ41+'KG1-2'!IJ41+'KG1-3'!IJ41+'KG1-4'!IJ41+'KG1-5'!IJ41+'KG1-6'!IJ41+'KG1-7'!IJ41</f>
        <v/>
      </c>
      <c r="M219" s="106">
        <f>'KG1-1'!IJ42+'KG1-2'!IJ42+'KG1-3'!IJ42+'KG1-4'!IJ42+'KG1-5'!IJ42+'KG1-6'!IJ42+'KG1-7'!IJ42</f>
        <v/>
      </c>
      <c r="N219" s="145">
        <f>IF(I219=0,"",(J219+IF(LateAsPresent="نعم",M219,0))/I219)</f>
        <v/>
      </c>
      <c r="O219" s="161">
        <f>IF(I219&gt;0,"نعم","")</f>
        <v/>
      </c>
      <c r="P219" s="159">
        <f>IF(I219&gt;0,COUNTIF($I$5:I219,"&gt;0"),"")</f>
        <v/>
      </c>
    </row>
    <row r="220">
      <c r="A220" s="105" t="n">
        <v>46566</v>
      </c>
      <c r="B220" s="106" t="inlineStr">
        <is>
          <t>الاثنين</t>
        </is>
      </c>
      <c r="C220" s="106" t="inlineStr">
        <is>
          <t>يونيو 2027</t>
        </is>
      </c>
      <c r="D220" s="159" t="n">
        <v>202706</v>
      </c>
      <c r="E220" s="159" t="n">
        <v>44</v>
      </c>
      <c r="F220" s="106">
        <f>IFERROR(IF(A220&lt;=INDEX(TermEnd,MATCH(A220,TermStart,1)),INDEX(TermNames,MATCH(A220,TermStart,1)),"إجازة"),"")</f>
        <v/>
      </c>
      <c r="G220" s="160">
        <f>IF(COUNTIFS(HolFrom,"&lt;="&amp;A220,HolTo,"&gt;="&amp;A220)&gt;0,"عطلة","")</f>
        <v/>
      </c>
      <c r="H220" s="106">
        <f>IF(OR(G220="عطلة",AND(WEEKDAY(A220,2)=5,FridaySchool="لا")),0,1)</f>
        <v/>
      </c>
      <c r="I220" s="106">
        <f>'KG1-1'!IK44+'KG1-2'!IK44+'KG1-3'!IK44+'KG1-4'!IK44+'KG1-5'!IK44+'KG1-6'!IK44+'KG1-7'!IK44</f>
        <v/>
      </c>
      <c r="J220" s="106">
        <f>'KG1-1'!IK43+'KG1-2'!IK43+'KG1-3'!IK43+'KG1-4'!IK43+'KG1-5'!IK43+'KG1-6'!IK43+'KG1-7'!IK43</f>
        <v/>
      </c>
      <c r="K220" s="106">
        <f>'KG1-1'!IK40+'KG1-2'!IK40+'KG1-3'!IK40+'KG1-4'!IK40+'KG1-5'!IK40+'KG1-6'!IK40+'KG1-7'!IK40</f>
        <v/>
      </c>
      <c r="L220" s="106">
        <f>'KG1-1'!IK41+'KG1-2'!IK41+'KG1-3'!IK41+'KG1-4'!IK41+'KG1-5'!IK41+'KG1-6'!IK41+'KG1-7'!IK41</f>
        <v/>
      </c>
      <c r="M220" s="106">
        <f>'KG1-1'!IK42+'KG1-2'!IK42+'KG1-3'!IK42+'KG1-4'!IK42+'KG1-5'!IK42+'KG1-6'!IK42+'KG1-7'!IK42</f>
        <v/>
      </c>
      <c r="N220" s="145">
        <f>IF(I220=0,"",(J220+IF(LateAsPresent="نعم",M220,0))/I220)</f>
        <v/>
      </c>
      <c r="O220" s="161">
        <f>IF(I220&gt;0,"نعم","")</f>
        <v/>
      </c>
      <c r="P220" s="159">
        <f>IF(I220&gt;0,COUNTIF($I$5:I220,"&gt;0"),"")</f>
        <v/>
      </c>
    </row>
    <row r="221">
      <c r="A221" s="105" t="n">
        <v>46567</v>
      </c>
      <c r="B221" s="106" t="inlineStr">
        <is>
          <t>الثلاثاء</t>
        </is>
      </c>
      <c r="C221" s="106" t="inlineStr">
        <is>
          <t>يونيو 2027</t>
        </is>
      </c>
      <c r="D221" s="159" t="n">
        <v>202706</v>
      </c>
      <c r="E221" s="159" t="n">
        <v>44</v>
      </c>
      <c r="F221" s="106">
        <f>IFERROR(IF(A221&lt;=INDEX(TermEnd,MATCH(A221,TermStart,1)),INDEX(TermNames,MATCH(A221,TermStart,1)),"إجازة"),"")</f>
        <v/>
      </c>
      <c r="G221" s="160">
        <f>IF(COUNTIFS(HolFrom,"&lt;="&amp;A221,HolTo,"&gt;="&amp;A221)&gt;0,"عطلة","")</f>
        <v/>
      </c>
      <c r="H221" s="106">
        <f>IF(OR(G221="عطلة",AND(WEEKDAY(A221,2)=5,FridaySchool="لا")),0,1)</f>
        <v/>
      </c>
      <c r="I221" s="106">
        <f>'KG1-1'!IL44+'KG1-2'!IL44+'KG1-3'!IL44+'KG1-4'!IL44+'KG1-5'!IL44+'KG1-6'!IL44+'KG1-7'!IL44</f>
        <v/>
      </c>
      <c r="J221" s="106">
        <f>'KG1-1'!IL43+'KG1-2'!IL43+'KG1-3'!IL43+'KG1-4'!IL43+'KG1-5'!IL43+'KG1-6'!IL43+'KG1-7'!IL43</f>
        <v/>
      </c>
      <c r="K221" s="106">
        <f>'KG1-1'!IL40+'KG1-2'!IL40+'KG1-3'!IL40+'KG1-4'!IL40+'KG1-5'!IL40+'KG1-6'!IL40+'KG1-7'!IL40</f>
        <v/>
      </c>
      <c r="L221" s="106">
        <f>'KG1-1'!IL41+'KG1-2'!IL41+'KG1-3'!IL41+'KG1-4'!IL41+'KG1-5'!IL41+'KG1-6'!IL41+'KG1-7'!IL41</f>
        <v/>
      </c>
      <c r="M221" s="106">
        <f>'KG1-1'!IL42+'KG1-2'!IL42+'KG1-3'!IL42+'KG1-4'!IL42+'KG1-5'!IL42+'KG1-6'!IL42+'KG1-7'!IL42</f>
        <v/>
      </c>
      <c r="N221" s="145">
        <f>IF(I221=0,"",(J221+IF(LateAsPresent="نعم",M221,0))/I221)</f>
        <v/>
      </c>
      <c r="O221" s="161">
        <f>IF(I221&gt;0,"نعم","")</f>
        <v/>
      </c>
      <c r="P221" s="159">
        <f>IF(I221&gt;0,COUNTIF($I$5:I221,"&gt;0"),"")</f>
        <v/>
      </c>
    </row>
    <row r="222">
      <c r="A222" s="105" t="n">
        <v>46568</v>
      </c>
      <c r="B222" s="106" t="inlineStr">
        <is>
          <t>الأربعاء</t>
        </is>
      </c>
      <c r="C222" s="106" t="inlineStr">
        <is>
          <t>يونيو 2027</t>
        </is>
      </c>
      <c r="D222" s="159" t="n">
        <v>202706</v>
      </c>
      <c r="E222" s="159" t="n">
        <v>44</v>
      </c>
      <c r="F222" s="106">
        <f>IFERROR(IF(A222&lt;=INDEX(TermEnd,MATCH(A222,TermStart,1)),INDEX(TermNames,MATCH(A222,TermStart,1)),"إجازة"),"")</f>
        <v/>
      </c>
      <c r="G222" s="160">
        <f>IF(COUNTIFS(HolFrom,"&lt;="&amp;A222,HolTo,"&gt;="&amp;A222)&gt;0,"عطلة","")</f>
        <v/>
      </c>
      <c r="H222" s="106">
        <f>IF(OR(G222="عطلة",AND(WEEKDAY(A222,2)=5,FridaySchool="لا")),0,1)</f>
        <v/>
      </c>
      <c r="I222" s="106">
        <f>'KG1-1'!IM44+'KG1-2'!IM44+'KG1-3'!IM44+'KG1-4'!IM44+'KG1-5'!IM44+'KG1-6'!IM44+'KG1-7'!IM44</f>
        <v/>
      </c>
      <c r="J222" s="106">
        <f>'KG1-1'!IM43+'KG1-2'!IM43+'KG1-3'!IM43+'KG1-4'!IM43+'KG1-5'!IM43+'KG1-6'!IM43+'KG1-7'!IM43</f>
        <v/>
      </c>
      <c r="K222" s="106">
        <f>'KG1-1'!IM40+'KG1-2'!IM40+'KG1-3'!IM40+'KG1-4'!IM40+'KG1-5'!IM40+'KG1-6'!IM40+'KG1-7'!IM40</f>
        <v/>
      </c>
      <c r="L222" s="106">
        <f>'KG1-1'!IM41+'KG1-2'!IM41+'KG1-3'!IM41+'KG1-4'!IM41+'KG1-5'!IM41+'KG1-6'!IM41+'KG1-7'!IM41</f>
        <v/>
      </c>
      <c r="M222" s="106">
        <f>'KG1-1'!IM42+'KG1-2'!IM42+'KG1-3'!IM42+'KG1-4'!IM42+'KG1-5'!IM42+'KG1-6'!IM42+'KG1-7'!IM42</f>
        <v/>
      </c>
      <c r="N222" s="145">
        <f>IF(I222=0,"",(J222+IF(LateAsPresent="نعم",M222,0))/I222)</f>
        <v/>
      </c>
      <c r="O222" s="161">
        <f>IF(I222&gt;0,"نعم","")</f>
        <v/>
      </c>
      <c r="P222" s="159">
        <f>IF(I222&gt;0,COUNTIF($I$5:I222,"&gt;0"),"")</f>
        <v/>
      </c>
    </row>
  </sheetData>
  <sheetProtection selectLockedCells="0" selectUnlockedCells="0" sheet="1" objects="0" insertRows="1" insertHyperlinks="1" autoFilter="0" scenarios="0" formatColumns="0" deleteColumns="1" insertColumns="1" pivotTables="1" deleteRows="1" formatCells="1" formatRows="0" sort="0"/>
  <conditionalFormatting sqref="R5:V48">
    <cfRule type="expression" priority="1" dxfId="21">
      <formula>$U5=0</formula>
    </cfRule>
  </conditionalFormatting>
  <conditionalFormatting sqref="A5:P222">
    <cfRule type="expression" priority="2" dxfId="21">
      <formula>$H5=0</formula>
    </cfRule>
  </conditionalFormatting>
  <conditionalFormatting sqref="A5:A222">
    <cfRule type="expression" priority="3" dxfId="30">
      <formula>$A5=TODAY()</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9CA3AF"/>
    <outlinePr summaryBelow="1" summaryRight="1"/>
    <pageSetUpPr/>
  </sheetPr>
  <dimension ref="A1:G110"/>
  <sheetViews>
    <sheetView showGridLines="0" rightToLeft="1" zoomScale="100" workbookViewId="0">
      <pane ySplit="4" topLeftCell="A5" activePane="bottomLeft" state="frozen"/>
      <selection pane="bottomLeft" activeCell="A1" sqref="A1"/>
    </sheetView>
  </sheetViews>
  <sheetFormatPr baseColWidth="8" defaultRowHeight="15"/>
  <cols>
    <col width="30" customWidth="1" min="1" max="1"/>
    <col width="18" customWidth="1" min="2" max="2"/>
    <col width="30" customWidth="1" min="3" max="3"/>
    <col width="44" customWidth="1" min="4" max="4"/>
    <col width="14" customWidth="1" min="5" max="5"/>
    <col width="3" customWidth="1" min="6" max="6"/>
    <col width="18" customWidth="1" min="7" max="7"/>
  </cols>
  <sheetData>
    <row r="1" ht="30" customHeight="1">
      <c r="A1" s="68" t="inlineStr">
        <is>
          <t>الإعدادات</t>
        </is>
      </c>
    </row>
    <row r="2">
      <c r="A2" s="69" t="inlineStr">
        <is>
          <t>القيم في الخلايا الصفراء قابلة للتعديل — تعتمد عليها جميع المعادلات والتنبيهات في الملف</t>
        </is>
      </c>
    </row>
    <row r="3">
      <c r="A3" s="32" t="inlineStr">
        <is>
          <t>Settings</t>
        </is>
      </c>
    </row>
    <row r="4">
      <c r="G4" s="162" t="inlineStr">
        <is>
          <t>قوائم مساعدة</t>
        </is>
      </c>
    </row>
    <row r="5">
      <c r="A5" s="21" t="inlineStr">
        <is>
          <t>بيانات عامة   |   General</t>
        </is>
      </c>
      <c r="B5" s="22" t="n"/>
      <c r="C5" s="22" t="n"/>
      <c r="D5" s="22" t="n"/>
      <c r="G5" s="106" t="inlineStr">
        <is>
          <t>اليوم</t>
        </is>
      </c>
    </row>
    <row r="6">
      <c r="A6" s="107" t="inlineStr">
        <is>
          <t>اسم المدرسة</t>
        </is>
      </c>
      <c r="B6" s="6" t="inlineStr">
        <is>
          <t>روضة الخليف</t>
        </is>
      </c>
      <c r="G6" s="106" t="inlineStr">
        <is>
          <t>الأسبوع</t>
        </is>
      </c>
    </row>
    <row r="7">
      <c r="A7" s="107" t="inlineStr">
        <is>
          <t>النطاق التعليمي</t>
        </is>
      </c>
      <c r="B7" s="6" t="inlineStr">
        <is>
          <t>AD 2.3</t>
        </is>
      </c>
      <c r="G7" s="106" t="inlineStr">
        <is>
          <t>الشهر</t>
        </is>
      </c>
    </row>
    <row r="8">
      <c r="A8" s="107" t="inlineStr">
        <is>
          <t>القسم</t>
        </is>
      </c>
      <c r="B8" s="6" t="inlineStr">
        <is>
          <t>الروضة الأولى KG1</t>
        </is>
      </c>
      <c r="G8" s="106" t="inlineStr">
        <is>
          <t>الفصل الدراسي</t>
        </is>
      </c>
    </row>
    <row r="9">
      <c r="A9" s="107" t="inlineStr">
        <is>
          <t>العام الدراسي</t>
        </is>
      </c>
      <c r="B9" s="6" t="inlineStr">
        <is>
          <t>2026–2027</t>
        </is>
      </c>
      <c r="G9" s="106" t="inlineStr">
        <is>
          <t>العام الدراسي</t>
        </is>
      </c>
    </row>
    <row r="10">
      <c r="A10" s="107" t="inlineStr">
        <is>
          <t>الفصل الدراسي الحالي</t>
        </is>
      </c>
      <c r="B10" s="6" t="inlineStr">
        <is>
          <t>الفصل الأول</t>
        </is>
      </c>
    </row>
    <row r="11">
      <c r="A11" s="107" t="inlineStr">
        <is>
          <t>بداية العام الدراسي (ثابت – أُنشئت أعمدة السجل عليه)</t>
        </is>
      </c>
      <c r="B11" s="163" t="n">
        <v>46265</v>
      </c>
      <c r="G11" s="106" t="inlineStr">
        <is>
          <t>نعم</t>
        </is>
      </c>
    </row>
    <row r="12">
      <c r="A12" s="107" t="inlineStr">
        <is>
          <t>نهاية العام الدراسي (ثابت)</t>
        </is>
      </c>
      <c r="B12" s="163" t="n">
        <v>46568</v>
      </c>
      <c r="G12" s="106" t="inlineStr">
        <is>
          <t>لا</t>
        </is>
      </c>
    </row>
    <row r="13">
      <c r="A13" s="107" t="inlineStr">
        <is>
          <t>هل الجمعة يوم دراسي؟</t>
        </is>
      </c>
      <c r="B13" s="6" t="inlineStr">
        <is>
          <t>نعم</t>
        </is>
      </c>
    </row>
    <row r="14">
      <c r="A14" s="107" t="inlineStr">
        <is>
          <t>احتساب المتأخر ضمن الحضور؟</t>
        </is>
      </c>
      <c r="B14" s="6" t="inlineStr">
        <is>
          <t>نعم</t>
        </is>
      </c>
      <c r="G14" s="106" t="inlineStr">
        <is>
          <t>✓</t>
        </is>
      </c>
    </row>
    <row r="16">
      <c r="A16" s="21" t="inlineStr">
        <is>
          <t>حدود التنبيه (عدد أيام الغياب بدون عذر)   |   Alert thresholds</t>
        </is>
      </c>
      <c r="B16" s="22" t="n"/>
      <c r="C16" s="22" t="n"/>
      <c r="D16" s="22" t="n"/>
      <c r="G16" s="106" t="inlineStr">
        <is>
          <t>يوم</t>
        </is>
      </c>
    </row>
    <row r="17" ht="24" customHeight="1">
      <c r="A17" s="85" t="inlineStr">
        <is>
          <t>المستوى</t>
        </is>
      </c>
      <c r="B17" s="85" t="inlineStr">
        <is>
          <t>الحد (عدد الغيابات)</t>
        </is>
      </c>
      <c r="C17" s="85" t="inlineStr">
        <is>
          <t>حالة المتابعة (تظهر في الملف)</t>
        </is>
      </c>
      <c r="D17" s="85" t="inlineStr">
        <is>
          <t>الإجراء المطلوب</t>
        </is>
      </c>
      <c r="G17" s="106" t="inlineStr">
        <is>
          <t>الأسبوع</t>
        </is>
      </c>
    </row>
    <row r="18">
      <c r="A18" s="164" t="inlineStr">
        <is>
          <t>منتظم</t>
        </is>
      </c>
      <c r="B18" s="165" t="n">
        <v>0</v>
      </c>
      <c r="C18" s="103" t="inlineStr">
        <is>
          <t>منتظم</t>
        </is>
      </c>
      <c r="D18" s="166" t="inlineStr">
        <is>
          <t>—</t>
        </is>
      </c>
      <c r="G18" s="106" t="inlineStr">
        <is>
          <t>الشهر</t>
        </is>
      </c>
    </row>
    <row r="19">
      <c r="A19" s="167" t="inlineStr">
        <is>
          <t>يحتاج متابعة</t>
        </is>
      </c>
      <c r="B19" s="6" t="n">
        <v>3</v>
      </c>
      <c r="C19" s="103" t="inlineStr">
        <is>
          <t>⚠ يحتاج متابعة</t>
        </is>
      </c>
      <c r="D19" s="166" t="inlineStr">
        <is>
          <t>التواصل مع ولي الأمر (تذكير)</t>
        </is>
      </c>
      <c r="G19" s="106" t="inlineStr">
        <is>
          <t>الفصل الدراسي</t>
        </is>
      </c>
    </row>
    <row r="20">
      <c r="A20" s="168" t="inlineStr">
        <is>
          <t>غياب متكرر</t>
        </is>
      </c>
      <c r="B20" s="6" t="n">
        <v>5</v>
      </c>
      <c r="C20" s="103" t="inlineStr">
        <is>
          <t>⚠ غياب متكرر</t>
        </is>
      </c>
      <c r="D20" s="166" t="inlineStr">
        <is>
          <t>ضرورة التواصل مع ولي الأمر</t>
        </is>
      </c>
      <c r="G20" s="106" t="inlineStr">
        <is>
          <t>العام الدراسي</t>
        </is>
      </c>
    </row>
    <row r="21">
      <c r="A21" s="169" t="inlineStr">
        <is>
          <t>غياب مرتفع</t>
        </is>
      </c>
      <c r="B21" s="6" t="n">
        <v>10</v>
      </c>
      <c r="C21" s="103" t="inlineStr">
        <is>
          <t>⚠ غياب مرتفع</t>
        </is>
      </c>
      <c r="D21" s="166" t="inlineStr">
        <is>
          <t>تدخل إداري مطلوب</t>
        </is>
      </c>
    </row>
    <row r="22">
      <c r="A22" s="170" t="inlineStr">
        <is>
          <t>حالة حرجة</t>
        </is>
      </c>
      <c r="B22" s="6" t="n">
        <v>15</v>
      </c>
      <c r="C22" s="103" t="inlineStr">
        <is>
          <t>🔴 حالة حرجة</t>
        </is>
      </c>
      <c r="D22" s="166" t="inlineStr">
        <is>
          <t>حالة حرجة – غياب 15 يومًا أو أكثر – تدخل إداري عاجل</t>
        </is>
      </c>
    </row>
    <row r="23">
      <c r="A23" s="32" t="inlineStr">
        <is>
          <t>ملاحظة: يُحتسب في حدود التنبيه الغياب بدون عذر فقط؛ الغياب بعذر يُعرض في عمود مستقل ويؤثر على نسبة الحضور.</t>
        </is>
      </c>
    </row>
    <row r="25">
      <c r="A25" s="21" t="inlineStr">
        <is>
          <t>فئات نسبة الحضور   |   Attendance categories</t>
        </is>
      </c>
      <c r="B25" s="22" t="n"/>
      <c r="C25" s="22" t="n"/>
      <c r="D25" s="22" t="n"/>
    </row>
    <row r="26" ht="24" customHeight="1">
      <c r="A26" s="85" t="inlineStr">
        <is>
          <t>الفئة</t>
        </is>
      </c>
      <c r="B26" s="85" t="inlineStr">
        <is>
          <t>الحد الأدنى</t>
        </is>
      </c>
      <c r="C26" s="85" t="inlineStr">
        <is>
          <t>اسم الفئة (تلقائي)</t>
        </is>
      </c>
      <c r="D26" s="85" t="inlineStr">
        <is>
          <t>الوصف</t>
        </is>
      </c>
    </row>
    <row r="27">
      <c r="A27" s="103" t="inlineStr">
        <is>
          <t>حضور كامل</t>
        </is>
      </c>
      <c r="B27" s="165" t="inlineStr">
        <is>
          <t>—</t>
        </is>
      </c>
      <c r="C27" s="171" t="inlineStr">
        <is>
          <t>حضور كامل</t>
        </is>
      </c>
      <c r="D27" s="172" t="inlineStr">
        <is>
          <t>بدون أي غياب (بعذر أو بدون عذر)</t>
        </is>
      </c>
    </row>
    <row r="28">
      <c r="A28" s="103" t="inlineStr">
        <is>
          <t>ممتاز</t>
        </is>
      </c>
      <c r="B28" s="173" t="n">
        <v>0.95</v>
      </c>
      <c r="C28" s="171">
        <f>TEXT(B28,"0%")&amp;" فأكثر"</f>
        <v/>
      </c>
      <c r="D28" s="172" t="inlineStr">
        <is>
          <t>نسبة حضور عند الحد أو أعلى</t>
        </is>
      </c>
    </row>
    <row r="29">
      <c r="A29" s="103" t="inlineStr">
        <is>
          <t>جيد</t>
        </is>
      </c>
      <c r="B29" s="173" t="n">
        <v>0.9</v>
      </c>
      <c r="C29" s="174">
        <f>TEXT(B29,"0%")&amp;" – "&amp;TEXT(B28-0.001,"0.0%")</f>
        <v/>
      </c>
      <c r="D29" s="172" t="inlineStr">
        <is>
          <t>بين الحدّين</t>
        </is>
      </c>
    </row>
    <row r="30">
      <c r="A30" s="103" t="inlineStr">
        <is>
          <t>يحتاج دعمًا</t>
        </is>
      </c>
      <c r="B30" s="165" t="inlineStr">
        <is>
          <t>—</t>
        </is>
      </c>
      <c r="C30" s="175">
        <f>"أقل من "&amp;TEXT(B29,"0%")</f>
        <v/>
      </c>
      <c r="D30" s="172" t="inlineStr">
        <is>
          <t>أقل من حد «جيد»</t>
        </is>
      </c>
    </row>
    <row r="32">
      <c r="A32" s="21" t="inlineStr">
        <is>
          <t>حالات الحضور (كما تُكتب في سجل الصف)   |   Attendance statuses</t>
        </is>
      </c>
      <c r="B32" s="22" t="n"/>
      <c r="C32" s="22" t="n"/>
      <c r="D32" s="22" t="n"/>
    </row>
    <row r="33" ht="24" customHeight="1">
      <c r="A33" s="85" t="inlineStr">
        <is>
          <t>الحالة</t>
        </is>
      </c>
      <c r="B33" s="85" t="inlineStr">
        <is>
          <t>الرمز الداخلي</t>
        </is>
      </c>
      <c r="C33" s="85" t="inlineStr">
        <is>
          <t>يُحتسب حضورًا</t>
        </is>
      </c>
      <c r="D33" s="85" t="inlineStr">
        <is>
          <t>الرمز المختصر</t>
        </is>
      </c>
    </row>
    <row r="34">
      <c r="A34" s="102" t="inlineStr">
        <is>
          <t>غياب بعذر</t>
        </is>
      </c>
      <c r="B34" s="88" t="inlineStr">
        <is>
          <t>E</t>
        </is>
      </c>
      <c r="C34" s="88" t="inlineStr">
        <is>
          <t>لا</t>
        </is>
      </c>
      <c r="D34" s="88" t="inlineStr">
        <is>
          <t>○</t>
        </is>
      </c>
    </row>
    <row r="35">
      <c r="A35" s="102" t="inlineStr">
        <is>
          <t>غياب بدون عذر</t>
        </is>
      </c>
      <c r="B35" s="88" t="inlineStr">
        <is>
          <t>A</t>
        </is>
      </c>
      <c r="C35" s="88" t="inlineStr">
        <is>
          <t>لا</t>
        </is>
      </c>
      <c r="D35" s="88" t="inlineStr">
        <is>
          <t>✕</t>
        </is>
      </c>
    </row>
    <row r="36">
      <c r="A36" s="102" t="inlineStr">
        <is>
          <t>حاضر</t>
        </is>
      </c>
      <c r="B36" s="88" t="inlineStr">
        <is>
          <t>P</t>
        </is>
      </c>
      <c r="C36" s="88" t="inlineStr">
        <is>
          <t>نعم</t>
        </is>
      </c>
      <c r="D36" s="88" t="inlineStr">
        <is>
          <t>✓</t>
        </is>
      </c>
    </row>
    <row r="37">
      <c r="A37" s="102" t="inlineStr">
        <is>
          <t>متأخر</t>
        </is>
      </c>
      <c r="B37" s="88" t="inlineStr">
        <is>
          <t>L</t>
        </is>
      </c>
      <c r="C37" s="88" t="inlineStr">
        <is>
          <t>نعم</t>
        </is>
      </c>
      <c r="D37" s="88" t="inlineStr">
        <is>
          <t>م</t>
        </is>
      </c>
    </row>
    <row r="38">
      <c r="A38" s="32" t="inlineStr">
        <is>
          <t>كل خانات الحضور تبدأ بـ «حاضر»؛ تُحتسب فقط الأيام حتى تاريخ «الحصر مكتمل حتى» في ورقة الصف.</t>
        </is>
      </c>
    </row>
    <row r="40">
      <c r="A40" s="21" t="inlineStr">
        <is>
          <t>الصفوف   |   Classes</t>
        </is>
      </c>
      <c r="B40" s="22" t="n"/>
      <c r="C40" s="22" t="n"/>
      <c r="D40" s="22" t="n"/>
    </row>
    <row r="41" ht="24" customHeight="1">
      <c r="A41" s="85" t="inlineStr">
        <is>
          <t>الصف</t>
        </is>
      </c>
      <c r="B41" s="85" t="inlineStr">
        <is>
          <t>مفعّل؟</t>
        </is>
      </c>
      <c r="C41" s="85" t="inlineStr">
        <is>
          <t>اسم الورقة</t>
        </is>
      </c>
      <c r="D41" s="85" t="inlineStr">
        <is>
          <t>ملاحظة</t>
        </is>
      </c>
      <c r="G41" s="162" t="inlineStr">
        <is>
          <t>قائمة فلتر الصفوف</t>
        </is>
      </c>
    </row>
    <row r="42">
      <c r="A42" s="102" t="inlineStr">
        <is>
          <t>KG1-1</t>
        </is>
      </c>
      <c r="B42" s="6" t="inlineStr">
        <is>
          <t>نعم</t>
        </is>
      </c>
      <c r="C42" s="165" t="inlineStr">
        <is>
          <t>KG1-1</t>
        </is>
      </c>
      <c r="D42" s="176" t="inlineStr"/>
      <c r="G42" s="106" t="inlineStr">
        <is>
          <t>الكل</t>
        </is>
      </c>
    </row>
    <row r="43">
      <c r="A43" s="102" t="inlineStr">
        <is>
          <t>KG1-2</t>
        </is>
      </c>
      <c r="B43" s="6" t="inlineStr">
        <is>
          <t>نعم</t>
        </is>
      </c>
      <c r="C43" s="165" t="inlineStr">
        <is>
          <t>KG1-2</t>
        </is>
      </c>
      <c r="D43" s="176" t="inlineStr"/>
      <c r="G43" s="106">
        <f>IF(B42="نعم",A42,"")</f>
        <v/>
      </c>
    </row>
    <row r="44">
      <c r="A44" s="102" t="inlineStr">
        <is>
          <t>KG1-3</t>
        </is>
      </c>
      <c r="B44" s="6" t="inlineStr">
        <is>
          <t>نعم</t>
        </is>
      </c>
      <c r="C44" s="165" t="inlineStr">
        <is>
          <t>KG1-3</t>
        </is>
      </c>
      <c r="D44" s="176" t="inlineStr"/>
      <c r="G44" s="106">
        <f>IF(B43="نعم",A43,"")</f>
        <v/>
      </c>
    </row>
    <row r="45">
      <c r="A45" s="102" t="inlineStr">
        <is>
          <t>KG1-4</t>
        </is>
      </c>
      <c r="B45" s="6" t="inlineStr">
        <is>
          <t>نعم</t>
        </is>
      </c>
      <c r="C45" s="165" t="inlineStr">
        <is>
          <t>KG1-4</t>
        </is>
      </c>
      <c r="D45" s="176" t="inlineStr"/>
      <c r="G45" s="106">
        <f>IF(B44="نعم",A44,"")</f>
        <v/>
      </c>
    </row>
    <row r="46">
      <c r="A46" s="102" t="inlineStr">
        <is>
          <t>KG1-5</t>
        </is>
      </c>
      <c r="B46" s="6" t="inlineStr">
        <is>
          <t>نعم</t>
        </is>
      </c>
      <c r="C46" s="165" t="inlineStr">
        <is>
          <t>KG1-5</t>
        </is>
      </c>
      <c r="D46" s="176" t="inlineStr"/>
      <c r="G46" s="106">
        <f>IF(B45="نعم",A45,"")</f>
        <v/>
      </c>
    </row>
    <row r="47">
      <c r="A47" s="102" t="inlineStr">
        <is>
          <t>KG1-6</t>
        </is>
      </c>
      <c r="B47" s="6" t="inlineStr">
        <is>
          <t>نعم</t>
        </is>
      </c>
      <c r="C47" s="165" t="inlineStr">
        <is>
          <t>KG1-6</t>
        </is>
      </c>
      <c r="D47" s="176" t="inlineStr"/>
      <c r="G47" s="106">
        <f>IF(B46="نعم",A46,"")</f>
        <v/>
      </c>
    </row>
    <row r="48">
      <c r="A48" s="102" t="inlineStr">
        <is>
          <t>KG1-7</t>
        </is>
      </c>
      <c r="B48" s="6" t="inlineStr">
        <is>
          <t>نعم</t>
        </is>
      </c>
      <c r="C48" s="165" t="inlineStr">
        <is>
          <t>KG1-7</t>
        </is>
      </c>
      <c r="D48" s="176" t="inlineStr"/>
      <c r="G48" s="106">
        <f>IF(B47="نعم",A47,"")</f>
        <v/>
      </c>
    </row>
    <row r="49">
      <c r="A49" s="32" t="inlineStr">
        <is>
          <t>اسم الصف يُكتب أيضًا في الخلية الصفراء أعلى ورقة الصف ويجب أن يطابق هذه القائمة.</t>
        </is>
      </c>
      <c r="G49" s="106">
        <f>IF(B48="نعم",A48,"")</f>
        <v/>
      </c>
    </row>
    <row r="51">
      <c r="A51" s="21" t="inlineStr">
        <is>
          <t>طرق التواصل مع ولي الأمر   |   Contact methods</t>
        </is>
      </c>
      <c r="B51" s="22" t="n"/>
      <c r="C51" s="22" t="n"/>
      <c r="D51" s="22" t="n"/>
    </row>
    <row r="52">
      <c r="A52" s="108" t="inlineStr">
        <is>
          <t>اتصال هاتفي</t>
        </is>
      </c>
    </row>
    <row r="53">
      <c r="A53" s="108" t="inlineStr">
        <is>
          <t>رسالة نصية</t>
        </is>
      </c>
    </row>
    <row r="54">
      <c r="A54" s="108" t="inlineStr">
        <is>
          <t>WhatsApp</t>
        </is>
      </c>
    </row>
    <row r="55">
      <c r="A55" s="108" t="inlineStr">
        <is>
          <t>اجتماع ولي أمر</t>
        </is>
      </c>
    </row>
    <row r="56">
      <c r="A56" s="108" t="inlineStr">
        <is>
          <t>أخرى</t>
        </is>
      </c>
    </row>
    <row r="58">
      <c r="A58" s="21" t="inlineStr">
        <is>
          <t>الحالة الدراسية للطفل   |   Student status</t>
        </is>
      </c>
      <c r="B58" s="22" t="n"/>
      <c r="C58" s="22" t="n"/>
      <c r="D58" s="22" t="n"/>
    </row>
    <row r="59">
      <c r="A59" s="102" t="inlineStr">
        <is>
          <t>نشط</t>
        </is>
      </c>
      <c r="B59" s="66" t="inlineStr">
        <is>
          <t>Active – يدخل في جميع الإحصائيات</t>
        </is>
      </c>
    </row>
    <row r="60">
      <c r="A60" s="102" t="inlineStr">
        <is>
          <t>منقول</t>
        </is>
      </c>
      <c r="B60" s="66" t="inlineStr">
        <is>
          <t>Transferred – لا يدخل في الإحصائيات</t>
        </is>
      </c>
    </row>
    <row r="61">
      <c r="A61" s="102" t="inlineStr">
        <is>
          <t>منسحب</t>
        </is>
      </c>
      <c r="B61" s="66" t="inlineStr">
        <is>
          <t>Withdrawn – لا يدخل في الإحصائيات</t>
        </is>
      </c>
    </row>
    <row r="63">
      <c r="A63" s="21" t="inlineStr">
        <is>
          <t>الفصول الدراسية   |   Terms</t>
        </is>
      </c>
      <c r="B63" s="22" t="n"/>
      <c r="C63" s="22" t="n"/>
      <c r="D63" s="22" t="n"/>
    </row>
    <row r="64" ht="24" customHeight="1">
      <c r="A64" s="85" t="inlineStr">
        <is>
          <t>الفصل</t>
        </is>
      </c>
      <c r="B64" s="85" t="inlineStr">
        <is>
          <t>من</t>
        </is>
      </c>
      <c r="C64" s="85" t="inlineStr">
        <is>
          <t>إلى</t>
        </is>
      </c>
    </row>
    <row r="65">
      <c r="A65" s="6" t="inlineStr">
        <is>
          <t>الفصل الأول</t>
        </is>
      </c>
      <c r="B65" s="5" t="n">
        <v>46265</v>
      </c>
      <c r="C65" s="5" t="n">
        <v>46367</v>
      </c>
    </row>
    <row r="66">
      <c r="A66" s="6" t="inlineStr">
        <is>
          <t>الفصل الثاني</t>
        </is>
      </c>
      <c r="B66" s="5" t="n">
        <v>46391</v>
      </c>
      <c r="C66" s="5" t="n">
        <v>46472</v>
      </c>
    </row>
    <row r="67">
      <c r="A67" s="6" t="inlineStr">
        <is>
          <t>الفصل الثالث</t>
        </is>
      </c>
      <c r="B67" s="5" t="n">
        <v>46489</v>
      </c>
      <c r="C67" s="5" t="n">
        <v>46568</v>
      </c>
    </row>
    <row r="69">
      <c r="A69" s="21" t="inlineStr">
        <is>
          <t>العطلات والإجازات الرسمية (لا تُحتسب أيامًا دراسية)   |   Holidays</t>
        </is>
      </c>
      <c r="B69" s="22" t="n"/>
      <c r="C69" s="22" t="n"/>
      <c r="D69" s="22" t="n"/>
    </row>
    <row r="70" ht="24" customHeight="1">
      <c r="A70" s="85" t="inlineStr">
        <is>
          <t>من</t>
        </is>
      </c>
      <c r="B70" s="85" t="inlineStr">
        <is>
          <t>إلى</t>
        </is>
      </c>
      <c r="C70" s="85" t="inlineStr">
        <is>
          <t>الوصف</t>
        </is>
      </c>
    </row>
    <row r="71">
      <c r="A71" s="5" t="n">
        <v>46358</v>
      </c>
      <c r="B71" s="5" t="n">
        <v>46359</v>
      </c>
      <c r="C71" s="108" t="inlineStr">
        <is>
          <t>اليوم الوطني (تقديري – يرجى التحديث)</t>
        </is>
      </c>
    </row>
    <row r="72">
      <c r="A72" s="5" t="n">
        <v>46370</v>
      </c>
      <c r="B72" s="5" t="n">
        <v>46388</v>
      </c>
      <c r="C72" s="108" t="inlineStr">
        <is>
          <t>إجازة الشتاء (تقديري)</t>
        </is>
      </c>
    </row>
    <row r="73">
      <c r="A73" s="5" t="n">
        <v>46455</v>
      </c>
      <c r="B73" s="5" t="n">
        <v>46457</v>
      </c>
      <c r="C73" s="108" t="inlineStr">
        <is>
          <t>عيد الفطر (تقديري)</t>
        </is>
      </c>
    </row>
    <row r="74">
      <c r="A74" s="5" t="n">
        <v>46475</v>
      </c>
      <c r="B74" s="5" t="n">
        <v>46486</v>
      </c>
      <c r="C74" s="108" t="inlineStr">
        <is>
          <t>إجازة الربيع (تقديري)</t>
        </is>
      </c>
    </row>
    <row r="75">
      <c r="A75" s="5" t="n">
        <v>46523</v>
      </c>
      <c r="B75" s="5" t="n">
        <v>46526</v>
      </c>
      <c r="C75" s="108" t="inlineStr">
        <is>
          <t>عيد الأضحى (تقديري)</t>
        </is>
      </c>
    </row>
    <row r="76">
      <c r="A76" s="5" t="n"/>
      <c r="B76" s="5" t="n"/>
      <c r="C76" s="108" t="n"/>
    </row>
    <row r="77">
      <c r="A77" s="5" t="n"/>
      <c r="B77" s="5" t="n"/>
      <c r="C77" s="108" t="n"/>
    </row>
    <row r="78">
      <c r="A78" s="5" t="n"/>
      <c r="B78" s="5" t="n"/>
      <c r="C78" s="108" t="n"/>
    </row>
    <row r="79">
      <c r="A79" s="5" t="n"/>
      <c r="B79" s="5" t="n"/>
      <c r="C79" s="108" t="n"/>
    </row>
    <row r="80">
      <c r="A80" s="5" t="n"/>
      <c r="B80" s="5" t="n"/>
      <c r="C80" s="108" t="n"/>
    </row>
    <row r="81">
      <c r="A81" s="5" t="n"/>
      <c r="B81" s="5" t="n"/>
      <c r="C81" s="108" t="n"/>
    </row>
    <row r="82">
      <c r="A82" s="5" t="n"/>
      <c r="B82" s="5" t="n"/>
      <c r="C82" s="108" t="n"/>
    </row>
    <row r="83">
      <c r="A83" s="5" t="n"/>
      <c r="B83" s="5" t="n"/>
      <c r="C83" s="108" t="n"/>
    </row>
    <row r="84">
      <c r="A84" s="5" t="n"/>
      <c r="B84" s="5" t="n"/>
      <c r="C84" s="108" t="n"/>
    </row>
    <row r="85">
      <c r="A85" s="5" t="n"/>
      <c r="B85" s="5" t="n"/>
      <c r="C85" s="108" t="n"/>
    </row>
    <row r="86">
      <c r="A86" s="5" t="n"/>
      <c r="B86" s="5" t="n"/>
      <c r="C86" s="108" t="n"/>
    </row>
    <row r="87">
      <c r="A87" s="5" t="n"/>
      <c r="B87" s="5" t="n"/>
      <c r="C87" s="108" t="n"/>
    </row>
    <row r="88">
      <c r="A88" s="5" t="n"/>
      <c r="B88" s="5" t="n"/>
      <c r="C88" s="108" t="n"/>
    </row>
    <row r="89">
      <c r="A89" s="5" t="n"/>
      <c r="B89" s="5" t="n"/>
      <c r="C89" s="108" t="n"/>
    </row>
    <row r="90">
      <c r="A90" s="5" t="n"/>
      <c r="B90" s="5" t="n"/>
      <c r="C90" s="108" t="n"/>
    </row>
    <row r="91">
      <c r="A91" s="5" t="n"/>
      <c r="B91" s="5" t="n"/>
      <c r="C91" s="108" t="n"/>
    </row>
    <row r="92">
      <c r="A92" s="5" t="n"/>
      <c r="B92" s="5" t="n"/>
      <c r="C92" s="108" t="n"/>
    </row>
    <row r="93">
      <c r="A93" s="5" t="n"/>
      <c r="B93" s="5" t="n"/>
      <c r="C93" s="108" t="n"/>
    </row>
    <row r="94">
      <c r="A94" s="5" t="n"/>
      <c r="B94" s="5" t="n"/>
      <c r="C94" s="108" t="n"/>
    </row>
    <row r="95">
      <c r="A95" s="5" t="n"/>
      <c r="B95" s="5" t="n"/>
      <c r="C95" s="108" t="n"/>
    </row>
    <row r="96">
      <c r="A96" s="5" t="n"/>
      <c r="B96" s="5" t="n"/>
      <c r="C96" s="108" t="n"/>
    </row>
    <row r="97">
      <c r="A97" s="5" t="n"/>
      <c r="B97" s="5" t="n"/>
      <c r="C97" s="108" t="n"/>
    </row>
    <row r="98">
      <c r="A98" s="5" t="n"/>
      <c r="B98" s="5" t="n"/>
      <c r="C98" s="108" t="n"/>
    </row>
    <row r="99">
      <c r="A99" s="5" t="n"/>
      <c r="B99" s="5" t="n"/>
      <c r="C99" s="108" t="n"/>
    </row>
    <row r="100">
      <c r="A100" s="5" t="n"/>
      <c r="B100" s="5" t="n"/>
      <c r="C100" s="108" t="n"/>
    </row>
    <row r="101">
      <c r="A101" s="5" t="n"/>
      <c r="B101" s="5" t="n"/>
      <c r="C101" s="108" t="n"/>
    </row>
    <row r="102">
      <c r="A102" s="5" t="n"/>
      <c r="B102" s="5" t="n"/>
      <c r="C102" s="108" t="n"/>
    </row>
    <row r="103">
      <c r="A103" s="5" t="n"/>
      <c r="B103" s="5" t="n"/>
      <c r="C103" s="108" t="n"/>
    </row>
    <row r="104">
      <c r="A104" s="5" t="n"/>
      <c r="B104" s="5" t="n"/>
      <c r="C104" s="108" t="n"/>
    </row>
    <row r="105">
      <c r="A105" s="5" t="n"/>
      <c r="B105" s="5" t="n"/>
      <c r="C105" s="108" t="n"/>
    </row>
    <row r="106">
      <c r="A106" s="5" t="n"/>
      <c r="B106" s="5" t="n"/>
      <c r="C106" s="108" t="n"/>
    </row>
    <row r="107">
      <c r="A107" s="5" t="n"/>
      <c r="B107" s="5" t="n"/>
      <c r="C107" s="108" t="n"/>
    </row>
    <row r="108">
      <c r="A108" s="5" t="n"/>
      <c r="B108" s="5" t="n"/>
      <c r="C108" s="108" t="n"/>
    </row>
    <row r="109">
      <c r="A109" s="5" t="n"/>
      <c r="B109" s="5" t="n"/>
      <c r="C109" s="108" t="n"/>
    </row>
    <row r="110">
      <c r="A110" s="5" t="n"/>
      <c r="B110" s="5" t="n"/>
      <c r="C110" s="108" t="n"/>
    </row>
  </sheetData>
  <sheetProtection selectLockedCells="0" selectUnlockedCells="0" sheet="1" objects="0" insertRows="1" insertHyperlinks="1" autoFilter="0" scenarios="0" formatColumns="0" deleteColumns="1" insertColumns="1" pivotTables="1" deleteRows="1" formatCells="1" formatRows="0" sort="0"/>
  <dataValidations count="5">
    <dataValidation sqref="B13 B14" showDropDown="0" showInputMessage="1" showErrorMessage="1" allowBlank="0" type="list">
      <formula1>'الإعدادات'!$G$11:$G$12</formula1>
    </dataValidation>
    <dataValidation sqref="B10" showDropDown="0" showInputMessage="1" showErrorMessage="1" allowBlank="0" type="list">
      <formula1>'الإعدادات'!$A$65:$A$67</formula1>
    </dataValidation>
    <dataValidation sqref="B19 B20 B21 B22" showDropDown="0" showInputMessage="1" showErrorMessage="1" allowBlank="0" errorTitle="قيمة غير صحيحة" error="أدخل عددًا صحيحًا أكبر من صفر" type="whole" operator="greaterThan">
      <formula1>0</formula1>
    </dataValidation>
    <dataValidation sqref="B42 B43 B44 B45 B46 B47 B48" showDropDown="0" showInputMessage="1" showErrorMessage="1" allowBlank="0" type="list">
      <formula1>'الإعدادات'!$G$11:$G$12</formula1>
    </dataValidation>
    <dataValidation sqref="A71:B110 B65:C67" showDropDown="0" showInputMessage="1" showErrorMessage="1" allowBlank="1" errorTitle="تاريخ غير صحيح" error="أدخل تاريخًا صحيحًا" type="date" operator="between">
      <formula1>DATE(2020,1,1)</formula1>
      <formula2>DATE(2040,12,31)</formula2>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A35"/>
  <sheetViews>
    <sheetView showGridLines="0" rightToLeft="1" zoomScale="100" workbookViewId="0">
      <selection activeCell="A1" sqref="A1"/>
    </sheetView>
  </sheetViews>
  <sheetFormatPr baseColWidth="8" defaultRowHeight="15"/>
  <cols>
    <col width="130" customWidth="1" min="1" max="1"/>
  </cols>
  <sheetData>
    <row r="1" ht="30" customHeight="1">
      <c r="A1" s="68" t="inlineStr">
        <is>
          <t>دليل الاستخدام السريع</t>
        </is>
      </c>
    </row>
    <row r="2" ht="34" customHeight="1">
      <c r="A2" s="177" t="inlineStr">
        <is>
          <t>هذا الملف نظام متكامل لمتابعة وتحليل الحضور والغياب لقسم الروضة الأولى KG1. الإدخال اليومي يتم في ورقة كل صف، وكل ما عداه (لوحة المتابعة، القوائم، السجلات، التقارير) يُحدَّث تلقائيًا.</t>
        </is>
      </c>
    </row>
    <row r="4" ht="24" customHeight="1">
      <c r="A4" s="178" t="inlineStr">
        <is>
          <t>الإعداد مرة واحدة في بداية العام</t>
        </is>
      </c>
    </row>
    <row r="5" ht="36" customHeight="1">
      <c r="A5" s="177" t="inlineStr">
        <is>
          <t>1. افتحي ورقة «الإعدادات» وراجعي اسم المدرسة والعام الدراسي وحدود التنبيه (3 / 5 / 10 / 15) والفصول الدراسية والعطلات الرسمية.</t>
        </is>
      </c>
    </row>
    <row r="6" ht="36" customHeight="1">
      <c r="A6" s="177" t="inlineStr">
        <is>
          <t>2. في ورقة كل صف (KG1-1 … KG1-7) الأطفال مُدخلون مرة واحدة: الرقم الطلابي، الاسم، رقم التواصل (قائمة منسدلة بأرقام ولي الأمر) واسم ولي الأمر. لا تكرري الأسماء في أي ورقة أخرى.</t>
        </is>
      </c>
    </row>
    <row r="7" ht="18" customHeight="1">
      <c r="A7" s="177" t="inlineStr">
        <is>
          <t>3. طفل انسحب أو انتقل؟ امسحي رقمه الطلابي واسمه من ورقة الصف فيخرج من كل الإحصائيات. طفل جديد؟ اكتبيه في أول سطر فارغ.</t>
        </is>
      </c>
    </row>
    <row r="8" ht="36" customHeight="1">
      <c r="A8" s="177" t="inlineStr">
        <is>
          <t>4. الصفوف السبعة KG1-1 … KG1-7 جاهزة. لإيقاف صف (دمج أو إغلاق): في «الإعدادات» غيّري «مفعّل» إلى لا وأخفي ورقته؛ يمكن إعادة تفعيله في أي وقت دون فقد البيانات.</t>
        </is>
      </c>
    </row>
    <row r="10" ht="24" customHeight="1">
      <c r="A10" s="178" t="inlineStr">
        <is>
          <t>الاستخدام اليومي (أقل من دقيقة لكل صف)</t>
        </is>
      </c>
    </row>
    <row r="11" ht="36" customHeight="1">
      <c r="A11" s="177" t="inlineStr">
        <is>
          <t>الخطوة 1: افتحي ورقة الصف؛ تُفتح مباشرة على أعمدة الأيام بجانب الأسماء. للانتقال: «عمود اليوم»، أو اختاري التاريخ في «الانتقال إلى تاريخ»، أو اختاري الأسبوع في «الانتقال إلى أسبوع» (أسابيع الإجازة معلَّمة) ثم اضغطي الرابط.</t>
        </is>
      </c>
    </row>
    <row r="12" ht="36" customHeight="1">
      <c r="A12" s="177" t="inlineStr">
        <is>
          <t>الإدخال بأثر رجعي: لكل يوم دراسي عمود جاهز منذ بداية العام، فيمكن تسجيل غياب أي يوم سابق؛ وما دام التاريخ ضمن «الحصر مكتمل حتى» يُعتبر الباقون حاضرين.</t>
        </is>
      </c>
    </row>
    <row r="13" ht="36" customHeight="1">
      <c r="A13" s="177" t="inlineStr">
        <is>
          <t>الخطوة 2: كل خانات الحضور تبدأ بـ «حاضر». في عمود اليوم غيّري حالة من غاب من القائمة المنسدلة إلى «غياب بعذر» أو «غياب بدون عذر» أو «متأخر».</t>
        </is>
      </c>
    </row>
    <row r="14" ht="36" customHeight="1">
      <c r="A14" s="177" t="inlineStr">
        <is>
          <t>الخطوة 3: خانة «الحصر مكتمل حتى» أعلى الورقة: تُحتسب فقط أيام الدوام حتى هذا التاريخ (الأيام بعده لا تدخل في أي إحصائية ولو كانت «حاضر»). اتركيها فارغة ليُحتسب حتى اليوم تلقائيًا، أو ضعي تاريخًا أقدم إذا لم تُكملي حصر الأيام الأخيرة بعد.</t>
        </is>
      </c>
    </row>
    <row r="15" ht="18" customHeight="1">
      <c r="A15" s="177" t="inlineStr">
        <is>
          <t>الخطوة 4: احفظي الملف، ثم افتحي «لوحة المتابعة» لمشاهدة نسب الحضور وتنبيهات اليوم ومن وصل إلى حد التنبيه.</t>
        </is>
      </c>
    </row>
    <row r="16" ht="36" customHeight="1">
      <c r="A16" s="177" t="inlineStr">
        <is>
          <t>الخطوة 5: تواصلي مع أولياء الأمور المطلوبين، وسجّلي كل تواصل في ورقة «سجل التواصل» (التاريخ + الرقم الطلابي + الطريقة + النتيجة). يتحول عمود «تم التواصل؟» إلى نعم تلقائيًا.</t>
        </is>
      </c>
    </row>
    <row r="18" ht="24" customHeight="1">
      <c r="A18" s="178" t="inlineStr">
        <is>
          <t>معنى الألوان ومستويات التنبيه</t>
        </is>
      </c>
    </row>
    <row r="19" ht="54" customHeight="1">
      <c r="A19" s="177" t="inlineStr">
        <is>
          <t>أخضر: منتظم (أقل من 3 غيابات). أصفر: يحتاج متابعة (3+) – ذكّري ولي الأمر. برتقالي: غياب متكرر (5+) – ضرورة التواصل مع ولي الأمر. برتقالي داكن: غياب مرتفع (10+) – تدخل إداري مطلوب. أحمر: حالة حرجة (15+) – يظهر الطفل في قائمة «حالات الغياب الحرجة».</t>
        </is>
      </c>
    </row>
    <row r="20" ht="36" customHeight="1">
      <c r="A20" s="177" t="inlineStr">
        <is>
          <t>تُحتسب في حدود التنبيه أيام الغياب بدون عذر فقط. الغياب بعذر يُعرض في عمود مستقل ويؤثر على نسبة الحضور. المتأخر يُعتبر حاضرًا (يمكن تغيير ذلك في الإعدادات).</t>
        </is>
      </c>
    </row>
    <row r="21" ht="36" customHeight="1">
      <c r="A21" s="177" t="inlineStr">
        <is>
          <t>نسبة الحضور = (أيام الحضور + التأخير) ÷ الأيام المحصورة × 100. لا تُحتسب العطلات (من الإعدادات) ولا الأيام بعد تاريخ «الحصر مكتمل حتى».</t>
        </is>
      </c>
    </row>
    <row r="22" ht="36" customHeight="1">
      <c r="A22" s="177" t="inlineStr">
        <is>
          <t>«تم التواصل؟» = نعم إذا سُجِّل تواصل بتاريخ يساوي أو يلي تاريخ بلوغ الطفل مستواه الحالي؛ فإذا ارتفع مستواه بعد التواصل يعود إلى «لا» ليُطلب تواصل جديد.</t>
        </is>
      </c>
    </row>
    <row r="24" ht="24" customHeight="1">
      <c r="A24" s="178" t="inlineStr">
        <is>
          <t>الأوراق</t>
        </is>
      </c>
    </row>
    <row r="25" ht="36" customHeight="1">
      <c r="A25" s="177" t="inlineStr">
        <is>
          <t>لوحة المتابعة: مؤشرات اليوم، التنبيهات اليومية، نسبة الحضور العامة حسب الفترة (اليوم/الأسبوع/الشهر/الفصل/العام)، مقارنة الصفوف، الأعلى حضورًا، من يحتاج دعمًا، الحالات الحرجة. اختيار صف معين يحدّث كل الأرقام.</t>
        </is>
      </c>
    </row>
    <row r="26" ht="54" customHeight="1">
      <c r="A26" s="177" t="inlineStr">
        <is>
          <t>الحضور اليومي: مراجعة حالة أي يوم لأي صف والانتقال السريع إلى عمود التسجيل. | قائمة المتابعة: كل من بلغ 3 غيابات أو أكثر مرتبين حسب الأولوية. | سجل الغياب: كل حالة غياب في سطر مستقل مع الفلاتر. | ملف الطفل: اختيار اسم لعرض ملفه وتقويم حضوره الشهري.</t>
        </is>
      </c>
    </row>
    <row r="27" ht="54" customHeight="1">
      <c r="A27" s="177" t="inlineStr">
        <is>
          <t>الاتجاهات: التحليل اليومي والأسبوعي والشهري والفصلي. | التقرير: خانة الطباعة – تقرير يومي (مع قائمة غائبي اليوم) أو أسبوعي أو شهري (مع تفصيل الأيام) أو فصلي أو سنوي، لكل الصفوف أو صف محدد، مضبوط على A4 ويُطبع بـ Ctrl+P. | الطلاب + التقويم + قاعدة البيانات: أوراق تلقائية للتحليل، لا تحتاج إلى إدخال.</t>
        </is>
      </c>
    </row>
    <row r="29" ht="24" customHeight="1">
      <c r="A29" s="178" t="inlineStr">
        <is>
          <t>الحماية والأخطاء الشائعة</t>
        </is>
      </c>
    </row>
    <row r="30" ht="36" customHeight="1">
      <c r="A30" s="177" t="inlineStr">
        <is>
          <t>الأوراق محمية بدون كلمة مرور؛ الخلايا الصفراء فقط قابلة للتعديل. لإلغاء الحماية عند الحاجة: مراجعة ← إلغاء حماية الورقة.</t>
        </is>
      </c>
    </row>
    <row r="31" ht="36" customHeight="1">
      <c r="A31" s="177" t="inlineStr">
        <is>
          <t>لا تُدرجي ولا تحذفي صفوفًا أو أعمدة داخل أوراق الصفوف؛ استخدمي الصفوف الثلاثين الجاهزة بالترتيب. الأعمدة المخفية بعد «ملاحظات» حسابات مساعدة وأرقام الهواتف الإضافية.</t>
        </is>
      </c>
    </row>
    <row r="32" ht="18" customHeight="1">
      <c r="A32" s="177" t="inlineStr">
        <is>
          <t>الرقم الطلابي يجب أن يكون فريدًا؛ يرفض الملف الرقم المكرر ويلوّنه بالأحمر. حالة الحضور تُختار من القائمة فقط.</t>
        </is>
      </c>
    </row>
    <row r="33" ht="36" customHeight="1">
      <c r="A33" s="177" t="inlineStr">
        <is>
          <t>عند فتح الملف في Excel قد يظهر «تمكين التحرير» أو «تمكين المحتوى» – اضغطيه ليتم حساب المعادلات. الملف لا يحتوي على وحدات ماكرو.</t>
        </is>
      </c>
    </row>
    <row r="35">
      <c r="A35" s="71">
        <f>HYPERLINK("#'لوحة المتابعة'!A1","⬅ العودة إلى لوحة المتابعة")</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527"/>
  <sheetViews>
    <sheetView showGridLines="1" rightToLeft="1" zoomScale="100" workbookViewId="0">
      <selection activeCell="A1" sqref="A1"/>
    </sheetView>
  </sheetViews>
  <sheetFormatPr baseColWidth="8" defaultRowHeight="15"/>
  <cols>
    <col width="10" customWidth="1" min="1" max="1"/>
    <col width="12" customWidth="1" min="2" max="2"/>
    <col width="10" customWidth="1" min="3" max="3"/>
    <col width="8" customWidth="1" min="4" max="4"/>
    <col width="10" customWidth="1" min="5" max="5"/>
    <col width="10" customWidth="1" min="6" max="6"/>
    <col width="8" customWidth="1" min="7" max="7"/>
  </cols>
  <sheetData>
    <row r="1" ht="24" customHeight="1">
      <c r="A1" s="85" t="inlineStr">
        <is>
          <t>الصف</t>
        </is>
      </c>
      <c r="B1" s="85" t="inlineStr">
        <is>
          <t>التاريخ</t>
        </is>
      </c>
      <c r="C1" s="85" t="inlineStr">
        <is>
          <t>المحصورون</t>
        </is>
      </c>
      <c r="D1" s="85" t="inlineStr">
        <is>
          <t>حاضر</t>
        </is>
      </c>
      <c r="E1" s="85" t="inlineStr">
        <is>
          <t>غياب بدون عذر</t>
        </is>
      </c>
      <c r="F1" s="85" t="inlineStr">
        <is>
          <t>غياب بعذر</t>
        </is>
      </c>
      <c r="G1" s="85" t="inlineStr">
        <is>
          <t>متأخر</t>
        </is>
      </c>
    </row>
    <row r="2">
      <c r="A2">
        <f>'KG1-1'!$B$2</f>
        <v/>
      </c>
      <c r="B2" s="126" t="n">
        <v>46265</v>
      </c>
      <c r="C2">
        <f>'KG1-1'!AD44</f>
        <v/>
      </c>
      <c r="D2">
        <f>'KG1-1'!AD43</f>
        <v/>
      </c>
      <c r="E2">
        <f>'KG1-1'!AD40</f>
        <v/>
      </c>
      <c r="F2">
        <f>'KG1-1'!AD41</f>
        <v/>
      </c>
      <c r="G2">
        <f>'KG1-1'!AD42</f>
        <v/>
      </c>
    </row>
    <row r="3">
      <c r="A3">
        <f>'KG1-1'!$B$2</f>
        <v/>
      </c>
      <c r="B3" s="126" t="n">
        <v>46266</v>
      </c>
      <c r="C3">
        <f>'KG1-1'!AE44</f>
        <v/>
      </c>
      <c r="D3">
        <f>'KG1-1'!AE43</f>
        <v/>
      </c>
      <c r="E3">
        <f>'KG1-1'!AE40</f>
        <v/>
      </c>
      <c r="F3">
        <f>'KG1-1'!AE41</f>
        <v/>
      </c>
      <c r="G3">
        <f>'KG1-1'!AE42</f>
        <v/>
      </c>
    </row>
    <row r="4">
      <c r="A4">
        <f>'KG1-1'!$B$2</f>
        <v/>
      </c>
      <c r="B4" s="126" t="n">
        <v>46267</v>
      </c>
      <c r="C4">
        <f>'KG1-1'!AF44</f>
        <v/>
      </c>
      <c r="D4">
        <f>'KG1-1'!AF43</f>
        <v/>
      </c>
      <c r="E4">
        <f>'KG1-1'!AF40</f>
        <v/>
      </c>
      <c r="F4">
        <f>'KG1-1'!AF41</f>
        <v/>
      </c>
      <c r="G4">
        <f>'KG1-1'!AF42</f>
        <v/>
      </c>
    </row>
    <row r="5">
      <c r="A5">
        <f>'KG1-1'!$B$2</f>
        <v/>
      </c>
      <c r="B5" s="126" t="n">
        <v>46268</v>
      </c>
      <c r="C5">
        <f>'KG1-1'!AG44</f>
        <v/>
      </c>
      <c r="D5">
        <f>'KG1-1'!AG43</f>
        <v/>
      </c>
      <c r="E5">
        <f>'KG1-1'!AG40</f>
        <v/>
      </c>
      <c r="F5">
        <f>'KG1-1'!AG41</f>
        <v/>
      </c>
      <c r="G5">
        <f>'KG1-1'!AG42</f>
        <v/>
      </c>
    </row>
    <row r="6">
      <c r="A6">
        <f>'KG1-1'!$B$2</f>
        <v/>
      </c>
      <c r="B6" s="126" t="n">
        <v>46269</v>
      </c>
      <c r="C6">
        <f>'KG1-1'!AH44</f>
        <v/>
      </c>
      <c r="D6">
        <f>'KG1-1'!AH43</f>
        <v/>
      </c>
      <c r="E6">
        <f>'KG1-1'!AH40</f>
        <v/>
      </c>
      <c r="F6">
        <f>'KG1-1'!AH41</f>
        <v/>
      </c>
      <c r="G6">
        <f>'KG1-1'!AH42</f>
        <v/>
      </c>
    </row>
    <row r="7">
      <c r="A7">
        <f>'KG1-1'!$B$2</f>
        <v/>
      </c>
      <c r="B7" s="126" t="n">
        <v>46272</v>
      </c>
      <c r="C7">
        <f>'KG1-1'!AI44</f>
        <v/>
      </c>
      <c r="D7">
        <f>'KG1-1'!AI43</f>
        <v/>
      </c>
      <c r="E7">
        <f>'KG1-1'!AI40</f>
        <v/>
      </c>
      <c r="F7">
        <f>'KG1-1'!AI41</f>
        <v/>
      </c>
      <c r="G7">
        <f>'KG1-1'!AI42</f>
        <v/>
      </c>
    </row>
    <row r="8">
      <c r="A8">
        <f>'KG1-1'!$B$2</f>
        <v/>
      </c>
      <c r="B8" s="126" t="n">
        <v>46273</v>
      </c>
      <c r="C8">
        <f>'KG1-1'!AJ44</f>
        <v/>
      </c>
      <c r="D8">
        <f>'KG1-1'!AJ43</f>
        <v/>
      </c>
      <c r="E8">
        <f>'KG1-1'!AJ40</f>
        <v/>
      </c>
      <c r="F8">
        <f>'KG1-1'!AJ41</f>
        <v/>
      </c>
      <c r="G8">
        <f>'KG1-1'!AJ42</f>
        <v/>
      </c>
    </row>
    <row r="9">
      <c r="A9">
        <f>'KG1-1'!$B$2</f>
        <v/>
      </c>
      <c r="B9" s="126" t="n">
        <v>46274</v>
      </c>
      <c r="C9">
        <f>'KG1-1'!AK44</f>
        <v/>
      </c>
      <c r="D9">
        <f>'KG1-1'!AK43</f>
        <v/>
      </c>
      <c r="E9">
        <f>'KG1-1'!AK40</f>
        <v/>
      </c>
      <c r="F9">
        <f>'KG1-1'!AK41</f>
        <v/>
      </c>
      <c r="G9">
        <f>'KG1-1'!AK42</f>
        <v/>
      </c>
    </row>
    <row r="10">
      <c r="A10">
        <f>'KG1-1'!$B$2</f>
        <v/>
      </c>
      <c r="B10" s="126" t="n">
        <v>46275</v>
      </c>
      <c r="C10">
        <f>'KG1-1'!AL44</f>
        <v/>
      </c>
      <c r="D10">
        <f>'KG1-1'!AL43</f>
        <v/>
      </c>
      <c r="E10">
        <f>'KG1-1'!AL40</f>
        <v/>
      </c>
      <c r="F10">
        <f>'KG1-1'!AL41</f>
        <v/>
      </c>
      <c r="G10">
        <f>'KG1-1'!AL42</f>
        <v/>
      </c>
    </row>
    <row r="11">
      <c r="A11">
        <f>'KG1-1'!$B$2</f>
        <v/>
      </c>
      <c r="B11" s="126" t="n">
        <v>46276</v>
      </c>
      <c r="C11">
        <f>'KG1-1'!AM44</f>
        <v/>
      </c>
      <c r="D11">
        <f>'KG1-1'!AM43</f>
        <v/>
      </c>
      <c r="E11">
        <f>'KG1-1'!AM40</f>
        <v/>
      </c>
      <c r="F11">
        <f>'KG1-1'!AM41</f>
        <v/>
      </c>
      <c r="G11">
        <f>'KG1-1'!AM42</f>
        <v/>
      </c>
    </row>
    <row r="12">
      <c r="A12">
        <f>'KG1-1'!$B$2</f>
        <v/>
      </c>
      <c r="B12" s="126" t="n">
        <v>46279</v>
      </c>
      <c r="C12">
        <f>'KG1-1'!AN44</f>
        <v/>
      </c>
      <c r="D12">
        <f>'KG1-1'!AN43</f>
        <v/>
      </c>
      <c r="E12">
        <f>'KG1-1'!AN40</f>
        <v/>
      </c>
      <c r="F12">
        <f>'KG1-1'!AN41</f>
        <v/>
      </c>
      <c r="G12">
        <f>'KG1-1'!AN42</f>
        <v/>
      </c>
    </row>
    <row r="13">
      <c r="A13">
        <f>'KG1-1'!$B$2</f>
        <v/>
      </c>
      <c r="B13" s="126" t="n">
        <v>46280</v>
      </c>
      <c r="C13">
        <f>'KG1-1'!AO44</f>
        <v/>
      </c>
      <c r="D13">
        <f>'KG1-1'!AO43</f>
        <v/>
      </c>
      <c r="E13">
        <f>'KG1-1'!AO40</f>
        <v/>
      </c>
      <c r="F13">
        <f>'KG1-1'!AO41</f>
        <v/>
      </c>
      <c r="G13">
        <f>'KG1-1'!AO42</f>
        <v/>
      </c>
    </row>
    <row r="14">
      <c r="A14">
        <f>'KG1-1'!$B$2</f>
        <v/>
      </c>
      <c r="B14" s="126" t="n">
        <v>46281</v>
      </c>
      <c r="C14">
        <f>'KG1-1'!AP44</f>
        <v/>
      </c>
      <c r="D14">
        <f>'KG1-1'!AP43</f>
        <v/>
      </c>
      <c r="E14">
        <f>'KG1-1'!AP40</f>
        <v/>
      </c>
      <c r="F14">
        <f>'KG1-1'!AP41</f>
        <v/>
      </c>
      <c r="G14">
        <f>'KG1-1'!AP42</f>
        <v/>
      </c>
    </row>
    <row r="15">
      <c r="A15">
        <f>'KG1-1'!$B$2</f>
        <v/>
      </c>
      <c r="B15" s="126" t="n">
        <v>46282</v>
      </c>
      <c r="C15">
        <f>'KG1-1'!AQ44</f>
        <v/>
      </c>
      <c r="D15">
        <f>'KG1-1'!AQ43</f>
        <v/>
      </c>
      <c r="E15">
        <f>'KG1-1'!AQ40</f>
        <v/>
      </c>
      <c r="F15">
        <f>'KG1-1'!AQ41</f>
        <v/>
      </c>
      <c r="G15">
        <f>'KG1-1'!AQ42</f>
        <v/>
      </c>
    </row>
    <row r="16">
      <c r="A16">
        <f>'KG1-1'!$B$2</f>
        <v/>
      </c>
      <c r="B16" s="126" t="n">
        <v>46283</v>
      </c>
      <c r="C16">
        <f>'KG1-1'!AR44</f>
        <v/>
      </c>
      <c r="D16">
        <f>'KG1-1'!AR43</f>
        <v/>
      </c>
      <c r="E16">
        <f>'KG1-1'!AR40</f>
        <v/>
      </c>
      <c r="F16">
        <f>'KG1-1'!AR41</f>
        <v/>
      </c>
      <c r="G16">
        <f>'KG1-1'!AR42</f>
        <v/>
      </c>
    </row>
    <row r="17">
      <c r="A17">
        <f>'KG1-1'!$B$2</f>
        <v/>
      </c>
      <c r="B17" s="126" t="n">
        <v>46286</v>
      </c>
      <c r="C17">
        <f>'KG1-1'!AS44</f>
        <v/>
      </c>
      <c r="D17">
        <f>'KG1-1'!AS43</f>
        <v/>
      </c>
      <c r="E17">
        <f>'KG1-1'!AS40</f>
        <v/>
      </c>
      <c r="F17">
        <f>'KG1-1'!AS41</f>
        <v/>
      </c>
      <c r="G17">
        <f>'KG1-1'!AS42</f>
        <v/>
      </c>
    </row>
    <row r="18">
      <c r="A18">
        <f>'KG1-1'!$B$2</f>
        <v/>
      </c>
      <c r="B18" s="126" t="n">
        <v>46287</v>
      </c>
      <c r="C18">
        <f>'KG1-1'!AT44</f>
        <v/>
      </c>
      <c r="D18">
        <f>'KG1-1'!AT43</f>
        <v/>
      </c>
      <c r="E18">
        <f>'KG1-1'!AT40</f>
        <v/>
      </c>
      <c r="F18">
        <f>'KG1-1'!AT41</f>
        <v/>
      </c>
      <c r="G18">
        <f>'KG1-1'!AT42</f>
        <v/>
      </c>
    </row>
    <row r="19">
      <c r="A19">
        <f>'KG1-1'!$B$2</f>
        <v/>
      </c>
      <c r="B19" s="126" t="n">
        <v>46288</v>
      </c>
      <c r="C19">
        <f>'KG1-1'!AU44</f>
        <v/>
      </c>
      <c r="D19">
        <f>'KG1-1'!AU43</f>
        <v/>
      </c>
      <c r="E19">
        <f>'KG1-1'!AU40</f>
        <v/>
      </c>
      <c r="F19">
        <f>'KG1-1'!AU41</f>
        <v/>
      </c>
      <c r="G19">
        <f>'KG1-1'!AU42</f>
        <v/>
      </c>
    </row>
    <row r="20">
      <c r="A20">
        <f>'KG1-1'!$B$2</f>
        <v/>
      </c>
      <c r="B20" s="126" t="n">
        <v>46289</v>
      </c>
      <c r="C20">
        <f>'KG1-1'!AV44</f>
        <v/>
      </c>
      <c r="D20">
        <f>'KG1-1'!AV43</f>
        <v/>
      </c>
      <c r="E20">
        <f>'KG1-1'!AV40</f>
        <v/>
      </c>
      <c r="F20">
        <f>'KG1-1'!AV41</f>
        <v/>
      </c>
      <c r="G20">
        <f>'KG1-1'!AV42</f>
        <v/>
      </c>
    </row>
    <row r="21">
      <c r="A21">
        <f>'KG1-1'!$B$2</f>
        <v/>
      </c>
      <c r="B21" s="126" t="n">
        <v>46290</v>
      </c>
      <c r="C21">
        <f>'KG1-1'!AW44</f>
        <v/>
      </c>
      <c r="D21">
        <f>'KG1-1'!AW43</f>
        <v/>
      </c>
      <c r="E21">
        <f>'KG1-1'!AW40</f>
        <v/>
      </c>
      <c r="F21">
        <f>'KG1-1'!AW41</f>
        <v/>
      </c>
      <c r="G21">
        <f>'KG1-1'!AW42</f>
        <v/>
      </c>
    </row>
    <row r="22">
      <c r="A22">
        <f>'KG1-1'!$B$2</f>
        <v/>
      </c>
      <c r="B22" s="126" t="n">
        <v>46293</v>
      </c>
      <c r="C22">
        <f>'KG1-1'!AX44</f>
        <v/>
      </c>
      <c r="D22">
        <f>'KG1-1'!AX43</f>
        <v/>
      </c>
      <c r="E22">
        <f>'KG1-1'!AX40</f>
        <v/>
      </c>
      <c r="F22">
        <f>'KG1-1'!AX41</f>
        <v/>
      </c>
      <c r="G22">
        <f>'KG1-1'!AX42</f>
        <v/>
      </c>
    </row>
    <row r="23">
      <c r="A23">
        <f>'KG1-1'!$B$2</f>
        <v/>
      </c>
      <c r="B23" s="126" t="n">
        <v>46294</v>
      </c>
      <c r="C23">
        <f>'KG1-1'!AY44</f>
        <v/>
      </c>
      <c r="D23">
        <f>'KG1-1'!AY43</f>
        <v/>
      </c>
      <c r="E23">
        <f>'KG1-1'!AY40</f>
        <v/>
      </c>
      <c r="F23">
        <f>'KG1-1'!AY41</f>
        <v/>
      </c>
      <c r="G23">
        <f>'KG1-1'!AY42</f>
        <v/>
      </c>
    </row>
    <row r="24">
      <c r="A24">
        <f>'KG1-1'!$B$2</f>
        <v/>
      </c>
      <c r="B24" s="126" t="n">
        <v>46295</v>
      </c>
      <c r="C24">
        <f>'KG1-1'!AZ44</f>
        <v/>
      </c>
      <c r="D24">
        <f>'KG1-1'!AZ43</f>
        <v/>
      </c>
      <c r="E24">
        <f>'KG1-1'!AZ40</f>
        <v/>
      </c>
      <c r="F24">
        <f>'KG1-1'!AZ41</f>
        <v/>
      </c>
      <c r="G24">
        <f>'KG1-1'!AZ42</f>
        <v/>
      </c>
    </row>
    <row r="25">
      <c r="A25">
        <f>'KG1-1'!$B$2</f>
        <v/>
      </c>
      <c r="B25" s="126" t="n">
        <v>46296</v>
      </c>
      <c r="C25">
        <f>'KG1-1'!BA44</f>
        <v/>
      </c>
      <c r="D25">
        <f>'KG1-1'!BA43</f>
        <v/>
      </c>
      <c r="E25">
        <f>'KG1-1'!BA40</f>
        <v/>
      </c>
      <c r="F25">
        <f>'KG1-1'!BA41</f>
        <v/>
      </c>
      <c r="G25">
        <f>'KG1-1'!BA42</f>
        <v/>
      </c>
    </row>
    <row r="26">
      <c r="A26">
        <f>'KG1-1'!$B$2</f>
        <v/>
      </c>
      <c r="B26" s="126" t="n">
        <v>46297</v>
      </c>
      <c r="C26">
        <f>'KG1-1'!BB44</f>
        <v/>
      </c>
      <c r="D26">
        <f>'KG1-1'!BB43</f>
        <v/>
      </c>
      <c r="E26">
        <f>'KG1-1'!BB40</f>
        <v/>
      </c>
      <c r="F26">
        <f>'KG1-1'!BB41</f>
        <v/>
      </c>
      <c r="G26">
        <f>'KG1-1'!BB42</f>
        <v/>
      </c>
    </row>
    <row r="27">
      <c r="A27">
        <f>'KG1-1'!$B$2</f>
        <v/>
      </c>
      <c r="B27" s="126" t="n">
        <v>46300</v>
      </c>
      <c r="C27">
        <f>'KG1-1'!BC44</f>
        <v/>
      </c>
      <c r="D27">
        <f>'KG1-1'!BC43</f>
        <v/>
      </c>
      <c r="E27">
        <f>'KG1-1'!BC40</f>
        <v/>
      </c>
      <c r="F27">
        <f>'KG1-1'!BC41</f>
        <v/>
      </c>
      <c r="G27">
        <f>'KG1-1'!BC42</f>
        <v/>
      </c>
    </row>
    <row r="28">
      <c r="A28">
        <f>'KG1-1'!$B$2</f>
        <v/>
      </c>
      <c r="B28" s="126" t="n">
        <v>46301</v>
      </c>
      <c r="C28">
        <f>'KG1-1'!BD44</f>
        <v/>
      </c>
      <c r="D28">
        <f>'KG1-1'!BD43</f>
        <v/>
      </c>
      <c r="E28">
        <f>'KG1-1'!BD40</f>
        <v/>
      </c>
      <c r="F28">
        <f>'KG1-1'!BD41</f>
        <v/>
      </c>
      <c r="G28">
        <f>'KG1-1'!BD42</f>
        <v/>
      </c>
    </row>
    <row r="29">
      <c r="A29">
        <f>'KG1-1'!$B$2</f>
        <v/>
      </c>
      <c r="B29" s="126" t="n">
        <v>46302</v>
      </c>
      <c r="C29">
        <f>'KG1-1'!BE44</f>
        <v/>
      </c>
      <c r="D29">
        <f>'KG1-1'!BE43</f>
        <v/>
      </c>
      <c r="E29">
        <f>'KG1-1'!BE40</f>
        <v/>
      </c>
      <c r="F29">
        <f>'KG1-1'!BE41</f>
        <v/>
      </c>
      <c r="G29">
        <f>'KG1-1'!BE42</f>
        <v/>
      </c>
    </row>
    <row r="30">
      <c r="A30">
        <f>'KG1-1'!$B$2</f>
        <v/>
      </c>
      <c r="B30" s="126" t="n">
        <v>46303</v>
      </c>
      <c r="C30">
        <f>'KG1-1'!BF44</f>
        <v/>
      </c>
      <c r="D30">
        <f>'KG1-1'!BF43</f>
        <v/>
      </c>
      <c r="E30">
        <f>'KG1-1'!BF40</f>
        <v/>
      </c>
      <c r="F30">
        <f>'KG1-1'!BF41</f>
        <v/>
      </c>
      <c r="G30">
        <f>'KG1-1'!BF42</f>
        <v/>
      </c>
    </row>
    <row r="31">
      <c r="A31">
        <f>'KG1-1'!$B$2</f>
        <v/>
      </c>
      <c r="B31" s="126" t="n">
        <v>46304</v>
      </c>
      <c r="C31">
        <f>'KG1-1'!BG44</f>
        <v/>
      </c>
      <c r="D31">
        <f>'KG1-1'!BG43</f>
        <v/>
      </c>
      <c r="E31">
        <f>'KG1-1'!BG40</f>
        <v/>
      </c>
      <c r="F31">
        <f>'KG1-1'!BG41</f>
        <v/>
      </c>
      <c r="G31">
        <f>'KG1-1'!BG42</f>
        <v/>
      </c>
    </row>
    <row r="32">
      <c r="A32">
        <f>'KG1-1'!$B$2</f>
        <v/>
      </c>
      <c r="B32" s="126" t="n">
        <v>46307</v>
      </c>
      <c r="C32">
        <f>'KG1-1'!BH44</f>
        <v/>
      </c>
      <c r="D32">
        <f>'KG1-1'!BH43</f>
        <v/>
      </c>
      <c r="E32">
        <f>'KG1-1'!BH40</f>
        <v/>
      </c>
      <c r="F32">
        <f>'KG1-1'!BH41</f>
        <v/>
      </c>
      <c r="G32">
        <f>'KG1-1'!BH42</f>
        <v/>
      </c>
    </row>
    <row r="33">
      <c r="A33">
        <f>'KG1-1'!$B$2</f>
        <v/>
      </c>
      <c r="B33" s="126" t="n">
        <v>46308</v>
      </c>
      <c r="C33">
        <f>'KG1-1'!BI44</f>
        <v/>
      </c>
      <c r="D33">
        <f>'KG1-1'!BI43</f>
        <v/>
      </c>
      <c r="E33">
        <f>'KG1-1'!BI40</f>
        <v/>
      </c>
      <c r="F33">
        <f>'KG1-1'!BI41</f>
        <v/>
      </c>
      <c r="G33">
        <f>'KG1-1'!BI42</f>
        <v/>
      </c>
    </row>
    <row r="34">
      <c r="A34">
        <f>'KG1-1'!$B$2</f>
        <v/>
      </c>
      <c r="B34" s="126" t="n">
        <v>46309</v>
      </c>
      <c r="C34">
        <f>'KG1-1'!BJ44</f>
        <v/>
      </c>
      <c r="D34">
        <f>'KG1-1'!BJ43</f>
        <v/>
      </c>
      <c r="E34">
        <f>'KG1-1'!BJ40</f>
        <v/>
      </c>
      <c r="F34">
        <f>'KG1-1'!BJ41</f>
        <v/>
      </c>
      <c r="G34">
        <f>'KG1-1'!BJ42</f>
        <v/>
      </c>
    </row>
    <row r="35">
      <c r="A35">
        <f>'KG1-1'!$B$2</f>
        <v/>
      </c>
      <c r="B35" s="126" t="n">
        <v>46310</v>
      </c>
      <c r="C35">
        <f>'KG1-1'!BK44</f>
        <v/>
      </c>
      <c r="D35">
        <f>'KG1-1'!BK43</f>
        <v/>
      </c>
      <c r="E35">
        <f>'KG1-1'!BK40</f>
        <v/>
      </c>
      <c r="F35">
        <f>'KG1-1'!BK41</f>
        <v/>
      </c>
      <c r="G35">
        <f>'KG1-1'!BK42</f>
        <v/>
      </c>
    </row>
    <row r="36">
      <c r="A36">
        <f>'KG1-1'!$B$2</f>
        <v/>
      </c>
      <c r="B36" s="126" t="n">
        <v>46311</v>
      </c>
      <c r="C36">
        <f>'KG1-1'!BL44</f>
        <v/>
      </c>
      <c r="D36">
        <f>'KG1-1'!BL43</f>
        <v/>
      </c>
      <c r="E36">
        <f>'KG1-1'!BL40</f>
        <v/>
      </c>
      <c r="F36">
        <f>'KG1-1'!BL41</f>
        <v/>
      </c>
      <c r="G36">
        <f>'KG1-1'!BL42</f>
        <v/>
      </c>
    </row>
    <row r="37">
      <c r="A37">
        <f>'KG1-1'!$B$2</f>
        <v/>
      </c>
      <c r="B37" s="126" t="n">
        <v>46314</v>
      </c>
      <c r="C37">
        <f>'KG1-1'!BM44</f>
        <v/>
      </c>
      <c r="D37">
        <f>'KG1-1'!BM43</f>
        <v/>
      </c>
      <c r="E37">
        <f>'KG1-1'!BM40</f>
        <v/>
      </c>
      <c r="F37">
        <f>'KG1-1'!BM41</f>
        <v/>
      </c>
      <c r="G37">
        <f>'KG1-1'!BM42</f>
        <v/>
      </c>
    </row>
    <row r="38">
      <c r="A38">
        <f>'KG1-1'!$B$2</f>
        <v/>
      </c>
      <c r="B38" s="126" t="n">
        <v>46315</v>
      </c>
      <c r="C38">
        <f>'KG1-1'!BN44</f>
        <v/>
      </c>
      <c r="D38">
        <f>'KG1-1'!BN43</f>
        <v/>
      </c>
      <c r="E38">
        <f>'KG1-1'!BN40</f>
        <v/>
      </c>
      <c r="F38">
        <f>'KG1-1'!BN41</f>
        <v/>
      </c>
      <c r="G38">
        <f>'KG1-1'!BN42</f>
        <v/>
      </c>
    </row>
    <row r="39">
      <c r="A39">
        <f>'KG1-1'!$B$2</f>
        <v/>
      </c>
      <c r="B39" s="126" t="n">
        <v>46316</v>
      </c>
      <c r="C39">
        <f>'KG1-1'!BO44</f>
        <v/>
      </c>
      <c r="D39">
        <f>'KG1-1'!BO43</f>
        <v/>
      </c>
      <c r="E39">
        <f>'KG1-1'!BO40</f>
        <v/>
      </c>
      <c r="F39">
        <f>'KG1-1'!BO41</f>
        <v/>
      </c>
      <c r="G39">
        <f>'KG1-1'!BO42</f>
        <v/>
      </c>
    </row>
    <row r="40">
      <c r="A40">
        <f>'KG1-1'!$B$2</f>
        <v/>
      </c>
      <c r="B40" s="126" t="n">
        <v>46317</v>
      </c>
      <c r="C40">
        <f>'KG1-1'!BP44</f>
        <v/>
      </c>
      <c r="D40">
        <f>'KG1-1'!BP43</f>
        <v/>
      </c>
      <c r="E40">
        <f>'KG1-1'!BP40</f>
        <v/>
      </c>
      <c r="F40">
        <f>'KG1-1'!BP41</f>
        <v/>
      </c>
      <c r="G40">
        <f>'KG1-1'!BP42</f>
        <v/>
      </c>
    </row>
    <row r="41">
      <c r="A41">
        <f>'KG1-1'!$B$2</f>
        <v/>
      </c>
      <c r="B41" s="126" t="n">
        <v>46318</v>
      </c>
      <c r="C41">
        <f>'KG1-1'!BQ44</f>
        <v/>
      </c>
      <c r="D41">
        <f>'KG1-1'!BQ43</f>
        <v/>
      </c>
      <c r="E41">
        <f>'KG1-1'!BQ40</f>
        <v/>
      </c>
      <c r="F41">
        <f>'KG1-1'!BQ41</f>
        <v/>
      </c>
      <c r="G41">
        <f>'KG1-1'!BQ42</f>
        <v/>
      </c>
    </row>
    <row r="42">
      <c r="A42">
        <f>'KG1-1'!$B$2</f>
        <v/>
      </c>
      <c r="B42" s="126" t="n">
        <v>46321</v>
      </c>
      <c r="C42">
        <f>'KG1-1'!BR44</f>
        <v/>
      </c>
      <c r="D42">
        <f>'KG1-1'!BR43</f>
        <v/>
      </c>
      <c r="E42">
        <f>'KG1-1'!BR40</f>
        <v/>
      </c>
      <c r="F42">
        <f>'KG1-1'!BR41</f>
        <v/>
      </c>
      <c r="G42">
        <f>'KG1-1'!BR42</f>
        <v/>
      </c>
    </row>
    <row r="43">
      <c r="A43">
        <f>'KG1-1'!$B$2</f>
        <v/>
      </c>
      <c r="B43" s="126" t="n">
        <v>46322</v>
      </c>
      <c r="C43">
        <f>'KG1-1'!BS44</f>
        <v/>
      </c>
      <c r="D43">
        <f>'KG1-1'!BS43</f>
        <v/>
      </c>
      <c r="E43">
        <f>'KG1-1'!BS40</f>
        <v/>
      </c>
      <c r="F43">
        <f>'KG1-1'!BS41</f>
        <v/>
      </c>
      <c r="G43">
        <f>'KG1-1'!BS42</f>
        <v/>
      </c>
    </row>
    <row r="44">
      <c r="A44">
        <f>'KG1-1'!$B$2</f>
        <v/>
      </c>
      <c r="B44" s="126" t="n">
        <v>46323</v>
      </c>
      <c r="C44">
        <f>'KG1-1'!BT44</f>
        <v/>
      </c>
      <c r="D44">
        <f>'KG1-1'!BT43</f>
        <v/>
      </c>
      <c r="E44">
        <f>'KG1-1'!BT40</f>
        <v/>
      </c>
      <c r="F44">
        <f>'KG1-1'!BT41</f>
        <v/>
      </c>
      <c r="G44">
        <f>'KG1-1'!BT42</f>
        <v/>
      </c>
    </row>
    <row r="45">
      <c r="A45">
        <f>'KG1-1'!$B$2</f>
        <v/>
      </c>
      <c r="B45" s="126" t="n">
        <v>46324</v>
      </c>
      <c r="C45">
        <f>'KG1-1'!BU44</f>
        <v/>
      </c>
      <c r="D45">
        <f>'KG1-1'!BU43</f>
        <v/>
      </c>
      <c r="E45">
        <f>'KG1-1'!BU40</f>
        <v/>
      </c>
      <c r="F45">
        <f>'KG1-1'!BU41</f>
        <v/>
      </c>
      <c r="G45">
        <f>'KG1-1'!BU42</f>
        <v/>
      </c>
    </row>
    <row r="46">
      <c r="A46">
        <f>'KG1-1'!$B$2</f>
        <v/>
      </c>
      <c r="B46" s="126" t="n">
        <v>46325</v>
      </c>
      <c r="C46">
        <f>'KG1-1'!BV44</f>
        <v/>
      </c>
      <c r="D46">
        <f>'KG1-1'!BV43</f>
        <v/>
      </c>
      <c r="E46">
        <f>'KG1-1'!BV40</f>
        <v/>
      </c>
      <c r="F46">
        <f>'KG1-1'!BV41</f>
        <v/>
      </c>
      <c r="G46">
        <f>'KG1-1'!BV42</f>
        <v/>
      </c>
    </row>
    <row r="47">
      <c r="A47">
        <f>'KG1-1'!$B$2</f>
        <v/>
      </c>
      <c r="B47" s="126" t="n">
        <v>46328</v>
      </c>
      <c r="C47">
        <f>'KG1-1'!BW44</f>
        <v/>
      </c>
      <c r="D47">
        <f>'KG1-1'!BW43</f>
        <v/>
      </c>
      <c r="E47">
        <f>'KG1-1'!BW40</f>
        <v/>
      </c>
      <c r="F47">
        <f>'KG1-1'!BW41</f>
        <v/>
      </c>
      <c r="G47">
        <f>'KG1-1'!BW42</f>
        <v/>
      </c>
    </row>
    <row r="48">
      <c r="A48">
        <f>'KG1-1'!$B$2</f>
        <v/>
      </c>
      <c r="B48" s="126" t="n">
        <v>46329</v>
      </c>
      <c r="C48">
        <f>'KG1-1'!BX44</f>
        <v/>
      </c>
      <c r="D48">
        <f>'KG1-1'!BX43</f>
        <v/>
      </c>
      <c r="E48">
        <f>'KG1-1'!BX40</f>
        <v/>
      </c>
      <c r="F48">
        <f>'KG1-1'!BX41</f>
        <v/>
      </c>
      <c r="G48">
        <f>'KG1-1'!BX42</f>
        <v/>
      </c>
    </row>
    <row r="49">
      <c r="A49">
        <f>'KG1-1'!$B$2</f>
        <v/>
      </c>
      <c r="B49" s="126" t="n">
        <v>46330</v>
      </c>
      <c r="C49">
        <f>'KG1-1'!BY44</f>
        <v/>
      </c>
      <c r="D49">
        <f>'KG1-1'!BY43</f>
        <v/>
      </c>
      <c r="E49">
        <f>'KG1-1'!BY40</f>
        <v/>
      </c>
      <c r="F49">
        <f>'KG1-1'!BY41</f>
        <v/>
      </c>
      <c r="G49">
        <f>'KG1-1'!BY42</f>
        <v/>
      </c>
    </row>
    <row r="50">
      <c r="A50">
        <f>'KG1-1'!$B$2</f>
        <v/>
      </c>
      <c r="B50" s="126" t="n">
        <v>46331</v>
      </c>
      <c r="C50">
        <f>'KG1-1'!BZ44</f>
        <v/>
      </c>
      <c r="D50">
        <f>'KG1-1'!BZ43</f>
        <v/>
      </c>
      <c r="E50">
        <f>'KG1-1'!BZ40</f>
        <v/>
      </c>
      <c r="F50">
        <f>'KG1-1'!BZ41</f>
        <v/>
      </c>
      <c r="G50">
        <f>'KG1-1'!BZ42</f>
        <v/>
      </c>
    </row>
    <row r="51">
      <c r="A51">
        <f>'KG1-1'!$B$2</f>
        <v/>
      </c>
      <c r="B51" s="126" t="n">
        <v>46332</v>
      </c>
      <c r="C51">
        <f>'KG1-1'!CA44</f>
        <v/>
      </c>
      <c r="D51">
        <f>'KG1-1'!CA43</f>
        <v/>
      </c>
      <c r="E51">
        <f>'KG1-1'!CA40</f>
        <v/>
      </c>
      <c r="F51">
        <f>'KG1-1'!CA41</f>
        <v/>
      </c>
      <c r="G51">
        <f>'KG1-1'!CA42</f>
        <v/>
      </c>
    </row>
    <row r="52">
      <c r="A52">
        <f>'KG1-1'!$B$2</f>
        <v/>
      </c>
      <c r="B52" s="126" t="n">
        <v>46335</v>
      </c>
      <c r="C52">
        <f>'KG1-1'!CB44</f>
        <v/>
      </c>
      <c r="D52">
        <f>'KG1-1'!CB43</f>
        <v/>
      </c>
      <c r="E52">
        <f>'KG1-1'!CB40</f>
        <v/>
      </c>
      <c r="F52">
        <f>'KG1-1'!CB41</f>
        <v/>
      </c>
      <c r="G52">
        <f>'KG1-1'!CB42</f>
        <v/>
      </c>
    </row>
    <row r="53">
      <c r="A53">
        <f>'KG1-1'!$B$2</f>
        <v/>
      </c>
      <c r="B53" s="126" t="n">
        <v>46336</v>
      </c>
      <c r="C53">
        <f>'KG1-1'!CC44</f>
        <v/>
      </c>
      <c r="D53">
        <f>'KG1-1'!CC43</f>
        <v/>
      </c>
      <c r="E53">
        <f>'KG1-1'!CC40</f>
        <v/>
      </c>
      <c r="F53">
        <f>'KG1-1'!CC41</f>
        <v/>
      </c>
      <c r="G53">
        <f>'KG1-1'!CC42</f>
        <v/>
      </c>
    </row>
    <row r="54">
      <c r="A54">
        <f>'KG1-1'!$B$2</f>
        <v/>
      </c>
      <c r="B54" s="126" t="n">
        <v>46337</v>
      </c>
      <c r="C54">
        <f>'KG1-1'!CD44</f>
        <v/>
      </c>
      <c r="D54">
        <f>'KG1-1'!CD43</f>
        <v/>
      </c>
      <c r="E54">
        <f>'KG1-1'!CD40</f>
        <v/>
      </c>
      <c r="F54">
        <f>'KG1-1'!CD41</f>
        <v/>
      </c>
      <c r="G54">
        <f>'KG1-1'!CD42</f>
        <v/>
      </c>
    </row>
    <row r="55">
      <c r="A55">
        <f>'KG1-1'!$B$2</f>
        <v/>
      </c>
      <c r="B55" s="126" t="n">
        <v>46338</v>
      </c>
      <c r="C55">
        <f>'KG1-1'!CE44</f>
        <v/>
      </c>
      <c r="D55">
        <f>'KG1-1'!CE43</f>
        <v/>
      </c>
      <c r="E55">
        <f>'KG1-1'!CE40</f>
        <v/>
      </c>
      <c r="F55">
        <f>'KG1-1'!CE41</f>
        <v/>
      </c>
      <c r="G55">
        <f>'KG1-1'!CE42</f>
        <v/>
      </c>
    </row>
    <row r="56">
      <c r="A56">
        <f>'KG1-1'!$B$2</f>
        <v/>
      </c>
      <c r="B56" s="126" t="n">
        <v>46339</v>
      </c>
      <c r="C56">
        <f>'KG1-1'!CF44</f>
        <v/>
      </c>
      <c r="D56">
        <f>'KG1-1'!CF43</f>
        <v/>
      </c>
      <c r="E56">
        <f>'KG1-1'!CF40</f>
        <v/>
      </c>
      <c r="F56">
        <f>'KG1-1'!CF41</f>
        <v/>
      </c>
      <c r="G56">
        <f>'KG1-1'!CF42</f>
        <v/>
      </c>
    </row>
    <row r="57">
      <c r="A57">
        <f>'KG1-1'!$B$2</f>
        <v/>
      </c>
      <c r="B57" s="126" t="n">
        <v>46342</v>
      </c>
      <c r="C57">
        <f>'KG1-1'!CG44</f>
        <v/>
      </c>
      <c r="D57">
        <f>'KG1-1'!CG43</f>
        <v/>
      </c>
      <c r="E57">
        <f>'KG1-1'!CG40</f>
        <v/>
      </c>
      <c r="F57">
        <f>'KG1-1'!CG41</f>
        <v/>
      </c>
      <c r="G57">
        <f>'KG1-1'!CG42</f>
        <v/>
      </c>
    </row>
    <row r="58">
      <c r="A58">
        <f>'KG1-1'!$B$2</f>
        <v/>
      </c>
      <c r="B58" s="126" t="n">
        <v>46343</v>
      </c>
      <c r="C58">
        <f>'KG1-1'!CH44</f>
        <v/>
      </c>
      <c r="D58">
        <f>'KG1-1'!CH43</f>
        <v/>
      </c>
      <c r="E58">
        <f>'KG1-1'!CH40</f>
        <v/>
      </c>
      <c r="F58">
        <f>'KG1-1'!CH41</f>
        <v/>
      </c>
      <c r="G58">
        <f>'KG1-1'!CH42</f>
        <v/>
      </c>
    </row>
    <row r="59">
      <c r="A59">
        <f>'KG1-1'!$B$2</f>
        <v/>
      </c>
      <c r="B59" s="126" t="n">
        <v>46344</v>
      </c>
      <c r="C59">
        <f>'KG1-1'!CI44</f>
        <v/>
      </c>
      <c r="D59">
        <f>'KG1-1'!CI43</f>
        <v/>
      </c>
      <c r="E59">
        <f>'KG1-1'!CI40</f>
        <v/>
      </c>
      <c r="F59">
        <f>'KG1-1'!CI41</f>
        <v/>
      </c>
      <c r="G59">
        <f>'KG1-1'!CI42</f>
        <v/>
      </c>
    </row>
    <row r="60">
      <c r="A60">
        <f>'KG1-1'!$B$2</f>
        <v/>
      </c>
      <c r="B60" s="126" t="n">
        <v>46345</v>
      </c>
      <c r="C60">
        <f>'KG1-1'!CJ44</f>
        <v/>
      </c>
      <c r="D60">
        <f>'KG1-1'!CJ43</f>
        <v/>
      </c>
      <c r="E60">
        <f>'KG1-1'!CJ40</f>
        <v/>
      </c>
      <c r="F60">
        <f>'KG1-1'!CJ41</f>
        <v/>
      </c>
      <c r="G60">
        <f>'KG1-1'!CJ42</f>
        <v/>
      </c>
    </row>
    <row r="61">
      <c r="A61">
        <f>'KG1-1'!$B$2</f>
        <v/>
      </c>
      <c r="B61" s="126" t="n">
        <v>46346</v>
      </c>
      <c r="C61">
        <f>'KG1-1'!CK44</f>
        <v/>
      </c>
      <c r="D61">
        <f>'KG1-1'!CK43</f>
        <v/>
      </c>
      <c r="E61">
        <f>'KG1-1'!CK40</f>
        <v/>
      </c>
      <c r="F61">
        <f>'KG1-1'!CK41</f>
        <v/>
      </c>
      <c r="G61">
        <f>'KG1-1'!CK42</f>
        <v/>
      </c>
    </row>
    <row r="62">
      <c r="A62">
        <f>'KG1-1'!$B$2</f>
        <v/>
      </c>
      <c r="B62" s="126" t="n">
        <v>46349</v>
      </c>
      <c r="C62">
        <f>'KG1-1'!CL44</f>
        <v/>
      </c>
      <c r="D62">
        <f>'KG1-1'!CL43</f>
        <v/>
      </c>
      <c r="E62">
        <f>'KG1-1'!CL40</f>
        <v/>
      </c>
      <c r="F62">
        <f>'KG1-1'!CL41</f>
        <v/>
      </c>
      <c r="G62">
        <f>'KG1-1'!CL42</f>
        <v/>
      </c>
    </row>
    <row r="63">
      <c r="A63">
        <f>'KG1-1'!$B$2</f>
        <v/>
      </c>
      <c r="B63" s="126" t="n">
        <v>46350</v>
      </c>
      <c r="C63">
        <f>'KG1-1'!CM44</f>
        <v/>
      </c>
      <c r="D63">
        <f>'KG1-1'!CM43</f>
        <v/>
      </c>
      <c r="E63">
        <f>'KG1-1'!CM40</f>
        <v/>
      </c>
      <c r="F63">
        <f>'KG1-1'!CM41</f>
        <v/>
      </c>
      <c r="G63">
        <f>'KG1-1'!CM42</f>
        <v/>
      </c>
    </row>
    <row r="64">
      <c r="A64">
        <f>'KG1-1'!$B$2</f>
        <v/>
      </c>
      <c r="B64" s="126" t="n">
        <v>46351</v>
      </c>
      <c r="C64">
        <f>'KG1-1'!CN44</f>
        <v/>
      </c>
      <c r="D64">
        <f>'KG1-1'!CN43</f>
        <v/>
      </c>
      <c r="E64">
        <f>'KG1-1'!CN40</f>
        <v/>
      </c>
      <c r="F64">
        <f>'KG1-1'!CN41</f>
        <v/>
      </c>
      <c r="G64">
        <f>'KG1-1'!CN42</f>
        <v/>
      </c>
    </row>
    <row r="65">
      <c r="A65">
        <f>'KG1-1'!$B$2</f>
        <v/>
      </c>
      <c r="B65" s="126" t="n">
        <v>46352</v>
      </c>
      <c r="C65">
        <f>'KG1-1'!CO44</f>
        <v/>
      </c>
      <c r="D65">
        <f>'KG1-1'!CO43</f>
        <v/>
      </c>
      <c r="E65">
        <f>'KG1-1'!CO40</f>
        <v/>
      </c>
      <c r="F65">
        <f>'KG1-1'!CO41</f>
        <v/>
      </c>
      <c r="G65">
        <f>'KG1-1'!CO42</f>
        <v/>
      </c>
    </row>
    <row r="66">
      <c r="A66">
        <f>'KG1-1'!$B$2</f>
        <v/>
      </c>
      <c r="B66" s="126" t="n">
        <v>46353</v>
      </c>
      <c r="C66">
        <f>'KG1-1'!CP44</f>
        <v/>
      </c>
      <c r="D66">
        <f>'KG1-1'!CP43</f>
        <v/>
      </c>
      <c r="E66">
        <f>'KG1-1'!CP40</f>
        <v/>
      </c>
      <c r="F66">
        <f>'KG1-1'!CP41</f>
        <v/>
      </c>
      <c r="G66">
        <f>'KG1-1'!CP42</f>
        <v/>
      </c>
    </row>
    <row r="67">
      <c r="A67">
        <f>'KG1-1'!$B$2</f>
        <v/>
      </c>
      <c r="B67" s="126" t="n">
        <v>46356</v>
      </c>
      <c r="C67">
        <f>'KG1-1'!CQ44</f>
        <v/>
      </c>
      <c r="D67">
        <f>'KG1-1'!CQ43</f>
        <v/>
      </c>
      <c r="E67">
        <f>'KG1-1'!CQ40</f>
        <v/>
      </c>
      <c r="F67">
        <f>'KG1-1'!CQ41</f>
        <v/>
      </c>
      <c r="G67">
        <f>'KG1-1'!CQ42</f>
        <v/>
      </c>
    </row>
    <row r="68">
      <c r="A68">
        <f>'KG1-1'!$B$2</f>
        <v/>
      </c>
      <c r="B68" s="126" t="n">
        <v>46357</v>
      </c>
      <c r="C68">
        <f>'KG1-1'!CR44</f>
        <v/>
      </c>
      <c r="D68">
        <f>'KG1-1'!CR43</f>
        <v/>
      </c>
      <c r="E68">
        <f>'KG1-1'!CR40</f>
        <v/>
      </c>
      <c r="F68">
        <f>'KG1-1'!CR41</f>
        <v/>
      </c>
      <c r="G68">
        <f>'KG1-1'!CR42</f>
        <v/>
      </c>
    </row>
    <row r="69">
      <c r="A69">
        <f>'KG1-1'!$B$2</f>
        <v/>
      </c>
      <c r="B69" s="126" t="n">
        <v>46358</v>
      </c>
      <c r="C69">
        <f>'KG1-1'!CS44</f>
        <v/>
      </c>
      <c r="D69">
        <f>'KG1-1'!CS43</f>
        <v/>
      </c>
      <c r="E69">
        <f>'KG1-1'!CS40</f>
        <v/>
      </c>
      <c r="F69">
        <f>'KG1-1'!CS41</f>
        <v/>
      </c>
      <c r="G69">
        <f>'KG1-1'!CS42</f>
        <v/>
      </c>
    </row>
    <row r="70">
      <c r="A70">
        <f>'KG1-1'!$B$2</f>
        <v/>
      </c>
      <c r="B70" s="126" t="n">
        <v>46359</v>
      </c>
      <c r="C70">
        <f>'KG1-1'!CT44</f>
        <v/>
      </c>
      <c r="D70">
        <f>'KG1-1'!CT43</f>
        <v/>
      </c>
      <c r="E70">
        <f>'KG1-1'!CT40</f>
        <v/>
      </c>
      <c r="F70">
        <f>'KG1-1'!CT41</f>
        <v/>
      </c>
      <c r="G70">
        <f>'KG1-1'!CT42</f>
        <v/>
      </c>
    </row>
    <row r="71">
      <c r="A71">
        <f>'KG1-1'!$B$2</f>
        <v/>
      </c>
      <c r="B71" s="126" t="n">
        <v>46360</v>
      </c>
      <c r="C71">
        <f>'KG1-1'!CU44</f>
        <v/>
      </c>
      <c r="D71">
        <f>'KG1-1'!CU43</f>
        <v/>
      </c>
      <c r="E71">
        <f>'KG1-1'!CU40</f>
        <v/>
      </c>
      <c r="F71">
        <f>'KG1-1'!CU41</f>
        <v/>
      </c>
      <c r="G71">
        <f>'KG1-1'!CU42</f>
        <v/>
      </c>
    </row>
    <row r="72">
      <c r="A72">
        <f>'KG1-1'!$B$2</f>
        <v/>
      </c>
      <c r="B72" s="126" t="n">
        <v>46363</v>
      </c>
      <c r="C72">
        <f>'KG1-1'!CV44</f>
        <v/>
      </c>
      <c r="D72">
        <f>'KG1-1'!CV43</f>
        <v/>
      </c>
      <c r="E72">
        <f>'KG1-1'!CV40</f>
        <v/>
      </c>
      <c r="F72">
        <f>'KG1-1'!CV41</f>
        <v/>
      </c>
      <c r="G72">
        <f>'KG1-1'!CV42</f>
        <v/>
      </c>
    </row>
    <row r="73">
      <c r="A73">
        <f>'KG1-1'!$B$2</f>
        <v/>
      </c>
      <c r="B73" s="126" t="n">
        <v>46364</v>
      </c>
      <c r="C73">
        <f>'KG1-1'!CW44</f>
        <v/>
      </c>
      <c r="D73">
        <f>'KG1-1'!CW43</f>
        <v/>
      </c>
      <c r="E73">
        <f>'KG1-1'!CW40</f>
        <v/>
      </c>
      <c r="F73">
        <f>'KG1-1'!CW41</f>
        <v/>
      </c>
      <c r="G73">
        <f>'KG1-1'!CW42</f>
        <v/>
      </c>
    </row>
    <row r="74">
      <c r="A74">
        <f>'KG1-1'!$B$2</f>
        <v/>
      </c>
      <c r="B74" s="126" t="n">
        <v>46365</v>
      </c>
      <c r="C74">
        <f>'KG1-1'!CX44</f>
        <v/>
      </c>
      <c r="D74">
        <f>'KG1-1'!CX43</f>
        <v/>
      </c>
      <c r="E74">
        <f>'KG1-1'!CX40</f>
        <v/>
      </c>
      <c r="F74">
        <f>'KG1-1'!CX41</f>
        <v/>
      </c>
      <c r="G74">
        <f>'KG1-1'!CX42</f>
        <v/>
      </c>
    </row>
    <row r="75">
      <c r="A75">
        <f>'KG1-1'!$B$2</f>
        <v/>
      </c>
      <c r="B75" s="126" t="n">
        <v>46366</v>
      </c>
      <c r="C75">
        <f>'KG1-1'!CY44</f>
        <v/>
      </c>
      <c r="D75">
        <f>'KG1-1'!CY43</f>
        <v/>
      </c>
      <c r="E75">
        <f>'KG1-1'!CY40</f>
        <v/>
      </c>
      <c r="F75">
        <f>'KG1-1'!CY41</f>
        <v/>
      </c>
      <c r="G75">
        <f>'KG1-1'!CY42</f>
        <v/>
      </c>
    </row>
    <row r="76">
      <c r="A76">
        <f>'KG1-1'!$B$2</f>
        <v/>
      </c>
      <c r="B76" s="126" t="n">
        <v>46367</v>
      </c>
      <c r="C76">
        <f>'KG1-1'!CZ44</f>
        <v/>
      </c>
      <c r="D76">
        <f>'KG1-1'!CZ43</f>
        <v/>
      </c>
      <c r="E76">
        <f>'KG1-1'!CZ40</f>
        <v/>
      </c>
      <c r="F76">
        <f>'KG1-1'!CZ41</f>
        <v/>
      </c>
      <c r="G76">
        <f>'KG1-1'!CZ42</f>
        <v/>
      </c>
    </row>
    <row r="77">
      <c r="A77">
        <f>'KG1-1'!$B$2</f>
        <v/>
      </c>
      <c r="B77" s="126" t="n">
        <v>46370</v>
      </c>
      <c r="C77">
        <f>'KG1-1'!DA44</f>
        <v/>
      </c>
      <c r="D77">
        <f>'KG1-1'!DA43</f>
        <v/>
      </c>
      <c r="E77">
        <f>'KG1-1'!DA40</f>
        <v/>
      </c>
      <c r="F77">
        <f>'KG1-1'!DA41</f>
        <v/>
      </c>
      <c r="G77">
        <f>'KG1-1'!DA42</f>
        <v/>
      </c>
    </row>
    <row r="78">
      <c r="A78">
        <f>'KG1-1'!$B$2</f>
        <v/>
      </c>
      <c r="B78" s="126" t="n">
        <v>46371</v>
      </c>
      <c r="C78">
        <f>'KG1-1'!DB44</f>
        <v/>
      </c>
      <c r="D78">
        <f>'KG1-1'!DB43</f>
        <v/>
      </c>
      <c r="E78">
        <f>'KG1-1'!DB40</f>
        <v/>
      </c>
      <c r="F78">
        <f>'KG1-1'!DB41</f>
        <v/>
      </c>
      <c r="G78">
        <f>'KG1-1'!DB42</f>
        <v/>
      </c>
    </row>
    <row r="79">
      <c r="A79">
        <f>'KG1-1'!$B$2</f>
        <v/>
      </c>
      <c r="B79" s="126" t="n">
        <v>46372</v>
      </c>
      <c r="C79">
        <f>'KG1-1'!DC44</f>
        <v/>
      </c>
      <c r="D79">
        <f>'KG1-1'!DC43</f>
        <v/>
      </c>
      <c r="E79">
        <f>'KG1-1'!DC40</f>
        <v/>
      </c>
      <c r="F79">
        <f>'KG1-1'!DC41</f>
        <v/>
      </c>
      <c r="G79">
        <f>'KG1-1'!DC42</f>
        <v/>
      </c>
    </row>
    <row r="80">
      <c r="A80">
        <f>'KG1-1'!$B$2</f>
        <v/>
      </c>
      <c r="B80" s="126" t="n">
        <v>46373</v>
      </c>
      <c r="C80">
        <f>'KG1-1'!DD44</f>
        <v/>
      </c>
      <c r="D80">
        <f>'KG1-1'!DD43</f>
        <v/>
      </c>
      <c r="E80">
        <f>'KG1-1'!DD40</f>
        <v/>
      </c>
      <c r="F80">
        <f>'KG1-1'!DD41</f>
        <v/>
      </c>
      <c r="G80">
        <f>'KG1-1'!DD42</f>
        <v/>
      </c>
    </row>
    <row r="81">
      <c r="A81">
        <f>'KG1-1'!$B$2</f>
        <v/>
      </c>
      <c r="B81" s="126" t="n">
        <v>46374</v>
      </c>
      <c r="C81">
        <f>'KG1-1'!DE44</f>
        <v/>
      </c>
      <c r="D81">
        <f>'KG1-1'!DE43</f>
        <v/>
      </c>
      <c r="E81">
        <f>'KG1-1'!DE40</f>
        <v/>
      </c>
      <c r="F81">
        <f>'KG1-1'!DE41</f>
        <v/>
      </c>
      <c r="G81">
        <f>'KG1-1'!DE42</f>
        <v/>
      </c>
    </row>
    <row r="82">
      <c r="A82">
        <f>'KG1-1'!$B$2</f>
        <v/>
      </c>
      <c r="B82" s="126" t="n">
        <v>46377</v>
      </c>
      <c r="C82">
        <f>'KG1-1'!DF44</f>
        <v/>
      </c>
      <c r="D82">
        <f>'KG1-1'!DF43</f>
        <v/>
      </c>
      <c r="E82">
        <f>'KG1-1'!DF40</f>
        <v/>
      </c>
      <c r="F82">
        <f>'KG1-1'!DF41</f>
        <v/>
      </c>
      <c r="G82">
        <f>'KG1-1'!DF42</f>
        <v/>
      </c>
    </row>
    <row r="83">
      <c r="A83">
        <f>'KG1-1'!$B$2</f>
        <v/>
      </c>
      <c r="B83" s="126" t="n">
        <v>46378</v>
      </c>
      <c r="C83">
        <f>'KG1-1'!DG44</f>
        <v/>
      </c>
      <c r="D83">
        <f>'KG1-1'!DG43</f>
        <v/>
      </c>
      <c r="E83">
        <f>'KG1-1'!DG40</f>
        <v/>
      </c>
      <c r="F83">
        <f>'KG1-1'!DG41</f>
        <v/>
      </c>
      <c r="G83">
        <f>'KG1-1'!DG42</f>
        <v/>
      </c>
    </row>
    <row r="84">
      <c r="A84">
        <f>'KG1-1'!$B$2</f>
        <v/>
      </c>
      <c r="B84" s="126" t="n">
        <v>46379</v>
      </c>
      <c r="C84">
        <f>'KG1-1'!DH44</f>
        <v/>
      </c>
      <c r="D84">
        <f>'KG1-1'!DH43</f>
        <v/>
      </c>
      <c r="E84">
        <f>'KG1-1'!DH40</f>
        <v/>
      </c>
      <c r="F84">
        <f>'KG1-1'!DH41</f>
        <v/>
      </c>
      <c r="G84">
        <f>'KG1-1'!DH42</f>
        <v/>
      </c>
    </row>
    <row r="85">
      <c r="A85">
        <f>'KG1-1'!$B$2</f>
        <v/>
      </c>
      <c r="B85" s="126" t="n">
        <v>46380</v>
      </c>
      <c r="C85">
        <f>'KG1-1'!DI44</f>
        <v/>
      </c>
      <c r="D85">
        <f>'KG1-1'!DI43</f>
        <v/>
      </c>
      <c r="E85">
        <f>'KG1-1'!DI40</f>
        <v/>
      </c>
      <c r="F85">
        <f>'KG1-1'!DI41</f>
        <v/>
      </c>
      <c r="G85">
        <f>'KG1-1'!DI42</f>
        <v/>
      </c>
    </row>
    <row r="86">
      <c r="A86">
        <f>'KG1-1'!$B$2</f>
        <v/>
      </c>
      <c r="B86" s="126" t="n">
        <v>46381</v>
      </c>
      <c r="C86">
        <f>'KG1-1'!DJ44</f>
        <v/>
      </c>
      <c r="D86">
        <f>'KG1-1'!DJ43</f>
        <v/>
      </c>
      <c r="E86">
        <f>'KG1-1'!DJ40</f>
        <v/>
      </c>
      <c r="F86">
        <f>'KG1-1'!DJ41</f>
        <v/>
      </c>
      <c r="G86">
        <f>'KG1-1'!DJ42</f>
        <v/>
      </c>
    </row>
    <row r="87">
      <c r="A87">
        <f>'KG1-1'!$B$2</f>
        <v/>
      </c>
      <c r="B87" s="126" t="n">
        <v>46384</v>
      </c>
      <c r="C87">
        <f>'KG1-1'!DK44</f>
        <v/>
      </c>
      <c r="D87">
        <f>'KG1-1'!DK43</f>
        <v/>
      </c>
      <c r="E87">
        <f>'KG1-1'!DK40</f>
        <v/>
      </c>
      <c r="F87">
        <f>'KG1-1'!DK41</f>
        <v/>
      </c>
      <c r="G87">
        <f>'KG1-1'!DK42</f>
        <v/>
      </c>
    </row>
    <row r="88">
      <c r="A88">
        <f>'KG1-1'!$B$2</f>
        <v/>
      </c>
      <c r="B88" s="126" t="n">
        <v>46385</v>
      </c>
      <c r="C88">
        <f>'KG1-1'!DL44</f>
        <v/>
      </c>
      <c r="D88">
        <f>'KG1-1'!DL43</f>
        <v/>
      </c>
      <c r="E88">
        <f>'KG1-1'!DL40</f>
        <v/>
      </c>
      <c r="F88">
        <f>'KG1-1'!DL41</f>
        <v/>
      </c>
      <c r="G88">
        <f>'KG1-1'!DL42</f>
        <v/>
      </c>
    </row>
    <row r="89">
      <c r="A89">
        <f>'KG1-1'!$B$2</f>
        <v/>
      </c>
      <c r="B89" s="126" t="n">
        <v>46386</v>
      </c>
      <c r="C89">
        <f>'KG1-1'!DM44</f>
        <v/>
      </c>
      <c r="D89">
        <f>'KG1-1'!DM43</f>
        <v/>
      </c>
      <c r="E89">
        <f>'KG1-1'!DM40</f>
        <v/>
      </c>
      <c r="F89">
        <f>'KG1-1'!DM41</f>
        <v/>
      </c>
      <c r="G89">
        <f>'KG1-1'!DM42</f>
        <v/>
      </c>
    </row>
    <row r="90">
      <c r="A90">
        <f>'KG1-1'!$B$2</f>
        <v/>
      </c>
      <c r="B90" s="126" t="n">
        <v>46387</v>
      </c>
      <c r="C90">
        <f>'KG1-1'!DN44</f>
        <v/>
      </c>
      <c r="D90">
        <f>'KG1-1'!DN43</f>
        <v/>
      </c>
      <c r="E90">
        <f>'KG1-1'!DN40</f>
        <v/>
      </c>
      <c r="F90">
        <f>'KG1-1'!DN41</f>
        <v/>
      </c>
      <c r="G90">
        <f>'KG1-1'!DN42</f>
        <v/>
      </c>
    </row>
    <row r="91">
      <c r="A91">
        <f>'KG1-1'!$B$2</f>
        <v/>
      </c>
      <c r="B91" s="126" t="n">
        <v>46388</v>
      </c>
      <c r="C91">
        <f>'KG1-1'!DO44</f>
        <v/>
      </c>
      <c r="D91">
        <f>'KG1-1'!DO43</f>
        <v/>
      </c>
      <c r="E91">
        <f>'KG1-1'!DO40</f>
        <v/>
      </c>
      <c r="F91">
        <f>'KG1-1'!DO41</f>
        <v/>
      </c>
      <c r="G91">
        <f>'KG1-1'!DO42</f>
        <v/>
      </c>
    </row>
    <row r="92">
      <c r="A92">
        <f>'KG1-1'!$B$2</f>
        <v/>
      </c>
      <c r="B92" s="126" t="n">
        <v>46391</v>
      </c>
      <c r="C92">
        <f>'KG1-1'!DP44</f>
        <v/>
      </c>
      <c r="D92">
        <f>'KG1-1'!DP43</f>
        <v/>
      </c>
      <c r="E92">
        <f>'KG1-1'!DP40</f>
        <v/>
      </c>
      <c r="F92">
        <f>'KG1-1'!DP41</f>
        <v/>
      </c>
      <c r="G92">
        <f>'KG1-1'!DP42</f>
        <v/>
      </c>
    </row>
    <row r="93">
      <c r="A93">
        <f>'KG1-1'!$B$2</f>
        <v/>
      </c>
      <c r="B93" s="126" t="n">
        <v>46392</v>
      </c>
      <c r="C93">
        <f>'KG1-1'!DQ44</f>
        <v/>
      </c>
      <c r="D93">
        <f>'KG1-1'!DQ43</f>
        <v/>
      </c>
      <c r="E93">
        <f>'KG1-1'!DQ40</f>
        <v/>
      </c>
      <c r="F93">
        <f>'KG1-1'!DQ41</f>
        <v/>
      </c>
      <c r="G93">
        <f>'KG1-1'!DQ42</f>
        <v/>
      </c>
    </row>
    <row r="94">
      <c r="A94">
        <f>'KG1-1'!$B$2</f>
        <v/>
      </c>
      <c r="B94" s="126" t="n">
        <v>46393</v>
      </c>
      <c r="C94">
        <f>'KG1-1'!DR44</f>
        <v/>
      </c>
      <c r="D94">
        <f>'KG1-1'!DR43</f>
        <v/>
      </c>
      <c r="E94">
        <f>'KG1-1'!DR40</f>
        <v/>
      </c>
      <c r="F94">
        <f>'KG1-1'!DR41</f>
        <v/>
      </c>
      <c r="G94">
        <f>'KG1-1'!DR42</f>
        <v/>
      </c>
    </row>
    <row r="95">
      <c r="A95">
        <f>'KG1-1'!$B$2</f>
        <v/>
      </c>
      <c r="B95" s="126" t="n">
        <v>46394</v>
      </c>
      <c r="C95">
        <f>'KG1-1'!DS44</f>
        <v/>
      </c>
      <c r="D95">
        <f>'KG1-1'!DS43</f>
        <v/>
      </c>
      <c r="E95">
        <f>'KG1-1'!DS40</f>
        <v/>
      </c>
      <c r="F95">
        <f>'KG1-1'!DS41</f>
        <v/>
      </c>
      <c r="G95">
        <f>'KG1-1'!DS42</f>
        <v/>
      </c>
    </row>
    <row r="96">
      <c r="A96">
        <f>'KG1-1'!$B$2</f>
        <v/>
      </c>
      <c r="B96" s="126" t="n">
        <v>46395</v>
      </c>
      <c r="C96">
        <f>'KG1-1'!DT44</f>
        <v/>
      </c>
      <c r="D96">
        <f>'KG1-1'!DT43</f>
        <v/>
      </c>
      <c r="E96">
        <f>'KG1-1'!DT40</f>
        <v/>
      </c>
      <c r="F96">
        <f>'KG1-1'!DT41</f>
        <v/>
      </c>
      <c r="G96">
        <f>'KG1-1'!DT42</f>
        <v/>
      </c>
    </row>
    <row r="97">
      <c r="A97">
        <f>'KG1-1'!$B$2</f>
        <v/>
      </c>
      <c r="B97" s="126" t="n">
        <v>46398</v>
      </c>
      <c r="C97">
        <f>'KG1-1'!DU44</f>
        <v/>
      </c>
      <c r="D97">
        <f>'KG1-1'!DU43</f>
        <v/>
      </c>
      <c r="E97">
        <f>'KG1-1'!DU40</f>
        <v/>
      </c>
      <c r="F97">
        <f>'KG1-1'!DU41</f>
        <v/>
      </c>
      <c r="G97">
        <f>'KG1-1'!DU42</f>
        <v/>
      </c>
    </row>
    <row r="98">
      <c r="A98">
        <f>'KG1-1'!$B$2</f>
        <v/>
      </c>
      <c r="B98" s="126" t="n">
        <v>46399</v>
      </c>
      <c r="C98">
        <f>'KG1-1'!DV44</f>
        <v/>
      </c>
      <c r="D98">
        <f>'KG1-1'!DV43</f>
        <v/>
      </c>
      <c r="E98">
        <f>'KG1-1'!DV40</f>
        <v/>
      </c>
      <c r="F98">
        <f>'KG1-1'!DV41</f>
        <v/>
      </c>
      <c r="G98">
        <f>'KG1-1'!DV42</f>
        <v/>
      </c>
    </row>
    <row r="99">
      <c r="A99">
        <f>'KG1-1'!$B$2</f>
        <v/>
      </c>
      <c r="B99" s="126" t="n">
        <v>46400</v>
      </c>
      <c r="C99">
        <f>'KG1-1'!DW44</f>
        <v/>
      </c>
      <c r="D99">
        <f>'KG1-1'!DW43</f>
        <v/>
      </c>
      <c r="E99">
        <f>'KG1-1'!DW40</f>
        <v/>
      </c>
      <c r="F99">
        <f>'KG1-1'!DW41</f>
        <v/>
      </c>
      <c r="G99">
        <f>'KG1-1'!DW42</f>
        <v/>
      </c>
    </row>
    <row r="100">
      <c r="A100">
        <f>'KG1-1'!$B$2</f>
        <v/>
      </c>
      <c r="B100" s="126" t="n">
        <v>46401</v>
      </c>
      <c r="C100">
        <f>'KG1-1'!DX44</f>
        <v/>
      </c>
      <c r="D100">
        <f>'KG1-1'!DX43</f>
        <v/>
      </c>
      <c r="E100">
        <f>'KG1-1'!DX40</f>
        <v/>
      </c>
      <c r="F100">
        <f>'KG1-1'!DX41</f>
        <v/>
      </c>
      <c r="G100">
        <f>'KG1-1'!DX42</f>
        <v/>
      </c>
    </row>
    <row r="101">
      <c r="A101">
        <f>'KG1-1'!$B$2</f>
        <v/>
      </c>
      <c r="B101" s="126" t="n">
        <v>46402</v>
      </c>
      <c r="C101">
        <f>'KG1-1'!DY44</f>
        <v/>
      </c>
      <c r="D101">
        <f>'KG1-1'!DY43</f>
        <v/>
      </c>
      <c r="E101">
        <f>'KG1-1'!DY40</f>
        <v/>
      </c>
      <c r="F101">
        <f>'KG1-1'!DY41</f>
        <v/>
      </c>
      <c r="G101">
        <f>'KG1-1'!DY42</f>
        <v/>
      </c>
    </row>
    <row r="102">
      <c r="A102">
        <f>'KG1-1'!$B$2</f>
        <v/>
      </c>
      <c r="B102" s="126" t="n">
        <v>46405</v>
      </c>
      <c r="C102">
        <f>'KG1-1'!DZ44</f>
        <v/>
      </c>
      <c r="D102">
        <f>'KG1-1'!DZ43</f>
        <v/>
      </c>
      <c r="E102">
        <f>'KG1-1'!DZ40</f>
        <v/>
      </c>
      <c r="F102">
        <f>'KG1-1'!DZ41</f>
        <v/>
      </c>
      <c r="G102">
        <f>'KG1-1'!DZ42</f>
        <v/>
      </c>
    </row>
    <row r="103">
      <c r="A103">
        <f>'KG1-1'!$B$2</f>
        <v/>
      </c>
      <c r="B103" s="126" t="n">
        <v>46406</v>
      </c>
      <c r="C103">
        <f>'KG1-1'!EA44</f>
        <v/>
      </c>
      <c r="D103">
        <f>'KG1-1'!EA43</f>
        <v/>
      </c>
      <c r="E103">
        <f>'KG1-1'!EA40</f>
        <v/>
      </c>
      <c r="F103">
        <f>'KG1-1'!EA41</f>
        <v/>
      </c>
      <c r="G103">
        <f>'KG1-1'!EA42</f>
        <v/>
      </c>
    </row>
    <row r="104">
      <c r="A104">
        <f>'KG1-1'!$B$2</f>
        <v/>
      </c>
      <c r="B104" s="126" t="n">
        <v>46407</v>
      </c>
      <c r="C104">
        <f>'KG1-1'!EB44</f>
        <v/>
      </c>
      <c r="D104">
        <f>'KG1-1'!EB43</f>
        <v/>
      </c>
      <c r="E104">
        <f>'KG1-1'!EB40</f>
        <v/>
      </c>
      <c r="F104">
        <f>'KG1-1'!EB41</f>
        <v/>
      </c>
      <c r="G104">
        <f>'KG1-1'!EB42</f>
        <v/>
      </c>
    </row>
    <row r="105">
      <c r="A105">
        <f>'KG1-1'!$B$2</f>
        <v/>
      </c>
      <c r="B105" s="126" t="n">
        <v>46408</v>
      </c>
      <c r="C105">
        <f>'KG1-1'!EC44</f>
        <v/>
      </c>
      <c r="D105">
        <f>'KG1-1'!EC43</f>
        <v/>
      </c>
      <c r="E105">
        <f>'KG1-1'!EC40</f>
        <v/>
      </c>
      <c r="F105">
        <f>'KG1-1'!EC41</f>
        <v/>
      </c>
      <c r="G105">
        <f>'KG1-1'!EC42</f>
        <v/>
      </c>
    </row>
    <row r="106">
      <c r="A106">
        <f>'KG1-1'!$B$2</f>
        <v/>
      </c>
      <c r="B106" s="126" t="n">
        <v>46409</v>
      </c>
      <c r="C106">
        <f>'KG1-1'!ED44</f>
        <v/>
      </c>
      <c r="D106">
        <f>'KG1-1'!ED43</f>
        <v/>
      </c>
      <c r="E106">
        <f>'KG1-1'!ED40</f>
        <v/>
      </c>
      <c r="F106">
        <f>'KG1-1'!ED41</f>
        <v/>
      </c>
      <c r="G106">
        <f>'KG1-1'!ED42</f>
        <v/>
      </c>
    </row>
    <row r="107">
      <c r="A107">
        <f>'KG1-1'!$B$2</f>
        <v/>
      </c>
      <c r="B107" s="126" t="n">
        <v>46412</v>
      </c>
      <c r="C107">
        <f>'KG1-1'!EE44</f>
        <v/>
      </c>
      <c r="D107">
        <f>'KG1-1'!EE43</f>
        <v/>
      </c>
      <c r="E107">
        <f>'KG1-1'!EE40</f>
        <v/>
      </c>
      <c r="F107">
        <f>'KG1-1'!EE41</f>
        <v/>
      </c>
      <c r="G107">
        <f>'KG1-1'!EE42</f>
        <v/>
      </c>
    </row>
    <row r="108">
      <c r="A108">
        <f>'KG1-1'!$B$2</f>
        <v/>
      </c>
      <c r="B108" s="126" t="n">
        <v>46413</v>
      </c>
      <c r="C108">
        <f>'KG1-1'!EF44</f>
        <v/>
      </c>
      <c r="D108">
        <f>'KG1-1'!EF43</f>
        <v/>
      </c>
      <c r="E108">
        <f>'KG1-1'!EF40</f>
        <v/>
      </c>
      <c r="F108">
        <f>'KG1-1'!EF41</f>
        <v/>
      </c>
      <c r="G108">
        <f>'KG1-1'!EF42</f>
        <v/>
      </c>
    </row>
    <row r="109">
      <c r="A109">
        <f>'KG1-1'!$B$2</f>
        <v/>
      </c>
      <c r="B109" s="126" t="n">
        <v>46414</v>
      </c>
      <c r="C109">
        <f>'KG1-1'!EG44</f>
        <v/>
      </c>
      <c r="D109">
        <f>'KG1-1'!EG43</f>
        <v/>
      </c>
      <c r="E109">
        <f>'KG1-1'!EG40</f>
        <v/>
      </c>
      <c r="F109">
        <f>'KG1-1'!EG41</f>
        <v/>
      </c>
      <c r="G109">
        <f>'KG1-1'!EG42</f>
        <v/>
      </c>
    </row>
    <row r="110">
      <c r="A110">
        <f>'KG1-1'!$B$2</f>
        <v/>
      </c>
      <c r="B110" s="126" t="n">
        <v>46415</v>
      </c>
      <c r="C110">
        <f>'KG1-1'!EH44</f>
        <v/>
      </c>
      <c r="D110">
        <f>'KG1-1'!EH43</f>
        <v/>
      </c>
      <c r="E110">
        <f>'KG1-1'!EH40</f>
        <v/>
      </c>
      <c r="F110">
        <f>'KG1-1'!EH41</f>
        <v/>
      </c>
      <c r="G110">
        <f>'KG1-1'!EH42</f>
        <v/>
      </c>
    </row>
    <row r="111">
      <c r="A111">
        <f>'KG1-1'!$B$2</f>
        <v/>
      </c>
      <c r="B111" s="126" t="n">
        <v>46416</v>
      </c>
      <c r="C111">
        <f>'KG1-1'!EI44</f>
        <v/>
      </c>
      <c r="D111">
        <f>'KG1-1'!EI43</f>
        <v/>
      </c>
      <c r="E111">
        <f>'KG1-1'!EI40</f>
        <v/>
      </c>
      <c r="F111">
        <f>'KG1-1'!EI41</f>
        <v/>
      </c>
      <c r="G111">
        <f>'KG1-1'!EI42</f>
        <v/>
      </c>
    </row>
    <row r="112">
      <c r="A112">
        <f>'KG1-1'!$B$2</f>
        <v/>
      </c>
      <c r="B112" s="126" t="n">
        <v>46419</v>
      </c>
      <c r="C112">
        <f>'KG1-1'!EJ44</f>
        <v/>
      </c>
      <c r="D112">
        <f>'KG1-1'!EJ43</f>
        <v/>
      </c>
      <c r="E112">
        <f>'KG1-1'!EJ40</f>
        <v/>
      </c>
      <c r="F112">
        <f>'KG1-1'!EJ41</f>
        <v/>
      </c>
      <c r="G112">
        <f>'KG1-1'!EJ42</f>
        <v/>
      </c>
    </row>
    <row r="113">
      <c r="A113">
        <f>'KG1-1'!$B$2</f>
        <v/>
      </c>
      <c r="B113" s="126" t="n">
        <v>46420</v>
      </c>
      <c r="C113">
        <f>'KG1-1'!EK44</f>
        <v/>
      </c>
      <c r="D113">
        <f>'KG1-1'!EK43</f>
        <v/>
      </c>
      <c r="E113">
        <f>'KG1-1'!EK40</f>
        <v/>
      </c>
      <c r="F113">
        <f>'KG1-1'!EK41</f>
        <v/>
      </c>
      <c r="G113">
        <f>'KG1-1'!EK42</f>
        <v/>
      </c>
    </row>
    <row r="114">
      <c r="A114">
        <f>'KG1-1'!$B$2</f>
        <v/>
      </c>
      <c r="B114" s="126" t="n">
        <v>46421</v>
      </c>
      <c r="C114">
        <f>'KG1-1'!EL44</f>
        <v/>
      </c>
      <c r="D114">
        <f>'KG1-1'!EL43</f>
        <v/>
      </c>
      <c r="E114">
        <f>'KG1-1'!EL40</f>
        <v/>
      </c>
      <c r="F114">
        <f>'KG1-1'!EL41</f>
        <v/>
      </c>
      <c r="G114">
        <f>'KG1-1'!EL42</f>
        <v/>
      </c>
    </row>
    <row r="115">
      <c r="A115">
        <f>'KG1-1'!$B$2</f>
        <v/>
      </c>
      <c r="B115" s="126" t="n">
        <v>46422</v>
      </c>
      <c r="C115">
        <f>'KG1-1'!EM44</f>
        <v/>
      </c>
      <c r="D115">
        <f>'KG1-1'!EM43</f>
        <v/>
      </c>
      <c r="E115">
        <f>'KG1-1'!EM40</f>
        <v/>
      </c>
      <c r="F115">
        <f>'KG1-1'!EM41</f>
        <v/>
      </c>
      <c r="G115">
        <f>'KG1-1'!EM42</f>
        <v/>
      </c>
    </row>
    <row r="116">
      <c r="A116">
        <f>'KG1-1'!$B$2</f>
        <v/>
      </c>
      <c r="B116" s="126" t="n">
        <v>46423</v>
      </c>
      <c r="C116">
        <f>'KG1-1'!EN44</f>
        <v/>
      </c>
      <c r="D116">
        <f>'KG1-1'!EN43</f>
        <v/>
      </c>
      <c r="E116">
        <f>'KG1-1'!EN40</f>
        <v/>
      </c>
      <c r="F116">
        <f>'KG1-1'!EN41</f>
        <v/>
      </c>
      <c r="G116">
        <f>'KG1-1'!EN42</f>
        <v/>
      </c>
    </row>
    <row r="117">
      <c r="A117">
        <f>'KG1-1'!$B$2</f>
        <v/>
      </c>
      <c r="B117" s="126" t="n">
        <v>46426</v>
      </c>
      <c r="C117">
        <f>'KG1-1'!EO44</f>
        <v/>
      </c>
      <c r="D117">
        <f>'KG1-1'!EO43</f>
        <v/>
      </c>
      <c r="E117">
        <f>'KG1-1'!EO40</f>
        <v/>
      </c>
      <c r="F117">
        <f>'KG1-1'!EO41</f>
        <v/>
      </c>
      <c r="G117">
        <f>'KG1-1'!EO42</f>
        <v/>
      </c>
    </row>
    <row r="118">
      <c r="A118">
        <f>'KG1-1'!$B$2</f>
        <v/>
      </c>
      <c r="B118" s="126" t="n">
        <v>46427</v>
      </c>
      <c r="C118">
        <f>'KG1-1'!EP44</f>
        <v/>
      </c>
      <c r="D118">
        <f>'KG1-1'!EP43</f>
        <v/>
      </c>
      <c r="E118">
        <f>'KG1-1'!EP40</f>
        <v/>
      </c>
      <c r="F118">
        <f>'KG1-1'!EP41</f>
        <v/>
      </c>
      <c r="G118">
        <f>'KG1-1'!EP42</f>
        <v/>
      </c>
    </row>
    <row r="119">
      <c r="A119">
        <f>'KG1-1'!$B$2</f>
        <v/>
      </c>
      <c r="B119" s="126" t="n">
        <v>46428</v>
      </c>
      <c r="C119">
        <f>'KG1-1'!EQ44</f>
        <v/>
      </c>
      <c r="D119">
        <f>'KG1-1'!EQ43</f>
        <v/>
      </c>
      <c r="E119">
        <f>'KG1-1'!EQ40</f>
        <v/>
      </c>
      <c r="F119">
        <f>'KG1-1'!EQ41</f>
        <v/>
      </c>
      <c r="G119">
        <f>'KG1-1'!EQ42</f>
        <v/>
      </c>
    </row>
    <row r="120">
      <c r="A120">
        <f>'KG1-1'!$B$2</f>
        <v/>
      </c>
      <c r="B120" s="126" t="n">
        <v>46429</v>
      </c>
      <c r="C120">
        <f>'KG1-1'!ER44</f>
        <v/>
      </c>
      <c r="D120">
        <f>'KG1-1'!ER43</f>
        <v/>
      </c>
      <c r="E120">
        <f>'KG1-1'!ER40</f>
        <v/>
      </c>
      <c r="F120">
        <f>'KG1-1'!ER41</f>
        <v/>
      </c>
      <c r="G120">
        <f>'KG1-1'!ER42</f>
        <v/>
      </c>
    </row>
    <row r="121">
      <c r="A121">
        <f>'KG1-1'!$B$2</f>
        <v/>
      </c>
      <c r="B121" s="126" t="n">
        <v>46430</v>
      </c>
      <c r="C121">
        <f>'KG1-1'!ES44</f>
        <v/>
      </c>
      <c r="D121">
        <f>'KG1-1'!ES43</f>
        <v/>
      </c>
      <c r="E121">
        <f>'KG1-1'!ES40</f>
        <v/>
      </c>
      <c r="F121">
        <f>'KG1-1'!ES41</f>
        <v/>
      </c>
      <c r="G121">
        <f>'KG1-1'!ES42</f>
        <v/>
      </c>
    </row>
    <row r="122">
      <c r="A122">
        <f>'KG1-1'!$B$2</f>
        <v/>
      </c>
      <c r="B122" s="126" t="n">
        <v>46433</v>
      </c>
      <c r="C122">
        <f>'KG1-1'!ET44</f>
        <v/>
      </c>
      <c r="D122">
        <f>'KG1-1'!ET43</f>
        <v/>
      </c>
      <c r="E122">
        <f>'KG1-1'!ET40</f>
        <v/>
      </c>
      <c r="F122">
        <f>'KG1-1'!ET41</f>
        <v/>
      </c>
      <c r="G122">
        <f>'KG1-1'!ET42</f>
        <v/>
      </c>
    </row>
    <row r="123">
      <c r="A123">
        <f>'KG1-1'!$B$2</f>
        <v/>
      </c>
      <c r="B123" s="126" t="n">
        <v>46434</v>
      </c>
      <c r="C123">
        <f>'KG1-1'!EU44</f>
        <v/>
      </c>
      <c r="D123">
        <f>'KG1-1'!EU43</f>
        <v/>
      </c>
      <c r="E123">
        <f>'KG1-1'!EU40</f>
        <v/>
      </c>
      <c r="F123">
        <f>'KG1-1'!EU41</f>
        <v/>
      </c>
      <c r="G123">
        <f>'KG1-1'!EU42</f>
        <v/>
      </c>
    </row>
    <row r="124">
      <c r="A124">
        <f>'KG1-1'!$B$2</f>
        <v/>
      </c>
      <c r="B124" s="126" t="n">
        <v>46435</v>
      </c>
      <c r="C124">
        <f>'KG1-1'!EV44</f>
        <v/>
      </c>
      <c r="D124">
        <f>'KG1-1'!EV43</f>
        <v/>
      </c>
      <c r="E124">
        <f>'KG1-1'!EV40</f>
        <v/>
      </c>
      <c r="F124">
        <f>'KG1-1'!EV41</f>
        <v/>
      </c>
      <c r="G124">
        <f>'KG1-1'!EV42</f>
        <v/>
      </c>
    </row>
    <row r="125">
      <c r="A125">
        <f>'KG1-1'!$B$2</f>
        <v/>
      </c>
      <c r="B125" s="126" t="n">
        <v>46436</v>
      </c>
      <c r="C125">
        <f>'KG1-1'!EW44</f>
        <v/>
      </c>
      <c r="D125">
        <f>'KG1-1'!EW43</f>
        <v/>
      </c>
      <c r="E125">
        <f>'KG1-1'!EW40</f>
        <v/>
      </c>
      <c r="F125">
        <f>'KG1-1'!EW41</f>
        <v/>
      </c>
      <c r="G125">
        <f>'KG1-1'!EW42</f>
        <v/>
      </c>
    </row>
    <row r="126">
      <c r="A126">
        <f>'KG1-1'!$B$2</f>
        <v/>
      </c>
      <c r="B126" s="126" t="n">
        <v>46437</v>
      </c>
      <c r="C126">
        <f>'KG1-1'!EX44</f>
        <v/>
      </c>
      <c r="D126">
        <f>'KG1-1'!EX43</f>
        <v/>
      </c>
      <c r="E126">
        <f>'KG1-1'!EX40</f>
        <v/>
      </c>
      <c r="F126">
        <f>'KG1-1'!EX41</f>
        <v/>
      </c>
      <c r="G126">
        <f>'KG1-1'!EX42</f>
        <v/>
      </c>
    </row>
    <row r="127">
      <c r="A127">
        <f>'KG1-1'!$B$2</f>
        <v/>
      </c>
      <c r="B127" s="126" t="n">
        <v>46440</v>
      </c>
      <c r="C127">
        <f>'KG1-1'!EY44</f>
        <v/>
      </c>
      <c r="D127">
        <f>'KG1-1'!EY43</f>
        <v/>
      </c>
      <c r="E127">
        <f>'KG1-1'!EY40</f>
        <v/>
      </c>
      <c r="F127">
        <f>'KG1-1'!EY41</f>
        <v/>
      </c>
      <c r="G127">
        <f>'KG1-1'!EY42</f>
        <v/>
      </c>
    </row>
    <row r="128">
      <c r="A128">
        <f>'KG1-1'!$B$2</f>
        <v/>
      </c>
      <c r="B128" s="126" t="n">
        <v>46441</v>
      </c>
      <c r="C128">
        <f>'KG1-1'!EZ44</f>
        <v/>
      </c>
      <c r="D128">
        <f>'KG1-1'!EZ43</f>
        <v/>
      </c>
      <c r="E128">
        <f>'KG1-1'!EZ40</f>
        <v/>
      </c>
      <c r="F128">
        <f>'KG1-1'!EZ41</f>
        <v/>
      </c>
      <c r="G128">
        <f>'KG1-1'!EZ42</f>
        <v/>
      </c>
    </row>
    <row r="129">
      <c r="A129">
        <f>'KG1-1'!$B$2</f>
        <v/>
      </c>
      <c r="B129" s="126" t="n">
        <v>46442</v>
      </c>
      <c r="C129">
        <f>'KG1-1'!FA44</f>
        <v/>
      </c>
      <c r="D129">
        <f>'KG1-1'!FA43</f>
        <v/>
      </c>
      <c r="E129">
        <f>'KG1-1'!FA40</f>
        <v/>
      </c>
      <c r="F129">
        <f>'KG1-1'!FA41</f>
        <v/>
      </c>
      <c r="G129">
        <f>'KG1-1'!FA42</f>
        <v/>
      </c>
    </row>
    <row r="130">
      <c r="A130">
        <f>'KG1-1'!$B$2</f>
        <v/>
      </c>
      <c r="B130" s="126" t="n">
        <v>46443</v>
      </c>
      <c r="C130">
        <f>'KG1-1'!FB44</f>
        <v/>
      </c>
      <c r="D130">
        <f>'KG1-1'!FB43</f>
        <v/>
      </c>
      <c r="E130">
        <f>'KG1-1'!FB40</f>
        <v/>
      </c>
      <c r="F130">
        <f>'KG1-1'!FB41</f>
        <v/>
      </c>
      <c r="G130">
        <f>'KG1-1'!FB42</f>
        <v/>
      </c>
    </row>
    <row r="131">
      <c r="A131">
        <f>'KG1-1'!$B$2</f>
        <v/>
      </c>
      <c r="B131" s="126" t="n">
        <v>46444</v>
      </c>
      <c r="C131">
        <f>'KG1-1'!FC44</f>
        <v/>
      </c>
      <c r="D131">
        <f>'KG1-1'!FC43</f>
        <v/>
      </c>
      <c r="E131">
        <f>'KG1-1'!FC40</f>
        <v/>
      </c>
      <c r="F131">
        <f>'KG1-1'!FC41</f>
        <v/>
      </c>
      <c r="G131">
        <f>'KG1-1'!FC42</f>
        <v/>
      </c>
    </row>
    <row r="132">
      <c r="A132">
        <f>'KG1-1'!$B$2</f>
        <v/>
      </c>
      <c r="B132" s="126" t="n">
        <v>46447</v>
      </c>
      <c r="C132">
        <f>'KG1-1'!FD44</f>
        <v/>
      </c>
      <c r="D132">
        <f>'KG1-1'!FD43</f>
        <v/>
      </c>
      <c r="E132">
        <f>'KG1-1'!FD40</f>
        <v/>
      </c>
      <c r="F132">
        <f>'KG1-1'!FD41</f>
        <v/>
      </c>
      <c r="G132">
        <f>'KG1-1'!FD42</f>
        <v/>
      </c>
    </row>
    <row r="133">
      <c r="A133">
        <f>'KG1-1'!$B$2</f>
        <v/>
      </c>
      <c r="B133" s="126" t="n">
        <v>46448</v>
      </c>
      <c r="C133">
        <f>'KG1-1'!FE44</f>
        <v/>
      </c>
      <c r="D133">
        <f>'KG1-1'!FE43</f>
        <v/>
      </c>
      <c r="E133">
        <f>'KG1-1'!FE40</f>
        <v/>
      </c>
      <c r="F133">
        <f>'KG1-1'!FE41</f>
        <v/>
      </c>
      <c r="G133">
        <f>'KG1-1'!FE42</f>
        <v/>
      </c>
    </row>
    <row r="134">
      <c r="A134">
        <f>'KG1-1'!$B$2</f>
        <v/>
      </c>
      <c r="B134" s="126" t="n">
        <v>46449</v>
      </c>
      <c r="C134">
        <f>'KG1-1'!FF44</f>
        <v/>
      </c>
      <c r="D134">
        <f>'KG1-1'!FF43</f>
        <v/>
      </c>
      <c r="E134">
        <f>'KG1-1'!FF40</f>
        <v/>
      </c>
      <c r="F134">
        <f>'KG1-1'!FF41</f>
        <v/>
      </c>
      <c r="G134">
        <f>'KG1-1'!FF42</f>
        <v/>
      </c>
    </row>
    <row r="135">
      <c r="A135">
        <f>'KG1-1'!$B$2</f>
        <v/>
      </c>
      <c r="B135" s="126" t="n">
        <v>46450</v>
      </c>
      <c r="C135">
        <f>'KG1-1'!FG44</f>
        <v/>
      </c>
      <c r="D135">
        <f>'KG1-1'!FG43</f>
        <v/>
      </c>
      <c r="E135">
        <f>'KG1-1'!FG40</f>
        <v/>
      </c>
      <c r="F135">
        <f>'KG1-1'!FG41</f>
        <v/>
      </c>
      <c r="G135">
        <f>'KG1-1'!FG42</f>
        <v/>
      </c>
    </row>
    <row r="136">
      <c r="A136">
        <f>'KG1-1'!$B$2</f>
        <v/>
      </c>
      <c r="B136" s="126" t="n">
        <v>46451</v>
      </c>
      <c r="C136">
        <f>'KG1-1'!FH44</f>
        <v/>
      </c>
      <c r="D136">
        <f>'KG1-1'!FH43</f>
        <v/>
      </c>
      <c r="E136">
        <f>'KG1-1'!FH40</f>
        <v/>
      </c>
      <c r="F136">
        <f>'KG1-1'!FH41</f>
        <v/>
      </c>
      <c r="G136">
        <f>'KG1-1'!FH42</f>
        <v/>
      </c>
    </row>
    <row r="137">
      <c r="A137">
        <f>'KG1-1'!$B$2</f>
        <v/>
      </c>
      <c r="B137" s="126" t="n">
        <v>46454</v>
      </c>
      <c r="C137">
        <f>'KG1-1'!FI44</f>
        <v/>
      </c>
      <c r="D137">
        <f>'KG1-1'!FI43</f>
        <v/>
      </c>
      <c r="E137">
        <f>'KG1-1'!FI40</f>
        <v/>
      </c>
      <c r="F137">
        <f>'KG1-1'!FI41</f>
        <v/>
      </c>
      <c r="G137">
        <f>'KG1-1'!FI42</f>
        <v/>
      </c>
    </row>
    <row r="138">
      <c r="A138">
        <f>'KG1-1'!$B$2</f>
        <v/>
      </c>
      <c r="B138" s="126" t="n">
        <v>46455</v>
      </c>
      <c r="C138">
        <f>'KG1-1'!FJ44</f>
        <v/>
      </c>
      <c r="D138">
        <f>'KG1-1'!FJ43</f>
        <v/>
      </c>
      <c r="E138">
        <f>'KG1-1'!FJ40</f>
        <v/>
      </c>
      <c r="F138">
        <f>'KG1-1'!FJ41</f>
        <v/>
      </c>
      <c r="G138">
        <f>'KG1-1'!FJ42</f>
        <v/>
      </c>
    </row>
    <row r="139">
      <c r="A139">
        <f>'KG1-1'!$B$2</f>
        <v/>
      </c>
      <c r="B139" s="126" t="n">
        <v>46456</v>
      </c>
      <c r="C139">
        <f>'KG1-1'!FK44</f>
        <v/>
      </c>
      <c r="D139">
        <f>'KG1-1'!FK43</f>
        <v/>
      </c>
      <c r="E139">
        <f>'KG1-1'!FK40</f>
        <v/>
      </c>
      <c r="F139">
        <f>'KG1-1'!FK41</f>
        <v/>
      </c>
      <c r="G139">
        <f>'KG1-1'!FK42</f>
        <v/>
      </c>
    </row>
    <row r="140">
      <c r="A140">
        <f>'KG1-1'!$B$2</f>
        <v/>
      </c>
      <c r="B140" s="126" t="n">
        <v>46457</v>
      </c>
      <c r="C140">
        <f>'KG1-1'!FL44</f>
        <v/>
      </c>
      <c r="D140">
        <f>'KG1-1'!FL43</f>
        <v/>
      </c>
      <c r="E140">
        <f>'KG1-1'!FL40</f>
        <v/>
      </c>
      <c r="F140">
        <f>'KG1-1'!FL41</f>
        <v/>
      </c>
      <c r="G140">
        <f>'KG1-1'!FL42</f>
        <v/>
      </c>
    </row>
    <row r="141">
      <c r="A141">
        <f>'KG1-1'!$B$2</f>
        <v/>
      </c>
      <c r="B141" s="126" t="n">
        <v>46458</v>
      </c>
      <c r="C141">
        <f>'KG1-1'!FM44</f>
        <v/>
      </c>
      <c r="D141">
        <f>'KG1-1'!FM43</f>
        <v/>
      </c>
      <c r="E141">
        <f>'KG1-1'!FM40</f>
        <v/>
      </c>
      <c r="F141">
        <f>'KG1-1'!FM41</f>
        <v/>
      </c>
      <c r="G141">
        <f>'KG1-1'!FM42</f>
        <v/>
      </c>
    </row>
    <row r="142">
      <c r="A142">
        <f>'KG1-1'!$B$2</f>
        <v/>
      </c>
      <c r="B142" s="126" t="n">
        <v>46461</v>
      </c>
      <c r="C142">
        <f>'KG1-1'!FN44</f>
        <v/>
      </c>
      <c r="D142">
        <f>'KG1-1'!FN43</f>
        <v/>
      </c>
      <c r="E142">
        <f>'KG1-1'!FN40</f>
        <v/>
      </c>
      <c r="F142">
        <f>'KG1-1'!FN41</f>
        <v/>
      </c>
      <c r="G142">
        <f>'KG1-1'!FN42</f>
        <v/>
      </c>
    </row>
    <row r="143">
      <c r="A143">
        <f>'KG1-1'!$B$2</f>
        <v/>
      </c>
      <c r="B143" s="126" t="n">
        <v>46462</v>
      </c>
      <c r="C143">
        <f>'KG1-1'!FO44</f>
        <v/>
      </c>
      <c r="D143">
        <f>'KG1-1'!FO43</f>
        <v/>
      </c>
      <c r="E143">
        <f>'KG1-1'!FO40</f>
        <v/>
      </c>
      <c r="F143">
        <f>'KG1-1'!FO41</f>
        <v/>
      </c>
      <c r="G143">
        <f>'KG1-1'!FO42</f>
        <v/>
      </c>
    </row>
    <row r="144">
      <c r="A144">
        <f>'KG1-1'!$B$2</f>
        <v/>
      </c>
      <c r="B144" s="126" t="n">
        <v>46463</v>
      </c>
      <c r="C144">
        <f>'KG1-1'!FP44</f>
        <v/>
      </c>
      <c r="D144">
        <f>'KG1-1'!FP43</f>
        <v/>
      </c>
      <c r="E144">
        <f>'KG1-1'!FP40</f>
        <v/>
      </c>
      <c r="F144">
        <f>'KG1-1'!FP41</f>
        <v/>
      </c>
      <c r="G144">
        <f>'KG1-1'!FP42</f>
        <v/>
      </c>
    </row>
    <row r="145">
      <c r="A145">
        <f>'KG1-1'!$B$2</f>
        <v/>
      </c>
      <c r="B145" s="126" t="n">
        <v>46464</v>
      </c>
      <c r="C145">
        <f>'KG1-1'!FQ44</f>
        <v/>
      </c>
      <c r="D145">
        <f>'KG1-1'!FQ43</f>
        <v/>
      </c>
      <c r="E145">
        <f>'KG1-1'!FQ40</f>
        <v/>
      </c>
      <c r="F145">
        <f>'KG1-1'!FQ41</f>
        <v/>
      </c>
      <c r="G145">
        <f>'KG1-1'!FQ42</f>
        <v/>
      </c>
    </row>
    <row r="146">
      <c r="A146">
        <f>'KG1-1'!$B$2</f>
        <v/>
      </c>
      <c r="B146" s="126" t="n">
        <v>46465</v>
      </c>
      <c r="C146">
        <f>'KG1-1'!FR44</f>
        <v/>
      </c>
      <c r="D146">
        <f>'KG1-1'!FR43</f>
        <v/>
      </c>
      <c r="E146">
        <f>'KG1-1'!FR40</f>
        <v/>
      </c>
      <c r="F146">
        <f>'KG1-1'!FR41</f>
        <v/>
      </c>
      <c r="G146">
        <f>'KG1-1'!FR42</f>
        <v/>
      </c>
    </row>
    <row r="147">
      <c r="A147">
        <f>'KG1-1'!$B$2</f>
        <v/>
      </c>
      <c r="B147" s="126" t="n">
        <v>46468</v>
      </c>
      <c r="C147">
        <f>'KG1-1'!FS44</f>
        <v/>
      </c>
      <c r="D147">
        <f>'KG1-1'!FS43</f>
        <v/>
      </c>
      <c r="E147">
        <f>'KG1-1'!FS40</f>
        <v/>
      </c>
      <c r="F147">
        <f>'KG1-1'!FS41</f>
        <v/>
      </c>
      <c r="G147">
        <f>'KG1-1'!FS42</f>
        <v/>
      </c>
    </row>
    <row r="148">
      <c r="A148">
        <f>'KG1-1'!$B$2</f>
        <v/>
      </c>
      <c r="B148" s="126" t="n">
        <v>46469</v>
      </c>
      <c r="C148">
        <f>'KG1-1'!FT44</f>
        <v/>
      </c>
      <c r="D148">
        <f>'KG1-1'!FT43</f>
        <v/>
      </c>
      <c r="E148">
        <f>'KG1-1'!FT40</f>
        <v/>
      </c>
      <c r="F148">
        <f>'KG1-1'!FT41</f>
        <v/>
      </c>
      <c r="G148">
        <f>'KG1-1'!FT42</f>
        <v/>
      </c>
    </row>
    <row r="149">
      <c r="A149">
        <f>'KG1-1'!$B$2</f>
        <v/>
      </c>
      <c r="B149" s="126" t="n">
        <v>46470</v>
      </c>
      <c r="C149">
        <f>'KG1-1'!FU44</f>
        <v/>
      </c>
      <c r="D149">
        <f>'KG1-1'!FU43</f>
        <v/>
      </c>
      <c r="E149">
        <f>'KG1-1'!FU40</f>
        <v/>
      </c>
      <c r="F149">
        <f>'KG1-1'!FU41</f>
        <v/>
      </c>
      <c r="G149">
        <f>'KG1-1'!FU42</f>
        <v/>
      </c>
    </row>
    <row r="150">
      <c r="A150">
        <f>'KG1-1'!$B$2</f>
        <v/>
      </c>
      <c r="B150" s="126" t="n">
        <v>46471</v>
      </c>
      <c r="C150">
        <f>'KG1-1'!FV44</f>
        <v/>
      </c>
      <c r="D150">
        <f>'KG1-1'!FV43</f>
        <v/>
      </c>
      <c r="E150">
        <f>'KG1-1'!FV40</f>
        <v/>
      </c>
      <c r="F150">
        <f>'KG1-1'!FV41</f>
        <v/>
      </c>
      <c r="G150">
        <f>'KG1-1'!FV42</f>
        <v/>
      </c>
    </row>
    <row r="151">
      <c r="A151">
        <f>'KG1-1'!$B$2</f>
        <v/>
      </c>
      <c r="B151" s="126" t="n">
        <v>46472</v>
      </c>
      <c r="C151">
        <f>'KG1-1'!FW44</f>
        <v/>
      </c>
      <c r="D151">
        <f>'KG1-1'!FW43</f>
        <v/>
      </c>
      <c r="E151">
        <f>'KG1-1'!FW40</f>
        <v/>
      </c>
      <c r="F151">
        <f>'KG1-1'!FW41</f>
        <v/>
      </c>
      <c r="G151">
        <f>'KG1-1'!FW42</f>
        <v/>
      </c>
    </row>
    <row r="152">
      <c r="A152">
        <f>'KG1-1'!$B$2</f>
        <v/>
      </c>
      <c r="B152" s="126" t="n">
        <v>46475</v>
      </c>
      <c r="C152">
        <f>'KG1-1'!FX44</f>
        <v/>
      </c>
      <c r="D152">
        <f>'KG1-1'!FX43</f>
        <v/>
      </c>
      <c r="E152">
        <f>'KG1-1'!FX40</f>
        <v/>
      </c>
      <c r="F152">
        <f>'KG1-1'!FX41</f>
        <v/>
      </c>
      <c r="G152">
        <f>'KG1-1'!FX42</f>
        <v/>
      </c>
    </row>
    <row r="153">
      <c r="A153">
        <f>'KG1-1'!$B$2</f>
        <v/>
      </c>
      <c r="B153" s="126" t="n">
        <v>46476</v>
      </c>
      <c r="C153">
        <f>'KG1-1'!FY44</f>
        <v/>
      </c>
      <c r="D153">
        <f>'KG1-1'!FY43</f>
        <v/>
      </c>
      <c r="E153">
        <f>'KG1-1'!FY40</f>
        <v/>
      </c>
      <c r="F153">
        <f>'KG1-1'!FY41</f>
        <v/>
      </c>
      <c r="G153">
        <f>'KG1-1'!FY42</f>
        <v/>
      </c>
    </row>
    <row r="154">
      <c r="A154">
        <f>'KG1-1'!$B$2</f>
        <v/>
      </c>
      <c r="B154" s="126" t="n">
        <v>46477</v>
      </c>
      <c r="C154">
        <f>'KG1-1'!FZ44</f>
        <v/>
      </c>
      <c r="D154">
        <f>'KG1-1'!FZ43</f>
        <v/>
      </c>
      <c r="E154">
        <f>'KG1-1'!FZ40</f>
        <v/>
      </c>
      <c r="F154">
        <f>'KG1-1'!FZ41</f>
        <v/>
      </c>
      <c r="G154">
        <f>'KG1-1'!FZ42</f>
        <v/>
      </c>
    </row>
    <row r="155">
      <c r="A155">
        <f>'KG1-1'!$B$2</f>
        <v/>
      </c>
      <c r="B155" s="126" t="n">
        <v>46478</v>
      </c>
      <c r="C155">
        <f>'KG1-1'!GA44</f>
        <v/>
      </c>
      <c r="D155">
        <f>'KG1-1'!GA43</f>
        <v/>
      </c>
      <c r="E155">
        <f>'KG1-1'!GA40</f>
        <v/>
      </c>
      <c r="F155">
        <f>'KG1-1'!GA41</f>
        <v/>
      </c>
      <c r="G155">
        <f>'KG1-1'!GA42</f>
        <v/>
      </c>
    </row>
    <row r="156">
      <c r="A156">
        <f>'KG1-1'!$B$2</f>
        <v/>
      </c>
      <c r="B156" s="126" t="n">
        <v>46479</v>
      </c>
      <c r="C156">
        <f>'KG1-1'!GB44</f>
        <v/>
      </c>
      <c r="D156">
        <f>'KG1-1'!GB43</f>
        <v/>
      </c>
      <c r="E156">
        <f>'KG1-1'!GB40</f>
        <v/>
      </c>
      <c r="F156">
        <f>'KG1-1'!GB41</f>
        <v/>
      </c>
      <c r="G156">
        <f>'KG1-1'!GB42</f>
        <v/>
      </c>
    </row>
    <row r="157">
      <c r="A157">
        <f>'KG1-1'!$B$2</f>
        <v/>
      </c>
      <c r="B157" s="126" t="n">
        <v>46482</v>
      </c>
      <c r="C157">
        <f>'KG1-1'!GC44</f>
        <v/>
      </c>
      <c r="D157">
        <f>'KG1-1'!GC43</f>
        <v/>
      </c>
      <c r="E157">
        <f>'KG1-1'!GC40</f>
        <v/>
      </c>
      <c r="F157">
        <f>'KG1-1'!GC41</f>
        <v/>
      </c>
      <c r="G157">
        <f>'KG1-1'!GC42</f>
        <v/>
      </c>
    </row>
    <row r="158">
      <c r="A158">
        <f>'KG1-1'!$B$2</f>
        <v/>
      </c>
      <c r="B158" s="126" t="n">
        <v>46483</v>
      </c>
      <c r="C158">
        <f>'KG1-1'!GD44</f>
        <v/>
      </c>
      <c r="D158">
        <f>'KG1-1'!GD43</f>
        <v/>
      </c>
      <c r="E158">
        <f>'KG1-1'!GD40</f>
        <v/>
      </c>
      <c r="F158">
        <f>'KG1-1'!GD41</f>
        <v/>
      </c>
      <c r="G158">
        <f>'KG1-1'!GD42</f>
        <v/>
      </c>
    </row>
    <row r="159">
      <c r="A159">
        <f>'KG1-1'!$B$2</f>
        <v/>
      </c>
      <c r="B159" s="126" t="n">
        <v>46484</v>
      </c>
      <c r="C159">
        <f>'KG1-1'!GE44</f>
        <v/>
      </c>
      <c r="D159">
        <f>'KG1-1'!GE43</f>
        <v/>
      </c>
      <c r="E159">
        <f>'KG1-1'!GE40</f>
        <v/>
      </c>
      <c r="F159">
        <f>'KG1-1'!GE41</f>
        <v/>
      </c>
      <c r="G159">
        <f>'KG1-1'!GE42</f>
        <v/>
      </c>
    </row>
    <row r="160">
      <c r="A160">
        <f>'KG1-1'!$B$2</f>
        <v/>
      </c>
      <c r="B160" s="126" t="n">
        <v>46485</v>
      </c>
      <c r="C160">
        <f>'KG1-1'!GF44</f>
        <v/>
      </c>
      <c r="D160">
        <f>'KG1-1'!GF43</f>
        <v/>
      </c>
      <c r="E160">
        <f>'KG1-1'!GF40</f>
        <v/>
      </c>
      <c r="F160">
        <f>'KG1-1'!GF41</f>
        <v/>
      </c>
      <c r="G160">
        <f>'KG1-1'!GF42</f>
        <v/>
      </c>
    </row>
    <row r="161">
      <c r="A161">
        <f>'KG1-1'!$B$2</f>
        <v/>
      </c>
      <c r="B161" s="126" t="n">
        <v>46486</v>
      </c>
      <c r="C161">
        <f>'KG1-1'!GG44</f>
        <v/>
      </c>
      <c r="D161">
        <f>'KG1-1'!GG43</f>
        <v/>
      </c>
      <c r="E161">
        <f>'KG1-1'!GG40</f>
        <v/>
      </c>
      <c r="F161">
        <f>'KG1-1'!GG41</f>
        <v/>
      </c>
      <c r="G161">
        <f>'KG1-1'!GG42</f>
        <v/>
      </c>
    </row>
    <row r="162">
      <c r="A162">
        <f>'KG1-1'!$B$2</f>
        <v/>
      </c>
      <c r="B162" s="126" t="n">
        <v>46489</v>
      </c>
      <c r="C162">
        <f>'KG1-1'!GH44</f>
        <v/>
      </c>
      <c r="D162">
        <f>'KG1-1'!GH43</f>
        <v/>
      </c>
      <c r="E162">
        <f>'KG1-1'!GH40</f>
        <v/>
      </c>
      <c r="F162">
        <f>'KG1-1'!GH41</f>
        <v/>
      </c>
      <c r="G162">
        <f>'KG1-1'!GH42</f>
        <v/>
      </c>
    </row>
    <row r="163">
      <c r="A163">
        <f>'KG1-1'!$B$2</f>
        <v/>
      </c>
      <c r="B163" s="126" t="n">
        <v>46490</v>
      </c>
      <c r="C163">
        <f>'KG1-1'!GI44</f>
        <v/>
      </c>
      <c r="D163">
        <f>'KG1-1'!GI43</f>
        <v/>
      </c>
      <c r="E163">
        <f>'KG1-1'!GI40</f>
        <v/>
      </c>
      <c r="F163">
        <f>'KG1-1'!GI41</f>
        <v/>
      </c>
      <c r="G163">
        <f>'KG1-1'!GI42</f>
        <v/>
      </c>
    </row>
    <row r="164">
      <c r="A164">
        <f>'KG1-1'!$B$2</f>
        <v/>
      </c>
      <c r="B164" s="126" t="n">
        <v>46491</v>
      </c>
      <c r="C164">
        <f>'KG1-1'!GJ44</f>
        <v/>
      </c>
      <c r="D164">
        <f>'KG1-1'!GJ43</f>
        <v/>
      </c>
      <c r="E164">
        <f>'KG1-1'!GJ40</f>
        <v/>
      </c>
      <c r="F164">
        <f>'KG1-1'!GJ41</f>
        <v/>
      </c>
      <c r="G164">
        <f>'KG1-1'!GJ42</f>
        <v/>
      </c>
    </row>
    <row r="165">
      <c r="A165">
        <f>'KG1-1'!$B$2</f>
        <v/>
      </c>
      <c r="B165" s="126" t="n">
        <v>46492</v>
      </c>
      <c r="C165">
        <f>'KG1-1'!GK44</f>
        <v/>
      </c>
      <c r="D165">
        <f>'KG1-1'!GK43</f>
        <v/>
      </c>
      <c r="E165">
        <f>'KG1-1'!GK40</f>
        <v/>
      </c>
      <c r="F165">
        <f>'KG1-1'!GK41</f>
        <v/>
      </c>
      <c r="G165">
        <f>'KG1-1'!GK42</f>
        <v/>
      </c>
    </row>
    <row r="166">
      <c r="A166">
        <f>'KG1-1'!$B$2</f>
        <v/>
      </c>
      <c r="B166" s="126" t="n">
        <v>46493</v>
      </c>
      <c r="C166">
        <f>'KG1-1'!GL44</f>
        <v/>
      </c>
      <c r="D166">
        <f>'KG1-1'!GL43</f>
        <v/>
      </c>
      <c r="E166">
        <f>'KG1-1'!GL40</f>
        <v/>
      </c>
      <c r="F166">
        <f>'KG1-1'!GL41</f>
        <v/>
      </c>
      <c r="G166">
        <f>'KG1-1'!GL42</f>
        <v/>
      </c>
    </row>
    <row r="167">
      <c r="A167">
        <f>'KG1-1'!$B$2</f>
        <v/>
      </c>
      <c r="B167" s="126" t="n">
        <v>46496</v>
      </c>
      <c r="C167">
        <f>'KG1-1'!GM44</f>
        <v/>
      </c>
      <c r="D167">
        <f>'KG1-1'!GM43</f>
        <v/>
      </c>
      <c r="E167">
        <f>'KG1-1'!GM40</f>
        <v/>
      </c>
      <c r="F167">
        <f>'KG1-1'!GM41</f>
        <v/>
      </c>
      <c r="G167">
        <f>'KG1-1'!GM42</f>
        <v/>
      </c>
    </row>
    <row r="168">
      <c r="A168">
        <f>'KG1-1'!$B$2</f>
        <v/>
      </c>
      <c r="B168" s="126" t="n">
        <v>46497</v>
      </c>
      <c r="C168">
        <f>'KG1-1'!GN44</f>
        <v/>
      </c>
      <c r="D168">
        <f>'KG1-1'!GN43</f>
        <v/>
      </c>
      <c r="E168">
        <f>'KG1-1'!GN40</f>
        <v/>
      </c>
      <c r="F168">
        <f>'KG1-1'!GN41</f>
        <v/>
      </c>
      <c r="G168">
        <f>'KG1-1'!GN42</f>
        <v/>
      </c>
    </row>
    <row r="169">
      <c r="A169">
        <f>'KG1-1'!$B$2</f>
        <v/>
      </c>
      <c r="B169" s="126" t="n">
        <v>46498</v>
      </c>
      <c r="C169">
        <f>'KG1-1'!GO44</f>
        <v/>
      </c>
      <c r="D169">
        <f>'KG1-1'!GO43</f>
        <v/>
      </c>
      <c r="E169">
        <f>'KG1-1'!GO40</f>
        <v/>
      </c>
      <c r="F169">
        <f>'KG1-1'!GO41</f>
        <v/>
      </c>
      <c r="G169">
        <f>'KG1-1'!GO42</f>
        <v/>
      </c>
    </row>
    <row r="170">
      <c r="A170">
        <f>'KG1-1'!$B$2</f>
        <v/>
      </c>
      <c r="B170" s="126" t="n">
        <v>46499</v>
      </c>
      <c r="C170">
        <f>'KG1-1'!GP44</f>
        <v/>
      </c>
      <c r="D170">
        <f>'KG1-1'!GP43</f>
        <v/>
      </c>
      <c r="E170">
        <f>'KG1-1'!GP40</f>
        <v/>
      </c>
      <c r="F170">
        <f>'KG1-1'!GP41</f>
        <v/>
      </c>
      <c r="G170">
        <f>'KG1-1'!GP42</f>
        <v/>
      </c>
    </row>
    <row r="171">
      <c r="A171">
        <f>'KG1-1'!$B$2</f>
        <v/>
      </c>
      <c r="B171" s="126" t="n">
        <v>46500</v>
      </c>
      <c r="C171">
        <f>'KG1-1'!GQ44</f>
        <v/>
      </c>
      <c r="D171">
        <f>'KG1-1'!GQ43</f>
        <v/>
      </c>
      <c r="E171">
        <f>'KG1-1'!GQ40</f>
        <v/>
      </c>
      <c r="F171">
        <f>'KG1-1'!GQ41</f>
        <v/>
      </c>
      <c r="G171">
        <f>'KG1-1'!GQ42</f>
        <v/>
      </c>
    </row>
    <row r="172">
      <c r="A172">
        <f>'KG1-1'!$B$2</f>
        <v/>
      </c>
      <c r="B172" s="126" t="n">
        <v>46503</v>
      </c>
      <c r="C172">
        <f>'KG1-1'!GR44</f>
        <v/>
      </c>
      <c r="D172">
        <f>'KG1-1'!GR43</f>
        <v/>
      </c>
      <c r="E172">
        <f>'KG1-1'!GR40</f>
        <v/>
      </c>
      <c r="F172">
        <f>'KG1-1'!GR41</f>
        <v/>
      </c>
      <c r="G172">
        <f>'KG1-1'!GR42</f>
        <v/>
      </c>
    </row>
    <row r="173">
      <c r="A173">
        <f>'KG1-1'!$B$2</f>
        <v/>
      </c>
      <c r="B173" s="126" t="n">
        <v>46504</v>
      </c>
      <c r="C173">
        <f>'KG1-1'!GS44</f>
        <v/>
      </c>
      <c r="D173">
        <f>'KG1-1'!GS43</f>
        <v/>
      </c>
      <c r="E173">
        <f>'KG1-1'!GS40</f>
        <v/>
      </c>
      <c r="F173">
        <f>'KG1-1'!GS41</f>
        <v/>
      </c>
      <c r="G173">
        <f>'KG1-1'!GS42</f>
        <v/>
      </c>
    </row>
    <row r="174">
      <c r="A174">
        <f>'KG1-1'!$B$2</f>
        <v/>
      </c>
      <c r="B174" s="126" t="n">
        <v>46505</v>
      </c>
      <c r="C174">
        <f>'KG1-1'!GT44</f>
        <v/>
      </c>
      <c r="D174">
        <f>'KG1-1'!GT43</f>
        <v/>
      </c>
      <c r="E174">
        <f>'KG1-1'!GT40</f>
        <v/>
      </c>
      <c r="F174">
        <f>'KG1-1'!GT41</f>
        <v/>
      </c>
      <c r="G174">
        <f>'KG1-1'!GT42</f>
        <v/>
      </c>
    </row>
    <row r="175">
      <c r="A175">
        <f>'KG1-1'!$B$2</f>
        <v/>
      </c>
      <c r="B175" s="126" t="n">
        <v>46506</v>
      </c>
      <c r="C175">
        <f>'KG1-1'!GU44</f>
        <v/>
      </c>
      <c r="D175">
        <f>'KG1-1'!GU43</f>
        <v/>
      </c>
      <c r="E175">
        <f>'KG1-1'!GU40</f>
        <v/>
      </c>
      <c r="F175">
        <f>'KG1-1'!GU41</f>
        <v/>
      </c>
      <c r="G175">
        <f>'KG1-1'!GU42</f>
        <v/>
      </c>
    </row>
    <row r="176">
      <c r="A176">
        <f>'KG1-1'!$B$2</f>
        <v/>
      </c>
      <c r="B176" s="126" t="n">
        <v>46507</v>
      </c>
      <c r="C176">
        <f>'KG1-1'!GV44</f>
        <v/>
      </c>
      <c r="D176">
        <f>'KG1-1'!GV43</f>
        <v/>
      </c>
      <c r="E176">
        <f>'KG1-1'!GV40</f>
        <v/>
      </c>
      <c r="F176">
        <f>'KG1-1'!GV41</f>
        <v/>
      </c>
      <c r="G176">
        <f>'KG1-1'!GV42</f>
        <v/>
      </c>
    </row>
    <row r="177">
      <c r="A177">
        <f>'KG1-1'!$B$2</f>
        <v/>
      </c>
      <c r="B177" s="126" t="n">
        <v>46510</v>
      </c>
      <c r="C177">
        <f>'KG1-1'!GW44</f>
        <v/>
      </c>
      <c r="D177">
        <f>'KG1-1'!GW43</f>
        <v/>
      </c>
      <c r="E177">
        <f>'KG1-1'!GW40</f>
        <v/>
      </c>
      <c r="F177">
        <f>'KG1-1'!GW41</f>
        <v/>
      </c>
      <c r="G177">
        <f>'KG1-1'!GW42</f>
        <v/>
      </c>
    </row>
    <row r="178">
      <c r="A178">
        <f>'KG1-1'!$B$2</f>
        <v/>
      </c>
      <c r="B178" s="126" t="n">
        <v>46511</v>
      </c>
      <c r="C178">
        <f>'KG1-1'!GX44</f>
        <v/>
      </c>
      <c r="D178">
        <f>'KG1-1'!GX43</f>
        <v/>
      </c>
      <c r="E178">
        <f>'KG1-1'!GX40</f>
        <v/>
      </c>
      <c r="F178">
        <f>'KG1-1'!GX41</f>
        <v/>
      </c>
      <c r="G178">
        <f>'KG1-1'!GX42</f>
        <v/>
      </c>
    </row>
    <row r="179">
      <c r="A179">
        <f>'KG1-1'!$B$2</f>
        <v/>
      </c>
      <c r="B179" s="126" t="n">
        <v>46512</v>
      </c>
      <c r="C179">
        <f>'KG1-1'!GY44</f>
        <v/>
      </c>
      <c r="D179">
        <f>'KG1-1'!GY43</f>
        <v/>
      </c>
      <c r="E179">
        <f>'KG1-1'!GY40</f>
        <v/>
      </c>
      <c r="F179">
        <f>'KG1-1'!GY41</f>
        <v/>
      </c>
      <c r="G179">
        <f>'KG1-1'!GY42</f>
        <v/>
      </c>
    </row>
    <row r="180">
      <c r="A180">
        <f>'KG1-1'!$B$2</f>
        <v/>
      </c>
      <c r="B180" s="126" t="n">
        <v>46513</v>
      </c>
      <c r="C180">
        <f>'KG1-1'!GZ44</f>
        <v/>
      </c>
      <c r="D180">
        <f>'KG1-1'!GZ43</f>
        <v/>
      </c>
      <c r="E180">
        <f>'KG1-1'!GZ40</f>
        <v/>
      </c>
      <c r="F180">
        <f>'KG1-1'!GZ41</f>
        <v/>
      </c>
      <c r="G180">
        <f>'KG1-1'!GZ42</f>
        <v/>
      </c>
    </row>
    <row r="181">
      <c r="A181">
        <f>'KG1-1'!$B$2</f>
        <v/>
      </c>
      <c r="B181" s="126" t="n">
        <v>46514</v>
      </c>
      <c r="C181">
        <f>'KG1-1'!HA44</f>
        <v/>
      </c>
      <c r="D181">
        <f>'KG1-1'!HA43</f>
        <v/>
      </c>
      <c r="E181">
        <f>'KG1-1'!HA40</f>
        <v/>
      </c>
      <c r="F181">
        <f>'KG1-1'!HA41</f>
        <v/>
      </c>
      <c r="G181">
        <f>'KG1-1'!HA42</f>
        <v/>
      </c>
    </row>
    <row r="182">
      <c r="A182">
        <f>'KG1-1'!$B$2</f>
        <v/>
      </c>
      <c r="B182" s="126" t="n">
        <v>46517</v>
      </c>
      <c r="C182">
        <f>'KG1-1'!HB44</f>
        <v/>
      </c>
      <c r="D182">
        <f>'KG1-1'!HB43</f>
        <v/>
      </c>
      <c r="E182">
        <f>'KG1-1'!HB40</f>
        <v/>
      </c>
      <c r="F182">
        <f>'KG1-1'!HB41</f>
        <v/>
      </c>
      <c r="G182">
        <f>'KG1-1'!HB42</f>
        <v/>
      </c>
    </row>
    <row r="183">
      <c r="A183">
        <f>'KG1-1'!$B$2</f>
        <v/>
      </c>
      <c r="B183" s="126" t="n">
        <v>46518</v>
      </c>
      <c r="C183">
        <f>'KG1-1'!HC44</f>
        <v/>
      </c>
      <c r="D183">
        <f>'KG1-1'!HC43</f>
        <v/>
      </c>
      <c r="E183">
        <f>'KG1-1'!HC40</f>
        <v/>
      </c>
      <c r="F183">
        <f>'KG1-1'!HC41</f>
        <v/>
      </c>
      <c r="G183">
        <f>'KG1-1'!HC42</f>
        <v/>
      </c>
    </row>
    <row r="184">
      <c r="A184">
        <f>'KG1-1'!$B$2</f>
        <v/>
      </c>
      <c r="B184" s="126" t="n">
        <v>46519</v>
      </c>
      <c r="C184">
        <f>'KG1-1'!HD44</f>
        <v/>
      </c>
      <c r="D184">
        <f>'KG1-1'!HD43</f>
        <v/>
      </c>
      <c r="E184">
        <f>'KG1-1'!HD40</f>
        <v/>
      </c>
      <c r="F184">
        <f>'KG1-1'!HD41</f>
        <v/>
      </c>
      <c r="G184">
        <f>'KG1-1'!HD42</f>
        <v/>
      </c>
    </row>
    <row r="185">
      <c r="A185">
        <f>'KG1-1'!$B$2</f>
        <v/>
      </c>
      <c r="B185" s="126" t="n">
        <v>46520</v>
      </c>
      <c r="C185">
        <f>'KG1-1'!HE44</f>
        <v/>
      </c>
      <c r="D185">
        <f>'KG1-1'!HE43</f>
        <v/>
      </c>
      <c r="E185">
        <f>'KG1-1'!HE40</f>
        <v/>
      </c>
      <c r="F185">
        <f>'KG1-1'!HE41</f>
        <v/>
      </c>
      <c r="G185">
        <f>'KG1-1'!HE42</f>
        <v/>
      </c>
    </row>
    <row r="186">
      <c r="A186">
        <f>'KG1-1'!$B$2</f>
        <v/>
      </c>
      <c r="B186" s="126" t="n">
        <v>46521</v>
      </c>
      <c r="C186">
        <f>'KG1-1'!HF44</f>
        <v/>
      </c>
      <c r="D186">
        <f>'KG1-1'!HF43</f>
        <v/>
      </c>
      <c r="E186">
        <f>'KG1-1'!HF40</f>
        <v/>
      </c>
      <c r="F186">
        <f>'KG1-1'!HF41</f>
        <v/>
      </c>
      <c r="G186">
        <f>'KG1-1'!HF42</f>
        <v/>
      </c>
    </row>
    <row r="187">
      <c r="A187">
        <f>'KG1-1'!$B$2</f>
        <v/>
      </c>
      <c r="B187" s="126" t="n">
        <v>46524</v>
      </c>
      <c r="C187">
        <f>'KG1-1'!HG44</f>
        <v/>
      </c>
      <c r="D187">
        <f>'KG1-1'!HG43</f>
        <v/>
      </c>
      <c r="E187">
        <f>'KG1-1'!HG40</f>
        <v/>
      </c>
      <c r="F187">
        <f>'KG1-1'!HG41</f>
        <v/>
      </c>
      <c r="G187">
        <f>'KG1-1'!HG42</f>
        <v/>
      </c>
    </row>
    <row r="188">
      <c r="A188">
        <f>'KG1-1'!$B$2</f>
        <v/>
      </c>
      <c r="B188" s="126" t="n">
        <v>46525</v>
      </c>
      <c r="C188">
        <f>'KG1-1'!HH44</f>
        <v/>
      </c>
      <c r="D188">
        <f>'KG1-1'!HH43</f>
        <v/>
      </c>
      <c r="E188">
        <f>'KG1-1'!HH40</f>
        <v/>
      </c>
      <c r="F188">
        <f>'KG1-1'!HH41</f>
        <v/>
      </c>
      <c r="G188">
        <f>'KG1-1'!HH42</f>
        <v/>
      </c>
    </row>
    <row r="189">
      <c r="A189">
        <f>'KG1-1'!$B$2</f>
        <v/>
      </c>
      <c r="B189" s="126" t="n">
        <v>46526</v>
      </c>
      <c r="C189">
        <f>'KG1-1'!HI44</f>
        <v/>
      </c>
      <c r="D189">
        <f>'KG1-1'!HI43</f>
        <v/>
      </c>
      <c r="E189">
        <f>'KG1-1'!HI40</f>
        <v/>
      </c>
      <c r="F189">
        <f>'KG1-1'!HI41</f>
        <v/>
      </c>
      <c r="G189">
        <f>'KG1-1'!HI42</f>
        <v/>
      </c>
    </row>
    <row r="190">
      <c r="A190">
        <f>'KG1-1'!$B$2</f>
        <v/>
      </c>
      <c r="B190" s="126" t="n">
        <v>46527</v>
      </c>
      <c r="C190">
        <f>'KG1-1'!HJ44</f>
        <v/>
      </c>
      <c r="D190">
        <f>'KG1-1'!HJ43</f>
        <v/>
      </c>
      <c r="E190">
        <f>'KG1-1'!HJ40</f>
        <v/>
      </c>
      <c r="F190">
        <f>'KG1-1'!HJ41</f>
        <v/>
      </c>
      <c r="G190">
        <f>'KG1-1'!HJ42</f>
        <v/>
      </c>
    </row>
    <row r="191">
      <c r="A191">
        <f>'KG1-1'!$B$2</f>
        <v/>
      </c>
      <c r="B191" s="126" t="n">
        <v>46528</v>
      </c>
      <c r="C191">
        <f>'KG1-1'!HK44</f>
        <v/>
      </c>
      <c r="D191">
        <f>'KG1-1'!HK43</f>
        <v/>
      </c>
      <c r="E191">
        <f>'KG1-1'!HK40</f>
        <v/>
      </c>
      <c r="F191">
        <f>'KG1-1'!HK41</f>
        <v/>
      </c>
      <c r="G191">
        <f>'KG1-1'!HK42</f>
        <v/>
      </c>
    </row>
    <row r="192">
      <c r="A192">
        <f>'KG1-1'!$B$2</f>
        <v/>
      </c>
      <c r="B192" s="126" t="n">
        <v>46531</v>
      </c>
      <c r="C192">
        <f>'KG1-1'!HL44</f>
        <v/>
      </c>
      <c r="D192">
        <f>'KG1-1'!HL43</f>
        <v/>
      </c>
      <c r="E192">
        <f>'KG1-1'!HL40</f>
        <v/>
      </c>
      <c r="F192">
        <f>'KG1-1'!HL41</f>
        <v/>
      </c>
      <c r="G192">
        <f>'KG1-1'!HL42</f>
        <v/>
      </c>
    </row>
    <row r="193">
      <c r="A193">
        <f>'KG1-1'!$B$2</f>
        <v/>
      </c>
      <c r="B193" s="126" t="n">
        <v>46532</v>
      </c>
      <c r="C193">
        <f>'KG1-1'!HM44</f>
        <v/>
      </c>
      <c r="D193">
        <f>'KG1-1'!HM43</f>
        <v/>
      </c>
      <c r="E193">
        <f>'KG1-1'!HM40</f>
        <v/>
      </c>
      <c r="F193">
        <f>'KG1-1'!HM41</f>
        <v/>
      </c>
      <c r="G193">
        <f>'KG1-1'!HM42</f>
        <v/>
      </c>
    </row>
    <row r="194">
      <c r="A194">
        <f>'KG1-1'!$B$2</f>
        <v/>
      </c>
      <c r="B194" s="126" t="n">
        <v>46533</v>
      </c>
      <c r="C194">
        <f>'KG1-1'!HN44</f>
        <v/>
      </c>
      <c r="D194">
        <f>'KG1-1'!HN43</f>
        <v/>
      </c>
      <c r="E194">
        <f>'KG1-1'!HN40</f>
        <v/>
      </c>
      <c r="F194">
        <f>'KG1-1'!HN41</f>
        <v/>
      </c>
      <c r="G194">
        <f>'KG1-1'!HN42</f>
        <v/>
      </c>
    </row>
    <row r="195">
      <c r="A195">
        <f>'KG1-1'!$B$2</f>
        <v/>
      </c>
      <c r="B195" s="126" t="n">
        <v>46534</v>
      </c>
      <c r="C195">
        <f>'KG1-1'!HO44</f>
        <v/>
      </c>
      <c r="D195">
        <f>'KG1-1'!HO43</f>
        <v/>
      </c>
      <c r="E195">
        <f>'KG1-1'!HO40</f>
        <v/>
      </c>
      <c r="F195">
        <f>'KG1-1'!HO41</f>
        <v/>
      </c>
      <c r="G195">
        <f>'KG1-1'!HO42</f>
        <v/>
      </c>
    </row>
    <row r="196">
      <c r="A196">
        <f>'KG1-1'!$B$2</f>
        <v/>
      </c>
      <c r="B196" s="126" t="n">
        <v>46535</v>
      </c>
      <c r="C196">
        <f>'KG1-1'!HP44</f>
        <v/>
      </c>
      <c r="D196">
        <f>'KG1-1'!HP43</f>
        <v/>
      </c>
      <c r="E196">
        <f>'KG1-1'!HP40</f>
        <v/>
      </c>
      <c r="F196">
        <f>'KG1-1'!HP41</f>
        <v/>
      </c>
      <c r="G196">
        <f>'KG1-1'!HP42</f>
        <v/>
      </c>
    </row>
    <row r="197">
      <c r="A197">
        <f>'KG1-1'!$B$2</f>
        <v/>
      </c>
      <c r="B197" s="126" t="n">
        <v>46538</v>
      </c>
      <c r="C197">
        <f>'KG1-1'!HQ44</f>
        <v/>
      </c>
      <c r="D197">
        <f>'KG1-1'!HQ43</f>
        <v/>
      </c>
      <c r="E197">
        <f>'KG1-1'!HQ40</f>
        <v/>
      </c>
      <c r="F197">
        <f>'KG1-1'!HQ41</f>
        <v/>
      </c>
      <c r="G197">
        <f>'KG1-1'!HQ42</f>
        <v/>
      </c>
    </row>
    <row r="198">
      <c r="A198">
        <f>'KG1-1'!$B$2</f>
        <v/>
      </c>
      <c r="B198" s="126" t="n">
        <v>46539</v>
      </c>
      <c r="C198">
        <f>'KG1-1'!HR44</f>
        <v/>
      </c>
      <c r="D198">
        <f>'KG1-1'!HR43</f>
        <v/>
      </c>
      <c r="E198">
        <f>'KG1-1'!HR40</f>
        <v/>
      </c>
      <c r="F198">
        <f>'KG1-1'!HR41</f>
        <v/>
      </c>
      <c r="G198">
        <f>'KG1-1'!HR42</f>
        <v/>
      </c>
    </row>
    <row r="199">
      <c r="A199">
        <f>'KG1-1'!$B$2</f>
        <v/>
      </c>
      <c r="B199" s="126" t="n">
        <v>46540</v>
      </c>
      <c r="C199">
        <f>'KG1-1'!HS44</f>
        <v/>
      </c>
      <c r="D199">
        <f>'KG1-1'!HS43</f>
        <v/>
      </c>
      <c r="E199">
        <f>'KG1-1'!HS40</f>
        <v/>
      </c>
      <c r="F199">
        <f>'KG1-1'!HS41</f>
        <v/>
      </c>
      <c r="G199">
        <f>'KG1-1'!HS42</f>
        <v/>
      </c>
    </row>
    <row r="200">
      <c r="A200">
        <f>'KG1-1'!$B$2</f>
        <v/>
      </c>
      <c r="B200" s="126" t="n">
        <v>46541</v>
      </c>
      <c r="C200">
        <f>'KG1-1'!HT44</f>
        <v/>
      </c>
      <c r="D200">
        <f>'KG1-1'!HT43</f>
        <v/>
      </c>
      <c r="E200">
        <f>'KG1-1'!HT40</f>
        <v/>
      </c>
      <c r="F200">
        <f>'KG1-1'!HT41</f>
        <v/>
      </c>
      <c r="G200">
        <f>'KG1-1'!HT42</f>
        <v/>
      </c>
    </row>
    <row r="201">
      <c r="A201">
        <f>'KG1-1'!$B$2</f>
        <v/>
      </c>
      <c r="B201" s="126" t="n">
        <v>46542</v>
      </c>
      <c r="C201">
        <f>'KG1-1'!HU44</f>
        <v/>
      </c>
      <c r="D201">
        <f>'KG1-1'!HU43</f>
        <v/>
      </c>
      <c r="E201">
        <f>'KG1-1'!HU40</f>
        <v/>
      </c>
      <c r="F201">
        <f>'KG1-1'!HU41</f>
        <v/>
      </c>
      <c r="G201">
        <f>'KG1-1'!HU42</f>
        <v/>
      </c>
    </row>
    <row r="202">
      <c r="A202">
        <f>'KG1-1'!$B$2</f>
        <v/>
      </c>
      <c r="B202" s="126" t="n">
        <v>46545</v>
      </c>
      <c r="C202">
        <f>'KG1-1'!HV44</f>
        <v/>
      </c>
      <c r="D202">
        <f>'KG1-1'!HV43</f>
        <v/>
      </c>
      <c r="E202">
        <f>'KG1-1'!HV40</f>
        <v/>
      </c>
      <c r="F202">
        <f>'KG1-1'!HV41</f>
        <v/>
      </c>
      <c r="G202">
        <f>'KG1-1'!HV42</f>
        <v/>
      </c>
    </row>
    <row r="203">
      <c r="A203">
        <f>'KG1-1'!$B$2</f>
        <v/>
      </c>
      <c r="B203" s="126" t="n">
        <v>46546</v>
      </c>
      <c r="C203">
        <f>'KG1-1'!HW44</f>
        <v/>
      </c>
      <c r="D203">
        <f>'KG1-1'!HW43</f>
        <v/>
      </c>
      <c r="E203">
        <f>'KG1-1'!HW40</f>
        <v/>
      </c>
      <c r="F203">
        <f>'KG1-1'!HW41</f>
        <v/>
      </c>
      <c r="G203">
        <f>'KG1-1'!HW42</f>
        <v/>
      </c>
    </row>
    <row r="204">
      <c r="A204">
        <f>'KG1-1'!$B$2</f>
        <v/>
      </c>
      <c r="B204" s="126" t="n">
        <v>46547</v>
      </c>
      <c r="C204">
        <f>'KG1-1'!HX44</f>
        <v/>
      </c>
      <c r="D204">
        <f>'KG1-1'!HX43</f>
        <v/>
      </c>
      <c r="E204">
        <f>'KG1-1'!HX40</f>
        <v/>
      </c>
      <c r="F204">
        <f>'KG1-1'!HX41</f>
        <v/>
      </c>
      <c r="G204">
        <f>'KG1-1'!HX42</f>
        <v/>
      </c>
    </row>
    <row r="205">
      <c r="A205">
        <f>'KG1-1'!$B$2</f>
        <v/>
      </c>
      <c r="B205" s="126" t="n">
        <v>46548</v>
      </c>
      <c r="C205">
        <f>'KG1-1'!HY44</f>
        <v/>
      </c>
      <c r="D205">
        <f>'KG1-1'!HY43</f>
        <v/>
      </c>
      <c r="E205">
        <f>'KG1-1'!HY40</f>
        <v/>
      </c>
      <c r="F205">
        <f>'KG1-1'!HY41</f>
        <v/>
      </c>
      <c r="G205">
        <f>'KG1-1'!HY42</f>
        <v/>
      </c>
    </row>
    <row r="206">
      <c r="A206">
        <f>'KG1-1'!$B$2</f>
        <v/>
      </c>
      <c r="B206" s="126" t="n">
        <v>46549</v>
      </c>
      <c r="C206">
        <f>'KG1-1'!HZ44</f>
        <v/>
      </c>
      <c r="D206">
        <f>'KG1-1'!HZ43</f>
        <v/>
      </c>
      <c r="E206">
        <f>'KG1-1'!HZ40</f>
        <v/>
      </c>
      <c r="F206">
        <f>'KG1-1'!HZ41</f>
        <v/>
      </c>
      <c r="G206">
        <f>'KG1-1'!HZ42</f>
        <v/>
      </c>
    </row>
    <row r="207">
      <c r="A207">
        <f>'KG1-1'!$B$2</f>
        <v/>
      </c>
      <c r="B207" s="126" t="n">
        <v>46552</v>
      </c>
      <c r="C207">
        <f>'KG1-1'!IA44</f>
        <v/>
      </c>
      <c r="D207">
        <f>'KG1-1'!IA43</f>
        <v/>
      </c>
      <c r="E207">
        <f>'KG1-1'!IA40</f>
        <v/>
      </c>
      <c r="F207">
        <f>'KG1-1'!IA41</f>
        <v/>
      </c>
      <c r="G207">
        <f>'KG1-1'!IA42</f>
        <v/>
      </c>
    </row>
    <row r="208">
      <c r="A208">
        <f>'KG1-1'!$B$2</f>
        <v/>
      </c>
      <c r="B208" s="126" t="n">
        <v>46553</v>
      </c>
      <c r="C208">
        <f>'KG1-1'!IB44</f>
        <v/>
      </c>
      <c r="D208">
        <f>'KG1-1'!IB43</f>
        <v/>
      </c>
      <c r="E208">
        <f>'KG1-1'!IB40</f>
        <v/>
      </c>
      <c r="F208">
        <f>'KG1-1'!IB41</f>
        <v/>
      </c>
      <c r="G208">
        <f>'KG1-1'!IB42</f>
        <v/>
      </c>
    </row>
    <row r="209">
      <c r="A209">
        <f>'KG1-1'!$B$2</f>
        <v/>
      </c>
      <c r="B209" s="126" t="n">
        <v>46554</v>
      </c>
      <c r="C209">
        <f>'KG1-1'!IC44</f>
        <v/>
      </c>
      <c r="D209">
        <f>'KG1-1'!IC43</f>
        <v/>
      </c>
      <c r="E209">
        <f>'KG1-1'!IC40</f>
        <v/>
      </c>
      <c r="F209">
        <f>'KG1-1'!IC41</f>
        <v/>
      </c>
      <c r="G209">
        <f>'KG1-1'!IC42</f>
        <v/>
      </c>
    </row>
    <row r="210">
      <c r="A210">
        <f>'KG1-1'!$B$2</f>
        <v/>
      </c>
      <c r="B210" s="126" t="n">
        <v>46555</v>
      </c>
      <c r="C210">
        <f>'KG1-1'!ID44</f>
        <v/>
      </c>
      <c r="D210">
        <f>'KG1-1'!ID43</f>
        <v/>
      </c>
      <c r="E210">
        <f>'KG1-1'!ID40</f>
        <v/>
      </c>
      <c r="F210">
        <f>'KG1-1'!ID41</f>
        <v/>
      </c>
      <c r="G210">
        <f>'KG1-1'!ID42</f>
        <v/>
      </c>
    </row>
    <row r="211">
      <c r="A211">
        <f>'KG1-1'!$B$2</f>
        <v/>
      </c>
      <c r="B211" s="126" t="n">
        <v>46556</v>
      </c>
      <c r="C211">
        <f>'KG1-1'!IE44</f>
        <v/>
      </c>
      <c r="D211">
        <f>'KG1-1'!IE43</f>
        <v/>
      </c>
      <c r="E211">
        <f>'KG1-1'!IE40</f>
        <v/>
      </c>
      <c r="F211">
        <f>'KG1-1'!IE41</f>
        <v/>
      </c>
      <c r="G211">
        <f>'KG1-1'!IE42</f>
        <v/>
      </c>
    </row>
    <row r="212">
      <c r="A212">
        <f>'KG1-1'!$B$2</f>
        <v/>
      </c>
      <c r="B212" s="126" t="n">
        <v>46559</v>
      </c>
      <c r="C212">
        <f>'KG1-1'!IF44</f>
        <v/>
      </c>
      <c r="D212">
        <f>'KG1-1'!IF43</f>
        <v/>
      </c>
      <c r="E212">
        <f>'KG1-1'!IF40</f>
        <v/>
      </c>
      <c r="F212">
        <f>'KG1-1'!IF41</f>
        <v/>
      </c>
      <c r="G212">
        <f>'KG1-1'!IF42</f>
        <v/>
      </c>
    </row>
    <row r="213">
      <c r="A213">
        <f>'KG1-1'!$B$2</f>
        <v/>
      </c>
      <c r="B213" s="126" t="n">
        <v>46560</v>
      </c>
      <c r="C213">
        <f>'KG1-1'!IG44</f>
        <v/>
      </c>
      <c r="D213">
        <f>'KG1-1'!IG43</f>
        <v/>
      </c>
      <c r="E213">
        <f>'KG1-1'!IG40</f>
        <v/>
      </c>
      <c r="F213">
        <f>'KG1-1'!IG41</f>
        <v/>
      </c>
      <c r="G213">
        <f>'KG1-1'!IG42</f>
        <v/>
      </c>
    </row>
    <row r="214">
      <c r="A214">
        <f>'KG1-1'!$B$2</f>
        <v/>
      </c>
      <c r="B214" s="126" t="n">
        <v>46561</v>
      </c>
      <c r="C214">
        <f>'KG1-1'!IH44</f>
        <v/>
      </c>
      <c r="D214">
        <f>'KG1-1'!IH43</f>
        <v/>
      </c>
      <c r="E214">
        <f>'KG1-1'!IH40</f>
        <v/>
      </c>
      <c r="F214">
        <f>'KG1-1'!IH41</f>
        <v/>
      </c>
      <c r="G214">
        <f>'KG1-1'!IH42</f>
        <v/>
      </c>
    </row>
    <row r="215">
      <c r="A215">
        <f>'KG1-1'!$B$2</f>
        <v/>
      </c>
      <c r="B215" s="126" t="n">
        <v>46562</v>
      </c>
      <c r="C215">
        <f>'KG1-1'!II44</f>
        <v/>
      </c>
      <c r="D215">
        <f>'KG1-1'!II43</f>
        <v/>
      </c>
      <c r="E215">
        <f>'KG1-1'!II40</f>
        <v/>
      </c>
      <c r="F215">
        <f>'KG1-1'!II41</f>
        <v/>
      </c>
      <c r="G215">
        <f>'KG1-1'!II42</f>
        <v/>
      </c>
    </row>
    <row r="216">
      <c r="A216">
        <f>'KG1-1'!$B$2</f>
        <v/>
      </c>
      <c r="B216" s="126" t="n">
        <v>46563</v>
      </c>
      <c r="C216">
        <f>'KG1-1'!IJ44</f>
        <v/>
      </c>
      <c r="D216">
        <f>'KG1-1'!IJ43</f>
        <v/>
      </c>
      <c r="E216">
        <f>'KG1-1'!IJ40</f>
        <v/>
      </c>
      <c r="F216">
        <f>'KG1-1'!IJ41</f>
        <v/>
      </c>
      <c r="G216">
        <f>'KG1-1'!IJ42</f>
        <v/>
      </c>
    </row>
    <row r="217">
      <c r="A217">
        <f>'KG1-1'!$B$2</f>
        <v/>
      </c>
      <c r="B217" s="126" t="n">
        <v>46566</v>
      </c>
      <c r="C217">
        <f>'KG1-1'!IK44</f>
        <v/>
      </c>
      <c r="D217">
        <f>'KG1-1'!IK43</f>
        <v/>
      </c>
      <c r="E217">
        <f>'KG1-1'!IK40</f>
        <v/>
      </c>
      <c r="F217">
        <f>'KG1-1'!IK41</f>
        <v/>
      </c>
      <c r="G217">
        <f>'KG1-1'!IK42</f>
        <v/>
      </c>
    </row>
    <row r="218">
      <c r="A218">
        <f>'KG1-1'!$B$2</f>
        <v/>
      </c>
      <c r="B218" s="126" t="n">
        <v>46567</v>
      </c>
      <c r="C218">
        <f>'KG1-1'!IL44</f>
        <v/>
      </c>
      <c r="D218">
        <f>'KG1-1'!IL43</f>
        <v/>
      </c>
      <c r="E218">
        <f>'KG1-1'!IL40</f>
        <v/>
      </c>
      <c r="F218">
        <f>'KG1-1'!IL41</f>
        <v/>
      </c>
      <c r="G218">
        <f>'KG1-1'!IL42</f>
        <v/>
      </c>
    </row>
    <row r="219">
      <c r="A219">
        <f>'KG1-1'!$B$2</f>
        <v/>
      </c>
      <c r="B219" s="126" t="n">
        <v>46568</v>
      </c>
      <c r="C219">
        <f>'KG1-1'!IM44</f>
        <v/>
      </c>
      <c r="D219">
        <f>'KG1-1'!IM43</f>
        <v/>
      </c>
      <c r="E219">
        <f>'KG1-1'!IM40</f>
        <v/>
      </c>
      <c r="F219">
        <f>'KG1-1'!IM41</f>
        <v/>
      </c>
      <c r="G219">
        <f>'KG1-1'!IM42</f>
        <v/>
      </c>
    </row>
    <row r="220">
      <c r="A220">
        <f>'KG1-2'!$B$2</f>
        <v/>
      </c>
      <c r="B220" s="126" t="n">
        <v>46265</v>
      </c>
      <c r="C220">
        <f>'KG1-2'!AD44</f>
        <v/>
      </c>
      <c r="D220">
        <f>'KG1-2'!AD43</f>
        <v/>
      </c>
      <c r="E220">
        <f>'KG1-2'!AD40</f>
        <v/>
      </c>
      <c r="F220">
        <f>'KG1-2'!AD41</f>
        <v/>
      </c>
      <c r="G220">
        <f>'KG1-2'!AD42</f>
        <v/>
      </c>
    </row>
    <row r="221">
      <c r="A221">
        <f>'KG1-2'!$B$2</f>
        <v/>
      </c>
      <c r="B221" s="126" t="n">
        <v>46266</v>
      </c>
      <c r="C221">
        <f>'KG1-2'!AE44</f>
        <v/>
      </c>
      <c r="D221">
        <f>'KG1-2'!AE43</f>
        <v/>
      </c>
      <c r="E221">
        <f>'KG1-2'!AE40</f>
        <v/>
      </c>
      <c r="F221">
        <f>'KG1-2'!AE41</f>
        <v/>
      </c>
      <c r="G221">
        <f>'KG1-2'!AE42</f>
        <v/>
      </c>
    </row>
    <row r="222">
      <c r="A222">
        <f>'KG1-2'!$B$2</f>
        <v/>
      </c>
      <c r="B222" s="126" t="n">
        <v>46267</v>
      </c>
      <c r="C222">
        <f>'KG1-2'!AF44</f>
        <v/>
      </c>
      <c r="D222">
        <f>'KG1-2'!AF43</f>
        <v/>
      </c>
      <c r="E222">
        <f>'KG1-2'!AF40</f>
        <v/>
      </c>
      <c r="F222">
        <f>'KG1-2'!AF41</f>
        <v/>
      </c>
      <c r="G222">
        <f>'KG1-2'!AF42</f>
        <v/>
      </c>
    </row>
    <row r="223">
      <c r="A223">
        <f>'KG1-2'!$B$2</f>
        <v/>
      </c>
      <c r="B223" s="126" t="n">
        <v>46268</v>
      </c>
      <c r="C223">
        <f>'KG1-2'!AG44</f>
        <v/>
      </c>
      <c r="D223">
        <f>'KG1-2'!AG43</f>
        <v/>
      </c>
      <c r="E223">
        <f>'KG1-2'!AG40</f>
        <v/>
      </c>
      <c r="F223">
        <f>'KG1-2'!AG41</f>
        <v/>
      </c>
      <c r="G223">
        <f>'KG1-2'!AG42</f>
        <v/>
      </c>
    </row>
    <row r="224">
      <c r="A224">
        <f>'KG1-2'!$B$2</f>
        <v/>
      </c>
      <c r="B224" s="126" t="n">
        <v>46269</v>
      </c>
      <c r="C224">
        <f>'KG1-2'!AH44</f>
        <v/>
      </c>
      <c r="D224">
        <f>'KG1-2'!AH43</f>
        <v/>
      </c>
      <c r="E224">
        <f>'KG1-2'!AH40</f>
        <v/>
      </c>
      <c r="F224">
        <f>'KG1-2'!AH41</f>
        <v/>
      </c>
      <c r="G224">
        <f>'KG1-2'!AH42</f>
        <v/>
      </c>
    </row>
    <row r="225">
      <c r="A225">
        <f>'KG1-2'!$B$2</f>
        <v/>
      </c>
      <c r="B225" s="126" t="n">
        <v>46272</v>
      </c>
      <c r="C225">
        <f>'KG1-2'!AI44</f>
        <v/>
      </c>
      <c r="D225">
        <f>'KG1-2'!AI43</f>
        <v/>
      </c>
      <c r="E225">
        <f>'KG1-2'!AI40</f>
        <v/>
      </c>
      <c r="F225">
        <f>'KG1-2'!AI41</f>
        <v/>
      </c>
      <c r="G225">
        <f>'KG1-2'!AI42</f>
        <v/>
      </c>
    </row>
    <row r="226">
      <c r="A226">
        <f>'KG1-2'!$B$2</f>
        <v/>
      </c>
      <c r="B226" s="126" t="n">
        <v>46273</v>
      </c>
      <c r="C226">
        <f>'KG1-2'!AJ44</f>
        <v/>
      </c>
      <c r="D226">
        <f>'KG1-2'!AJ43</f>
        <v/>
      </c>
      <c r="E226">
        <f>'KG1-2'!AJ40</f>
        <v/>
      </c>
      <c r="F226">
        <f>'KG1-2'!AJ41</f>
        <v/>
      </c>
      <c r="G226">
        <f>'KG1-2'!AJ42</f>
        <v/>
      </c>
    </row>
    <row r="227">
      <c r="A227">
        <f>'KG1-2'!$B$2</f>
        <v/>
      </c>
      <c r="B227" s="126" t="n">
        <v>46274</v>
      </c>
      <c r="C227">
        <f>'KG1-2'!AK44</f>
        <v/>
      </c>
      <c r="D227">
        <f>'KG1-2'!AK43</f>
        <v/>
      </c>
      <c r="E227">
        <f>'KG1-2'!AK40</f>
        <v/>
      </c>
      <c r="F227">
        <f>'KG1-2'!AK41</f>
        <v/>
      </c>
      <c r="G227">
        <f>'KG1-2'!AK42</f>
        <v/>
      </c>
    </row>
    <row r="228">
      <c r="A228">
        <f>'KG1-2'!$B$2</f>
        <v/>
      </c>
      <c r="B228" s="126" t="n">
        <v>46275</v>
      </c>
      <c r="C228">
        <f>'KG1-2'!AL44</f>
        <v/>
      </c>
      <c r="D228">
        <f>'KG1-2'!AL43</f>
        <v/>
      </c>
      <c r="E228">
        <f>'KG1-2'!AL40</f>
        <v/>
      </c>
      <c r="F228">
        <f>'KG1-2'!AL41</f>
        <v/>
      </c>
      <c r="G228">
        <f>'KG1-2'!AL42</f>
        <v/>
      </c>
    </row>
    <row r="229">
      <c r="A229">
        <f>'KG1-2'!$B$2</f>
        <v/>
      </c>
      <c r="B229" s="126" t="n">
        <v>46276</v>
      </c>
      <c r="C229">
        <f>'KG1-2'!AM44</f>
        <v/>
      </c>
      <c r="D229">
        <f>'KG1-2'!AM43</f>
        <v/>
      </c>
      <c r="E229">
        <f>'KG1-2'!AM40</f>
        <v/>
      </c>
      <c r="F229">
        <f>'KG1-2'!AM41</f>
        <v/>
      </c>
      <c r="G229">
        <f>'KG1-2'!AM42</f>
        <v/>
      </c>
    </row>
    <row r="230">
      <c r="A230">
        <f>'KG1-2'!$B$2</f>
        <v/>
      </c>
      <c r="B230" s="126" t="n">
        <v>46279</v>
      </c>
      <c r="C230">
        <f>'KG1-2'!AN44</f>
        <v/>
      </c>
      <c r="D230">
        <f>'KG1-2'!AN43</f>
        <v/>
      </c>
      <c r="E230">
        <f>'KG1-2'!AN40</f>
        <v/>
      </c>
      <c r="F230">
        <f>'KG1-2'!AN41</f>
        <v/>
      </c>
      <c r="G230">
        <f>'KG1-2'!AN42</f>
        <v/>
      </c>
    </row>
    <row r="231">
      <c r="A231">
        <f>'KG1-2'!$B$2</f>
        <v/>
      </c>
      <c r="B231" s="126" t="n">
        <v>46280</v>
      </c>
      <c r="C231">
        <f>'KG1-2'!AO44</f>
        <v/>
      </c>
      <c r="D231">
        <f>'KG1-2'!AO43</f>
        <v/>
      </c>
      <c r="E231">
        <f>'KG1-2'!AO40</f>
        <v/>
      </c>
      <c r="F231">
        <f>'KG1-2'!AO41</f>
        <v/>
      </c>
      <c r="G231">
        <f>'KG1-2'!AO42</f>
        <v/>
      </c>
    </row>
    <row r="232">
      <c r="A232">
        <f>'KG1-2'!$B$2</f>
        <v/>
      </c>
      <c r="B232" s="126" t="n">
        <v>46281</v>
      </c>
      <c r="C232">
        <f>'KG1-2'!AP44</f>
        <v/>
      </c>
      <c r="D232">
        <f>'KG1-2'!AP43</f>
        <v/>
      </c>
      <c r="E232">
        <f>'KG1-2'!AP40</f>
        <v/>
      </c>
      <c r="F232">
        <f>'KG1-2'!AP41</f>
        <v/>
      </c>
      <c r="G232">
        <f>'KG1-2'!AP42</f>
        <v/>
      </c>
    </row>
    <row r="233">
      <c r="A233">
        <f>'KG1-2'!$B$2</f>
        <v/>
      </c>
      <c r="B233" s="126" t="n">
        <v>46282</v>
      </c>
      <c r="C233">
        <f>'KG1-2'!AQ44</f>
        <v/>
      </c>
      <c r="D233">
        <f>'KG1-2'!AQ43</f>
        <v/>
      </c>
      <c r="E233">
        <f>'KG1-2'!AQ40</f>
        <v/>
      </c>
      <c r="F233">
        <f>'KG1-2'!AQ41</f>
        <v/>
      </c>
      <c r="G233">
        <f>'KG1-2'!AQ42</f>
        <v/>
      </c>
    </row>
    <row r="234">
      <c r="A234">
        <f>'KG1-2'!$B$2</f>
        <v/>
      </c>
      <c r="B234" s="126" t="n">
        <v>46283</v>
      </c>
      <c r="C234">
        <f>'KG1-2'!AR44</f>
        <v/>
      </c>
      <c r="D234">
        <f>'KG1-2'!AR43</f>
        <v/>
      </c>
      <c r="E234">
        <f>'KG1-2'!AR40</f>
        <v/>
      </c>
      <c r="F234">
        <f>'KG1-2'!AR41</f>
        <v/>
      </c>
      <c r="G234">
        <f>'KG1-2'!AR42</f>
        <v/>
      </c>
    </row>
    <row r="235">
      <c r="A235">
        <f>'KG1-2'!$B$2</f>
        <v/>
      </c>
      <c r="B235" s="126" t="n">
        <v>46286</v>
      </c>
      <c r="C235">
        <f>'KG1-2'!AS44</f>
        <v/>
      </c>
      <c r="D235">
        <f>'KG1-2'!AS43</f>
        <v/>
      </c>
      <c r="E235">
        <f>'KG1-2'!AS40</f>
        <v/>
      </c>
      <c r="F235">
        <f>'KG1-2'!AS41</f>
        <v/>
      </c>
      <c r="G235">
        <f>'KG1-2'!AS42</f>
        <v/>
      </c>
    </row>
    <row r="236">
      <c r="A236">
        <f>'KG1-2'!$B$2</f>
        <v/>
      </c>
      <c r="B236" s="126" t="n">
        <v>46287</v>
      </c>
      <c r="C236">
        <f>'KG1-2'!AT44</f>
        <v/>
      </c>
      <c r="D236">
        <f>'KG1-2'!AT43</f>
        <v/>
      </c>
      <c r="E236">
        <f>'KG1-2'!AT40</f>
        <v/>
      </c>
      <c r="F236">
        <f>'KG1-2'!AT41</f>
        <v/>
      </c>
      <c r="G236">
        <f>'KG1-2'!AT42</f>
        <v/>
      </c>
    </row>
    <row r="237">
      <c r="A237">
        <f>'KG1-2'!$B$2</f>
        <v/>
      </c>
      <c r="B237" s="126" t="n">
        <v>46288</v>
      </c>
      <c r="C237">
        <f>'KG1-2'!AU44</f>
        <v/>
      </c>
      <c r="D237">
        <f>'KG1-2'!AU43</f>
        <v/>
      </c>
      <c r="E237">
        <f>'KG1-2'!AU40</f>
        <v/>
      </c>
      <c r="F237">
        <f>'KG1-2'!AU41</f>
        <v/>
      </c>
      <c r="G237">
        <f>'KG1-2'!AU42</f>
        <v/>
      </c>
    </row>
    <row r="238">
      <c r="A238">
        <f>'KG1-2'!$B$2</f>
        <v/>
      </c>
      <c r="B238" s="126" t="n">
        <v>46289</v>
      </c>
      <c r="C238">
        <f>'KG1-2'!AV44</f>
        <v/>
      </c>
      <c r="D238">
        <f>'KG1-2'!AV43</f>
        <v/>
      </c>
      <c r="E238">
        <f>'KG1-2'!AV40</f>
        <v/>
      </c>
      <c r="F238">
        <f>'KG1-2'!AV41</f>
        <v/>
      </c>
      <c r="G238">
        <f>'KG1-2'!AV42</f>
        <v/>
      </c>
    </row>
    <row r="239">
      <c r="A239">
        <f>'KG1-2'!$B$2</f>
        <v/>
      </c>
      <c r="B239" s="126" t="n">
        <v>46290</v>
      </c>
      <c r="C239">
        <f>'KG1-2'!AW44</f>
        <v/>
      </c>
      <c r="D239">
        <f>'KG1-2'!AW43</f>
        <v/>
      </c>
      <c r="E239">
        <f>'KG1-2'!AW40</f>
        <v/>
      </c>
      <c r="F239">
        <f>'KG1-2'!AW41</f>
        <v/>
      </c>
      <c r="G239">
        <f>'KG1-2'!AW42</f>
        <v/>
      </c>
    </row>
    <row r="240">
      <c r="A240">
        <f>'KG1-2'!$B$2</f>
        <v/>
      </c>
      <c r="B240" s="126" t="n">
        <v>46293</v>
      </c>
      <c r="C240">
        <f>'KG1-2'!AX44</f>
        <v/>
      </c>
      <c r="D240">
        <f>'KG1-2'!AX43</f>
        <v/>
      </c>
      <c r="E240">
        <f>'KG1-2'!AX40</f>
        <v/>
      </c>
      <c r="F240">
        <f>'KG1-2'!AX41</f>
        <v/>
      </c>
      <c r="G240">
        <f>'KG1-2'!AX42</f>
        <v/>
      </c>
    </row>
    <row r="241">
      <c r="A241">
        <f>'KG1-2'!$B$2</f>
        <v/>
      </c>
      <c r="B241" s="126" t="n">
        <v>46294</v>
      </c>
      <c r="C241">
        <f>'KG1-2'!AY44</f>
        <v/>
      </c>
      <c r="D241">
        <f>'KG1-2'!AY43</f>
        <v/>
      </c>
      <c r="E241">
        <f>'KG1-2'!AY40</f>
        <v/>
      </c>
      <c r="F241">
        <f>'KG1-2'!AY41</f>
        <v/>
      </c>
      <c r="G241">
        <f>'KG1-2'!AY42</f>
        <v/>
      </c>
    </row>
    <row r="242">
      <c r="A242">
        <f>'KG1-2'!$B$2</f>
        <v/>
      </c>
      <c r="B242" s="126" t="n">
        <v>46295</v>
      </c>
      <c r="C242">
        <f>'KG1-2'!AZ44</f>
        <v/>
      </c>
      <c r="D242">
        <f>'KG1-2'!AZ43</f>
        <v/>
      </c>
      <c r="E242">
        <f>'KG1-2'!AZ40</f>
        <v/>
      </c>
      <c r="F242">
        <f>'KG1-2'!AZ41</f>
        <v/>
      </c>
      <c r="G242">
        <f>'KG1-2'!AZ42</f>
        <v/>
      </c>
    </row>
    <row r="243">
      <c r="A243">
        <f>'KG1-2'!$B$2</f>
        <v/>
      </c>
      <c r="B243" s="126" t="n">
        <v>46296</v>
      </c>
      <c r="C243">
        <f>'KG1-2'!BA44</f>
        <v/>
      </c>
      <c r="D243">
        <f>'KG1-2'!BA43</f>
        <v/>
      </c>
      <c r="E243">
        <f>'KG1-2'!BA40</f>
        <v/>
      </c>
      <c r="F243">
        <f>'KG1-2'!BA41</f>
        <v/>
      </c>
      <c r="G243">
        <f>'KG1-2'!BA42</f>
        <v/>
      </c>
    </row>
    <row r="244">
      <c r="A244">
        <f>'KG1-2'!$B$2</f>
        <v/>
      </c>
      <c r="B244" s="126" t="n">
        <v>46297</v>
      </c>
      <c r="C244">
        <f>'KG1-2'!BB44</f>
        <v/>
      </c>
      <c r="D244">
        <f>'KG1-2'!BB43</f>
        <v/>
      </c>
      <c r="E244">
        <f>'KG1-2'!BB40</f>
        <v/>
      </c>
      <c r="F244">
        <f>'KG1-2'!BB41</f>
        <v/>
      </c>
      <c r="G244">
        <f>'KG1-2'!BB42</f>
        <v/>
      </c>
    </row>
    <row r="245">
      <c r="A245">
        <f>'KG1-2'!$B$2</f>
        <v/>
      </c>
      <c r="B245" s="126" t="n">
        <v>46300</v>
      </c>
      <c r="C245">
        <f>'KG1-2'!BC44</f>
        <v/>
      </c>
      <c r="D245">
        <f>'KG1-2'!BC43</f>
        <v/>
      </c>
      <c r="E245">
        <f>'KG1-2'!BC40</f>
        <v/>
      </c>
      <c r="F245">
        <f>'KG1-2'!BC41</f>
        <v/>
      </c>
      <c r="G245">
        <f>'KG1-2'!BC42</f>
        <v/>
      </c>
    </row>
    <row r="246">
      <c r="A246">
        <f>'KG1-2'!$B$2</f>
        <v/>
      </c>
      <c r="B246" s="126" t="n">
        <v>46301</v>
      </c>
      <c r="C246">
        <f>'KG1-2'!BD44</f>
        <v/>
      </c>
      <c r="D246">
        <f>'KG1-2'!BD43</f>
        <v/>
      </c>
      <c r="E246">
        <f>'KG1-2'!BD40</f>
        <v/>
      </c>
      <c r="F246">
        <f>'KG1-2'!BD41</f>
        <v/>
      </c>
      <c r="G246">
        <f>'KG1-2'!BD42</f>
        <v/>
      </c>
    </row>
    <row r="247">
      <c r="A247">
        <f>'KG1-2'!$B$2</f>
        <v/>
      </c>
      <c r="B247" s="126" t="n">
        <v>46302</v>
      </c>
      <c r="C247">
        <f>'KG1-2'!BE44</f>
        <v/>
      </c>
      <c r="D247">
        <f>'KG1-2'!BE43</f>
        <v/>
      </c>
      <c r="E247">
        <f>'KG1-2'!BE40</f>
        <v/>
      </c>
      <c r="F247">
        <f>'KG1-2'!BE41</f>
        <v/>
      </c>
      <c r="G247">
        <f>'KG1-2'!BE42</f>
        <v/>
      </c>
    </row>
    <row r="248">
      <c r="A248">
        <f>'KG1-2'!$B$2</f>
        <v/>
      </c>
      <c r="B248" s="126" t="n">
        <v>46303</v>
      </c>
      <c r="C248">
        <f>'KG1-2'!BF44</f>
        <v/>
      </c>
      <c r="D248">
        <f>'KG1-2'!BF43</f>
        <v/>
      </c>
      <c r="E248">
        <f>'KG1-2'!BF40</f>
        <v/>
      </c>
      <c r="F248">
        <f>'KG1-2'!BF41</f>
        <v/>
      </c>
      <c r="G248">
        <f>'KG1-2'!BF42</f>
        <v/>
      </c>
    </row>
    <row r="249">
      <c r="A249">
        <f>'KG1-2'!$B$2</f>
        <v/>
      </c>
      <c r="B249" s="126" t="n">
        <v>46304</v>
      </c>
      <c r="C249">
        <f>'KG1-2'!BG44</f>
        <v/>
      </c>
      <c r="D249">
        <f>'KG1-2'!BG43</f>
        <v/>
      </c>
      <c r="E249">
        <f>'KG1-2'!BG40</f>
        <v/>
      </c>
      <c r="F249">
        <f>'KG1-2'!BG41</f>
        <v/>
      </c>
      <c r="G249">
        <f>'KG1-2'!BG42</f>
        <v/>
      </c>
    </row>
    <row r="250">
      <c r="A250">
        <f>'KG1-2'!$B$2</f>
        <v/>
      </c>
      <c r="B250" s="126" t="n">
        <v>46307</v>
      </c>
      <c r="C250">
        <f>'KG1-2'!BH44</f>
        <v/>
      </c>
      <c r="D250">
        <f>'KG1-2'!BH43</f>
        <v/>
      </c>
      <c r="E250">
        <f>'KG1-2'!BH40</f>
        <v/>
      </c>
      <c r="F250">
        <f>'KG1-2'!BH41</f>
        <v/>
      </c>
      <c r="G250">
        <f>'KG1-2'!BH42</f>
        <v/>
      </c>
    </row>
    <row r="251">
      <c r="A251">
        <f>'KG1-2'!$B$2</f>
        <v/>
      </c>
      <c r="B251" s="126" t="n">
        <v>46308</v>
      </c>
      <c r="C251">
        <f>'KG1-2'!BI44</f>
        <v/>
      </c>
      <c r="D251">
        <f>'KG1-2'!BI43</f>
        <v/>
      </c>
      <c r="E251">
        <f>'KG1-2'!BI40</f>
        <v/>
      </c>
      <c r="F251">
        <f>'KG1-2'!BI41</f>
        <v/>
      </c>
      <c r="G251">
        <f>'KG1-2'!BI42</f>
        <v/>
      </c>
    </row>
    <row r="252">
      <c r="A252">
        <f>'KG1-2'!$B$2</f>
        <v/>
      </c>
      <c r="B252" s="126" t="n">
        <v>46309</v>
      </c>
      <c r="C252">
        <f>'KG1-2'!BJ44</f>
        <v/>
      </c>
      <c r="D252">
        <f>'KG1-2'!BJ43</f>
        <v/>
      </c>
      <c r="E252">
        <f>'KG1-2'!BJ40</f>
        <v/>
      </c>
      <c r="F252">
        <f>'KG1-2'!BJ41</f>
        <v/>
      </c>
      <c r="G252">
        <f>'KG1-2'!BJ42</f>
        <v/>
      </c>
    </row>
    <row r="253">
      <c r="A253">
        <f>'KG1-2'!$B$2</f>
        <v/>
      </c>
      <c r="B253" s="126" t="n">
        <v>46310</v>
      </c>
      <c r="C253">
        <f>'KG1-2'!BK44</f>
        <v/>
      </c>
      <c r="D253">
        <f>'KG1-2'!BK43</f>
        <v/>
      </c>
      <c r="E253">
        <f>'KG1-2'!BK40</f>
        <v/>
      </c>
      <c r="F253">
        <f>'KG1-2'!BK41</f>
        <v/>
      </c>
      <c r="G253">
        <f>'KG1-2'!BK42</f>
        <v/>
      </c>
    </row>
    <row r="254">
      <c r="A254">
        <f>'KG1-2'!$B$2</f>
        <v/>
      </c>
      <c r="B254" s="126" t="n">
        <v>46311</v>
      </c>
      <c r="C254">
        <f>'KG1-2'!BL44</f>
        <v/>
      </c>
      <c r="D254">
        <f>'KG1-2'!BL43</f>
        <v/>
      </c>
      <c r="E254">
        <f>'KG1-2'!BL40</f>
        <v/>
      </c>
      <c r="F254">
        <f>'KG1-2'!BL41</f>
        <v/>
      </c>
      <c r="G254">
        <f>'KG1-2'!BL42</f>
        <v/>
      </c>
    </row>
    <row r="255">
      <c r="A255">
        <f>'KG1-2'!$B$2</f>
        <v/>
      </c>
      <c r="B255" s="126" t="n">
        <v>46314</v>
      </c>
      <c r="C255">
        <f>'KG1-2'!BM44</f>
        <v/>
      </c>
      <c r="D255">
        <f>'KG1-2'!BM43</f>
        <v/>
      </c>
      <c r="E255">
        <f>'KG1-2'!BM40</f>
        <v/>
      </c>
      <c r="F255">
        <f>'KG1-2'!BM41</f>
        <v/>
      </c>
      <c r="G255">
        <f>'KG1-2'!BM42</f>
        <v/>
      </c>
    </row>
    <row r="256">
      <c r="A256">
        <f>'KG1-2'!$B$2</f>
        <v/>
      </c>
      <c r="B256" s="126" t="n">
        <v>46315</v>
      </c>
      <c r="C256">
        <f>'KG1-2'!BN44</f>
        <v/>
      </c>
      <c r="D256">
        <f>'KG1-2'!BN43</f>
        <v/>
      </c>
      <c r="E256">
        <f>'KG1-2'!BN40</f>
        <v/>
      </c>
      <c r="F256">
        <f>'KG1-2'!BN41</f>
        <v/>
      </c>
      <c r="G256">
        <f>'KG1-2'!BN42</f>
        <v/>
      </c>
    </row>
    <row r="257">
      <c r="A257">
        <f>'KG1-2'!$B$2</f>
        <v/>
      </c>
      <c r="B257" s="126" t="n">
        <v>46316</v>
      </c>
      <c r="C257">
        <f>'KG1-2'!BO44</f>
        <v/>
      </c>
      <c r="D257">
        <f>'KG1-2'!BO43</f>
        <v/>
      </c>
      <c r="E257">
        <f>'KG1-2'!BO40</f>
        <v/>
      </c>
      <c r="F257">
        <f>'KG1-2'!BO41</f>
        <v/>
      </c>
      <c r="G257">
        <f>'KG1-2'!BO42</f>
        <v/>
      </c>
    </row>
    <row r="258">
      <c r="A258">
        <f>'KG1-2'!$B$2</f>
        <v/>
      </c>
      <c r="B258" s="126" t="n">
        <v>46317</v>
      </c>
      <c r="C258">
        <f>'KG1-2'!BP44</f>
        <v/>
      </c>
      <c r="D258">
        <f>'KG1-2'!BP43</f>
        <v/>
      </c>
      <c r="E258">
        <f>'KG1-2'!BP40</f>
        <v/>
      </c>
      <c r="F258">
        <f>'KG1-2'!BP41</f>
        <v/>
      </c>
      <c r="G258">
        <f>'KG1-2'!BP42</f>
        <v/>
      </c>
    </row>
    <row r="259">
      <c r="A259">
        <f>'KG1-2'!$B$2</f>
        <v/>
      </c>
      <c r="B259" s="126" t="n">
        <v>46318</v>
      </c>
      <c r="C259">
        <f>'KG1-2'!BQ44</f>
        <v/>
      </c>
      <c r="D259">
        <f>'KG1-2'!BQ43</f>
        <v/>
      </c>
      <c r="E259">
        <f>'KG1-2'!BQ40</f>
        <v/>
      </c>
      <c r="F259">
        <f>'KG1-2'!BQ41</f>
        <v/>
      </c>
      <c r="G259">
        <f>'KG1-2'!BQ42</f>
        <v/>
      </c>
    </row>
    <row r="260">
      <c r="A260">
        <f>'KG1-2'!$B$2</f>
        <v/>
      </c>
      <c r="B260" s="126" t="n">
        <v>46321</v>
      </c>
      <c r="C260">
        <f>'KG1-2'!BR44</f>
        <v/>
      </c>
      <c r="D260">
        <f>'KG1-2'!BR43</f>
        <v/>
      </c>
      <c r="E260">
        <f>'KG1-2'!BR40</f>
        <v/>
      </c>
      <c r="F260">
        <f>'KG1-2'!BR41</f>
        <v/>
      </c>
      <c r="G260">
        <f>'KG1-2'!BR42</f>
        <v/>
      </c>
    </row>
    <row r="261">
      <c r="A261">
        <f>'KG1-2'!$B$2</f>
        <v/>
      </c>
      <c r="B261" s="126" t="n">
        <v>46322</v>
      </c>
      <c r="C261">
        <f>'KG1-2'!BS44</f>
        <v/>
      </c>
      <c r="D261">
        <f>'KG1-2'!BS43</f>
        <v/>
      </c>
      <c r="E261">
        <f>'KG1-2'!BS40</f>
        <v/>
      </c>
      <c r="F261">
        <f>'KG1-2'!BS41</f>
        <v/>
      </c>
      <c r="G261">
        <f>'KG1-2'!BS42</f>
        <v/>
      </c>
    </row>
    <row r="262">
      <c r="A262">
        <f>'KG1-2'!$B$2</f>
        <v/>
      </c>
      <c r="B262" s="126" t="n">
        <v>46323</v>
      </c>
      <c r="C262">
        <f>'KG1-2'!BT44</f>
        <v/>
      </c>
      <c r="D262">
        <f>'KG1-2'!BT43</f>
        <v/>
      </c>
      <c r="E262">
        <f>'KG1-2'!BT40</f>
        <v/>
      </c>
      <c r="F262">
        <f>'KG1-2'!BT41</f>
        <v/>
      </c>
      <c r="G262">
        <f>'KG1-2'!BT42</f>
        <v/>
      </c>
    </row>
    <row r="263">
      <c r="A263">
        <f>'KG1-2'!$B$2</f>
        <v/>
      </c>
      <c r="B263" s="126" t="n">
        <v>46324</v>
      </c>
      <c r="C263">
        <f>'KG1-2'!BU44</f>
        <v/>
      </c>
      <c r="D263">
        <f>'KG1-2'!BU43</f>
        <v/>
      </c>
      <c r="E263">
        <f>'KG1-2'!BU40</f>
        <v/>
      </c>
      <c r="F263">
        <f>'KG1-2'!BU41</f>
        <v/>
      </c>
      <c r="G263">
        <f>'KG1-2'!BU42</f>
        <v/>
      </c>
    </row>
    <row r="264">
      <c r="A264">
        <f>'KG1-2'!$B$2</f>
        <v/>
      </c>
      <c r="B264" s="126" t="n">
        <v>46325</v>
      </c>
      <c r="C264">
        <f>'KG1-2'!BV44</f>
        <v/>
      </c>
      <c r="D264">
        <f>'KG1-2'!BV43</f>
        <v/>
      </c>
      <c r="E264">
        <f>'KG1-2'!BV40</f>
        <v/>
      </c>
      <c r="F264">
        <f>'KG1-2'!BV41</f>
        <v/>
      </c>
      <c r="G264">
        <f>'KG1-2'!BV42</f>
        <v/>
      </c>
    </row>
    <row r="265">
      <c r="A265">
        <f>'KG1-2'!$B$2</f>
        <v/>
      </c>
      <c r="B265" s="126" t="n">
        <v>46328</v>
      </c>
      <c r="C265">
        <f>'KG1-2'!BW44</f>
        <v/>
      </c>
      <c r="D265">
        <f>'KG1-2'!BW43</f>
        <v/>
      </c>
      <c r="E265">
        <f>'KG1-2'!BW40</f>
        <v/>
      </c>
      <c r="F265">
        <f>'KG1-2'!BW41</f>
        <v/>
      </c>
      <c r="G265">
        <f>'KG1-2'!BW42</f>
        <v/>
      </c>
    </row>
    <row r="266">
      <c r="A266">
        <f>'KG1-2'!$B$2</f>
        <v/>
      </c>
      <c r="B266" s="126" t="n">
        <v>46329</v>
      </c>
      <c r="C266">
        <f>'KG1-2'!BX44</f>
        <v/>
      </c>
      <c r="D266">
        <f>'KG1-2'!BX43</f>
        <v/>
      </c>
      <c r="E266">
        <f>'KG1-2'!BX40</f>
        <v/>
      </c>
      <c r="F266">
        <f>'KG1-2'!BX41</f>
        <v/>
      </c>
      <c r="G266">
        <f>'KG1-2'!BX42</f>
        <v/>
      </c>
    </row>
    <row r="267">
      <c r="A267">
        <f>'KG1-2'!$B$2</f>
        <v/>
      </c>
      <c r="B267" s="126" t="n">
        <v>46330</v>
      </c>
      <c r="C267">
        <f>'KG1-2'!BY44</f>
        <v/>
      </c>
      <c r="D267">
        <f>'KG1-2'!BY43</f>
        <v/>
      </c>
      <c r="E267">
        <f>'KG1-2'!BY40</f>
        <v/>
      </c>
      <c r="F267">
        <f>'KG1-2'!BY41</f>
        <v/>
      </c>
      <c r="G267">
        <f>'KG1-2'!BY42</f>
        <v/>
      </c>
    </row>
    <row r="268">
      <c r="A268">
        <f>'KG1-2'!$B$2</f>
        <v/>
      </c>
      <c r="B268" s="126" t="n">
        <v>46331</v>
      </c>
      <c r="C268">
        <f>'KG1-2'!BZ44</f>
        <v/>
      </c>
      <c r="D268">
        <f>'KG1-2'!BZ43</f>
        <v/>
      </c>
      <c r="E268">
        <f>'KG1-2'!BZ40</f>
        <v/>
      </c>
      <c r="F268">
        <f>'KG1-2'!BZ41</f>
        <v/>
      </c>
      <c r="G268">
        <f>'KG1-2'!BZ42</f>
        <v/>
      </c>
    </row>
    <row r="269">
      <c r="A269">
        <f>'KG1-2'!$B$2</f>
        <v/>
      </c>
      <c r="B269" s="126" t="n">
        <v>46332</v>
      </c>
      <c r="C269">
        <f>'KG1-2'!CA44</f>
        <v/>
      </c>
      <c r="D269">
        <f>'KG1-2'!CA43</f>
        <v/>
      </c>
      <c r="E269">
        <f>'KG1-2'!CA40</f>
        <v/>
      </c>
      <c r="F269">
        <f>'KG1-2'!CA41</f>
        <v/>
      </c>
      <c r="G269">
        <f>'KG1-2'!CA42</f>
        <v/>
      </c>
    </row>
    <row r="270">
      <c r="A270">
        <f>'KG1-2'!$B$2</f>
        <v/>
      </c>
      <c r="B270" s="126" t="n">
        <v>46335</v>
      </c>
      <c r="C270">
        <f>'KG1-2'!CB44</f>
        <v/>
      </c>
      <c r="D270">
        <f>'KG1-2'!CB43</f>
        <v/>
      </c>
      <c r="E270">
        <f>'KG1-2'!CB40</f>
        <v/>
      </c>
      <c r="F270">
        <f>'KG1-2'!CB41</f>
        <v/>
      </c>
      <c r="G270">
        <f>'KG1-2'!CB42</f>
        <v/>
      </c>
    </row>
    <row r="271">
      <c r="A271">
        <f>'KG1-2'!$B$2</f>
        <v/>
      </c>
      <c r="B271" s="126" t="n">
        <v>46336</v>
      </c>
      <c r="C271">
        <f>'KG1-2'!CC44</f>
        <v/>
      </c>
      <c r="D271">
        <f>'KG1-2'!CC43</f>
        <v/>
      </c>
      <c r="E271">
        <f>'KG1-2'!CC40</f>
        <v/>
      </c>
      <c r="F271">
        <f>'KG1-2'!CC41</f>
        <v/>
      </c>
      <c r="G271">
        <f>'KG1-2'!CC42</f>
        <v/>
      </c>
    </row>
    <row r="272">
      <c r="A272">
        <f>'KG1-2'!$B$2</f>
        <v/>
      </c>
      <c r="B272" s="126" t="n">
        <v>46337</v>
      </c>
      <c r="C272">
        <f>'KG1-2'!CD44</f>
        <v/>
      </c>
      <c r="D272">
        <f>'KG1-2'!CD43</f>
        <v/>
      </c>
      <c r="E272">
        <f>'KG1-2'!CD40</f>
        <v/>
      </c>
      <c r="F272">
        <f>'KG1-2'!CD41</f>
        <v/>
      </c>
      <c r="G272">
        <f>'KG1-2'!CD42</f>
        <v/>
      </c>
    </row>
    <row r="273">
      <c r="A273">
        <f>'KG1-2'!$B$2</f>
        <v/>
      </c>
      <c r="B273" s="126" t="n">
        <v>46338</v>
      </c>
      <c r="C273">
        <f>'KG1-2'!CE44</f>
        <v/>
      </c>
      <c r="D273">
        <f>'KG1-2'!CE43</f>
        <v/>
      </c>
      <c r="E273">
        <f>'KG1-2'!CE40</f>
        <v/>
      </c>
      <c r="F273">
        <f>'KG1-2'!CE41</f>
        <v/>
      </c>
      <c r="G273">
        <f>'KG1-2'!CE42</f>
        <v/>
      </c>
    </row>
    <row r="274">
      <c r="A274">
        <f>'KG1-2'!$B$2</f>
        <v/>
      </c>
      <c r="B274" s="126" t="n">
        <v>46339</v>
      </c>
      <c r="C274">
        <f>'KG1-2'!CF44</f>
        <v/>
      </c>
      <c r="D274">
        <f>'KG1-2'!CF43</f>
        <v/>
      </c>
      <c r="E274">
        <f>'KG1-2'!CF40</f>
        <v/>
      </c>
      <c r="F274">
        <f>'KG1-2'!CF41</f>
        <v/>
      </c>
      <c r="G274">
        <f>'KG1-2'!CF42</f>
        <v/>
      </c>
    </row>
    <row r="275">
      <c r="A275">
        <f>'KG1-2'!$B$2</f>
        <v/>
      </c>
      <c r="B275" s="126" t="n">
        <v>46342</v>
      </c>
      <c r="C275">
        <f>'KG1-2'!CG44</f>
        <v/>
      </c>
      <c r="D275">
        <f>'KG1-2'!CG43</f>
        <v/>
      </c>
      <c r="E275">
        <f>'KG1-2'!CG40</f>
        <v/>
      </c>
      <c r="F275">
        <f>'KG1-2'!CG41</f>
        <v/>
      </c>
      <c r="G275">
        <f>'KG1-2'!CG42</f>
        <v/>
      </c>
    </row>
    <row r="276">
      <c r="A276">
        <f>'KG1-2'!$B$2</f>
        <v/>
      </c>
      <c r="B276" s="126" t="n">
        <v>46343</v>
      </c>
      <c r="C276">
        <f>'KG1-2'!CH44</f>
        <v/>
      </c>
      <c r="D276">
        <f>'KG1-2'!CH43</f>
        <v/>
      </c>
      <c r="E276">
        <f>'KG1-2'!CH40</f>
        <v/>
      </c>
      <c r="F276">
        <f>'KG1-2'!CH41</f>
        <v/>
      </c>
      <c r="G276">
        <f>'KG1-2'!CH42</f>
        <v/>
      </c>
    </row>
    <row r="277">
      <c r="A277">
        <f>'KG1-2'!$B$2</f>
        <v/>
      </c>
      <c r="B277" s="126" t="n">
        <v>46344</v>
      </c>
      <c r="C277">
        <f>'KG1-2'!CI44</f>
        <v/>
      </c>
      <c r="D277">
        <f>'KG1-2'!CI43</f>
        <v/>
      </c>
      <c r="E277">
        <f>'KG1-2'!CI40</f>
        <v/>
      </c>
      <c r="F277">
        <f>'KG1-2'!CI41</f>
        <v/>
      </c>
      <c r="G277">
        <f>'KG1-2'!CI42</f>
        <v/>
      </c>
    </row>
    <row r="278">
      <c r="A278">
        <f>'KG1-2'!$B$2</f>
        <v/>
      </c>
      <c r="B278" s="126" t="n">
        <v>46345</v>
      </c>
      <c r="C278">
        <f>'KG1-2'!CJ44</f>
        <v/>
      </c>
      <c r="D278">
        <f>'KG1-2'!CJ43</f>
        <v/>
      </c>
      <c r="E278">
        <f>'KG1-2'!CJ40</f>
        <v/>
      </c>
      <c r="F278">
        <f>'KG1-2'!CJ41</f>
        <v/>
      </c>
      <c r="G278">
        <f>'KG1-2'!CJ42</f>
        <v/>
      </c>
    </row>
    <row r="279">
      <c r="A279">
        <f>'KG1-2'!$B$2</f>
        <v/>
      </c>
      <c r="B279" s="126" t="n">
        <v>46346</v>
      </c>
      <c r="C279">
        <f>'KG1-2'!CK44</f>
        <v/>
      </c>
      <c r="D279">
        <f>'KG1-2'!CK43</f>
        <v/>
      </c>
      <c r="E279">
        <f>'KG1-2'!CK40</f>
        <v/>
      </c>
      <c r="F279">
        <f>'KG1-2'!CK41</f>
        <v/>
      </c>
      <c r="G279">
        <f>'KG1-2'!CK42</f>
        <v/>
      </c>
    </row>
    <row r="280">
      <c r="A280">
        <f>'KG1-2'!$B$2</f>
        <v/>
      </c>
      <c r="B280" s="126" t="n">
        <v>46349</v>
      </c>
      <c r="C280">
        <f>'KG1-2'!CL44</f>
        <v/>
      </c>
      <c r="D280">
        <f>'KG1-2'!CL43</f>
        <v/>
      </c>
      <c r="E280">
        <f>'KG1-2'!CL40</f>
        <v/>
      </c>
      <c r="F280">
        <f>'KG1-2'!CL41</f>
        <v/>
      </c>
      <c r="G280">
        <f>'KG1-2'!CL42</f>
        <v/>
      </c>
    </row>
    <row r="281">
      <c r="A281">
        <f>'KG1-2'!$B$2</f>
        <v/>
      </c>
      <c r="B281" s="126" t="n">
        <v>46350</v>
      </c>
      <c r="C281">
        <f>'KG1-2'!CM44</f>
        <v/>
      </c>
      <c r="D281">
        <f>'KG1-2'!CM43</f>
        <v/>
      </c>
      <c r="E281">
        <f>'KG1-2'!CM40</f>
        <v/>
      </c>
      <c r="F281">
        <f>'KG1-2'!CM41</f>
        <v/>
      </c>
      <c r="G281">
        <f>'KG1-2'!CM42</f>
        <v/>
      </c>
    </row>
    <row r="282">
      <c r="A282">
        <f>'KG1-2'!$B$2</f>
        <v/>
      </c>
      <c r="B282" s="126" t="n">
        <v>46351</v>
      </c>
      <c r="C282">
        <f>'KG1-2'!CN44</f>
        <v/>
      </c>
      <c r="D282">
        <f>'KG1-2'!CN43</f>
        <v/>
      </c>
      <c r="E282">
        <f>'KG1-2'!CN40</f>
        <v/>
      </c>
      <c r="F282">
        <f>'KG1-2'!CN41</f>
        <v/>
      </c>
      <c r="G282">
        <f>'KG1-2'!CN42</f>
        <v/>
      </c>
    </row>
    <row r="283">
      <c r="A283">
        <f>'KG1-2'!$B$2</f>
        <v/>
      </c>
      <c r="B283" s="126" t="n">
        <v>46352</v>
      </c>
      <c r="C283">
        <f>'KG1-2'!CO44</f>
        <v/>
      </c>
      <c r="D283">
        <f>'KG1-2'!CO43</f>
        <v/>
      </c>
      <c r="E283">
        <f>'KG1-2'!CO40</f>
        <v/>
      </c>
      <c r="F283">
        <f>'KG1-2'!CO41</f>
        <v/>
      </c>
      <c r="G283">
        <f>'KG1-2'!CO42</f>
        <v/>
      </c>
    </row>
    <row r="284">
      <c r="A284">
        <f>'KG1-2'!$B$2</f>
        <v/>
      </c>
      <c r="B284" s="126" t="n">
        <v>46353</v>
      </c>
      <c r="C284">
        <f>'KG1-2'!CP44</f>
        <v/>
      </c>
      <c r="D284">
        <f>'KG1-2'!CP43</f>
        <v/>
      </c>
      <c r="E284">
        <f>'KG1-2'!CP40</f>
        <v/>
      </c>
      <c r="F284">
        <f>'KG1-2'!CP41</f>
        <v/>
      </c>
      <c r="G284">
        <f>'KG1-2'!CP42</f>
        <v/>
      </c>
    </row>
    <row r="285">
      <c r="A285">
        <f>'KG1-2'!$B$2</f>
        <v/>
      </c>
      <c r="B285" s="126" t="n">
        <v>46356</v>
      </c>
      <c r="C285">
        <f>'KG1-2'!CQ44</f>
        <v/>
      </c>
      <c r="D285">
        <f>'KG1-2'!CQ43</f>
        <v/>
      </c>
      <c r="E285">
        <f>'KG1-2'!CQ40</f>
        <v/>
      </c>
      <c r="F285">
        <f>'KG1-2'!CQ41</f>
        <v/>
      </c>
      <c r="G285">
        <f>'KG1-2'!CQ42</f>
        <v/>
      </c>
    </row>
    <row r="286">
      <c r="A286">
        <f>'KG1-2'!$B$2</f>
        <v/>
      </c>
      <c r="B286" s="126" t="n">
        <v>46357</v>
      </c>
      <c r="C286">
        <f>'KG1-2'!CR44</f>
        <v/>
      </c>
      <c r="D286">
        <f>'KG1-2'!CR43</f>
        <v/>
      </c>
      <c r="E286">
        <f>'KG1-2'!CR40</f>
        <v/>
      </c>
      <c r="F286">
        <f>'KG1-2'!CR41</f>
        <v/>
      </c>
      <c r="G286">
        <f>'KG1-2'!CR42</f>
        <v/>
      </c>
    </row>
    <row r="287">
      <c r="A287">
        <f>'KG1-2'!$B$2</f>
        <v/>
      </c>
      <c r="B287" s="126" t="n">
        <v>46358</v>
      </c>
      <c r="C287">
        <f>'KG1-2'!CS44</f>
        <v/>
      </c>
      <c r="D287">
        <f>'KG1-2'!CS43</f>
        <v/>
      </c>
      <c r="E287">
        <f>'KG1-2'!CS40</f>
        <v/>
      </c>
      <c r="F287">
        <f>'KG1-2'!CS41</f>
        <v/>
      </c>
      <c r="G287">
        <f>'KG1-2'!CS42</f>
        <v/>
      </c>
    </row>
    <row r="288">
      <c r="A288">
        <f>'KG1-2'!$B$2</f>
        <v/>
      </c>
      <c r="B288" s="126" t="n">
        <v>46359</v>
      </c>
      <c r="C288">
        <f>'KG1-2'!CT44</f>
        <v/>
      </c>
      <c r="D288">
        <f>'KG1-2'!CT43</f>
        <v/>
      </c>
      <c r="E288">
        <f>'KG1-2'!CT40</f>
        <v/>
      </c>
      <c r="F288">
        <f>'KG1-2'!CT41</f>
        <v/>
      </c>
      <c r="G288">
        <f>'KG1-2'!CT42</f>
        <v/>
      </c>
    </row>
    <row r="289">
      <c r="A289">
        <f>'KG1-2'!$B$2</f>
        <v/>
      </c>
      <c r="B289" s="126" t="n">
        <v>46360</v>
      </c>
      <c r="C289">
        <f>'KG1-2'!CU44</f>
        <v/>
      </c>
      <c r="D289">
        <f>'KG1-2'!CU43</f>
        <v/>
      </c>
      <c r="E289">
        <f>'KG1-2'!CU40</f>
        <v/>
      </c>
      <c r="F289">
        <f>'KG1-2'!CU41</f>
        <v/>
      </c>
      <c r="G289">
        <f>'KG1-2'!CU42</f>
        <v/>
      </c>
    </row>
    <row r="290">
      <c r="A290">
        <f>'KG1-2'!$B$2</f>
        <v/>
      </c>
      <c r="B290" s="126" t="n">
        <v>46363</v>
      </c>
      <c r="C290">
        <f>'KG1-2'!CV44</f>
        <v/>
      </c>
      <c r="D290">
        <f>'KG1-2'!CV43</f>
        <v/>
      </c>
      <c r="E290">
        <f>'KG1-2'!CV40</f>
        <v/>
      </c>
      <c r="F290">
        <f>'KG1-2'!CV41</f>
        <v/>
      </c>
      <c r="G290">
        <f>'KG1-2'!CV42</f>
        <v/>
      </c>
    </row>
    <row r="291">
      <c r="A291">
        <f>'KG1-2'!$B$2</f>
        <v/>
      </c>
      <c r="B291" s="126" t="n">
        <v>46364</v>
      </c>
      <c r="C291">
        <f>'KG1-2'!CW44</f>
        <v/>
      </c>
      <c r="D291">
        <f>'KG1-2'!CW43</f>
        <v/>
      </c>
      <c r="E291">
        <f>'KG1-2'!CW40</f>
        <v/>
      </c>
      <c r="F291">
        <f>'KG1-2'!CW41</f>
        <v/>
      </c>
      <c r="G291">
        <f>'KG1-2'!CW42</f>
        <v/>
      </c>
    </row>
    <row r="292">
      <c r="A292">
        <f>'KG1-2'!$B$2</f>
        <v/>
      </c>
      <c r="B292" s="126" t="n">
        <v>46365</v>
      </c>
      <c r="C292">
        <f>'KG1-2'!CX44</f>
        <v/>
      </c>
      <c r="D292">
        <f>'KG1-2'!CX43</f>
        <v/>
      </c>
      <c r="E292">
        <f>'KG1-2'!CX40</f>
        <v/>
      </c>
      <c r="F292">
        <f>'KG1-2'!CX41</f>
        <v/>
      </c>
      <c r="G292">
        <f>'KG1-2'!CX42</f>
        <v/>
      </c>
    </row>
    <row r="293">
      <c r="A293">
        <f>'KG1-2'!$B$2</f>
        <v/>
      </c>
      <c r="B293" s="126" t="n">
        <v>46366</v>
      </c>
      <c r="C293">
        <f>'KG1-2'!CY44</f>
        <v/>
      </c>
      <c r="D293">
        <f>'KG1-2'!CY43</f>
        <v/>
      </c>
      <c r="E293">
        <f>'KG1-2'!CY40</f>
        <v/>
      </c>
      <c r="F293">
        <f>'KG1-2'!CY41</f>
        <v/>
      </c>
      <c r="G293">
        <f>'KG1-2'!CY42</f>
        <v/>
      </c>
    </row>
    <row r="294">
      <c r="A294">
        <f>'KG1-2'!$B$2</f>
        <v/>
      </c>
      <c r="B294" s="126" t="n">
        <v>46367</v>
      </c>
      <c r="C294">
        <f>'KG1-2'!CZ44</f>
        <v/>
      </c>
      <c r="D294">
        <f>'KG1-2'!CZ43</f>
        <v/>
      </c>
      <c r="E294">
        <f>'KG1-2'!CZ40</f>
        <v/>
      </c>
      <c r="F294">
        <f>'KG1-2'!CZ41</f>
        <v/>
      </c>
      <c r="G294">
        <f>'KG1-2'!CZ42</f>
        <v/>
      </c>
    </row>
    <row r="295">
      <c r="A295">
        <f>'KG1-2'!$B$2</f>
        <v/>
      </c>
      <c r="B295" s="126" t="n">
        <v>46370</v>
      </c>
      <c r="C295">
        <f>'KG1-2'!DA44</f>
        <v/>
      </c>
      <c r="D295">
        <f>'KG1-2'!DA43</f>
        <v/>
      </c>
      <c r="E295">
        <f>'KG1-2'!DA40</f>
        <v/>
      </c>
      <c r="F295">
        <f>'KG1-2'!DA41</f>
        <v/>
      </c>
      <c r="G295">
        <f>'KG1-2'!DA42</f>
        <v/>
      </c>
    </row>
    <row r="296">
      <c r="A296">
        <f>'KG1-2'!$B$2</f>
        <v/>
      </c>
      <c r="B296" s="126" t="n">
        <v>46371</v>
      </c>
      <c r="C296">
        <f>'KG1-2'!DB44</f>
        <v/>
      </c>
      <c r="D296">
        <f>'KG1-2'!DB43</f>
        <v/>
      </c>
      <c r="E296">
        <f>'KG1-2'!DB40</f>
        <v/>
      </c>
      <c r="F296">
        <f>'KG1-2'!DB41</f>
        <v/>
      </c>
      <c r="G296">
        <f>'KG1-2'!DB42</f>
        <v/>
      </c>
    </row>
    <row r="297">
      <c r="A297">
        <f>'KG1-2'!$B$2</f>
        <v/>
      </c>
      <c r="B297" s="126" t="n">
        <v>46372</v>
      </c>
      <c r="C297">
        <f>'KG1-2'!DC44</f>
        <v/>
      </c>
      <c r="D297">
        <f>'KG1-2'!DC43</f>
        <v/>
      </c>
      <c r="E297">
        <f>'KG1-2'!DC40</f>
        <v/>
      </c>
      <c r="F297">
        <f>'KG1-2'!DC41</f>
        <v/>
      </c>
      <c r="G297">
        <f>'KG1-2'!DC42</f>
        <v/>
      </c>
    </row>
    <row r="298">
      <c r="A298">
        <f>'KG1-2'!$B$2</f>
        <v/>
      </c>
      <c r="B298" s="126" t="n">
        <v>46373</v>
      </c>
      <c r="C298">
        <f>'KG1-2'!DD44</f>
        <v/>
      </c>
      <c r="D298">
        <f>'KG1-2'!DD43</f>
        <v/>
      </c>
      <c r="E298">
        <f>'KG1-2'!DD40</f>
        <v/>
      </c>
      <c r="F298">
        <f>'KG1-2'!DD41</f>
        <v/>
      </c>
      <c r="G298">
        <f>'KG1-2'!DD42</f>
        <v/>
      </c>
    </row>
    <row r="299">
      <c r="A299">
        <f>'KG1-2'!$B$2</f>
        <v/>
      </c>
      <c r="B299" s="126" t="n">
        <v>46374</v>
      </c>
      <c r="C299">
        <f>'KG1-2'!DE44</f>
        <v/>
      </c>
      <c r="D299">
        <f>'KG1-2'!DE43</f>
        <v/>
      </c>
      <c r="E299">
        <f>'KG1-2'!DE40</f>
        <v/>
      </c>
      <c r="F299">
        <f>'KG1-2'!DE41</f>
        <v/>
      </c>
      <c r="G299">
        <f>'KG1-2'!DE42</f>
        <v/>
      </c>
    </row>
    <row r="300">
      <c r="A300">
        <f>'KG1-2'!$B$2</f>
        <v/>
      </c>
      <c r="B300" s="126" t="n">
        <v>46377</v>
      </c>
      <c r="C300">
        <f>'KG1-2'!DF44</f>
        <v/>
      </c>
      <c r="D300">
        <f>'KG1-2'!DF43</f>
        <v/>
      </c>
      <c r="E300">
        <f>'KG1-2'!DF40</f>
        <v/>
      </c>
      <c r="F300">
        <f>'KG1-2'!DF41</f>
        <v/>
      </c>
      <c r="G300">
        <f>'KG1-2'!DF42</f>
        <v/>
      </c>
    </row>
    <row r="301">
      <c r="A301">
        <f>'KG1-2'!$B$2</f>
        <v/>
      </c>
      <c r="B301" s="126" t="n">
        <v>46378</v>
      </c>
      <c r="C301">
        <f>'KG1-2'!DG44</f>
        <v/>
      </c>
      <c r="D301">
        <f>'KG1-2'!DG43</f>
        <v/>
      </c>
      <c r="E301">
        <f>'KG1-2'!DG40</f>
        <v/>
      </c>
      <c r="F301">
        <f>'KG1-2'!DG41</f>
        <v/>
      </c>
      <c r="G301">
        <f>'KG1-2'!DG42</f>
        <v/>
      </c>
    </row>
    <row r="302">
      <c r="A302">
        <f>'KG1-2'!$B$2</f>
        <v/>
      </c>
      <c r="B302" s="126" t="n">
        <v>46379</v>
      </c>
      <c r="C302">
        <f>'KG1-2'!DH44</f>
        <v/>
      </c>
      <c r="D302">
        <f>'KG1-2'!DH43</f>
        <v/>
      </c>
      <c r="E302">
        <f>'KG1-2'!DH40</f>
        <v/>
      </c>
      <c r="F302">
        <f>'KG1-2'!DH41</f>
        <v/>
      </c>
      <c r="G302">
        <f>'KG1-2'!DH42</f>
        <v/>
      </c>
    </row>
    <row r="303">
      <c r="A303">
        <f>'KG1-2'!$B$2</f>
        <v/>
      </c>
      <c r="B303" s="126" t="n">
        <v>46380</v>
      </c>
      <c r="C303">
        <f>'KG1-2'!DI44</f>
        <v/>
      </c>
      <c r="D303">
        <f>'KG1-2'!DI43</f>
        <v/>
      </c>
      <c r="E303">
        <f>'KG1-2'!DI40</f>
        <v/>
      </c>
      <c r="F303">
        <f>'KG1-2'!DI41</f>
        <v/>
      </c>
      <c r="G303">
        <f>'KG1-2'!DI42</f>
        <v/>
      </c>
    </row>
    <row r="304">
      <c r="A304">
        <f>'KG1-2'!$B$2</f>
        <v/>
      </c>
      <c r="B304" s="126" t="n">
        <v>46381</v>
      </c>
      <c r="C304">
        <f>'KG1-2'!DJ44</f>
        <v/>
      </c>
      <c r="D304">
        <f>'KG1-2'!DJ43</f>
        <v/>
      </c>
      <c r="E304">
        <f>'KG1-2'!DJ40</f>
        <v/>
      </c>
      <c r="F304">
        <f>'KG1-2'!DJ41</f>
        <v/>
      </c>
      <c r="G304">
        <f>'KG1-2'!DJ42</f>
        <v/>
      </c>
    </row>
    <row r="305">
      <c r="A305">
        <f>'KG1-2'!$B$2</f>
        <v/>
      </c>
      <c r="B305" s="126" t="n">
        <v>46384</v>
      </c>
      <c r="C305">
        <f>'KG1-2'!DK44</f>
        <v/>
      </c>
      <c r="D305">
        <f>'KG1-2'!DK43</f>
        <v/>
      </c>
      <c r="E305">
        <f>'KG1-2'!DK40</f>
        <v/>
      </c>
      <c r="F305">
        <f>'KG1-2'!DK41</f>
        <v/>
      </c>
      <c r="G305">
        <f>'KG1-2'!DK42</f>
        <v/>
      </c>
    </row>
    <row r="306">
      <c r="A306">
        <f>'KG1-2'!$B$2</f>
        <v/>
      </c>
      <c r="B306" s="126" t="n">
        <v>46385</v>
      </c>
      <c r="C306">
        <f>'KG1-2'!DL44</f>
        <v/>
      </c>
      <c r="D306">
        <f>'KG1-2'!DL43</f>
        <v/>
      </c>
      <c r="E306">
        <f>'KG1-2'!DL40</f>
        <v/>
      </c>
      <c r="F306">
        <f>'KG1-2'!DL41</f>
        <v/>
      </c>
      <c r="G306">
        <f>'KG1-2'!DL42</f>
        <v/>
      </c>
    </row>
    <row r="307">
      <c r="A307">
        <f>'KG1-2'!$B$2</f>
        <v/>
      </c>
      <c r="B307" s="126" t="n">
        <v>46386</v>
      </c>
      <c r="C307">
        <f>'KG1-2'!DM44</f>
        <v/>
      </c>
      <c r="D307">
        <f>'KG1-2'!DM43</f>
        <v/>
      </c>
      <c r="E307">
        <f>'KG1-2'!DM40</f>
        <v/>
      </c>
      <c r="F307">
        <f>'KG1-2'!DM41</f>
        <v/>
      </c>
      <c r="G307">
        <f>'KG1-2'!DM42</f>
        <v/>
      </c>
    </row>
    <row r="308">
      <c r="A308">
        <f>'KG1-2'!$B$2</f>
        <v/>
      </c>
      <c r="B308" s="126" t="n">
        <v>46387</v>
      </c>
      <c r="C308">
        <f>'KG1-2'!DN44</f>
        <v/>
      </c>
      <c r="D308">
        <f>'KG1-2'!DN43</f>
        <v/>
      </c>
      <c r="E308">
        <f>'KG1-2'!DN40</f>
        <v/>
      </c>
      <c r="F308">
        <f>'KG1-2'!DN41</f>
        <v/>
      </c>
      <c r="G308">
        <f>'KG1-2'!DN42</f>
        <v/>
      </c>
    </row>
    <row r="309">
      <c r="A309">
        <f>'KG1-2'!$B$2</f>
        <v/>
      </c>
      <c r="B309" s="126" t="n">
        <v>46388</v>
      </c>
      <c r="C309">
        <f>'KG1-2'!DO44</f>
        <v/>
      </c>
      <c r="D309">
        <f>'KG1-2'!DO43</f>
        <v/>
      </c>
      <c r="E309">
        <f>'KG1-2'!DO40</f>
        <v/>
      </c>
      <c r="F309">
        <f>'KG1-2'!DO41</f>
        <v/>
      </c>
      <c r="G309">
        <f>'KG1-2'!DO42</f>
        <v/>
      </c>
    </row>
    <row r="310">
      <c r="A310">
        <f>'KG1-2'!$B$2</f>
        <v/>
      </c>
      <c r="B310" s="126" t="n">
        <v>46391</v>
      </c>
      <c r="C310">
        <f>'KG1-2'!DP44</f>
        <v/>
      </c>
      <c r="D310">
        <f>'KG1-2'!DP43</f>
        <v/>
      </c>
      <c r="E310">
        <f>'KG1-2'!DP40</f>
        <v/>
      </c>
      <c r="F310">
        <f>'KG1-2'!DP41</f>
        <v/>
      </c>
      <c r="G310">
        <f>'KG1-2'!DP42</f>
        <v/>
      </c>
    </row>
    <row r="311">
      <c r="A311">
        <f>'KG1-2'!$B$2</f>
        <v/>
      </c>
      <c r="B311" s="126" t="n">
        <v>46392</v>
      </c>
      <c r="C311">
        <f>'KG1-2'!DQ44</f>
        <v/>
      </c>
      <c r="D311">
        <f>'KG1-2'!DQ43</f>
        <v/>
      </c>
      <c r="E311">
        <f>'KG1-2'!DQ40</f>
        <v/>
      </c>
      <c r="F311">
        <f>'KG1-2'!DQ41</f>
        <v/>
      </c>
      <c r="G311">
        <f>'KG1-2'!DQ42</f>
        <v/>
      </c>
    </row>
    <row r="312">
      <c r="A312">
        <f>'KG1-2'!$B$2</f>
        <v/>
      </c>
      <c r="B312" s="126" t="n">
        <v>46393</v>
      </c>
      <c r="C312">
        <f>'KG1-2'!DR44</f>
        <v/>
      </c>
      <c r="D312">
        <f>'KG1-2'!DR43</f>
        <v/>
      </c>
      <c r="E312">
        <f>'KG1-2'!DR40</f>
        <v/>
      </c>
      <c r="F312">
        <f>'KG1-2'!DR41</f>
        <v/>
      </c>
      <c r="G312">
        <f>'KG1-2'!DR42</f>
        <v/>
      </c>
    </row>
    <row r="313">
      <c r="A313">
        <f>'KG1-2'!$B$2</f>
        <v/>
      </c>
      <c r="B313" s="126" t="n">
        <v>46394</v>
      </c>
      <c r="C313">
        <f>'KG1-2'!DS44</f>
        <v/>
      </c>
      <c r="D313">
        <f>'KG1-2'!DS43</f>
        <v/>
      </c>
      <c r="E313">
        <f>'KG1-2'!DS40</f>
        <v/>
      </c>
      <c r="F313">
        <f>'KG1-2'!DS41</f>
        <v/>
      </c>
      <c r="G313">
        <f>'KG1-2'!DS42</f>
        <v/>
      </c>
    </row>
    <row r="314">
      <c r="A314">
        <f>'KG1-2'!$B$2</f>
        <v/>
      </c>
      <c r="B314" s="126" t="n">
        <v>46395</v>
      </c>
      <c r="C314">
        <f>'KG1-2'!DT44</f>
        <v/>
      </c>
      <c r="D314">
        <f>'KG1-2'!DT43</f>
        <v/>
      </c>
      <c r="E314">
        <f>'KG1-2'!DT40</f>
        <v/>
      </c>
      <c r="F314">
        <f>'KG1-2'!DT41</f>
        <v/>
      </c>
      <c r="G314">
        <f>'KG1-2'!DT42</f>
        <v/>
      </c>
    </row>
    <row r="315">
      <c r="A315">
        <f>'KG1-2'!$B$2</f>
        <v/>
      </c>
      <c r="B315" s="126" t="n">
        <v>46398</v>
      </c>
      <c r="C315">
        <f>'KG1-2'!DU44</f>
        <v/>
      </c>
      <c r="D315">
        <f>'KG1-2'!DU43</f>
        <v/>
      </c>
      <c r="E315">
        <f>'KG1-2'!DU40</f>
        <v/>
      </c>
      <c r="F315">
        <f>'KG1-2'!DU41</f>
        <v/>
      </c>
      <c r="G315">
        <f>'KG1-2'!DU42</f>
        <v/>
      </c>
    </row>
    <row r="316">
      <c r="A316">
        <f>'KG1-2'!$B$2</f>
        <v/>
      </c>
      <c r="B316" s="126" t="n">
        <v>46399</v>
      </c>
      <c r="C316">
        <f>'KG1-2'!DV44</f>
        <v/>
      </c>
      <c r="D316">
        <f>'KG1-2'!DV43</f>
        <v/>
      </c>
      <c r="E316">
        <f>'KG1-2'!DV40</f>
        <v/>
      </c>
      <c r="F316">
        <f>'KG1-2'!DV41</f>
        <v/>
      </c>
      <c r="G316">
        <f>'KG1-2'!DV42</f>
        <v/>
      </c>
    </row>
    <row r="317">
      <c r="A317">
        <f>'KG1-2'!$B$2</f>
        <v/>
      </c>
      <c r="B317" s="126" t="n">
        <v>46400</v>
      </c>
      <c r="C317">
        <f>'KG1-2'!DW44</f>
        <v/>
      </c>
      <c r="D317">
        <f>'KG1-2'!DW43</f>
        <v/>
      </c>
      <c r="E317">
        <f>'KG1-2'!DW40</f>
        <v/>
      </c>
      <c r="F317">
        <f>'KG1-2'!DW41</f>
        <v/>
      </c>
      <c r="G317">
        <f>'KG1-2'!DW42</f>
        <v/>
      </c>
    </row>
    <row r="318">
      <c r="A318">
        <f>'KG1-2'!$B$2</f>
        <v/>
      </c>
      <c r="B318" s="126" t="n">
        <v>46401</v>
      </c>
      <c r="C318">
        <f>'KG1-2'!DX44</f>
        <v/>
      </c>
      <c r="D318">
        <f>'KG1-2'!DX43</f>
        <v/>
      </c>
      <c r="E318">
        <f>'KG1-2'!DX40</f>
        <v/>
      </c>
      <c r="F318">
        <f>'KG1-2'!DX41</f>
        <v/>
      </c>
      <c r="G318">
        <f>'KG1-2'!DX42</f>
        <v/>
      </c>
    </row>
    <row r="319">
      <c r="A319">
        <f>'KG1-2'!$B$2</f>
        <v/>
      </c>
      <c r="B319" s="126" t="n">
        <v>46402</v>
      </c>
      <c r="C319">
        <f>'KG1-2'!DY44</f>
        <v/>
      </c>
      <c r="D319">
        <f>'KG1-2'!DY43</f>
        <v/>
      </c>
      <c r="E319">
        <f>'KG1-2'!DY40</f>
        <v/>
      </c>
      <c r="F319">
        <f>'KG1-2'!DY41</f>
        <v/>
      </c>
      <c r="G319">
        <f>'KG1-2'!DY42</f>
        <v/>
      </c>
    </row>
    <row r="320">
      <c r="A320">
        <f>'KG1-2'!$B$2</f>
        <v/>
      </c>
      <c r="B320" s="126" t="n">
        <v>46405</v>
      </c>
      <c r="C320">
        <f>'KG1-2'!DZ44</f>
        <v/>
      </c>
      <c r="D320">
        <f>'KG1-2'!DZ43</f>
        <v/>
      </c>
      <c r="E320">
        <f>'KG1-2'!DZ40</f>
        <v/>
      </c>
      <c r="F320">
        <f>'KG1-2'!DZ41</f>
        <v/>
      </c>
      <c r="G320">
        <f>'KG1-2'!DZ42</f>
        <v/>
      </c>
    </row>
    <row r="321">
      <c r="A321">
        <f>'KG1-2'!$B$2</f>
        <v/>
      </c>
      <c r="B321" s="126" t="n">
        <v>46406</v>
      </c>
      <c r="C321">
        <f>'KG1-2'!EA44</f>
        <v/>
      </c>
      <c r="D321">
        <f>'KG1-2'!EA43</f>
        <v/>
      </c>
      <c r="E321">
        <f>'KG1-2'!EA40</f>
        <v/>
      </c>
      <c r="F321">
        <f>'KG1-2'!EA41</f>
        <v/>
      </c>
      <c r="G321">
        <f>'KG1-2'!EA42</f>
        <v/>
      </c>
    </row>
    <row r="322">
      <c r="A322">
        <f>'KG1-2'!$B$2</f>
        <v/>
      </c>
      <c r="B322" s="126" t="n">
        <v>46407</v>
      </c>
      <c r="C322">
        <f>'KG1-2'!EB44</f>
        <v/>
      </c>
      <c r="D322">
        <f>'KG1-2'!EB43</f>
        <v/>
      </c>
      <c r="E322">
        <f>'KG1-2'!EB40</f>
        <v/>
      </c>
      <c r="F322">
        <f>'KG1-2'!EB41</f>
        <v/>
      </c>
      <c r="G322">
        <f>'KG1-2'!EB42</f>
        <v/>
      </c>
    </row>
    <row r="323">
      <c r="A323">
        <f>'KG1-2'!$B$2</f>
        <v/>
      </c>
      <c r="B323" s="126" t="n">
        <v>46408</v>
      </c>
      <c r="C323">
        <f>'KG1-2'!EC44</f>
        <v/>
      </c>
      <c r="D323">
        <f>'KG1-2'!EC43</f>
        <v/>
      </c>
      <c r="E323">
        <f>'KG1-2'!EC40</f>
        <v/>
      </c>
      <c r="F323">
        <f>'KG1-2'!EC41</f>
        <v/>
      </c>
      <c r="G323">
        <f>'KG1-2'!EC42</f>
        <v/>
      </c>
    </row>
    <row r="324">
      <c r="A324">
        <f>'KG1-2'!$B$2</f>
        <v/>
      </c>
      <c r="B324" s="126" t="n">
        <v>46409</v>
      </c>
      <c r="C324">
        <f>'KG1-2'!ED44</f>
        <v/>
      </c>
      <c r="D324">
        <f>'KG1-2'!ED43</f>
        <v/>
      </c>
      <c r="E324">
        <f>'KG1-2'!ED40</f>
        <v/>
      </c>
      <c r="F324">
        <f>'KG1-2'!ED41</f>
        <v/>
      </c>
      <c r="G324">
        <f>'KG1-2'!ED42</f>
        <v/>
      </c>
    </row>
    <row r="325">
      <c r="A325">
        <f>'KG1-2'!$B$2</f>
        <v/>
      </c>
      <c r="B325" s="126" t="n">
        <v>46412</v>
      </c>
      <c r="C325">
        <f>'KG1-2'!EE44</f>
        <v/>
      </c>
      <c r="D325">
        <f>'KG1-2'!EE43</f>
        <v/>
      </c>
      <c r="E325">
        <f>'KG1-2'!EE40</f>
        <v/>
      </c>
      <c r="F325">
        <f>'KG1-2'!EE41</f>
        <v/>
      </c>
      <c r="G325">
        <f>'KG1-2'!EE42</f>
        <v/>
      </c>
    </row>
    <row r="326">
      <c r="A326">
        <f>'KG1-2'!$B$2</f>
        <v/>
      </c>
      <c r="B326" s="126" t="n">
        <v>46413</v>
      </c>
      <c r="C326">
        <f>'KG1-2'!EF44</f>
        <v/>
      </c>
      <c r="D326">
        <f>'KG1-2'!EF43</f>
        <v/>
      </c>
      <c r="E326">
        <f>'KG1-2'!EF40</f>
        <v/>
      </c>
      <c r="F326">
        <f>'KG1-2'!EF41</f>
        <v/>
      </c>
      <c r="G326">
        <f>'KG1-2'!EF42</f>
        <v/>
      </c>
    </row>
    <row r="327">
      <c r="A327">
        <f>'KG1-2'!$B$2</f>
        <v/>
      </c>
      <c r="B327" s="126" t="n">
        <v>46414</v>
      </c>
      <c r="C327">
        <f>'KG1-2'!EG44</f>
        <v/>
      </c>
      <c r="D327">
        <f>'KG1-2'!EG43</f>
        <v/>
      </c>
      <c r="E327">
        <f>'KG1-2'!EG40</f>
        <v/>
      </c>
      <c r="F327">
        <f>'KG1-2'!EG41</f>
        <v/>
      </c>
      <c r="G327">
        <f>'KG1-2'!EG42</f>
        <v/>
      </c>
    </row>
    <row r="328">
      <c r="A328">
        <f>'KG1-2'!$B$2</f>
        <v/>
      </c>
      <c r="B328" s="126" t="n">
        <v>46415</v>
      </c>
      <c r="C328">
        <f>'KG1-2'!EH44</f>
        <v/>
      </c>
      <c r="D328">
        <f>'KG1-2'!EH43</f>
        <v/>
      </c>
      <c r="E328">
        <f>'KG1-2'!EH40</f>
        <v/>
      </c>
      <c r="F328">
        <f>'KG1-2'!EH41</f>
        <v/>
      </c>
      <c r="G328">
        <f>'KG1-2'!EH42</f>
        <v/>
      </c>
    </row>
    <row r="329">
      <c r="A329">
        <f>'KG1-2'!$B$2</f>
        <v/>
      </c>
      <c r="B329" s="126" t="n">
        <v>46416</v>
      </c>
      <c r="C329">
        <f>'KG1-2'!EI44</f>
        <v/>
      </c>
      <c r="D329">
        <f>'KG1-2'!EI43</f>
        <v/>
      </c>
      <c r="E329">
        <f>'KG1-2'!EI40</f>
        <v/>
      </c>
      <c r="F329">
        <f>'KG1-2'!EI41</f>
        <v/>
      </c>
      <c r="G329">
        <f>'KG1-2'!EI42</f>
        <v/>
      </c>
    </row>
    <row r="330">
      <c r="A330">
        <f>'KG1-2'!$B$2</f>
        <v/>
      </c>
      <c r="B330" s="126" t="n">
        <v>46419</v>
      </c>
      <c r="C330">
        <f>'KG1-2'!EJ44</f>
        <v/>
      </c>
      <c r="D330">
        <f>'KG1-2'!EJ43</f>
        <v/>
      </c>
      <c r="E330">
        <f>'KG1-2'!EJ40</f>
        <v/>
      </c>
      <c r="F330">
        <f>'KG1-2'!EJ41</f>
        <v/>
      </c>
      <c r="G330">
        <f>'KG1-2'!EJ42</f>
        <v/>
      </c>
    </row>
    <row r="331">
      <c r="A331">
        <f>'KG1-2'!$B$2</f>
        <v/>
      </c>
      <c r="B331" s="126" t="n">
        <v>46420</v>
      </c>
      <c r="C331">
        <f>'KG1-2'!EK44</f>
        <v/>
      </c>
      <c r="D331">
        <f>'KG1-2'!EK43</f>
        <v/>
      </c>
      <c r="E331">
        <f>'KG1-2'!EK40</f>
        <v/>
      </c>
      <c r="F331">
        <f>'KG1-2'!EK41</f>
        <v/>
      </c>
      <c r="G331">
        <f>'KG1-2'!EK42</f>
        <v/>
      </c>
    </row>
    <row r="332">
      <c r="A332">
        <f>'KG1-2'!$B$2</f>
        <v/>
      </c>
      <c r="B332" s="126" t="n">
        <v>46421</v>
      </c>
      <c r="C332">
        <f>'KG1-2'!EL44</f>
        <v/>
      </c>
      <c r="D332">
        <f>'KG1-2'!EL43</f>
        <v/>
      </c>
      <c r="E332">
        <f>'KG1-2'!EL40</f>
        <v/>
      </c>
      <c r="F332">
        <f>'KG1-2'!EL41</f>
        <v/>
      </c>
      <c r="G332">
        <f>'KG1-2'!EL42</f>
        <v/>
      </c>
    </row>
    <row r="333">
      <c r="A333">
        <f>'KG1-2'!$B$2</f>
        <v/>
      </c>
      <c r="B333" s="126" t="n">
        <v>46422</v>
      </c>
      <c r="C333">
        <f>'KG1-2'!EM44</f>
        <v/>
      </c>
      <c r="D333">
        <f>'KG1-2'!EM43</f>
        <v/>
      </c>
      <c r="E333">
        <f>'KG1-2'!EM40</f>
        <v/>
      </c>
      <c r="F333">
        <f>'KG1-2'!EM41</f>
        <v/>
      </c>
      <c r="G333">
        <f>'KG1-2'!EM42</f>
        <v/>
      </c>
    </row>
    <row r="334">
      <c r="A334">
        <f>'KG1-2'!$B$2</f>
        <v/>
      </c>
      <c r="B334" s="126" t="n">
        <v>46423</v>
      </c>
      <c r="C334">
        <f>'KG1-2'!EN44</f>
        <v/>
      </c>
      <c r="D334">
        <f>'KG1-2'!EN43</f>
        <v/>
      </c>
      <c r="E334">
        <f>'KG1-2'!EN40</f>
        <v/>
      </c>
      <c r="F334">
        <f>'KG1-2'!EN41</f>
        <v/>
      </c>
      <c r="G334">
        <f>'KG1-2'!EN42</f>
        <v/>
      </c>
    </row>
    <row r="335">
      <c r="A335">
        <f>'KG1-2'!$B$2</f>
        <v/>
      </c>
      <c r="B335" s="126" t="n">
        <v>46426</v>
      </c>
      <c r="C335">
        <f>'KG1-2'!EO44</f>
        <v/>
      </c>
      <c r="D335">
        <f>'KG1-2'!EO43</f>
        <v/>
      </c>
      <c r="E335">
        <f>'KG1-2'!EO40</f>
        <v/>
      </c>
      <c r="F335">
        <f>'KG1-2'!EO41</f>
        <v/>
      </c>
      <c r="G335">
        <f>'KG1-2'!EO42</f>
        <v/>
      </c>
    </row>
    <row r="336">
      <c r="A336">
        <f>'KG1-2'!$B$2</f>
        <v/>
      </c>
      <c r="B336" s="126" t="n">
        <v>46427</v>
      </c>
      <c r="C336">
        <f>'KG1-2'!EP44</f>
        <v/>
      </c>
      <c r="D336">
        <f>'KG1-2'!EP43</f>
        <v/>
      </c>
      <c r="E336">
        <f>'KG1-2'!EP40</f>
        <v/>
      </c>
      <c r="F336">
        <f>'KG1-2'!EP41</f>
        <v/>
      </c>
      <c r="G336">
        <f>'KG1-2'!EP42</f>
        <v/>
      </c>
    </row>
    <row r="337">
      <c r="A337">
        <f>'KG1-2'!$B$2</f>
        <v/>
      </c>
      <c r="B337" s="126" t="n">
        <v>46428</v>
      </c>
      <c r="C337">
        <f>'KG1-2'!EQ44</f>
        <v/>
      </c>
      <c r="D337">
        <f>'KG1-2'!EQ43</f>
        <v/>
      </c>
      <c r="E337">
        <f>'KG1-2'!EQ40</f>
        <v/>
      </c>
      <c r="F337">
        <f>'KG1-2'!EQ41</f>
        <v/>
      </c>
      <c r="G337">
        <f>'KG1-2'!EQ42</f>
        <v/>
      </c>
    </row>
    <row r="338">
      <c r="A338">
        <f>'KG1-2'!$B$2</f>
        <v/>
      </c>
      <c r="B338" s="126" t="n">
        <v>46429</v>
      </c>
      <c r="C338">
        <f>'KG1-2'!ER44</f>
        <v/>
      </c>
      <c r="D338">
        <f>'KG1-2'!ER43</f>
        <v/>
      </c>
      <c r="E338">
        <f>'KG1-2'!ER40</f>
        <v/>
      </c>
      <c r="F338">
        <f>'KG1-2'!ER41</f>
        <v/>
      </c>
      <c r="G338">
        <f>'KG1-2'!ER42</f>
        <v/>
      </c>
    </row>
    <row r="339">
      <c r="A339">
        <f>'KG1-2'!$B$2</f>
        <v/>
      </c>
      <c r="B339" s="126" t="n">
        <v>46430</v>
      </c>
      <c r="C339">
        <f>'KG1-2'!ES44</f>
        <v/>
      </c>
      <c r="D339">
        <f>'KG1-2'!ES43</f>
        <v/>
      </c>
      <c r="E339">
        <f>'KG1-2'!ES40</f>
        <v/>
      </c>
      <c r="F339">
        <f>'KG1-2'!ES41</f>
        <v/>
      </c>
      <c r="G339">
        <f>'KG1-2'!ES42</f>
        <v/>
      </c>
    </row>
    <row r="340">
      <c r="A340">
        <f>'KG1-2'!$B$2</f>
        <v/>
      </c>
      <c r="B340" s="126" t="n">
        <v>46433</v>
      </c>
      <c r="C340">
        <f>'KG1-2'!ET44</f>
        <v/>
      </c>
      <c r="D340">
        <f>'KG1-2'!ET43</f>
        <v/>
      </c>
      <c r="E340">
        <f>'KG1-2'!ET40</f>
        <v/>
      </c>
      <c r="F340">
        <f>'KG1-2'!ET41</f>
        <v/>
      </c>
      <c r="G340">
        <f>'KG1-2'!ET42</f>
        <v/>
      </c>
    </row>
    <row r="341">
      <c r="A341">
        <f>'KG1-2'!$B$2</f>
        <v/>
      </c>
      <c r="B341" s="126" t="n">
        <v>46434</v>
      </c>
      <c r="C341">
        <f>'KG1-2'!EU44</f>
        <v/>
      </c>
      <c r="D341">
        <f>'KG1-2'!EU43</f>
        <v/>
      </c>
      <c r="E341">
        <f>'KG1-2'!EU40</f>
        <v/>
      </c>
      <c r="F341">
        <f>'KG1-2'!EU41</f>
        <v/>
      </c>
      <c r="G341">
        <f>'KG1-2'!EU42</f>
        <v/>
      </c>
    </row>
    <row r="342">
      <c r="A342">
        <f>'KG1-2'!$B$2</f>
        <v/>
      </c>
      <c r="B342" s="126" t="n">
        <v>46435</v>
      </c>
      <c r="C342">
        <f>'KG1-2'!EV44</f>
        <v/>
      </c>
      <c r="D342">
        <f>'KG1-2'!EV43</f>
        <v/>
      </c>
      <c r="E342">
        <f>'KG1-2'!EV40</f>
        <v/>
      </c>
      <c r="F342">
        <f>'KG1-2'!EV41</f>
        <v/>
      </c>
      <c r="G342">
        <f>'KG1-2'!EV42</f>
        <v/>
      </c>
    </row>
    <row r="343">
      <c r="A343">
        <f>'KG1-2'!$B$2</f>
        <v/>
      </c>
      <c r="B343" s="126" t="n">
        <v>46436</v>
      </c>
      <c r="C343">
        <f>'KG1-2'!EW44</f>
        <v/>
      </c>
      <c r="D343">
        <f>'KG1-2'!EW43</f>
        <v/>
      </c>
      <c r="E343">
        <f>'KG1-2'!EW40</f>
        <v/>
      </c>
      <c r="F343">
        <f>'KG1-2'!EW41</f>
        <v/>
      </c>
      <c r="G343">
        <f>'KG1-2'!EW42</f>
        <v/>
      </c>
    </row>
    <row r="344">
      <c r="A344">
        <f>'KG1-2'!$B$2</f>
        <v/>
      </c>
      <c r="B344" s="126" t="n">
        <v>46437</v>
      </c>
      <c r="C344">
        <f>'KG1-2'!EX44</f>
        <v/>
      </c>
      <c r="D344">
        <f>'KG1-2'!EX43</f>
        <v/>
      </c>
      <c r="E344">
        <f>'KG1-2'!EX40</f>
        <v/>
      </c>
      <c r="F344">
        <f>'KG1-2'!EX41</f>
        <v/>
      </c>
      <c r="G344">
        <f>'KG1-2'!EX42</f>
        <v/>
      </c>
    </row>
    <row r="345">
      <c r="A345">
        <f>'KG1-2'!$B$2</f>
        <v/>
      </c>
      <c r="B345" s="126" t="n">
        <v>46440</v>
      </c>
      <c r="C345">
        <f>'KG1-2'!EY44</f>
        <v/>
      </c>
      <c r="D345">
        <f>'KG1-2'!EY43</f>
        <v/>
      </c>
      <c r="E345">
        <f>'KG1-2'!EY40</f>
        <v/>
      </c>
      <c r="F345">
        <f>'KG1-2'!EY41</f>
        <v/>
      </c>
      <c r="G345">
        <f>'KG1-2'!EY42</f>
        <v/>
      </c>
    </row>
    <row r="346">
      <c r="A346">
        <f>'KG1-2'!$B$2</f>
        <v/>
      </c>
      <c r="B346" s="126" t="n">
        <v>46441</v>
      </c>
      <c r="C346">
        <f>'KG1-2'!EZ44</f>
        <v/>
      </c>
      <c r="D346">
        <f>'KG1-2'!EZ43</f>
        <v/>
      </c>
      <c r="E346">
        <f>'KG1-2'!EZ40</f>
        <v/>
      </c>
      <c r="F346">
        <f>'KG1-2'!EZ41</f>
        <v/>
      </c>
      <c r="G346">
        <f>'KG1-2'!EZ42</f>
        <v/>
      </c>
    </row>
    <row r="347">
      <c r="A347">
        <f>'KG1-2'!$B$2</f>
        <v/>
      </c>
      <c r="B347" s="126" t="n">
        <v>46442</v>
      </c>
      <c r="C347">
        <f>'KG1-2'!FA44</f>
        <v/>
      </c>
      <c r="D347">
        <f>'KG1-2'!FA43</f>
        <v/>
      </c>
      <c r="E347">
        <f>'KG1-2'!FA40</f>
        <v/>
      </c>
      <c r="F347">
        <f>'KG1-2'!FA41</f>
        <v/>
      </c>
      <c r="G347">
        <f>'KG1-2'!FA42</f>
        <v/>
      </c>
    </row>
    <row r="348">
      <c r="A348">
        <f>'KG1-2'!$B$2</f>
        <v/>
      </c>
      <c r="B348" s="126" t="n">
        <v>46443</v>
      </c>
      <c r="C348">
        <f>'KG1-2'!FB44</f>
        <v/>
      </c>
      <c r="D348">
        <f>'KG1-2'!FB43</f>
        <v/>
      </c>
      <c r="E348">
        <f>'KG1-2'!FB40</f>
        <v/>
      </c>
      <c r="F348">
        <f>'KG1-2'!FB41</f>
        <v/>
      </c>
      <c r="G348">
        <f>'KG1-2'!FB42</f>
        <v/>
      </c>
    </row>
    <row r="349">
      <c r="A349">
        <f>'KG1-2'!$B$2</f>
        <v/>
      </c>
      <c r="B349" s="126" t="n">
        <v>46444</v>
      </c>
      <c r="C349">
        <f>'KG1-2'!FC44</f>
        <v/>
      </c>
      <c r="D349">
        <f>'KG1-2'!FC43</f>
        <v/>
      </c>
      <c r="E349">
        <f>'KG1-2'!FC40</f>
        <v/>
      </c>
      <c r="F349">
        <f>'KG1-2'!FC41</f>
        <v/>
      </c>
      <c r="G349">
        <f>'KG1-2'!FC42</f>
        <v/>
      </c>
    </row>
    <row r="350">
      <c r="A350">
        <f>'KG1-2'!$B$2</f>
        <v/>
      </c>
      <c r="B350" s="126" t="n">
        <v>46447</v>
      </c>
      <c r="C350">
        <f>'KG1-2'!FD44</f>
        <v/>
      </c>
      <c r="D350">
        <f>'KG1-2'!FD43</f>
        <v/>
      </c>
      <c r="E350">
        <f>'KG1-2'!FD40</f>
        <v/>
      </c>
      <c r="F350">
        <f>'KG1-2'!FD41</f>
        <v/>
      </c>
      <c r="G350">
        <f>'KG1-2'!FD42</f>
        <v/>
      </c>
    </row>
    <row r="351">
      <c r="A351">
        <f>'KG1-2'!$B$2</f>
        <v/>
      </c>
      <c r="B351" s="126" t="n">
        <v>46448</v>
      </c>
      <c r="C351">
        <f>'KG1-2'!FE44</f>
        <v/>
      </c>
      <c r="D351">
        <f>'KG1-2'!FE43</f>
        <v/>
      </c>
      <c r="E351">
        <f>'KG1-2'!FE40</f>
        <v/>
      </c>
      <c r="F351">
        <f>'KG1-2'!FE41</f>
        <v/>
      </c>
      <c r="G351">
        <f>'KG1-2'!FE42</f>
        <v/>
      </c>
    </row>
    <row r="352">
      <c r="A352">
        <f>'KG1-2'!$B$2</f>
        <v/>
      </c>
      <c r="B352" s="126" t="n">
        <v>46449</v>
      </c>
      <c r="C352">
        <f>'KG1-2'!FF44</f>
        <v/>
      </c>
      <c r="D352">
        <f>'KG1-2'!FF43</f>
        <v/>
      </c>
      <c r="E352">
        <f>'KG1-2'!FF40</f>
        <v/>
      </c>
      <c r="F352">
        <f>'KG1-2'!FF41</f>
        <v/>
      </c>
      <c r="G352">
        <f>'KG1-2'!FF42</f>
        <v/>
      </c>
    </row>
    <row r="353">
      <c r="A353">
        <f>'KG1-2'!$B$2</f>
        <v/>
      </c>
      <c r="B353" s="126" t="n">
        <v>46450</v>
      </c>
      <c r="C353">
        <f>'KG1-2'!FG44</f>
        <v/>
      </c>
      <c r="D353">
        <f>'KG1-2'!FG43</f>
        <v/>
      </c>
      <c r="E353">
        <f>'KG1-2'!FG40</f>
        <v/>
      </c>
      <c r="F353">
        <f>'KG1-2'!FG41</f>
        <v/>
      </c>
      <c r="G353">
        <f>'KG1-2'!FG42</f>
        <v/>
      </c>
    </row>
    <row r="354">
      <c r="A354">
        <f>'KG1-2'!$B$2</f>
        <v/>
      </c>
      <c r="B354" s="126" t="n">
        <v>46451</v>
      </c>
      <c r="C354">
        <f>'KG1-2'!FH44</f>
        <v/>
      </c>
      <c r="D354">
        <f>'KG1-2'!FH43</f>
        <v/>
      </c>
      <c r="E354">
        <f>'KG1-2'!FH40</f>
        <v/>
      </c>
      <c r="F354">
        <f>'KG1-2'!FH41</f>
        <v/>
      </c>
      <c r="G354">
        <f>'KG1-2'!FH42</f>
        <v/>
      </c>
    </row>
    <row r="355">
      <c r="A355">
        <f>'KG1-2'!$B$2</f>
        <v/>
      </c>
      <c r="B355" s="126" t="n">
        <v>46454</v>
      </c>
      <c r="C355">
        <f>'KG1-2'!FI44</f>
        <v/>
      </c>
      <c r="D355">
        <f>'KG1-2'!FI43</f>
        <v/>
      </c>
      <c r="E355">
        <f>'KG1-2'!FI40</f>
        <v/>
      </c>
      <c r="F355">
        <f>'KG1-2'!FI41</f>
        <v/>
      </c>
      <c r="G355">
        <f>'KG1-2'!FI42</f>
        <v/>
      </c>
    </row>
    <row r="356">
      <c r="A356">
        <f>'KG1-2'!$B$2</f>
        <v/>
      </c>
      <c r="B356" s="126" t="n">
        <v>46455</v>
      </c>
      <c r="C356">
        <f>'KG1-2'!FJ44</f>
        <v/>
      </c>
      <c r="D356">
        <f>'KG1-2'!FJ43</f>
        <v/>
      </c>
      <c r="E356">
        <f>'KG1-2'!FJ40</f>
        <v/>
      </c>
      <c r="F356">
        <f>'KG1-2'!FJ41</f>
        <v/>
      </c>
      <c r="G356">
        <f>'KG1-2'!FJ42</f>
        <v/>
      </c>
    </row>
    <row r="357">
      <c r="A357">
        <f>'KG1-2'!$B$2</f>
        <v/>
      </c>
      <c r="B357" s="126" t="n">
        <v>46456</v>
      </c>
      <c r="C357">
        <f>'KG1-2'!FK44</f>
        <v/>
      </c>
      <c r="D357">
        <f>'KG1-2'!FK43</f>
        <v/>
      </c>
      <c r="E357">
        <f>'KG1-2'!FK40</f>
        <v/>
      </c>
      <c r="F357">
        <f>'KG1-2'!FK41</f>
        <v/>
      </c>
      <c r="G357">
        <f>'KG1-2'!FK42</f>
        <v/>
      </c>
    </row>
    <row r="358">
      <c r="A358">
        <f>'KG1-2'!$B$2</f>
        <v/>
      </c>
      <c r="B358" s="126" t="n">
        <v>46457</v>
      </c>
      <c r="C358">
        <f>'KG1-2'!FL44</f>
        <v/>
      </c>
      <c r="D358">
        <f>'KG1-2'!FL43</f>
        <v/>
      </c>
      <c r="E358">
        <f>'KG1-2'!FL40</f>
        <v/>
      </c>
      <c r="F358">
        <f>'KG1-2'!FL41</f>
        <v/>
      </c>
      <c r="G358">
        <f>'KG1-2'!FL42</f>
        <v/>
      </c>
    </row>
    <row r="359">
      <c r="A359">
        <f>'KG1-2'!$B$2</f>
        <v/>
      </c>
      <c r="B359" s="126" t="n">
        <v>46458</v>
      </c>
      <c r="C359">
        <f>'KG1-2'!FM44</f>
        <v/>
      </c>
      <c r="D359">
        <f>'KG1-2'!FM43</f>
        <v/>
      </c>
      <c r="E359">
        <f>'KG1-2'!FM40</f>
        <v/>
      </c>
      <c r="F359">
        <f>'KG1-2'!FM41</f>
        <v/>
      </c>
      <c r="G359">
        <f>'KG1-2'!FM42</f>
        <v/>
      </c>
    </row>
    <row r="360">
      <c r="A360">
        <f>'KG1-2'!$B$2</f>
        <v/>
      </c>
      <c r="B360" s="126" t="n">
        <v>46461</v>
      </c>
      <c r="C360">
        <f>'KG1-2'!FN44</f>
        <v/>
      </c>
      <c r="D360">
        <f>'KG1-2'!FN43</f>
        <v/>
      </c>
      <c r="E360">
        <f>'KG1-2'!FN40</f>
        <v/>
      </c>
      <c r="F360">
        <f>'KG1-2'!FN41</f>
        <v/>
      </c>
      <c r="G360">
        <f>'KG1-2'!FN42</f>
        <v/>
      </c>
    </row>
    <row r="361">
      <c r="A361">
        <f>'KG1-2'!$B$2</f>
        <v/>
      </c>
      <c r="B361" s="126" t="n">
        <v>46462</v>
      </c>
      <c r="C361">
        <f>'KG1-2'!FO44</f>
        <v/>
      </c>
      <c r="D361">
        <f>'KG1-2'!FO43</f>
        <v/>
      </c>
      <c r="E361">
        <f>'KG1-2'!FO40</f>
        <v/>
      </c>
      <c r="F361">
        <f>'KG1-2'!FO41</f>
        <v/>
      </c>
      <c r="G361">
        <f>'KG1-2'!FO42</f>
        <v/>
      </c>
    </row>
    <row r="362">
      <c r="A362">
        <f>'KG1-2'!$B$2</f>
        <v/>
      </c>
      <c r="B362" s="126" t="n">
        <v>46463</v>
      </c>
      <c r="C362">
        <f>'KG1-2'!FP44</f>
        <v/>
      </c>
      <c r="D362">
        <f>'KG1-2'!FP43</f>
        <v/>
      </c>
      <c r="E362">
        <f>'KG1-2'!FP40</f>
        <v/>
      </c>
      <c r="F362">
        <f>'KG1-2'!FP41</f>
        <v/>
      </c>
      <c r="G362">
        <f>'KG1-2'!FP42</f>
        <v/>
      </c>
    </row>
    <row r="363">
      <c r="A363">
        <f>'KG1-2'!$B$2</f>
        <v/>
      </c>
      <c r="B363" s="126" t="n">
        <v>46464</v>
      </c>
      <c r="C363">
        <f>'KG1-2'!FQ44</f>
        <v/>
      </c>
      <c r="D363">
        <f>'KG1-2'!FQ43</f>
        <v/>
      </c>
      <c r="E363">
        <f>'KG1-2'!FQ40</f>
        <v/>
      </c>
      <c r="F363">
        <f>'KG1-2'!FQ41</f>
        <v/>
      </c>
      <c r="G363">
        <f>'KG1-2'!FQ42</f>
        <v/>
      </c>
    </row>
    <row r="364">
      <c r="A364">
        <f>'KG1-2'!$B$2</f>
        <v/>
      </c>
      <c r="B364" s="126" t="n">
        <v>46465</v>
      </c>
      <c r="C364">
        <f>'KG1-2'!FR44</f>
        <v/>
      </c>
      <c r="D364">
        <f>'KG1-2'!FR43</f>
        <v/>
      </c>
      <c r="E364">
        <f>'KG1-2'!FR40</f>
        <v/>
      </c>
      <c r="F364">
        <f>'KG1-2'!FR41</f>
        <v/>
      </c>
      <c r="G364">
        <f>'KG1-2'!FR42</f>
        <v/>
      </c>
    </row>
    <row r="365">
      <c r="A365">
        <f>'KG1-2'!$B$2</f>
        <v/>
      </c>
      <c r="B365" s="126" t="n">
        <v>46468</v>
      </c>
      <c r="C365">
        <f>'KG1-2'!FS44</f>
        <v/>
      </c>
      <c r="D365">
        <f>'KG1-2'!FS43</f>
        <v/>
      </c>
      <c r="E365">
        <f>'KG1-2'!FS40</f>
        <v/>
      </c>
      <c r="F365">
        <f>'KG1-2'!FS41</f>
        <v/>
      </c>
      <c r="G365">
        <f>'KG1-2'!FS42</f>
        <v/>
      </c>
    </row>
    <row r="366">
      <c r="A366">
        <f>'KG1-2'!$B$2</f>
        <v/>
      </c>
      <c r="B366" s="126" t="n">
        <v>46469</v>
      </c>
      <c r="C366">
        <f>'KG1-2'!FT44</f>
        <v/>
      </c>
      <c r="D366">
        <f>'KG1-2'!FT43</f>
        <v/>
      </c>
      <c r="E366">
        <f>'KG1-2'!FT40</f>
        <v/>
      </c>
      <c r="F366">
        <f>'KG1-2'!FT41</f>
        <v/>
      </c>
      <c r="G366">
        <f>'KG1-2'!FT42</f>
        <v/>
      </c>
    </row>
    <row r="367">
      <c r="A367">
        <f>'KG1-2'!$B$2</f>
        <v/>
      </c>
      <c r="B367" s="126" t="n">
        <v>46470</v>
      </c>
      <c r="C367">
        <f>'KG1-2'!FU44</f>
        <v/>
      </c>
      <c r="D367">
        <f>'KG1-2'!FU43</f>
        <v/>
      </c>
      <c r="E367">
        <f>'KG1-2'!FU40</f>
        <v/>
      </c>
      <c r="F367">
        <f>'KG1-2'!FU41</f>
        <v/>
      </c>
      <c r="G367">
        <f>'KG1-2'!FU42</f>
        <v/>
      </c>
    </row>
    <row r="368">
      <c r="A368">
        <f>'KG1-2'!$B$2</f>
        <v/>
      </c>
      <c r="B368" s="126" t="n">
        <v>46471</v>
      </c>
      <c r="C368">
        <f>'KG1-2'!FV44</f>
        <v/>
      </c>
      <c r="D368">
        <f>'KG1-2'!FV43</f>
        <v/>
      </c>
      <c r="E368">
        <f>'KG1-2'!FV40</f>
        <v/>
      </c>
      <c r="F368">
        <f>'KG1-2'!FV41</f>
        <v/>
      </c>
      <c r="G368">
        <f>'KG1-2'!FV42</f>
        <v/>
      </c>
    </row>
    <row r="369">
      <c r="A369">
        <f>'KG1-2'!$B$2</f>
        <v/>
      </c>
      <c r="B369" s="126" t="n">
        <v>46472</v>
      </c>
      <c r="C369">
        <f>'KG1-2'!FW44</f>
        <v/>
      </c>
      <c r="D369">
        <f>'KG1-2'!FW43</f>
        <v/>
      </c>
      <c r="E369">
        <f>'KG1-2'!FW40</f>
        <v/>
      </c>
      <c r="F369">
        <f>'KG1-2'!FW41</f>
        <v/>
      </c>
      <c r="G369">
        <f>'KG1-2'!FW42</f>
        <v/>
      </c>
    </row>
    <row r="370">
      <c r="A370">
        <f>'KG1-2'!$B$2</f>
        <v/>
      </c>
      <c r="B370" s="126" t="n">
        <v>46475</v>
      </c>
      <c r="C370">
        <f>'KG1-2'!FX44</f>
        <v/>
      </c>
      <c r="D370">
        <f>'KG1-2'!FX43</f>
        <v/>
      </c>
      <c r="E370">
        <f>'KG1-2'!FX40</f>
        <v/>
      </c>
      <c r="F370">
        <f>'KG1-2'!FX41</f>
        <v/>
      </c>
      <c r="G370">
        <f>'KG1-2'!FX42</f>
        <v/>
      </c>
    </row>
    <row r="371">
      <c r="A371">
        <f>'KG1-2'!$B$2</f>
        <v/>
      </c>
      <c r="B371" s="126" t="n">
        <v>46476</v>
      </c>
      <c r="C371">
        <f>'KG1-2'!FY44</f>
        <v/>
      </c>
      <c r="D371">
        <f>'KG1-2'!FY43</f>
        <v/>
      </c>
      <c r="E371">
        <f>'KG1-2'!FY40</f>
        <v/>
      </c>
      <c r="F371">
        <f>'KG1-2'!FY41</f>
        <v/>
      </c>
      <c r="G371">
        <f>'KG1-2'!FY42</f>
        <v/>
      </c>
    </row>
    <row r="372">
      <c r="A372">
        <f>'KG1-2'!$B$2</f>
        <v/>
      </c>
      <c r="B372" s="126" t="n">
        <v>46477</v>
      </c>
      <c r="C372">
        <f>'KG1-2'!FZ44</f>
        <v/>
      </c>
      <c r="D372">
        <f>'KG1-2'!FZ43</f>
        <v/>
      </c>
      <c r="E372">
        <f>'KG1-2'!FZ40</f>
        <v/>
      </c>
      <c r="F372">
        <f>'KG1-2'!FZ41</f>
        <v/>
      </c>
      <c r="G372">
        <f>'KG1-2'!FZ42</f>
        <v/>
      </c>
    </row>
    <row r="373">
      <c r="A373">
        <f>'KG1-2'!$B$2</f>
        <v/>
      </c>
      <c r="B373" s="126" t="n">
        <v>46478</v>
      </c>
      <c r="C373">
        <f>'KG1-2'!GA44</f>
        <v/>
      </c>
      <c r="D373">
        <f>'KG1-2'!GA43</f>
        <v/>
      </c>
      <c r="E373">
        <f>'KG1-2'!GA40</f>
        <v/>
      </c>
      <c r="F373">
        <f>'KG1-2'!GA41</f>
        <v/>
      </c>
      <c r="G373">
        <f>'KG1-2'!GA42</f>
        <v/>
      </c>
    </row>
    <row r="374">
      <c r="A374">
        <f>'KG1-2'!$B$2</f>
        <v/>
      </c>
      <c r="B374" s="126" t="n">
        <v>46479</v>
      </c>
      <c r="C374">
        <f>'KG1-2'!GB44</f>
        <v/>
      </c>
      <c r="D374">
        <f>'KG1-2'!GB43</f>
        <v/>
      </c>
      <c r="E374">
        <f>'KG1-2'!GB40</f>
        <v/>
      </c>
      <c r="F374">
        <f>'KG1-2'!GB41</f>
        <v/>
      </c>
      <c r="G374">
        <f>'KG1-2'!GB42</f>
        <v/>
      </c>
    </row>
    <row r="375">
      <c r="A375">
        <f>'KG1-2'!$B$2</f>
        <v/>
      </c>
      <c r="B375" s="126" t="n">
        <v>46482</v>
      </c>
      <c r="C375">
        <f>'KG1-2'!GC44</f>
        <v/>
      </c>
      <c r="D375">
        <f>'KG1-2'!GC43</f>
        <v/>
      </c>
      <c r="E375">
        <f>'KG1-2'!GC40</f>
        <v/>
      </c>
      <c r="F375">
        <f>'KG1-2'!GC41</f>
        <v/>
      </c>
      <c r="G375">
        <f>'KG1-2'!GC42</f>
        <v/>
      </c>
    </row>
    <row r="376">
      <c r="A376">
        <f>'KG1-2'!$B$2</f>
        <v/>
      </c>
      <c r="B376" s="126" t="n">
        <v>46483</v>
      </c>
      <c r="C376">
        <f>'KG1-2'!GD44</f>
        <v/>
      </c>
      <c r="D376">
        <f>'KG1-2'!GD43</f>
        <v/>
      </c>
      <c r="E376">
        <f>'KG1-2'!GD40</f>
        <v/>
      </c>
      <c r="F376">
        <f>'KG1-2'!GD41</f>
        <v/>
      </c>
      <c r="G376">
        <f>'KG1-2'!GD42</f>
        <v/>
      </c>
    </row>
    <row r="377">
      <c r="A377">
        <f>'KG1-2'!$B$2</f>
        <v/>
      </c>
      <c r="B377" s="126" t="n">
        <v>46484</v>
      </c>
      <c r="C377">
        <f>'KG1-2'!GE44</f>
        <v/>
      </c>
      <c r="D377">
        <f>'KG1-2'!GE43</f>
        <v/>
      </c>
      <c r="E377">
        <f>'KG1-2'!GE40</f>
        <v/>
      </c>
      <c r="F377">
        <f>'KG1-2'!GE41</f>
        <v/>
      </c>
      <c r="G377">
        <f>'KG1-2'!GE42</f>
        <v/>
      </c>
    </row>
    <row r="378">
      <c r="A378">
        <f>'KG1-2'!$B$2</f>
        <v/>
      </c>
      <c r="B378" s="126" t="n">
        <v>46485</v>
      </c>
      <c r="C378">
        <f>'KG1-2'!GF44</f>
        <v/>
      </c>
      <c r="D378">
        <f>'KG1-2'!GF43</f>
        <v/>
      </c>
      <c r="E378">
        <f>'KG1-2'!GF40</f>
        <v/>
      </c>
      <c r="F378">
        <f>'KG1-2'!GF41</f>
        <v/>
      </c>
      <c r="G378">
        <f>'KG1-2'!GF42</f>
        <v/>
      </c>
    </row>
    <row r="379">
      <c r="A379">
        <f>'KG1-2'!$B$2</f>
        <v/>
      </c>
      <c r="B379" s="126" t="n">
        <v>46486</v>
      </c>
      <c r="C379">
        <f>'KG1-2'!GG44</f>
        <v/>
      </c>
      <c r="D379">
        <f>'KG1-2'!GG43</f>
        <v/>
      </c>
      <c r="E379">
        <f>'KG1-2'!GG40</f>
        <v/>
      </c>
      <c r="F379">
        <f>'KG1-2'!GG41</f>
        <v/>
      </c>
      <c r="G379">
        <f>'KG1-2'!GG42</f>
        <v/>
      </c>
    </row>
    <row r="380">
      <c r="A380">
        <f>'KG1-2'!$B$2</f>
        <v/>
      </c>
      <c r="B380" s="126" t="n">
        <v>46489</v>
      </c>
      <c r="C380">
        <f>'KG1-2'!GH44</f>
        <v/>
      </c>
      <c r="D380">
        <f>'KG1-2'!GH43</f>
        <v/>
      </c>
      <c r="E380">
        <f>'KG1-2'!GH40</f>
        <v/>
      </c>
      <c r="F380">
        <f>'KG1-2'!GH41</f>
        <v/>
      </c>
      <c r="G380">
        <f>'KG1-2'!GH42</f>
        <v/>
      </c>
    </row>
    <row r="381">
      <c r="A381">
        <f>'KG1-2'!$B$2</f>
        <v/>
      </c>
      <c r="B381" s="126" t="n">
        <v>46490</v>
      </c>
      <c r="C381">
        <f>'KG1-2'!GI44</f>
        <v/>
      </c>
      <c r="D381">
        <f>'KG1-2'!GI43</f>
        <v/>
      </c>
      <c r="E381">
        <f>'KG1-2'!GI40</f>
        <v/>
      </c>
      <c r="F381">
        <f>'KG1-2'!GI41</f>
        <v/>
      </c>
      <c r="G381">
        <f>'KG1-2'!GI42</f>
        <v/>
      </c>
    </row>
    <row r="382">
      <c r="A382">
        <f>'KG1-2'!$B$2</f>
        <v/>
      </c>
      <c r="B382" s="126" t="n">
        <v>46491</v>
      </c>
      <c r="C382">
        <f>'KG1-2'!GJ44</f>
        <v/>
      </c>
      <c r="D382">
        <f>'KG1-2'!GJ43</f>
        <v/>
      </c>
      <c r="E382">
        <f>'KG1-2'!GJ40</f>
        <v/>
      </c>
      <c r="F382">
        <f>'KG1-2'!GJ41</f>
        <v/>
      </c>
      <c r="G382">
        <f>'KG1-2'!GJ42</f>
        <v/>
      </c>
    </row>
    <row r="383">
      <c r="A383">
        <f>'KG1-2'!$B$2</f>
        <v/>
      </c>
      <c r="B383" s="126" t="n">
        <v>46492</v>
      </c>
      <c r="C383">
        <f>'KG1-2'!GK44</f>
        <v/>
      </c>
      <c r="D383">
        <f>'KG1-2'!GK43</f>
        <v/>
      </c>
      <c r="E383">
        <f>'KG1-2'!GK40</f>
        <v/>
      </c>
      <c r="F383">
        <f>'KG1-2'!GK41</f>
        <v/>
      </c>
      <c r="G383">
        <f>'KG1-2'!GK42</f>
        <v/>
      </c>
    </row>
    <row r="384">
      <c r="A384">
        <f>'KG1-2'!$B$2</f>
        <v/>
      </c>
      <c r="B384" s="126" t="n">
        <v>46493</v>
      </c>
      <c r="C384">
        <f>'KG1-2'!GL44</f>
        <v/>
      </c>
      <c r="D384">
        <f>'KG1-2'!GL43</f>
        <v/>
      </c>
      <c r="E384">
        <f>'KG1-2'!GL40</f>
        <v/>
      </c>
      <c r="F384">
        <f>'KG1-2'!GL41</f>
        <v/>
      </c>
      <c r="G384">
        <f>'KG1-2'!GL42</f>
        <v/>
      </c>
    </row>
    <row r="385">
      <c r="A385">
        <f>'KG1-2'!$B$2</f>
        <v/>
      </c>
      <c r="B385" s="126" t="n">
        <v>46496</v>
      </c>
      <c r="C385">
        <f>'KG1-2'!GM44</f>
        <v/>
      </c>
      <c r="D385">
        <f>'KG1-2'!GM43</f>
        <v/>
      </c>
      <c r="E385">
        <f>'KG1-2'!GM40</f>
        <v/>
      </c>
      <c r="F385">
        <f>'KG1-2'!GM41</f>
        <v/>
      </c>
      <c r="G385">
        <f>'KG1-2'!GM42</f>
        <v/>
      </c>
    </row>
    <row r="386">
      <c r="A386">
        <f>'KG1-2'!$B$2</f>
        <v/>
      </c>
      <c r="B386" s="126" t="n">
        <v>46497</v>
      </c>
      <c r="C386">
        <f>'KG1-2'!GN44</f>
        <v/>
      </c>
      <c r="D386">
        <f>'KG1-2'!GN43</f>
        <v/>
      </c>
      <c r="E386">
        <f>'KG1-2'!GN40</f>
        <v/>
      </c>
      <c r="F386">
        <f>'KG1-2'!GN41</f>
        <v/>
      </c>
      <c r="G386">
        <f>'KG1-2'!GN42</f>
        <v/>
      </c>
    </row>
    <row r="387">
      <c r="A387">
        <f>'KG1-2'!$B$2</f>
        <v/>
      </c>
      <c r="B387" s="126" t="n">
        <v>46498</v>
      </c>
      <c r="C387">
        <f>'KG1-2'!GO44</f>
        <v/>
      </c>
      <c r="D387">
        <f>'KG1-2'!GO43</f>
        <v/>
      </c>
      <c r="E387">
        <f>'KG1-2'!GO40</f>
        <v/>
      </c>
      <c r="F387">
        <f>'KG1-2'!GO41</f>
        <v/>
      </c>
      <c r="G387">
        <f>'KG1-2'!GO42</f>
        <v/>
      </c>
    </row>
    <row r="388">
      <c r="A388">
        <f>'KG1-2'!$B$2</f>
        <v/>
      </c>
      <c r="B388" s="126" t="n">
        <v>46499</v>
      </c>
      <c r="C388">
        <f>'KG1-2'!GP44</f>
        <v/>
      </c>
      <c r="D388">
        <f>'KG1-2'!GP43</f>
        <v/>
      </c>
      <c r="E388">
        <f>'KG1-2'!GP40</f>
        <v/>
      </c>
      <c r="F388">
        <f>'KG1-2'!GP41</f>
        <v/>
      </c>
      <c r="G388">
        <f>'KG1-2'!GP42</f>
        <v/>
      </c>
    </row>
    <row r="389">
      <c r="A389">
        <f>'KG1-2'!$B$2</f>
        <v/>
      </c>
      <c r="B389" s="126" t="n">
        <v>46500</v>
      </c>
      <c r="C389">
        <f>'KG1-2'!GQ44</f>
        <v/>
      </c>
      <c r="D389">
        <f>'KG1-2'!GQ43</f>
        <v/>
      </c>
      <c r="E389">
        <f>'KG1-2'!GQ40</f>
        <v/>
      </c>
      <c r="F389">
        <f>'KG1-2'!GQ41</f>
        <v/>
      </c>
      <c r="G389">
        <f>'KG1-2'!GQ42</f>
        <v/>
      </c>
    </row>
    <row r="390">
      <c r="A390">
        <f>'KG1-2'!$B$2</f>
        <v/>
      </c>
      <c r="B390" s="126" t="n">
        <v>46503</v>
      </c>
      <c r="C390">
        <f>'KG1-2'!GR44</f>
        <v/>
      </c>
      <c r="D390">
        <f>'KG1-2'!GR43</f>
        <v/>
      </c>
      <c r="E390">
        <f>'KG1-2'!GR40</f>
        <v/>
      </c>
      <c r="F390">
        <f>'KG1-2'!GR41</f>
        <v/>
      </c>
      <c r="G390">
        <f>'KG1-2'!GR42</f>
        <v/>
      </c>
    </row>
    <row r="391">
      <c r="A391">
        <f>'KG1-2'!$B$2</f>
        <v/>
      </c>
      <c r="B391" s="126" t="n">
        <v>46504</v>
      </c>
      <c r="C391">
        <f>'KG1-2'!GS44</f>
        <v/>
      </c>
      <c r="D391">
        <f>'KG1-2'!GS43</f>
        <v/>
      </c>
      <c r="E391">
        <f>'KG1-2'!GS40</f>
        <v/>
      </c>
      <c r="F391">
        <f>'KG1-2'!GS41</f>
        <v/>
      </c>
      <c r="G391">
        <f>'KG1-2'!GS42</f>
        <v/>
      </c>
    </row>
    <row r="392">
      <c r="A392">
        <f>'KG1-2'!$B$2</f>
        <v/>
      </c>
      <c r="B392" s="126" t="n">
        <v>46505</v>
      </c>
      <c r="C392">
        <f>'KG1-2'!GT44</f>
        <v/>
      </c>
      <c r="D392">
        <f>'KG1-2'!GT43</f>
        <v/>
      </c>
      <c r="E392">
        <f>'KG1-2'!GT40</f>
        <v/>
      </c>
      <c r="F392">
        <f>'KG1-2'!GT41</f>
        <v/>
      </c>
      <c r="G392">
        <f>'KG1-2'!GT42</f>
        <v/>
      </c>
    </row>
    <row r="393">
      <c r="A393">
        <f>'KG1-2'!$B$2</f>
        <v/>
      </c>
      <c r="B393" s="126" t="n">
        <v>46506</v>
      </c>
      <c r="C393">
        <f>'KG1-2'!GU44</f>
        <v/>
      </c>
      <c r="D393">
        <f>'KG1-2'!GU43</f>
        <v/>
      </c>
      <c r="E393">
        <f>'KG1-2'!GU40</f>
        <v/>
      </c>
      <c r="F393">
        <f>'KG1-2'!GU41</f>
        <v/>
      </c>
      <c r="G393">
        <f>'KG1-2'!GU42</f>
        <v/>
      </c>
    </row>
    <row r="394">
      <c r="A394">
        <f>'KG1-2'!$B$2</f>
        <v/>
      </c>
      <c r="B394" s="126" t="n">
        <v>46507</v>
      </c>
      <c r="C394">
        <f>'KG1-2'!GV44</f>
        <v/>
      </c>
      <c r="D394">
        <f>'KG1-2'!GV43</f>
        <v/>
      </c>
      <c r="E394">
        <f>'KG1-2'!GV40</f>
        <v/>
      </c>
      <c r="F394">
        <f>'KG1-2'!GV41</f>
        <v/>
      </c>
      <c r="G394">
        <f>'KG1-2'!GV42</f>
        <v/>
      </c>
    </row>
    <row r="395">
      <c r="A395">
        <f>'KG1-2'!$B$2</f>
        <v/>
      </c>
      <c r="B395" s="126" t="n">
        <v>46510</v>
      </c>
      <c r="C395">
        <f>'KG1-2'!GW44</f>
        <v/>
      </c>
      <c r="D395">
        <f>'KG1-2'!GW43</f>
        <v/>
      </c>
      <c r="E395">
        <f>'KG1-2'!GW40</f>
        <v/>
      </c>
      <c r="F395">
        <f>'KG1-2'!GW41</f>
        <v/>
      </c>
      <c r="G395">
        <f>'KG1-2'!GW42</f>
        <v/>
      </c>
    </row>
    <row r="396">
      <c r="A396">
        <f>'KG1-2'!$B$2</f>
        <v/>
      </c>
      <c r="B396" s="126" t="n">
        <v>46511</v>
      </c>
      <c r="C396">
        <f>'KG1-2'!GX44</f>
        <v/>
      </c>
      <c r="D396">
        <f>'KG1-2'!GX43</f>
        <v/>
      </c>
      <c r="E396">
        <f>'KG1-2'!GX40</f>
        <v/>
      </c>
      <c r="F396">
        <f>'KG1-2'!GX41</f>
        <v/>
      </c>
      <c r="G396">
        <f>'KG1-2'!GX42</f>
        <v/>
      </c>
    </row>
    <row r="397">
      <c r="A397">
        <f>'KG1-2'!$B$2</f>
        <v/>
      </c>
      <c r="B397" s="126" t="n">
        <v>46512</v>
      </c>
      <c r="C397">
        <f>'KG1-2'!GY44</f>
        <v/>
      </c>
      <c r="D397">
        <f>'KG1-2'!GY43</f>
        <v/>
      </c>
      <c r="E397">
        <f>'KG1-2'!GY40</f>
        <v/>
      </c>
      <c r="F397">
        <f>'KG1-2'!GY41</f>
        <v/>
      </c>
      <c r="G397">
        <f>'KG1-2'!GY42</f>
        <v/>
      </c>
    </row>
    <row r="398">
      <c r="A398">
        <f>'KG1-2'!$B$2</f>
        <v/>
      </c>
      <c r="B398" s="126" t="n">
        <v>46513</v>
      </c>
      <c r="C398">
        <f>'KG1-2'!GZ44</f>
        <v/>
      </c>
      <c r="D398">
        <f>'KG1-2'!GZ43</f>
        <v/>
      </c>
      <c r="E398">
        <f>'KG1-2'!GZ40</f>
        <v/>
      </c>
      <c r="F398">
        <f>'KG1-2'!GZ41</f>
        <v/>
      </c>
      <c r="G398">
        <f>'KG1-2'!GZ42</f>
        <v/>
      </c>
    </row>
    <row r="399">
      <c r="A399">
        <f>'KG1-2'!$B$2</f>
        <v/>
      </c>
      <c r="B399" s="126" t="n">
        <v>46514</v>
      </c>
      <c r="C399">
        <f>'KG1-2'!HA44</f>
        <v/>
      </c>
      <c r="D399">
        <f>'KG1-2'!HA43</f>
        <v/>
      </c>
      <c r="E399">
        <f>'KG1-2'!HA40</f>
        <v/>
      </c>
      <c r="F399">
        <f>'KG1-2'!HA41</f>
        <v/>
      </c>
      <c r="G399">
        <f>'KG1-2'!HA42</f>
        <v/>
      </c>
    </row>
    <row r="400">
      <c r="A400">
        <f>'KG1-2'!$B$2</f>
        <v/>
      </c>
      <c r="B400" s="126" t="n">
        <v>46517</v>
      </c>
      <c r="C400">
        <f>'KG1-2'!HB44</f>
        <v/>
      </c>
      <c r="D400">
        <f>'KG1-2'!HB43</f>
        <v/>
      </c>
      <c r="E400">
        <f>'KG1-2'!HB40</f>
        <v/>
      </c>
      <c r="F400">
        <f>'KG1-2'!HB41</f>
        <v/>
      </c>
      <c r="G400">
        <f>'KG1-2'!HB42</f>
        <v/>
      </c>
    </row>
    <row r="401">
      <c r="A401">
        <f>'KG1-2'!$B$2</f>
        <v/>
      </c>
      <c r="B401" s="126" t="n">
        <v>46518</v>
      </c>
      <c r="C401">
        <f>'KG1-2'!HC44</f>
        <v/>
      </c>
      <c r="D401">
        <f>'KG1-2'!HC43</f>
        <v/>
      </c>
      <c r="E401">
        <f>'KG1-2'!HC40</f>
        <v/>
      </c>
      <c r="F401">
        <f>'KG1-2'!HC41</f>
        <v/>
      </c>
      <c r="G401">
        <f>'KG1-2'!HC42</f>
        <v/>
      </c>
    </row>
    <row r="402">
      <c r="A402">
        <f>'KG1-2'!$B$2</f>
        <v/>
      </c>
      <c r="B402" s="126" t="n">
        <v>46519</v>
      </c>
      <c r="C402">
        <f>'KG1-2'!HD44</f>
        <v/>
      </c>
      <c r="D402">
        <f>'KG1-2'!HD43</f>
        <v/>
      </c>
      <c r="E402">
        <f>'KG1-2'!HD40</f>
        <v/>
      </c>
      <c r="F402">
        <f>'KG1-2'!HD41</f>
        <v/>
      </c>
      <c r="G402">
        <f>'KG1-2'!HD42</f>
        <v/>
      </c>
    </row>
    <row r="403">
      <c r="A403">
        <f>'KG1-2'!$B$2</f>
        <v/>
      </c>
      <c r="B403" s="126" t="n">
        <v>46520</v>
      </c>
      <c r="C403">
        <f>'KG1-2'!HE44</f>
        <v/>
      </c>
      <c r="D403">
        <f>'KG1-2'!HE43</f>
        <v/>
      </c>
      <c r="E403">
        <f>'KG1-2'!HE40</f>
        <v/>
      </c>
      <c r="F403">
        <f>'KG1-2'!HE41</f>
        <v/>
      </c>
      <c r="G403">
        <f>'KG1-2'!HE42</f>
        <v/>
      </c>
    </row>
    <row r="404">
      <c r="A404">
        <f>'KG1-2'!$B$2</f>
        <v/>
      </c>
      <c r="B404" s="126" t="n">
        <v>46521</v>
      </c>
      <c r="C404">
        <f>'KG1-2'!HF44</f>
        <v/>
      </c>
      <c r="D404">
        <f>'KG1-2'!HF43</f>
        <v/>
      </c>
      <c r="E404">
        <f>'KG1-2'!HF40</f>
        <v/>
      </c>
      <c r="F404">
        <f>'KG1-2'!HF41</f>
        <v/>
      </c>
      <c r="G404">
        <f>'KG1-2'!HF42</f>
        <v/>
      </c>
    </row>
    <row r="405">
      <c r="A405">
        <f>'KG1-2'!$B$2</f>
        <v/>
      </c>
      <c r="B405" s="126" t="n">
        <v>46524</v>
      </c>
      <c r="C405">
        <f>'KG1-2'!HG44</f>
        <v/>
      </c>
      <c r="D405">
        <f>'KG1-2'!HG43</f>
        <v/>
      </c>
      <c r="E405">
        <f>'KG1-2'!HG40</f>
        <v/>
      </c>
      <c r="F405">
        <f>'KG1-2'!HG41</f>
        <v/>
      </c>
      <c r="G405">
        <f>'KG1-2'!HG42</f>
        <v/>
      </c>
    </row>
    <row r="406">
      <c r="A406">
        <f>'KG1-2'!$B$2</f>
        <v/>
      </c>
      <c r="B406" s="126" t="n">
        <v>46525</v>
      </c>
      <c r="C406">
        <f>'KG1-2'!HH44</f>
        <v/>
      </c>
      <c r="D406">
        <f>'KG1-2'!HH43</f>
        <v/>
      </c>
      <c r="E406">
        <f>'KG1-2'!HH40</f>
        <v/>
      </c>
      <c r="F406">
        <f>'KG1-2'!HH41</f>
        <v/>
      </c>
      <c r="G406">
        <f>'KG1-2'!HH42</f>
        <v/>
      </c>
    </row>
    <row r="407">
      <c r="A407">
        <f>'KG1-2'!$B$2</f>
        <v/>
      </c>
      <c r="B407" s="126" t="n">
        <v>46526</v>
      </c>
      <c r="C407">
        <f>'KG1-2'!HI44</f>
        <v/>
      </c>
      <c r="D407">
        <f>'KG1-2'!HI43</f>
        <v/>
      </c>
      <c r="E407">
        <f>'KG1-2'!HI40</f>
        <v/>
      </c>
      <c r="F407">
        <f>'KG1-2'!HI41</f>
        <v/>
      </c>
      <c r="G407">
        <f>'KG1-2'!HI42</f>
        <v/>
      </c>
    </row>
    <row r="408">
      <c r="A408">
        <f>'KG1-2'!$B$2</f>
        <v/>
      </c>
      <c r="B408" s="126" t="n">
        <v>46527</v>
      </c>
      <c r="C408">
        <f>'KG1-2'!HJ44</f>
        <v/>
      </c>
      <c r="D408">
        <f>'KG1-2'!HJ43</f>
        <v/>
      </c>
      <c r="E408">
        <f>'KG1-2'!HJ40</f>
        <v/>
      </c>
      <c r="F408">
        <f>'KG1-2'!HJ41</f>
        <v/>
      </c>
      <c r="G408">
        <f>'KG1-2'!HJ42</f>
        <v/>
      </c>
    </row>
    <row r="409">
      <c r="A409">
        <f>'KG1-2'!$B$2</f>
        <v/>
      </c>
      <c r="B409" s="126" t="n">
        <v>46528</v>
      </c>
      <c r="C409">
        <f>'KG1-2'!HK44</f>
        <v/>
      </c>
      <c r="D409">
        <f>'KG1-2'!HK43</f>
        <v/>
      </c>
      <c r="E409">
        <f>'KG1-2'!HK40</f>
        <v/>
      </c>
      <c r="F409">
        <f>'KG1-2'!HK41</f>
        <v/>
      </c>
      <c r="G409">
        <f>'KG1-2'!HK42</f>
        <v/>
      </c>
    </row>
    <row r="410">
      <c r="A410">
        <f>'KG1-2'!$B$2</f>
        <v/>
      </c>
      <c r="B410" s="126" t="n">
        <v>46531</v>
      </c>
      <c r="C410">
        <f>'KG1-2'!HL44</f>
        <v/>
      </c>
      <c r="D410">
        <f>'KG1-2'!HL43</f>
        <v/>
      </c>
      <c r="E410">
        <f>'KG1-2'!HL40</f>
        <v/>
      </c>
      <c r="F410">
        <f>'KG1-2'!HL41</f>
        <v/>
      </c>
      <c r="G410">
        <f>'KG1-2'!HL42</f>
        <v/>
      </c>
    </row>
    <row r="411">
      <c r="A411">
        <f>'KG1-2'!$B$2</f>
        <v/>
      </c>
      <c r="B411" s="126" t="n">
        <v>46532</v>
      </c>
      <c r="C411">
        <f>'KG1-2'!HM44</f>
        <v/>
      </c>
      <c r="D411">
        <f>'KG1-2'!HM43</f>
        <v/>
      </c>
      <c r="E411">
        <f>'KG1-2'!HM40</f>
        <v/>
      </c>
      <c r="F411">
        <f>'KG1-2'!HM41</f>
        <v/>
      </c>
      <c r="G411">
        <f>'KG1-2'!HM42</f>
        <v/>
      </c>
    </row>
    <row r="412">
      <c r="A412">
        <f>'KG1-2'!$B$2</f>
        <v/>
      </c>
      <c r="B412" s="126" t="n">
        <v>46533</v>
      </c>
      <c r="C412">
        <f>'KG1-2'!HN44</f>
        <v/>
      </c>
      <c r="D412">
        <f>'KG1-2'!HN43</f>
        <v/>
      </c>
      <c r="E412">
        <f>'KG1-2'!HN40</f>
        <v/>
      </c>
      <c r="F412">
        <f>'KG1-2'!HN41</f>
        <v/>
      </c>
      <c r="G412">
        <f>'KG1-2'!HN42</f>
        <v/>
      </c>
    </row>
    <row r="413">
      <c r="A413">
        <f>'KG1-2'!$B$2</f>
        <v/>
      </c>
      <c r="B413" s="126" t="n">
        <v>46534</v>
      </c>
      <c r="C413">
        <f>'KG1-2'!HO44</f>
        <v/>
      </c>
      <c r="D413">
        <f>'KG1-2'!HO43</f>
        <v/>
      </c>
      <c r="E413">
        <f>'KG1-2'!HO40</f>
        <v/>
      </c>
      <c r="F413">
        <f>'KG1-2'!HO41</f>
        <v/>
      </c>
      <c r="G413">
        <f>'KG1-2'!HO42</f>
        <v/>
      </c>
    </row>
    <row r="414">
      <c r="A414">
        <f>'KG1-2'!$B$2</f>
        <v/>
      </c>
      <c r="B414" s="126" t="n">
        <v>46535</v>
      </c>
      <c r="C414">
        <f>'KG1-2'!HP44</f>
        <v/>
      </c>
      <c r="D414">
        <f>'KG1-2'!HP43</f>
        <v/>
      </c>
      <c r="E414">
        <f>'KG1-2'!HP40</f>
        <v/>
      </c>
      <c r="F414">
        <f>'KG1-2'!HP41</f>
        <v/>
      </c>
      <c r="G414">
        <f>'KG1-2'!HP42</f>
        <v/>
      </c>
    </row>
    <row r="415">
      <c r="A415">
        <f>'KG1-2'!$B$2</f>
        <v/>
      </c>
      <c r="B415" s="126" t="n">
        <v>46538</v>
      </c>
      <c r="C415">
        <f>'KG1-2'!HQ44</f>
        <v/>
      </c>
      <c r="D415">
        <f>'KG1-2'!HQ43</f>
        <v/>
      </c>
      <c r="E415">
        <f>'KG1-2'!HQ40</f>
        <v/>
      </c>
      <c r="F415">
        <f>'KG1-2'!HQ41</f>
        <v/>
      </c>
      <c r="G415">
        <f>'KG1-2'!HQ42</f>
        <v/>
      </c>
    </row>
    <row r="416">
      <c r="A416">
        <f>'KG1-2'!$B$2</f>
        <v/>
      </c>
      <c r="B416" s="126" t="n">
        <v>46539</v>
      </c>
      <c r="C416">
        <f>'KG1-2'!HR44</f>
        <v/>
      </c>
      <c r="D416">
        <f>'KG1-2'!HR43</f>
        <v/>
      </c>
      <c r="E416">
        <f>'KG1-2'!HR40</f>
        <v/>
      </c>
      <c r="F416">
        <f>'KG1-2'!HR41</f>
        <v/>
      </c>
      <c r="G416">
        <f>'KG1-2'!HR42</f>
        <v/>
      </c>
    </row>
    <row r="417">
      <c r="A417">
        <f>'KG1-2'!$B$2</f>
        <v/>
      </c>
      <c r="B417" s="126" t="n">
        <v>46540</v>
      </c>
      <c r="C417">
        <f>'KG1-2'!HS44</f>
        <v/>
      </c>
      <c r="D417">
        <f>'KG1-2'!HS43</f>
        <v/>
      </c>
      <c r="E417">
        <f>'KG1-2'!HS40</f>
        <v/>
      </c>
      <c r="F417">
        <f>'KG1-2'!HS41</f>
        <v/>
      </c>
      <c r="G417">
        <f>'KG1-2'!HS42</f>
        <v/>
      </c>
    </row>
    <row r="418">
      <c r="A418">
        <f>'KG1-2'!$B$2</f>
        <v/>
      </c>
      <c r="B418" s="126" t="n">
        <v>46541</v>
      </c>
      <c r="C418">
        <f>'KG1-2'!HT44</f>
        <v/>
      </c>
      <c r="D418">
        <f>'KG1-2'!HT43</f>
        <v/>
      </c>
      <c r="E418">
        <f>'KG1-2'!HT40</f>
        <v/>
      </c>
      <c r="F418">
        <f>'KG1-2'!HT41</f>
        <v/>
      </c>
      <c r="G418">
        <f>'KG1-2'!HT42</f>
        <v/>
      </c>
    </row>
    <row r="419">
      <c r="A419">
        <f>'KG1-2'!$B$2</f>
        <v/>
      </c>
      <c r="B419" s="126" t="n">
        <v>46542</v>
      </c>
      <c r="C419">
        <f>'KG1-2'!HU44</f>
        <v/>
      </c>
      <c r="D419">
        <f>'KG1-2'!HU43</f>
        <v/>
      </c>
      <c r="E419">
        <f>'KG1-2'!HU40</f>
        <v/>
      </c>
      <c r="F419">
        <f>'KG1-2'!HU41</f>
        <v/>
      </c>
      <c r="G419">
        <f>'KG1-2'!HU42</f>
        <v/>
      </c>
    </row>
    <row r="420">
      <c r="A420">
        <f>'KG1-2'!$B$2</f>
        <v/>
      </c>
      <c r="B420" s="126" t="n">
        <v>46545</v>
      </c>
      <c r="C420">
        <f>'KG1-2'!HV44</f>
        <v/>
      </c>
      <c r="D420">
        <f>'KG1-2'!HV43</f>
        <v/>
      </c>
      <c r="E420">
        <f>'KG1-2'!HV40</f>
        <v/>
      </c>
      <c r="F420">
        <f>'KG1-2'!HV41</f>
        <v/>
      </c>
      <c r="G420">
        <f>'KG1-2'!HV42</f>
        <v/>
      </c>
    </row>
    <row r="421">
      <c r="A421">
        <f>'KG1-2'!$B$2</f>
        <v/>
      </c>
      <c r="B421" s="126" t="n">
        <v>46546</v>
      </c>
      <c r="C421">
        <f>'KG1-2'!HW44</f>
        <v/>
      </c>
      <c r="D421">
        <f>'KG1-2'!HW43</f>
        <v/>
      </c>
      <c r="E421">
        <f>'KG1-2'!HW40</f>
        <v/>
      </c>
      <c r="F421">
        <f>'KG1-2'!HW41</f>
        <v/>
      </c>
      <c r="G421">
        <f>'KG1-2'!HW42</f>
        <v/>
      </c>
    </row>
    <row r="422">
      <c r="A422">
        <f>'KG1-2'!$B$2</f>
        <v/>
      </c>
      <c r="B422" s="126" t="n">
        <v>46547</v>
      </c>
      <c r="C422">
        <f>'KG1-2'!HX44</f>
        <v/>
      </c>
      <c r="D422">
        <f>'KG1-2'!HX43</f>
        <v/>
      </c>
      <c r="E422">
        <f>'KG1-2'!HX40</f>
        <v/>
      </c>
      <c r="F422">
        <f>'KG1-2'!HX41</f>
        <v/>
      </c>
      <c r="G422">
        <f>'KG1-2'!HX42</f>
        <v/>
      </c>
    </row>
    <row r="423">
      <c r="A423">
        <f>'KG1-2'!$B$2</f>
        <v/>
      </c>
      <c r="B423" s="126" t="n">
        <v>46548</v>
      </c>
      <c r="C423">
        <f>'KG1-2'!HY44</f>
        <v/>
      </c>
      <c r="D423">
        <f>'KG1-2'!HY43</f>
        <v/>
      </c>
      <c r="E423">
        <f>'KG1-2'!HY40</f>
        <v/>
      </c>
      <c r="F423">
        <f>'KG1-2'!HY41</f>
        <v/>
      </c>
      <c r="G423">
        <f>'KG1-2'!HY42</f>
        <v/>
      </c>
    </row>
    <row r="424">
      <c r="A424">
        <f>'KG1-2'!$B$2</f>
        <v/>
      </c>
      <c r="B424" s="126" t="n">
        <v>46549</v>
      </c>
      <c r="C424">
        <f>'KG1-2'!HZ44</f>
        <v/>
      </c>
      <c r="D424">
        <f>'KG1-2'!HZ43</f>
        <v/>
      </c>
      <c r="E424">
        <f>'KG1-2'!HZ40</f>
        <v/>
      </c>
      <c r="F424">
        <f>'KG1-2'!HZ41</f>
        <v/>
      </c>
      <c r="G424">
        <f>'KG1-2'!HZ42</f>
        <v/>
      </c>
    </row>
    <row r="425">
      <c r="A425">
        <f>'KG1-2'!$B$2</f>
        <v/>
      </c>
      <c r="B425" s="126" t="n">
        <v>46552</v>
      </c>
      <c r="C425">
        <f>'KG1-2'!IA44</f>
        <v/>
      </c>
      <c r="D425">
        <f>'KG1-2'!IA43</f>
        <v/>
      </c>
      <c r="E425">
        <f>'KG1-2'!IA40</f>
        <v/>
      </c>
      <c r="F425">
        <f>'KG1-2'!IA41</f>
        <v/>
      </c>
      <c r="G425">
        <f>'KG1-2'!IA42</f>
        <v/>
      </c>
    </row>
    <row r="426">
      <c r="A426">
        <f>'KG1-2'!$B$2</f>
        <v/>
      </c>
      <c r="B426" s="126" t="n">
        <v>46553</v>
      </c>
      <c r="C426">
        <f>'KG1-2'!IB44</f>
        <v/>
      </c>
      <c r="D426">
        <f>'KG1-2'!IB43</f>
        <v/>
      </c>
      <c r="E426">
        <f>'KG1-2'!IB40</f>
        <v/>
      </c>
      <c r="F426">
        <f>'KG1-2'!IB41</f>
        <v/>
      </c>
      <c r="G426">
        <f>'KG1-2'!IB42</f>
        <v/>
      </c>
    </row>
    <row r="427">
      <c r="A427">
        <f>'KG1-2'!$B$2</f>
        <v/>
      </c>
      <c r="B427" s="126" t="n">
        <v>46554</v>
      </c>
      <c r="C427">
        <f>'KG1-2'!IC44</f>
        <v/>
      </c>
      <c r="D427">
        <f>'KG1-2'!IC43</f>
        <v/>
      </c>
      <c r="E427">
        <f>'KG1-2'!IC40</f>
        <v/>
      </c>
      <c r="F427">
        <f>'KG1-2'!IC41</f>
        <v/>
      </c>
      <c r="G427">
        <f>'KG1-2'!IC42</f>
        <v/>
      </c>
    </row>
    <row r="428">
      <c r="A428">
        <f>'KG1-2'!$B$2</f>
        <v/>
      </c>
      <c r="B428" s="126" t="n">
        <v>46555</v>
      </c>
      <c r="C428">
        <f>'KG1-2'!ID44</f>
        <v/>
      </c>
      <c r="D428">
        <f>'KG1-2'!ID43</f>
        <v/>
      </c>
      <c r="E428">
        <f>'KG1-2'!ID40</f>
        <v/>
      </c>
      <c r="F428">
        <f>'KG1-2'!ID41</f>
        <v/>
      </c>
      <c r="G428">
        <f>'KG1-2'!ID42</f>
        <v/>
      </c>
    </row>
    <row r="429">
      <c r="A429">
        <f>'KG1-2'!$B$2</f>
        <v/>
      </c>
      <c r="B429" s="126" t="n">
        <v>46556</v>
      </c>
      <c r="C429">
        <f>'KG1-2'!IE44</f>
        <v/>
      </c>
      <c r="D429">
        <f>'KG1-2'!IE43</f>
        <v/>
      </c>
      <c r="E429">
        <f>'KG1-2'!IE40</f>
        <v/>
      </c>
      <c r="F429">
        <f>'KG1-2'!IE41</f>
        <v/>
      </c>
      <c r="G429">
        <f>'KG1-2'!IE42</f>
        <v/>
      </c>
    </row>
    <row r="430">
      <c r="A430">
        <f>'KG1-2'!$B$2</f>
        <v/>
      </c>
      <c r="B430" s="126" t="n">
        <v>46559</v>
      </c>
      <c r="C430">
        <f>'KG1-2'!IF44</f>
        <v/>
      </c>
      <c r="D430">
        <f>'KG1-2'!IF43</f>
        <v/>
      </c>
      <c r="E430">
        <f>'KG1-2'!IF40</f>
        <v/>
      </c>
      <c r="F430">
        <f>'KG1-2'!IF41</f>
        <v/>
      </c>
      <c r="G430">
        <f>'KG1-2'!IF42</f>
        <v/>
      </c>
    </row>
    <row r="431">
      <c r="A431">
        <f>'KG1-2'!$B$2</f>
        <v/>
      </c>
      <c r="B431" s="126" t="n">
        <v>46560</v>
      </c>
      <c r="C431">
        <f>'KG1-2'!IG44</f>
        <v/>
      </c>
      <c r="D431">
        <f>'KG1-2'!IG43</f>
        <v/>
      </c>
      <c r="E431">
        <f>'KG1-2'!IG40</f>
        <v/>
      </c>
      <c r="F431">
        <f>'KG1-2'!IG41</f>
        <v/>
      </c>
      <c r="G431">
        <f>'KG1-2'!IG42</f>
        <v/>
      </c>
    </row>
    <row r="432">
      <c r="A432">
        <f>'KG1-2'!$B$2</f>
        <v/>
      </c>
      <c r="B432" s="126" t="n">
        <v>46561</v>
      </c>
      <c r="C432">
        <f>'KG1-2'!IH44</f>
        <v/>
      </c>
      <c r="D432">
        <f>'KG1-2'!IH43</f>
        <v/>
      </c>
      <c r="E432">
        <f>'KG1-2'!IH40</f>
        <v/>
      </c>
      <c r="F432">
        <f>'KG1-2'!IH41</f>
        <v/>
      </c>
      <c r="G432">
        <f>'KG1-2'!IH42</f>
        <v/>
      </c>
    </row>
    <row r="433">
      <c r="A433">
        <f>'KG1-2'!$B$2</f>
        <v/>
      </c>
      <c r="B433" s="126" t="n">
        <v>46562</v>
      </c>
      <c r="C433">
        <f>'KG1-2'!II44</f>
        <v/>
      </c>
      <c r="D433">
        <f>'KG1-2'!II43</f>
        <v/>
      </c>
      <c r="E433">
        <f>'KG1-2'!II40</f>
        <v/>
      </c>
      <c r="F433">
        <f>'KG1-2'!II41</f>
        <v/>
      </c>
      <c r="G433">
        <f>'KG1-2'!II42</f>
        <v/>
      </c>
    </row>
    <row r="434">
      <c r="A434">
        <f>'KG1-2'!$B$2</f>
        <v/>
      </c>
      <c r="B434" s="126" t="n">
        <v>46563</v>
      </c>
      <c r="C434">
        <f>'KG1-2'!IJ44</f>
        <v/>
      </c>
      <c r="D434">
        <f>'KG1-2'!IJ43</f>
        <v/>
      </c>
      <c r="E434">
        <f>'KG1-2'!IJ40</f>
        <v/>
      </c>
      <c r="F434">
        <f>'KG1-2'!IJ41</f>
        <v/>
      </c>
      <c r="G434">
        <f>'KG1-2'!IJ42</f>
        <v/>
      </c>
    </row>
    <row r="435">
      <c r="A435">
        <f>'KG1-2'!$B$2</f>
        <v/>
      </c>
      <c r="B435" s="126" t="n">
        <v>46566</v>
      </c>
      <c r="C435">
        <f>'KG1-2'!IK44</f>
        <v/>
      </c>
      <c r="D435">
        <f>'KG1-2'!IK43</f>
        <v/>
      </c>
      <c r="E435">
        <f>'KG1-2'!IK40</f>
        <v/>
      </c>
      <c r="F435">
        <f>'KG1-2'!IK41</f>
        <v/>
      </c>
      <c r="G435">
        <f>'KG1-2'!IK42</f>
        <v/>
      </c>
    </row>
    <row r="436">
      <c r="A436">
        <f>'KG1-2'!$B$2</f>
        <v/>
      </c>
      <c r="B436" s="126" t="n">
        <v>46567</v>
      </c>
      <c r="C436">
        <f>'KG1-2'!IL44</f>
        <v/>
      </c>
      <c r="D436">
        <f>'KG1-2'!IL43</f>
        <v/>
      </c>
      <c r="E436">
        <f>'KG1-2'!IL40</f>
        <v/>
      </c>
      <c r="F436">
        <f>'KG1-2'!IL41</f>
        <v/>
      </c>
      <c r="G436">
        <f>'KG1-2'!IL42</f>
        <v/>
      </c>
    </row>
    <row r="437">
      <c r="A437">
        <f>'KG1-2'!$B$2</f>
        <v/>
      </c>
      <c r="B437" s="126" t="n">
        <v>46568</v>
      </c>
      <c r="C437">
        <f>'KG1-2'!IM44</f>
        <v/>
      </c>
      <c r="D437">
        <f>'KG1-2'!IM43</f>
        <v/>
      </c>
      <c r="E437">
        <f>'KG1-2'!IM40</f>
        <v/>
      </c>
      <c r="F437">
        <f>'KG1-2'!IM41</f>
        <v/>
      </c>
      <c r="G437">
        <f>'KG1-2'!IM42</f>
        <v/>
      </c>
    </row>
    <row r="438">
      <c r="A438">
        <f>'KG1-3'!$B$2</f>
        <v/>
      </c>
      <c r="B438" s="126" t="n">
        <v>46265</v>
      </c>
      <c r="C438">
        <f>'KG1-3'!AD44</f>
        <v/>
      </c>
      <c r="D438">
        <f>'KG1-3'!AD43</f>
        <v/>
      </c>
      <c r="E438">
        <f>'KG1-3'!AD40</f>
        <v/>
      </c>
      <c r="F438">
        <f>'KG1-3'!AD41</f>
        <v/>
      </c>
      <c r="G438">
        <f>'KG1-3'!AD42</f>
        <v/>
      </c>
    </row>
    <row r="439">
      <c r="A439">
        <f>'KG1-3'!$B$2</f>
        <v/>
      </c>
      <c r="B439" s="126" t="n">
        <v>46266</v>
      </c>
      <c r="C439">
        <f>'KG1-3'!AE44</f>
        <v/>
      </c>
      <c r="D439">
        <f>'KG1-3'!AE43</f>
        <v/>
      </c>
      <c r="E439">
        <f>'KG1-3'!AE40</f>
        <v/>
      </c>
      <c r="F439">
        <f>'KG1-3'!AE41</f>
        <v/>
      </c>
      <c r="G439">
        <f>'KG1-3'!AE42</f>
        <v/>
      </c>
    </row>
    <row r="440">
      <c r="A440">
        <f>'KG1-3'!$B$2</f>
        <v/>
      </c>
      <c r="B440" s="126" t="n">
        <v>46267</v>
      </c>
      <c r="C440">
        <f>'KG1-3'!AF44</f>
        <v/>
      </c>
      <c r="D440">
        <f>'KG1-3'!AF43</f>
        <v/>
      </c>
      <c r="E440">
        <f>'KG1-3'!AF40</f>
        <v/>
      </c>
      <c r="F440">
        <f>'KG1-3'!AF41</f>
        <v/>
      </c>
      <c r="G440">
        <f>'KG1-3'!AF42</f>
        <v/>
      </c>
    </row>
    <row r="441">
      <c r="A441">
        <f>'KG1-3'!$B$2</f>
        <v/>
      </c>
      <c r="B441" s="126" t="n">
        <v>46268</v>
      </c>
      <c r="C441">
        <f>'KG1-3'!AG44</f>
        <v/>
      </c>
      <c r="D441">
        <f>'KG1-3'!AG43</f>
        <v/>
      </c>
      <c r="E441">
        <f>'KG1-3'!AG40</f>
        <v/>
      </c>
      <c r="F441">
        <f>'KG1-3'!AG41</f>
        <v/>
      </c>
      <c r="G441">
        <f>'KG1-3'!AG42</f>
        <v/>
      </c>
    </row>
    <row r="442">
      <c r="A442">
        <f>'KG1-3'!$B$2</f>
        <v/>
      </c>
      <c r="B442" s="126" t="n">
        <v>46269</v>
      </c>
      <c r="C442">
        <f>'KG1-3'!AH44</f>
        <v/>
      </c>
      <c r="D442">
        <f>'KG1-3'!AH43</f>
        <v/>
      </c>
      <c r="E442">
        <f>'KG1-3'!AH40</f>
        <v/>
      </c>
      <c r="F442">
        <f>'KG1-3'!AH41</f>
        <v/>
      </c>
      <c r="G442">
        <f>'KG1-3'!AH42</f>
        <v/>
      </c>
    </row>
    <row r="443">
      <c r="A443">
        <f>'KG1-3'!$B$2</f>
        <v/>
      </c>
      <c r="B443" s="126" t="n">
        <v>46272</v>
      </c>
      <c r="C443">
        <f>'KG1-3'!AI44</f>
        <v/>
      </c>
      <c r="D443">
        <f>'KG1-3'!AI43</f>
        <v/>
      </c>
      <c r="E443">
        <f>'KG1-3'!AI40</f>
        <v/>
      </c>
      <c r="F443">
        <f>'KG1-3'!AI41</f>
        <v/>
      </c>
      <c r="G443">
        <f>'KG1-3'!AI42</f>
        <v/>
      </c>
    </row>
    <row r="444">
      <c r="A444">
        <f>'KG1-3'!$B$2</f>
        <v/>
      </c>
      <c r="B444" s="126" t="n">
        <v>46273</v>
      </c>
      <c r="C444">
        <f>'KG1-3'!AJ44</f>
        <v/>
      </c>
      <c r="D444">
        <f>'KG1-3'!AJ43</f>
        <v/>
      </c>
      <c r="E444">
        <f>'KG1-3'!AJ40</f>
        <v/>
      </c>
      <c r="F444">
        <f>'KG1-3'!AJ41</f>
        <v/>
      </c>
      <c r="G444">
        <f>'KG1-3'!AJ42</f>
        <v/>
      </c>
    </row>
    <row r="445">
      <c r="A445">
        <f>'KG1-3'!$B$2</f>
        <v/>
      </c>
      <c r="B445" s="126" t="n">
        <v>46274</v>
      </c>
      <c r="C445">
        <f>'KG1-3'!AK44</f>
        <v/>
      </c>
      <c r="D445">
        <f>'KG1-3'!AK43</f>
        <v/>
      </c>
      <c r="E445">
        <f>'KG1-3'!AK40</f>
        <v/>
      </c>
      <c r="F445">
        <f>'KG1-3'!AK41</f>
        <v/>
      </c>
      <c r="G445">
        <f>'KG1-3'!AK42</f>
        <v/>
      </c>
    </row>
    <row r="446">
      <c r="A446">
        <f>'KG1-3'!$B$2</f>
        <v/>
      </c>
      <c r="B446" s="126" t="n">
        <v>46275</v>
      </c>
      <c r="C446">
        <f>'KG1-3'!AL44</f>
        <v/>
      </c>
      <c r="D446">
        <f>'KG1-3'!AL43</f>
        <v/>
      </c>
      <c r="E446">
        <f>'KG1-3'!AL40</f>
        <v/>
      </c>
      <c r="F446">
        <f>'KG1-3'!AL41</f>
        <v/>
      </c>
      <c r="G446">
        <f>'KG1-3'!AL42</f>
        <v/>
      </c>
    </row>
    <row r="447">
      <c r="A447">
        <f>'KG1-3'!$B$2</f>
        <v/>
      </c>
      <c r="B447" s="126" t="n">
        <v>46276</v>
      </c>
      <c r="C447">
        <f>'KG1-3'!AM44</f>
        <v/>
      </c>
      <c r="D447">
        <f>'KG1-3'!AM43</f>
        <v/>
      </c>
      <c r="E447">
        <f>'KG1-3'!AM40</f>
        <v/>
      </c>
      <c r="F447">
        <f>'KG1-3'!AM41</f>
        <v/>
      </c>
      <c r="G447">
        <f>'KG1-3'!AM42</f>
        <v/>
      </c>
    </row>
    <row r="448">
      <c r="A448">
        <f>'KG1-3'!$B$2</f>
        <v/>
      </c>
      <c r="B448" s="126" t="n">
        <v>46279</v>
      </c>
      <c r="C448">
        <f>'KG1-3'!AN44</f>
        <v/>
      </c>
      <c r="D448">
        <f>'KG1-3'!AN43</f>
        <v/>
      </c>
      <c r="E448">
        <f>'KG1-3'!AN40</f>
        <v/>
      </c>
      <c r="F448">
        <f>'KG1-3'!AN41</f>
        <v/>
      </c>
      <c r="G448">
        <f>'KG1-3'!AN42</f>
        <v/>
      </c>
    </row>
    <row r="449">
      <c r="A449">
        <f>'KG1-3'!$B$2</f>
        <v/>
      </c>
      <c r="B449" s="126" t="n">
        <v>46280</v>
      </c>
      <c r="C449">
        <f>'KG1-3'!AO44</f>
        <v/>
      </c>
      <c r="D449">
        <f>'KG1-3'!AO43</f>
        <v/>
      </c>
      <c r="E449">
        <f>'KG1-3'!AO40</f>
        <v/>
      </c>
      <c r="F449">
        <f>'KG1-3'!AO41</f>
        <v/>
      </c>
      <c r="G449">
        <f>'KG1-3'!AO42</f>
        <v/>
      </c>
    </row>
    <row r="450">
      <c r="A450">
        <f>'KG1-3'!$B$2</f>
        <v/>
      </c>
      <c r="B450" s="126" t="n">
        <v>46281</v>
      </c>
      <c r="C450">
        <f>'KG1-3'!AP44</f>
        <v/>
      </c>
      <c r="D450">
        <f>'KG1-3'!AP43</f>
        <v/>
      </c>
      <c r="E450">
        <f>'KG1-3'!AP40</f>
        <v/>
      </c>
      <c r="F450">
        <f>'KG1-3'!AP41</f>
        <v/>
      </c>
      <c r="G450">
        <f>'KG1-3'!AP42</f>
        <v/>
      </c>
    </row>
    <row r="451">
      <c r="A451">
        <f>'KG1-3'!$B$2</f>
        <v/>
      </c>
      <c r="B451" s="126" t="n">
        <v>46282</v>
      </c>
      <c r="C451">
        <f>'KG1-3'!AQ44</f>
        <v/>
      </c>
      <c r="D451">
        <f>'KG1-3'!AQ43</f>
        <v/>
      </c>
      <c r="E451">
        <f>'KG1-3'!AQ40</f>
        <v/>
      </c>
      <c r="F451">
        <f>'KG1-3'!AQ41</f>
        <v/>
      </c>
      <c r="G451">
        <f>'KG1-3'!AQ42</f>
        <v/>
      </c>
    </row>
    <row r="452">
      <c r="A452">
        <f>'KG1-3'!$B$2</f>
        <v/>
      </c>
      <c r="B452" s="126" t="n">
        <v>46283</v>
      </c>
      <c r="C452">
        <f>'KG1-3'!AR44</f>
        <v/>
      </c>
      <c r="D452">
        <f>'KG1-3'!AR43</f>
        <v/>
      </c>
      <c r="E452">
        <f>'KG1-3'!AR40</f>
        <v/>
      </c>
      <c r="F452">
        <f>'KG1-3'!AR41</f>
        <v/>
      </c>
      <c r="G452">
        <f>'KG1-3'!AR42</f>
        <v/>
      </c>
    </row>
    <row r="453">
      <c r="A453">
        <f>'KG1-3'!$B$2</f>
        <v/>
      </c>
      <c r="B453" s="126" t="n">
        <v>46286</v>
      </c>
      <c r="C453">
        <f>'KG1-3'!AS44</f>
        <v/>
      </c>
      <c r="D453">
        <f>'KG1-3'!AS43</f>
        <v/>
      </c>
      <c r="E453">
        <f>'KG1-3'!AS40</f>
        <v/>
      </c>
      <c r="F453">
        <f>'KG1-3'!AS41</f>
        <v/>
      </c>
      <c r="G453">
        <f>'KG1-3'!AS42</f>
        <v/>
      </c>
    </row>
    <row r="454">
      <c r="A454">
        <f>'KG1-3'!$B$2</f>
        <v/>
      </c>
      <c r="B454" s="126" t="n">
        <v>46287</v>
      </c>
      <c r="C454">
        <f>'KG1-3'!AT44</f>
        <v/>
      </c>
      <c r="D454">
        <f>'KG1-3'!AT43</f>
        <v/>
      </c>
      <c r="E454">
        <f>'KG1-3'!AT40</f>
        <v/>
      </c>
      <c r="F454">
        <f>'KG1-3'!AT41</f>
        <v/>
      </c>
      <c r="G454">
        <f>'KG1-3'!AT42</f>
        <v/>
      </c>
    </row>
    <row r="455">
      <c r="A455">
        <f>'KG1-3'!$B$2</f>
        <v/>
      </c>
      <c r="B455" s="126" t="n">
        <v>46288</v>
      </c>
      <c r="C455">
        <f>'KG1-3'!AU44</f>
        <v/>
      </c>
      <c r="D455">
        <f>'KG1-3'!AU43</f>
        <v/>
      </c>
      <c r="E455">
        <f>'KG1-3'!AU40</f>
        <v/>
      </c>
      <c r="F455">
        <f>'KG1-3'!AU41</f>
        <v/>
      </c>
      <c r="G455">
        <f>'KG1-3'!AU42</f>
        <v/>
      </c>
    </row>
    <row r="456">
      <c r="A456">
        <f>'KG1-3'!$B$2</f>
        <v/>
      </c>
      <c r="B456" s="126" t="n">
        <v>46289</v>
      </c>
      <c r="C456">
        <f>'KG1-3'!AV44</f>
        <v/>
      </c>
      <c r="D456">
        <f>'KG1-3'!AV43</f>
        <v/>
      </c>
      <c r="E456">
        <f>'KG1-3'!AV40</f>
        <v/>
      </c>
      <c r="F456">
        <f>'KG1-3'!AV41</f>
        <v/>
      </c>
      <c r="G456">
        <f>'KG1-3'!AV42</f>
        <v/>
      </c>
    </row>
    <row r="457">
      <c r="A457">
        <f>'KG1-3'!$B$2</f>
        <v/>
      </c>
      <c r="B457" s="126" t="n">
        <v>46290</v>
      </c>
      <c r="C457">
        <f>'KG1-3'!AW44</f>
        <v/>
      </c>
      <c r="D457">
        <f>'KG1-3'!AW43</f>
        <v/>
      </c>
      <c r="E457">
        <f>'KG1-3'!AW40</f>
        <v/>
      </c>
      <c r="F457">
        <f>'KG1-3'!AW41</f>
        <v/>
      </c>
      <c r="G457">
        <f>'KG1-3'!AW42</f>
        <v/>
      </c>
    </row>
    <row r="458">
      <c r="A458">
        <f>'KG1-3'!$B$2</f>
        <v/>
      </c>
      <c r="B458" s="126" t="n">
        <v>46293</v>
      </c>
      <c r="C458">
        <f>'KG1-3'!AX44</f>
        <v/>
      </c>
      <c r="D458">
        <f>'KG1-3'!AX43</f>
        <v/>
      </c>
      <c r="E458">
        <f>'KG1-3'!AX40</f>
        <v/>
      </c>
      <c r="F458">
        <f>'KG1-3'!AX41</f>
        <v/>
      </c>
      <c r="G458">
        <f>'KG1-3'!AX42</f>
        <v/>
      </c>
    </row>
    <row r="459">
      <c r="A459">
        <f>'KG1-3'!$B$2</f>
        <v/>
      </c>
      <c r="B459" s="126" t="n">
        <v>46294</v>
      </c>
      <c r="C459">
        <f>'KG1-3'!AY44</f>
        <v/>
      </c>
      <c r="D459">
        <f>'KG1-3'!AY43</f>
        <v/>
      </c>
      <c r="E459">
        <f>'KG1-3'!AY40</f>
        <v/>
      </c>
      <c r="F459">
        <f>'KG1-3'!AY41</f>
        <v/>
      </c>
      <c r="G459">
        <f>'KG1-3'!AY42</f>
        <v/>
      </c>
    </row>
    <row r="460">
      <c r="A460">
        <f>'KG1-3'!$B$2</f>
        <v/>
      </c>
      <c r="B460" s="126" t="n">
        <v>46295</v>
      </c>
      <c r="C460">
        <f>'KG1-3'!AZ44</f>
        <v/>
      </c>
      <c r="D460">
        <f>'KG1-3'!AZ43</f>
        <v/>
      </c>
      <c r="E460">
        <f>'KG1-3'!AZ40</f>
        <v/>
      </c>
      <c r="F460">
        <f>'KG1-3'!AZ41</f>
        <v/>
      </c>
      <c r="G460">
        <f>'KG1-3'!AZ42</f>
        <v/>
      </c>
    </row>
    <row r="461">
      <c r="A461">
        <f>'KG1-3'!$B$2</f>
        <v/>
      </c>
      <c r="B461" s="126" t="n">
        <v>46296</v>
      </c>
      <c r="C461">
        <f>'KG1-3'!BA44</f>
        <v/>
      </c>
      <c r="D461">
        <f>'KG1-3'!BA43</f>
        <v/>
      </c>
      <c r="E461">
        <f>'KG1-3'!BA40</f>
        <v/>
      </c>
      <c r="F461">
        <f>'KG1-3'!BA41</f>
        <v/>
      </c>
      <c r="G461">
        <f>'KG1-3'!BA42</f>
        <v/>
      </c>
    </row>
    <row r="462">
      <c r="A462">
        <f>'KG1-3'!$B$2</f>
        <v/>
      </c>
      <c r="B462" s="126" t="n">
        <v>46297</v>
      </c>
      <c r="C462">
        <f>'KG1-3'!BB44</f>
        <v/>
      </c>
      <c r="D462">
        <f>'KG1-3'!BB43</f>
        <v/>
      </c>
      <c r="E462">
        <f>'KG1-3'!BB40</f>
        <v/>
      </c>
      <c r="F462">
        <f>'KG1-3'!BB41</f>
        <v/>
      </c>
      <c r="G462">
        <f>'KG1-3'!BB42</f>
        <v/>
      </c>
    </row>
    <row r="463">
      <c r="A463">
        <f>'KG1-3'!$B$2</f>
        <v/>
      </c>
      <c r="B463" s="126" t="n">
        <v>46300</v>
      </c>
      <c r="C463">
        <f>'KG1-3'!BC44</f>
        <v/>
      </c>
      <c r="D463">
        <f>'KG1-3'!BC43</f>
        <v/>
      </c>
      <c r="E463">
        <f>'KG1-3'!BC40</f>
        <v/>
      </c>
      <c r="F463">
        <f>'KG1-3'!BC41</f>
        <v/>
      </c>
      <c r="G463">
        <f>'KG1-3'!BC42</f>
        <v/>
      </c>
    </row>
    <row r="464">
      <c r="A464">
        <f>'KG1-3'!$B$2</f>
        <v/>
      </c>
      <c r="B464" s="126" t="n">
        <v>46301</v>
      </c>
      <c r="C464">
        <f>'KG1-3'!BD44</f>
        <v/>
      </c>
      <c r="D464">
        <f>'KG1-3'!BD43</f>
        <v/>
      </c>
      <c r="E464">
        <f>'KG1-3'!BD40</f>
        <v/>
      </c>
      <c r="F464">
        <f>'KG1-3'!BD41</f>
        <v/>
      </c>
      <c r="G464">
        <f>'KG1-3'!BD42</f>
        <v/>
      </c>
    </row>
    <row r="465">
      <c r="A465">
        <f>'KG1-3'!$B$2</f>
        <v/>
      </c>
      <c r="B465" s="126" t="n">
        <v>46302</v>
      </c>
      <c r="C465">
        <f>'KG1-3'!BE44</f>
        <v/>
      </c>
      <c r="D465">
        <f>'KG1-3'!BE43</f>
        <v/>
      </c>
      <c r="E465">
        <f>'KG1-3'!BE40</f>
        <v/>
      </c>
      <c r="F465">
        <f>'KG1-3'!BE41</f>
        <v/>
      </c>
      <c r="G465">
        <f>'KG1-3'!BE42</f>
        <v/>
      </c>
    </row>
    <row r="466">
      <c r="A466">
        <f>'KG1-3'!$B$2</f>
        <v/>
      </c>
      <c r="B466" s="126" t="n">
        <v>46303</v>
      </c>
      <c r="C466">
        <f>'KG1-3'!BF44</f>
        <v/>
      </c>
      <c r="D466">
        <f>'KG1-3'!BF43</f>
        <v/>
      </c>
      <c r="E466">
        <f>'KG1-3'!BF40</f>
        <v/>
      </c>
      <c r="F466">
        <f>'KG1-3'!BF41</f>
        <v/>
      </c>
      <c r="G466">
        <f>'KG1-3'!BF42</f>
        <v/>
      </c>
    </row>
    <row r="467">
      <c r="A467">
        <f>'KG1-3'!$B$2</f>
        <v/>
      </c>
      <c r="B467" s="126" t="n">
        <v>46304</v>
      </c>
      <c r="C467">
        <f>'KG1-3'!BG44</f>
        <v/>
      </c>
      <c r="D467">
        <f>'KG1-3'!BG43</f>
        <v/>
      </c>
      <c r="E467">
        <f>'KG1-3'!BG40</f>
        <v/>
      </c>
      <c r="F467">
        <f>'KG1-3'!BG41</f>
        <v/>
      </c>
      <c r="G467">
        <f>'KG1-3'!BG42</f>
        <v/>
      </c>
    </row>
    <row r="468">
      <c r="A468">
        <f>'KG1-3'!$B$2</f>
        <v/>
      </c>
      <c r="B468" s="126" t="n">
        <v>46307</v>
      </c>
      <c r="C468">
        <f>'KG1-3'!BH44</f>
        <v/>
      </c>
      <c r="D468">
        <f>'KG1-3'!BH43</f>
        <v/>
      </c>
      <c r="E468">
        <f>'KG1-3'!BH40</f>
        <v/>
      </c>
      <c r="F468">
        <f>'KG1-3'!BH41</f>
        <v/>
      </c>
      <c r="G468">
        <f>'KG1-3'!BH42</f>
        <v/>
      </c>
    </row>
    <row r="469">
      <c r="A469">
        <f>'KG1-3'!$B$2</f>
        <v/>
      </c>
      <c r="B469" s="126" t="n">
        <v>46308</v>
      </c>
      <c r="C469">
        <f>'KG1-3'!BI44</f>
        <v/>
      </c>
      <c r="D469">
        <f>'KG1-3'!BI43</f>
        <v/>
      </c>
      <c r="E469">
        <f>'KG1-3'!BI40</f>
        <v/>
      </c>
      <c r="F469">
        <f>'KG1-3'!BI41</f>
        <v/>
      </c>
      <c r="G469">
        <f>'KG1-3'!BI42</f>
        <v/>
      </c>
    </row>
    <row r="470">
      <c r="A470">
        <f>'KG1-3'!$B$2</f>
        <v/>
      </c>
      <c r="B470" s="126" t="n">
        <v>46309</v>
      </c>
      <c r="C470">
        <f>'KG1-3'!BJ44</f>
        <v/>
      </c>
      <c r="D470">
        <f>'KG1-3'!BJ43</f>
        <v/>
      </c>
      <c r="E470">
        <f>'KG1-3'!BJ40</f>
        <v/>
      </c>
      <c r="F470">
        <f>'KG1-3'!BJ41</f>
        <v/>
      </c>
      <c r="G470">
        <f>'KG1-3'!BJ42</f>
        <v/>
      </c>
    </row>
    <row r="471">
      <c r="A471">
        <f>'KG1-3'!$B$2</f>
        <v/>
      </c>
      <c r="B471" s="126" t="n">
        <v>46310</v>
      </c>
      <c r="C471">
        <f>'KG1-3'!BK44</f>
        <v/>
      </c>
      <c r="D471">
        <f>'KG1-3'!BK43</f>
        <v/>
      </c>
      <c r="E471">
        <f>'KG1-3'!BK40</f>
        <v/>
      </c>
      <c r="F471">
        <f>'KG1-3'!BK41</f>
        <v/>
      </c>
      <c r="G471">
        <f>'KG1-3'!BK42</f>
        <v/>
      </c>
    </row>
    <row r="472">
      <c r="A472">
        <f>'KG1-3'!$B$2</f>
        <v/>
      </c>
      <c r="B472" s="126" t="n">
        <v>46311</v>
      </c>
      <c r="C472">
        <f>'KG1-3'!BL44</f>
        <v/>
      </c>
      <c r="D472">
        <f>'KG1-3'!BL43</f>
        <v/>
      </c>
      <c r="E472">
        <f>'KG1-3'!BL40</f>
        <v/>
      </c>
      <c r="F472">
        <f>'KG1-3'!BL41</f>
        <v/>
      </c>
      <c r="G472">
        <f>'KG1-3'!BL42</f>
        <v/>
      </c>
    </row>
    <row r="473">
      <c r="A473">
        <f>'KG1-3'!$B$2</f>
        <v/>
      </c>
      <c r="B473" s="126" t="n">
        <v>46314</v>
      </c>
      <c r="C473">
        <f>'KG1-3'!BM44</f>
        <v/>
      </c>
      <c r="D473">
        <f>'KG1-3'!BM43</f>
        <v/>
      </c>
      <c r="E473">
        <f>'KG1-3'!BM40</f>
        <v/>
      </c>
      <c r="F473">
        <f>'KG1-3'!BM41</f>
        <v/>
      </c>
      <c r="G473">
        <f>'KG1-3'!BM42</f>
        <v/>
      </c>
    </row>
    <row r="474">
      <c r="A474">
        <f>'KG1-3'!$B$2</f>
        <v/>
      </c>
      <c r="B474" s="126" t="n">
        <v>46315</v>
      </c>
      <c r="C474">
        <f>'KG1-3'!BN44</f>
        <v/>
      </c>
      <c r="D474">
        <f>'KG1-3'!BN43</f>
        <v/>
      </c>
      <c r="E474">
        <f>'KG1-3'!BN40</f>
        <v/>
      </c>
      <c r="F474">
        <f>'KG1-3'!BN41</f>
        <v/>
      </c>
      <c r="G474">
        <f>'KG1-3'!BN42</f>
        <v/>
      </c>
    </row>
    <row r="475">
      <c r="A475">
        <f>'KG1-3'!$B$2</f>
        <v/>
      </c>
      <c r="B475" s="126" t="n">
        <v>46316</v>
      </c>
      <c r="C475">
        <f>'KG1-3'!BO44</f>
        <v/>
      </c>
      <c r="D475">
        <f>'KG1-3'!BO43</f>
        <v/>
      </c>
      <c r="E475">
        <f>'KG1-3'!BO40</f>
        <v/>
      </c>
      <c r="F475">
        <f>'KG1-3'!BO41</f>
        <v/>
      </c>
      <c r="G475">
        <f>'KG1-3'!BO42</f>
        <v/>
      </c>
    </row>
    <row r="476">
      <c r="A476">
        <f>'KG1-3'!$B$2</f>
        <v/>
      </c>
      <c r="B476" s="126" t="n">
        <v>46317</v>
      </c>
      <c r="C476">
        <f>'KG1-3'!BP44</f>
        <v/>
      </c>
      <c r="D476">
        <f>'KG1-3'!BP43</f>
        <v/>
      </c>
      <c r="E476">
        <f>'KG1-3'!BP40</f>
        <v/>
      </c>
      <c r="F476">
        <f>'KG1-3'!BP41</f>
        <v/>
      </c>
      <c r="G476">
        <f>'KG1-3'!BP42</f>
        <v/>
      </c>
    </row>
    <row r="477">
      <c r="A477">
        <f>'KG1-3'!$B$2</f>
        <v/>
      </c>
      <c r="B477" s="126" t="n">
        <v>46318</v>
      </c>
      <c r="C477">
        <f>'KG1-3'!BQ44</f>
        <v/>
      </c>
      <c r="D477">
        <f>'KG1-3'!BQ43</f>
        <v/>
      </c>
      <c r="E477">
        <f>'KG1-3'!BQ40</f>
        <v/>
      </c>
      <c r="F477">
        <f>'KG1-3'!BQ41</f>
        <v/>
      </c>
      <c r="G477">
        <f>'KG1-3'!BQ42</f>
        <v/>
      </c>
    </row>
    <row r="478">
      <c r="A478">
        <f>'KG1-3'!$B$2</f>
        <v/>
      </c>
      <c r="B478" s="126" t="n">
        <v>46321</v>
      </c>
      <c r="C478">
        <f>'KG1-3'!BR44</f>
        <v/>
      </c>
      <c r="D478">
        <f>'KG1-3'!BR43</f>
        <v/>
      </c>
      <c r="E478">
        <f>'KG1-3'!BR40</f>
        <v/>
      </c>
      <c r="F478">
        <f>'KG1-3'!BR41</f>
        <v/>
      </c>
      <c r="G478">
        <f>'KG1-3'!BR42</f>
        <v/>
      </c>
    </row>
    <row r="479">
      <c r="A479">
        <f>'KG1-3'!$B$2</f>
        <v/>
      </c>
      <c r="B479" s="126" t="n">
        <v>46322</v>
      </c>
      <c r="C479">
        <f>'KG1-3'!BS44</f>
        <v/>
      </c>
      <c r="D479">
        <f>'KG1-3'!BS43</f>
        <v/>
      </c>
      <c r="E479">
        <f>'KG1-3'!BS40</f>
        <v/>
      </c>
      <c r="F479">
        <f>'KG1-3'!BS41</f>
        <v/>
      </c>
      <c r="G479">
        <f>'KG1-3'!BS42</f>
        <v/>
      </c>
    </row>
    <row r="480">
      <c r="A480">
        <f>'KG1-3'!$B$2</f>
        <v/>
      </c>
      <c r="B480" s="126" t="n">
        <v>46323</v>
      </c>
      <c r="C480">
        <f>'KG1-3'!BT44</f>
        <v/>
      </c>
      <c r="D480">
        <f>'KG1-3'!BT43</f>
        <v/>
      </c>
      <c r="E480">
        <f>'KG1-3'!BT40</f>
        <v/>
      </c>
      <c r="F480">
        <f>'KG1-3'!BT41</f>
        <v/>
      </c>
      <c r="G480">
        <f>'KG1-3'!BT42</f>
        <v/>
      </c>
    </row>
    <row r="481">
      <c r="A481">
        <f>'KG1-3'!$B$2</f>
        <v/>
      </c>
      <c r="B481" s="126" t="n">
        <v>46324</v>
      </c>
      <c r="C481">
        <f>'KG1-3'!BU44</f>
        <v/>
      </c>
      <c r="D481">
        <f>'KG1-3'!BU43</f>
        <v/>
      </c>
      <c r="E481">
        <f>'KG1-3'!BU40</f>
        <v/>
      </c>
      <c r="F481">
        <f>'KG1-3'!BU41</f>
        <v/>
      </c>
      <c r="G481">
        <f>'KG1-3'!BU42</f>
        <v/>
      </c>
    </row>
    <row r="482">
      <c r="A482">
        <f>'KG1-3'!$B$2</f>
        <v/>
      </c>
      <c r="B482" s="126" t="n">
        <v>46325</v>
      </c>
      <c r="C482">
        <f>'KG1-3'!BV44</f>
        <v/>
      </c>
      <c r="D482">
        <f>'KG1-3'!BV43</f>
        <v/>
      </c>
      <c r="E482">
        <f>'KG1-3'!BV40</f>
        <v/>
      </c>
      <c r="F482">
        <f>'KG1-3'!BV41</f>
        <v/>
      </c>
      <c r="G482">
        <f>'KG1-3'!BV42</f>
        <v/>
      </c>
    </row>
    <row r="483">
      <c r="A483">
        <f>'KG1-3'!$B$2</f>
        <v/>
      </c>
      <c r="B483" s="126" t="n">
        <v>46328</v>
      </c>
      <c r="C483">
        <f>'KG1-3'!BW44</f>
        <v/>
      </c>
      <c r="D483">
        <f>'KG1-3'!BW43</f>
        <v/>
      </c>
      <c r="E483">
        <f>'KG1-3'!BW40</f>
        <v/>
      </c>
      <c r="F483">
        <f>'KG1-3'!BW41</f>
        <v/>
      </c>
      <c r="G483">
        <f>'KG1-3'!BW42</f>
        <v/>
      </c>
    </row>
    <row r="484">
      <c r="A484">
        <f>'KG1-3'!$B$2</f>
        <v/>
      </c>
      <c r="B484" s="126" t="n">
        <v>46329</v>
      </c>
      <c r="C484">
        <f>'KG1-3'!BX44</f>
        <v/>
      </c>
      <c r="D484">
        <f>'KG1-3'!BX43</f>
        <v/>
      </c>
      <c r="E484">
        <f>'KG1-3'!BX40</f>
        <v/>
      </c>
      <c r="F484">
        <f>'KG1-3'!BX41</f>
        <v/>
      </c>
      <c r="G484">
        <f>'KG1-3'!BX42</f>
        <v/>
      </c>
    </row>
    <row r="485">
      <c r="A485">
        <f>'KG1-3'!$B$2</f>
        <v/>
      </c>
      <c r="B485" s="126" t="n">
        <v>46330</v>
      </c>
      <c r="C485">
        <f>'KG1-3'!BY44</f>
        <v/>
      </c>
      <c r="D485">
        <f>'KG1-3'!BY43</f>
        <v/>
      </c>
      <c r="E485">
        <f>'KG1-3'!BY40</f>
        <v/>
      </c>
      <c r="F485">
        <f>'KG1-3'!BY41</f>
        <v/>
      </c>
      <c r="G485">
        <f>'KG1-3'!BY42</f>
        <v/>
      </c>
    </row>
    <row r="486">
      <c r="A486">
        <f>'KG1-3'!$B$2</f>
        <v/>
      </c>
      <c r="B486" s="126" t="n">
        <v>46331</v>
      </c>
      <c r="C486">
        <f>'KG1-3'!BZ44</f>
        <v/>
      </c>
      <c r="D486">
        <f>'KG1-3'!BZ43</f>
        <v/>
      </c>
      <c r="E486">
        <f>'KG1-3'!BZ40</f>
        <v/>
      </c>
      <c r="F486">
        <f>'KG1-3'!BZ41</f>
        <v/>
      </c>
      <c r="G486">
        <f>'KG1-3'!BZ42</f>
        <v/>
      </c>
    </row>
    <row r="487">
      <c r="A487">
        <f>'KG1-3'!$B$2</f>
        <v/>
      </c>
      <c r="B487" s="126" t="n">
        <v>46332</v>
      </c>
      <c r="C487">
        <f>'KG1-3'!CA44</f>
        <v/>
      </c>
      <c r="D487">
        <f>'KG1-3'!CA43</f>
        <v/>
      </c>
      <c r="E487">
        <f>'KG1-3'!CA40</f>
        <v/>
      </c>
      <c r="F487">
        <f>'KG1-3'!CA41</f>
        <v/>
      </c>
      <c r="G487">
        <f>'KG1-3'!CA42</f>
        <v/>
      </c>
    </row>
    <row r="488">
      <c r="A488">
        <f>'KG1-3'!$B$2</f>
        <v/>
      </c>
      <c r="B488" s="126" t="n">
        <v>46335</v>
      </c>
      <c r="C488">
        <f>'KG1-3'!CB44</f>
        <v/>
      </c>
      <c r="D488">
        <f>'KG1-3'!CB43</f>
        <v/>
      </c>
      <c r="E488">
        <f>'KG1-3'!CB40</f>
        <v/>
      </c>
      <c r="F488">
        <f>'KG1-3'!CB41</f>
        <v/>
      </c>
      <c r="G488">
        <f>'KG1-3'!CB42</f>
        <v/>
      </c>
    </row>
    <row r="489">
      <c r="A489">
        <f>'KG1-3'!$B$2</f>
        <v/>
      </c>
      <c r="B489" s="126" t="n">
        <v>46336</v>
      </c>
      <c r="C489">
        <f>'KG1-3'!CC44</f>
        <v/>
      </c>
      <c r="D489">
        <f>'KG1-3'!CC43</f>
        <v/>
      </c>
      <c r="E489">
        <f>'KG1-3'!CC40</f>
        <v/>
      </c>
      <c r="F489">
        <f>'KG1-3'!CC41</f>
        <v/>
      </c>
      <c r="G489">
        <f>'KG1-3'!CC42</f>
        <v/>
      </c>
    </row>
    <row r="490">
      <c r="A490">
        <f>'KG1-3'!$B$2</f>
        <v/>
      </c>
      <c r="B490" s="126" t="n">
        <v>46337</v>
      </c>
      <c r="C490">
        <f>'KG1-3'!CD44</f>
        <v/>
      </c>
      <c r="D490">
        <f>'KG1-3'!CD43</f>
        <v/>
      </c>
      <c r="E490">
        <f>'KG1-3'!CD40</f>
        <v/>
      </c>
      <c r="F490">
        <f>'KG1-3'!CD41</f>
        <v/>
      </c>
      <c r="G490">
        <f>'KG1-3'!CD42</f>
        <v/>
      </c>
    </row>
    <row r="491">
      <c r="A491">
        <f>'KG1-3'!$B$2</f>
        <v/>
      </c>
      <c r="B491" s="126" t="n">
        <v>46338</v>
      </c>
      <c r="C491">
        <f>'KG1-3'!CE44</f>
        <v/>
      </c>
      <c r="D491">
        <f>'KG1-3'!CE43</f>
        <v/>
      </c>
      <c r="E491">
        <f>'KG1-3'!CE40</f>
        <v/>
      </c>
      <c r="F491">
        <f>'KG1-3'!CE41</f>
        <v/>
      </c>
      <c r="G491">
        <f>'KG1-3'!CE42</f>
        <v/>
      </c>
    </row>
    <row r="492">
      <c r="A492">
        <f>'KG1-3'!$B$2</f>
        <v/>
      </c>
      <c r="B492" s="126" t="n">
        <v>46339</v>
      </c>
      <c r="C492">
        <f>'KG1-3'!CF44</f>
        <v/>
      </c>
      <c r="D492">
        <f>'KG1-3'!CF43</f>
        <v/>
      </c>
      <c r="E492">
        <f>'KG1-3'!CF40</f>
        <v/>
      </c>
      <c r="F492">
        <f>'KG1-3'!CF41</f>
        <v/>
      </c>
      <c r="G492">
        <f>'KG1-3'!CF42</f>
        <v/>
      </c>
    </row>
    <row r="493">
      <c r="A493">
        <f>'KG1-3'!$B$2</f>
        <v/>
      </c>
      <c r="B493" s="126" t="n">
        <v>46342</v>
      </c>
      <c r="C493">
        <f>'KG1-3'!CG44</f>
        <v/>
      </c>
      <c r="D493">
        <f>'KG1-3'!CG43</f>
        <v/>
      </c>
      <c r="E493">
        <f>'KG1-3'!CG40</f>
        <v/>
      </c>
      <c r="F493">
        <f>'KG1-3'!CG41</f>
        <v/>
      </c>
      <c r="G493">
        <f>'KG1-3'!CG42</f>
        <v/>
      </c>
    </row>
    <row r="494">
      <c r="A494">
        <f>'KG1-3'!$B$2</f>
        <v/>
      </c>
      <c r="B494" s="126" t="n">
        <v>46343</v>
      </c>
      <c r="C494">
        <f>'KG1-3'!CH44</f>
        <v/>
      </c>
      <c r="D494">
        <f>'KG1-3'!CH43</f>
        <v/>
      </c>
      <c r="E494">
        <f>'KG1-3'!CH40</f>
        <v/>
      </c>
      <c r="F494">
        <f>'KG1-3'!CH41</f>
        <v/>
      </c>
      <c r="G494">
        <f>'KG1-3'!CH42</f>
        <v/>
      </c>
    </row>
    <row r="495">
      <c r="A495">
        <f>'KG1-3'!$B$2</f>
        <v/>
      </c>
      <c r="B495" s="126" t="n">
        <v>46344</v>
      </c>
      <c r="C495">
        <f>'KG1-3'!CI44</f>
        <v/>
      </c>
      <c r="D495">
        <f>'KG1-3'!CI43</f>
        <v/>
      </c>
      <c r="E495">
        <f>'KG1-3'!CI40</f>
        <v/>
      </c>
      <c r="F495">
        <f>'KG1-3'!CI41</f>
        <v/>
      </c>
      <c r="G495">
        <f>'KG1-3'!CI42</f>
        <v/>
      </c>
    </row>
    <row r="496">
      <c r="A496">
        <f>'KG1-3'!$B$2</f>
        <v/>
      </c>
      <c r="B496" s="126" t="n">
        <v>46345</v>
      </c>
      <c r="C496">
        <f>'KG1-3'!CJ44</f>
        <v/>
      </c>
      <c r="D496">
        <f>'KG1-3'!CJ43</f>
        <v/>
      </c>
      <c r="E496">
        <f>'KG1-3'!CJ40</f>
        <v/>
      </c>
      <c r="F496">
        <f>'KG1-3'!CJ41</f>
        <v/>
      </c>
      <c r="G496">
        <f>'KG1-3'!CJ42</f>
        <v/>
      </c>
    </row>
    <row r="497">
      <c r="A497">
        <f>'KG1-3'!$B$2</f>
        <v/>
      </c>
      <c r="B497" s="126" t="n">
        <v>46346</v>
      </c>
      <c r="C497">
        <f>'KG1-3'!CK44</f>
        <v/>
      </c>
      <c r="D497">
        <f>'KG1-3'!CK43</f>
        <v/>
      </c>
      <c r="E497">
        <f>'KG1-3'!CK40</f>
        <v/>
      </c>
      <c r="F497">
        <f>'KG1-3'!CK41</f>
        <v/>
      </c>
      <c r="G497">
        <f>'KG1-3'!CK42</f>
        <v/>
      </c>
    </row>
    <row r="498">
      <c r="A498">
        <f>'KG1-3'!$B$2</f>
        <v/>
      </c>
      <c r="B498" s="126" t="n">
        <v>46349</v>
      </c>
      <c r="C498">
        <f>'KG1-3'!CL44</f>
        <v/>
      </c>
      <c r="D498">
        <f>'KG1-3'!CL43</f>
        <v/>
      </c>
      <c r="E498">
        <f>'KG1-3'!CL40</f>
        <v/>
      </c>
      <c r="F498">
        <f>'KG1-3'!CL41</f>
        <v/>
      </c>
      <c r="G498">
        <f>'KG1-3'!CL42</f>
        <v/>
      </c>
    </row>
    <row r="499">
      <c r="A499">
        <f>'KG1-3'!$B$2</f>
        <v/>
      </c>
      <c r="B499" s="126" t="n">
        <v>46350</v>
      </c>
      <c r="C499">
        <f>'KG1-3'!CM44</f>
        <v/>
      </c>
      <c r="D499">
        <f>'KG1-3'!CM43</f>
        <v/>
      </c>
      <c r="E499">
        <f>'KG1-3'!CM40</f>
        <v/>
      </c>
      <c r="F499">
        <f>'KG1-3'!CM41</f>
        <v/>
      </c>
      <c r="G499">
        <f>'KG1-3'!CM42</f>
        <v/>
      </c>
    </row>
    <row r="500">
      <c r="A500">
        <f>'KG1-3'!$B$2</f>
        <v/>
      </c>
      <c r="B500" s="126" t="n">
        <v>46351</v>
      </c>
      <c r="C500">
        <f>'KG1-3'!CN44</f>
        <v/>
      </c>
      <c r="D500">
        <f>'KG1-3'!CN43</f>
        <v/>
      </c>
      <c r="E500">
        <f>'KG1-3'!CN40</f>
        <v/>
      </c>
      <c r="F500">
        <f>'KG1-3'!CN41</f>
        <v/>
      </c>
      <c r="G500">
        <f>'KG1-3'!CN42</f>
        <v/>
      </c>
    </row>
    <row r="501">
      <c r="A501">
        <f>'KG1-3'!$B$2</f>
        <v/>
      </c>
      <c r="B501" s="126" t="n">
        <v>46352</v>
      </c>
      <c r="C501">
        <f>'KG1-3'!CO44</f>
        <v/>
      </c>
      <c r="D501">
        <f>'KG1-3'!CO43</f>
        <v/>
      </c>
      <c r="E501">
        <f>'KG1-3'!CO40</f>
        <v/>
      </c>
      <c r="F501">
        <f>'KG1-3'!CO41</f>
        <v/>
      </c>
      <c r="G501">
        <f>'KG1-3'!CO42</f>
        <v/>
      </c>
    </row>
    <row r="502">
      <c r="A502">
        <f>'KG1-3'!$B$2</f>
        <v/>
      </c>
      <c r="B502" s="126" t="n">
        <v>46353</v>
      </c>
      <c r="C502">
        <f>'KG1-3'!CP44</f>
        <v/>
      </c>
      <c r="D502">
        <f>'KG1-3'!CP43</f>
        <v/>
      </c>
      <c r="E502">
        <f>'KG1-3'!CP40</f>
        <v/>
      </c>
      <c r="F502">
        <f>'KG1-3'!CP41</f>
        <v/>
      </c>
      <c r="G502">
        <f>'KG1-3'!CP42</f>
        <v/>
      </c>
    </row>
    <row r="503">
      <c r="A503">
        <f>'KG1-3'!$B$2</f>
        <v/>
      </c>
      <c r="B503" s="126" t="n">
        <v>46356</v>
      </c>
      <c r="C503">
        <f>'KG1-3'!CQ44</f>
        <v/>
      </c>
      <c r="D503">
        <f>'KG1-3'!CQ43</f>
        <v/>
      </c>
      <c r="E503">
        <f>'KG1-3'!CQ40</f>
        <v/>
      </c>
      <c r="F503">
        <f>'KG1-3'!CQ41</f>
        <v/>
      </c>
      <c r="G503">
        <f>'KG1-3'!CQ42</f>
        <v/>
      </c>
    </row>
    <row r="504">
      <c r="A504">
        <f>'KG1-3'!$B$2</f>
        <v/>
      </c>
      <c r="B504" s="126" t="n">
        <v>46357</v>
      </c>
      <c r="C504">
        <f>'KG1-3'!CR44</f>
        <v/>
      </c>
      <c r="D504">
        <f>'KG1-3'!CR43</f>
        <v/>
      </c>
      <c r="E504">
        <f>'KG1-3'!CR40</f>
        <v/>
      </c>
      <c r="F504">
        <f>'KG1-3'!CR41</f>
        <v/>
      </c>
      <c r="G504">
        <f>'KG1-3'!CR42</f>
        <v/>
      </c>
    </row>
    <row r="505">
      <c r="A505">
        <f>'KG1-3'!$B$2</f>
        <v/>
      </c>
      <c r="B505" s="126" t="n">
        <v>46358</v>
      </c>
      <c r="C505">
        <f>'KG1-3'!CS44</f>
        <v/>
      </c>
      <c r="D505">
        <f>'KG1-3'!CS43</f>
        <v/>
      </c>
      <c r="E505">
        <f>'KG1-3'!CS40</f>
        <v/>
      </c>
      <c r="F505">
        <f>'KG1-3'!CS41</f>
        <v/>
      </c>
      <c r="G505">
        <f>'KG1-3'!CS42</f>
        <v/>
      </c>
    </row>
    <row r="506">
      <c r="A506">
        <f>'KG1-3'!$B$2</f>
        <v/>
      </c>
      <c r="B506" s="126" t="n">
        <v>46359</v>
      </c>
      <c r="C506">
        <f>'KG1-3'!CT44</f>
        <v/>
      </c>
      <c r="D506">
        <f>'KG1-3'!CT43</f>
        <v/>
      </c>
      <c r="E506">
        <f>'KG1-3'!CT40</f>
        <v/>
      </c>
      <c r="F506">
        <f>'KG1-3'!CT41</f>
        <v/>
      </c>
      <c r="G506">
        <f>'KG1-3'!CT42</f>
        <v/>
      </c>
    </row>
    <row r="507">
      <c r="A507">
        <f>'KG1-3'!$B$2</f>
        <v/>
      </c>
      <c r="B507" s="126" t="n">
        <v>46360</v>
      </c>
      <c r="C507">
        <f>'KG1-3'!CU44</f>
        <v/>
      </c>
      <c r="D507">
        <f>'KG1-3'!CU43</f>
        <v/>
      </c>
      <c r="E507">
        <f>'KG1-3'!CU40</f>
        <v/>
      </c>
      <c r="F507">
        <f>'KG1-3'!CU41</f>
        <v/>
      </c>
      <c r="G507">
        <f>'KG1-3'!CU42</f>
        <v/>
      </c>
    </row>
    <row r="508">
      <c r="A508">
        <f>'KG1-3'!$B$2</f>
        <v/>
      </c>
      <c r="B508" s="126" t="n">
        <v>46363</v>
      </c>
      <c r="C508">
        <f>'KG1-3'!CV44</f>
        <v/>
      </c>
      <c r="D508">
        <f>'KG1-3'!CV43</f>
        <v/>
      </c>
      <c r="E508">
        <f>'KG1-3'!CV40</f>
        <v/>
      </c>
      <c r="F508">
        <f>'KG1-3'!CV41</f>
        <v/>
      </c>
      <c r="G508">
        <f>'KG1-3'!CV42</f>
        <v/>
      </c>
    </row>
    <row r="509">
      <c r="A509">
        <f>'KG1-3'!$B$2</f>
        <v/>
      </c>
      <c r="B509" s="126" t="n">
        <v>46364</v>
      </c>
      <c r="C509">
        <f>'KG1-3'!CW44</f>
        <v/>
      </c>
      <c r="D509">
        <f>'KG1-3'!CW43</f>
        <v/>
      </c>
      <c r="E509">
        <f>'KG1-3'!CW40</f>
        <v/>
      </c>
      <c r="F509">
        <f>'KG1-3'!CW41</f>
        <v/>
      </c>
      <c r="G509">
        <f>'KG1-3'!CW42</f>
        <v/>
      </c>
    </row>
    <row r="510">
      <c r="A510">
        <f>'KG1-3'!$B$2</f>
        <v/>
      </c>
      <c r="B510" s="126" t="n">
        <v>46365</v>
      </c>
      <c r="C510">
        <f>'KG1-3'!CX44</f>
        <v/>
      </c>
      <c r="D510">
        <f>'KG1-3'!CX43</f>
        <v/>
      </c>
      <c r="E510">
        <f>'KG1-3'!CX40</f>
        <v/>
      </c>
      <c r="F510">
        <f>'KG1-3'!CX41</f>
        <v/>
      </c>
      <c r="G510">
        <f>'KG1-3'!CX42</f>
        <v/>
      </c>
    </row>
    <row r="511">
      <c r="A511">
        <f>'KG1-3'!$B$2</f>
        <v/>
      </c>
      <c r="B511" s="126" t="n">
        <v>46366</v>
      </c>
      <c r="C511">
        <f>'KG1-3'!CY44</f>
        <v/>
      </c>
      <c r="D511">
        <f>'KG1-3'!CY43</f>
        <v/>
      </c>
      <c r="E511">
        <f>'KG1-3'!CY40</f>
        <v/>
      </c>
      <c r="F511">
        <f>'KG1-3'!CY41</f>
        <v/>
      </c>
      <c r="G511">
        <f>'KG1-3'!CY42</f>
        <v/>
      </c>
    </row>
    <row r="512">
      <c r="A512">
        <f>'KG1-3'!$B$2</f>
        <v/>
      </c>
      <c r="B512" s="126" t="n">
        <v>46367</v>
      </c>
      <c r="C512">
        <f>'KG1-3'!CZ44</f>
        <v/>
      </c>
      <c r="D512">
        <f>'KG1-3'!CZ43</f>
        <v/>
      </c>
      <c r="E512">
        <f>'KG1-3'!CZ40</f>
        <v/>
      </c>
      <c r="F512">
        <f>'KG1-3'!CZ41</f>
        <v/>
      </c>
      <c r="G512">
        <f>'KG1-3'!CZ42</f>
        <v/>
      </c>
    </row>
    <row r="513">
      <c r="A513">
        <f>'KG1-3'!$B$2</f>
        <v/>
      </c>
      <c r="B513" s="126" t="n">
        <v>46370</v>
      </c>
      <c r="C513">
        <f>'KG1-3'!DA44</f>
        <v/>
      </c>
      <c r="D513">
        <f>'KG1-3'!DA43</f>
        <v/>
      </c>
      <c r="E513">
        <f>'KG1-3'!DA40</f>
        <v/>
      </c>
      <c r="F513">
        <f>'KG1-3'!DA41</f>
        <v/>
      </c>
      <c r="G513">
        <f>'KG1-3'!DA42</f>
        <v/>
      </c>
    </row>
    <row r="514">
      <c r="A514">
        <f>'KG1-3'!$B$2</f>
        <v/>
      </c>
      <c r="B514" s="126" t="n">
        <v>46371</v>
      </c>
      <c r="C514">
        <f>'KG1-3'!DB44</f>
        <v/>
      </c>
      <c r="D514">
        <f>'KG1-3'!DB43</f>
        <v/>
      </c>
      <c r="E514">
        <f>'KG1-3'!DB40</f>
        <v/>
      </c>
      <c r="F514">
        <f>'KG1-3'!DB41</f>
        <v/>
      </c>
      <c r="G514">
        <f>'KG1-3'!DB42</f>
        <v/>
      </c>
    </row>
    <row r="515">
      <c r="A515">
        <f>'KG1-3'!$B$2</f>
        <v/>
      </c>
      <c r="B515" s="126" t="n">
        <v>46372</v>
      </c>
      <c r="C515">
        <f>'KG1-3'!DC44</f>
        <v/>
      </c>
      <c r="D515">
        <f>'KG1-3'!DC43</f>
        <v/>
      </c>
      <c r="E515">
        <f>'KG1-3'!DC40</f>
        <v/>
      </c>
      <c r="F515">
        <f>'KG1-3'!DC41</f>
        <v/>
      </c>
      <c r="G515">
        <f>'KG1-3'!DC42</f>
        <v/>
      </c>
    </row>
    <row r="516">
      <c r="A516">
        <f>'KG1-3'!$B$2</f>
        <v/>
      </c>
      <c r="B516" s="126" t="n">
        <v>46373</v>
      </c>
      <c r="C516">
        <f>'KG1-3'!DD44</f>
        <v/>
      </c>
      <c r="D516">
        <f>'KG1-3'!DD43</f>
        <v/>
      </c>
      <c r="E516">
        <f>'KG1-3'!DD40</f>
        <v/>
      </c>
      <c r="F516">
        <f>'KG1-3'!DD41</f>
        <v/>
      </c>
      <c r="G516">
        <f>'KG1-3'!DD42</f>
        <v/>
      </c>
    </row>
    <row r="517">
      <c r="A517">
        <f>'KG1-3'!$B$2</f>
        <v/>
      </c>
      <c r="B517" s="126" t="n">
        <v>46374</v>
      </c>
      <c r="C517">
        <f>'KG1-3'!DE44</f>
        <v/>
      </c>
      <c r="D517">
        <f>'KG1-3'!DE43</f>
        <v/>
      </c>
      <c r="E517">
        <f>'KG1-3'!DE40</f>
        <v/>
      </c>
      <c r="F517">
        <f>'KG1-3'!DE41</f>
        <v/>
      </c>
      <c r="G517">
        <f>'KG1-3'!DE42</f>
        <v/>
      </c>
    </row>
    <row r="518">
      <c r="A518">
        <f>'KG1-3'!$B$2</f>
        <v/>
      </c>
      <c r="B518" s="126" t="n">
        <v>46377</v>
      </c>
      <c r="C518">
        <f>'KG1-3'!DF44</f>
        <v/>
      </c>
      <c r="D518">
        <f>'KG1-3'!DF43</f>
        <v/>
      </c>
      <c r="E518">
        <f>'KG1-3'!DF40</f>
        <v/>
      </c>
      <c r="F518">
        <f>'KG1-3'!DF41</f>
        <v/>
      </c>
      <c r="G518">
        <f>'KG1-3'!DF42</f>
        <v/>
      </c>
    </row>
    <row r="519">
      <c r="A519">
        <f>'KG1-3'!$B$2</f>
        <v/>
      </c>
      <c r="B519" s="126" t="n">
        <v>46378</v>
      </c>
      <c r="C519">
        <f>'KG1-3'!DG44</f>
        <v/>
      </c>
      <c r="D519">
        <f>'KG1-3'!DG43</f>
        <v/>
      </c>
      <c r="E519">
        <f>'KG1-3'!DG40</f>
        <v/>
      </c>
      <c r="F519">
        <f>'KG1-3'!DG41</f>
        <v/>
      </c>
      <c r="G519">
        <f>'KG1-3'!DG42</f>
        <v/>
      </c>
    </row>
    <row r="520">
      <c r="A520">
        <f>'KG1-3'!$B$2</f>
        <v/>
      </c>
      <c r="B520" s="126" t="n">
        <v>46379</v>
      </c>
      <c r="C520">
        <f>'KG1-3'!DH44</f>
        <v/>
      </c>
      <c r="D520">
        <f>'KG1-3'!DH43</f>
        <v/>
      </c>
      <c r="E520">
        <f>'KG1-3'!DH40</f>
        <v/>
      </c>
      <c r="F520">
        <f>'KG1-3'!DH41</f>
        <v/>
      </c>
      <c r="G520">
        <f>'KG1-3'!DH42</f>
        <v/>
      </c>
    </row>
    <row r="521">
      <c r="A521">
        <f>'KG1-3'!$B$2</f>
        <v/>
      </c>
      <c r="B521" s="126" t="n">
        <v>46380</v>
      </c>
      <c r="C521">
        <f>'KG1-3'!DI44</f>
        <v/>
      </c>
      <c r="D521">
        <f>'KG1-3'!DI43</f>
        <v/>
      </c>
      <c r="E521">
        <f>'KG1-3'!DI40</f>
        <v/>
      </c>
      <c r="F521">
        <f>'KG1-3'!DI41</f>
        <v/>
      </c>
      <c r="G521">
        <f>'KG1-3'!DI42</f>
        <v/>
      </c>
    </row>
    <row r="522">
      <c r="A522">
        <f>'KG1-3'!$B$2</f>
        <v/>
      </c>
      <c r="B522" s="126" t="n">
        <v>46381</v>
      </c>
      <c r="C522">
        <f>'KG1-3'!DJ44</f>
        <v/>
      </c>
      <c r="D522">
        <f>'KG1-3'!DJ43</f>
        <v/>
      </c>
      <c r="E522">
        <f>'KG1-3'!DJ40</f>
        <v/>
      </c>
      <c r="F522">
        <f>'KG1-3'!DJ41</f>
        <v/>
      </c>
      <c r="G522">
        <f>'KG1-3'!DJ42</f>
        <v/>
      </c>
    </row>
    <row r="523">
      <c r="A523">
        <f>'KG1-3'!$B$2</f>
        <v/>
      </c>
      <c r="B523" s="126" t="n">
        <v>46384</v>
      </c>
      <c r="C523">
        <f>'KG1-3'!DK44</f>
        <v/>
      </c>
      <c r="D523">
        <f>'KG1-3'!DK43</f>
        <v/>
      </c>
      <c r="E523">
        <f>'KG1-3'!DK40</f>
        <v/>
      </c>
      <c r="F523">
        <f>'KG1-3'!DK41</f>
        <v/>
      </c>
      <c r="G523">
        <f>'KG1-3'!DK42</f>
        <v/>
      </c>
    </row>
    <row r="524">
      <c r="A524">
        <f>'KG1-3'!$B$2</f>
        <v/>
      </c>
      <c r="B524" s="126" t="n">
        <v>46385</v>
      </c>
      <c r="C524">
        <f>'KG1-3'!DL44</f>
        <v/>
      </c>
      <c r="D524">
        <f>'KG1-3'!DL43</f>
        <v/>
      </c>
      <c r="E524">
        <f>'KG1-3'!DL40</f>
        <v/>
      </c>
      <c r="F524">
        <f>'KG1-3'!DL41</f>
        <v/>
      </c>
      <c r="G524">
        <f>'KG1-3'!DL42</f>
        <v/>
      </c>
    </row>
    <row r="525">
      <c r="A525">
        <f>'KG1-3'!$B$2</f>
        <v/>
      </c>
      <c r="B525" s="126" t="n">
        <v>46386</v>
      </c>
      <c r="C525">
        <f>'KG1-3'!DM44</f>
        <v/>
      </c>
      <c r="D525">
        <f>'KG1-3'!DM43</f>
        <v/>
      </c>
      <c r="E525">
        <f>'KG1-3'!DM40</f>
        <v/>
      </c>
      <c r="F525">
        <f>'KG1-3'!DM41</f>
        <v/>
      </c>
      <c r="G525">
        <f>'KG1-3'!DM42</f>
        <v/>
      </c>
    </row>
    <row r="526">
      <c r="A526">
        <f>'KG1-3'!$B$2</f>
        <v/>
      </c>
      <c r="B526" s="126" t="n">
        <v>46387</v>
      </c>
      <c r="C526">
        <f>'KG1-3'!DN44</f>
        <v/>
      </c>
      <c r="D526">
        <f>'KG1-3'!DN43</f>
        <v/>
      </c>
      <c r="E526">
        <f>'KG1-3'!DN40</f>
        <v/>
      </c>
      <c r="F526">
        <f>'KG1-3'!DN41</f>
        <v/>
      </c>
      <c r="G526">
        <f>'KG1-3'!DN42</f>
        <v/>
      </c>
    </row>
    <row r="527">
      <c r="A527">
        <f>'KG1-3'!$B$2</f>
        <v/>
      </c>
      <c r="B527" s="126" t="n">
        <v>46388</v>
      </c>
      <c r="C527">
        <f>'KG1-3'!DO44</f>
        <v/>
      </c>
      <c r="D527">
        <f>'KG1-3'!DO43</f>
        <v/>
      </c>
      <c r="E527">
        <f>'KG1-3'!DO40</f>
        <v/>
      </c>
      <c r="F527">
        <f>'KG1-3'!DO41</f>
        <v/>
      </c>
      <c r="G527">
        <f>'KG1-3'!DO42</f>
        <v/>
      </c>
    </row>
    <row r="528">
      <c r="A528">
        <f>'KG1-3'!$B$2</f>
        <v/>
      </c>
      <c r="B528" s="126" t="n">
        <v>46391</v>
      </c>
      <c r="C528">
        <f>'KG1-3'!DP44</f>
        <v/>
      </c>
      <c r="D528">
        <f>'KG1-3'!DP43</f>
        <v/>
      </c>
      <c r="E528">
        <f>'KG1-3'!DP40</f>
        <v/>
      </c>
      <c r="F528">
        <f>'KG1-3'!DP41</f>
        <v/>
      </c>
      <c r="G528">
        <f>'KG1-3'!DP42</f>
        <v/>
      </c>
    </row>
    <row r="529">
      <c r="A529">
        <f>'KG1-3'!$B$2</f>
        <v/>
      </c>
      <c r="B529" s="126" t="n">
        <v>46392</v>
      </c>
      <c r="C529">
        <f>'KG1-3'!DQ44</f>
        <v/>
      </c>
      <c r="D529">
        <f>'KG1-3'!DQ43</f>
        <v/>
      </c>
      <c r="E529">
        <f>'KG1-3'!DQ40</f>
        <v/>
      </c>
      <c r="F529">
        <f>'KG1-3'!DQ41</f>
        <v/>
      </c>
      <c r="G529">
        <f>'KG1-3'!DQ42</f>
        <v/>
      </c>
    </row>
    <row r="530">
      <c r="A530">
        <f>'KG1-3'!$B$2</f>
        <v/>
      </c>
      <c r="B530" s="126" t="n">
        <v>46393</v>
      </c>
      <c r="C530">
        <f>'KG1-3'!DR44</f>
        <v/>
      </c>
      <c r="D530">
        <f>'KG1-3'!DR43</f>
        <v/>
      </c>
      <c r="E530">
        <f>'KG1-3'!DR40</f>
        <v/>
      </c>
      <c r="F530">
        <f>'KG1-3'!DR41</f>
        <v/>
      </c>
      <c r="G530">
        <f>'KG1-3'!DR42</f>
        <v/>
      </c>
    </row>
    <row r="531">
      <c r="A531">
        <f>'KG1-3'!$B$2</f>
        <v/>
      </c>
      <c r="B531" s="126" t="n">
        <v>46394</v>
      </c>
      <c r="C531">
        <f>'KG1-3'!DS44</f>
        <v/>
      </c>
      <c r="D531">
        <f>'KG1-3'!DS43</f>
        <v/>
      </c>
      <c r="E531">
        <f>'KG1-3'!DS40</f>
        <v/>
      </c>
      <c r="F531">
        <f>'KG1-3'!DS41</f>
        <v/>
      </c>
      <c r="G531">
        <f>'KG1-3'!DS42</f>
        <v/>
      </c>
    </row>
    <row r="532">
      <c r="A532">
        <f>'KG1-3'!$B$2</f>
        <v/>
      </c>
      <c r="B532" s="126" t="n">
        <v>46395</v>
      </c>
      <c r="C532">
        <f>'KG1-3'!DT44</f>
        <v/>
      </c>
      <c r="D532">
        <f>'KG1-3'!DT43</f>
        <v/>
      </c>
      <c r="E532">
        <f>'KG1-3'!DT40</f>
        <v/>
      </c>
      <c r="F532">
        <f>'KG1-3'!DT41</f>
        <v/>
      </c>
      <c r="G532">
        <f>'KG1-3'!DT42</f>
        <v/>
      </c>
    </row>
    <row r="533">
      <c r="A533">
        <f>'KG1-3'!$B$2</f>
        <v/>
      </c>
      <c r="B533" s="126" t="n">
        <v>46398</v>
      </c>
      <c r="C533">
        <f>'KG1-3'!DU44</f>
        <v/>
      </c>
      <c r="D533">
        <f>'KG1-3'!DU43</f>
        <v/>
      </c>
      <c r="E533">
        <f>'KG1-3'!DU40</f>
        <v/>
      </c>
      <c r="F533">
        <f>'KG1-3'!DU41</f>
        <v/>
      </c>
      <c r="G533">
        <f>'KG1-3'!DU42</f>
        <v/>
      </c>
    </row>
    <row r="534">
      <c r="A534">
        <f>'KG1-3'!$B$2</f>
        <v/>
      </c>
      <c r="B534" s="126" t="n">
        <v>46399</v>
      </c>
      <c r="C534">
        <f>'KG1-3'!DV44</f>
        <v/>
      </c>
      <c r="D534">
        <f>'KG1-3'!DV43</f>
        <v/>
      </c>
      <c r="E534">
        <f>'KG1-3'!DV40</f>
        <v/>
      </c>
      <c r="F534">
        <f>'KG1-3'!DV41</f>
        <v/>
      </c>
      <c r="G534">
        <f>'KG1-3'!DV42</f>
        <v/>
      </c>
    </row>
    <row r="535">
      <c r="A535">
        <f>'KG1-3'!$B$2</f>
        <v/>
      </c>
      <c r="B535" s="126" t="n">
        <v>46400</v>
      </c>
      <c r="C535">
        <f>'KG1-3'!DW44</f>
        <v/>
      </c>
      <c r="D535">
        <f>'KG1-3'!DW43</f>
        <v/>
      </c>
      <c r="E535">
        <f>'KG1-3'!DW40</f>
        <v/>
      </c>
      <c r="F535">
        <f>'KG1-3'!DW41</f>
        <v/>
      </c>
      <c r="G535">
        <f>'KG1-3'!DW42</f>
        <v/>
      </c>
    </row>
    <row r="536">
      <c r="A536">
        <f>'KG1-3'!$B$2</f>
        <v/>
      </c>
      <c r="B536" s="126" t="n">
        <v>46401</v>
      </c>
      <c r="C536">
        <f>'KG1-3'!DX44</f>
        <v/>
      </c>
      <c r="D536">
        <f>'KG1-3'!DX43</f>
        <v/>
      </c>
      <c r="E536">
        <f>'KG1-3'!DX40</f>
        <v/>
      </c>
      <c r="F536">
        <f>'KG1-3'!DX41</f>
        <v/>
      </c>
      <c r="G536">
        <f>'KG1-3'!DX42</f>
        <v/>
      </c>
    </row>
    <row r="537">
      <c r="A537">
        <f>'KG1-3'!$B$2</f>
        <v/>
      </c>
      <c r="B537" s="126" t="n">
        <v>46402</v>
      </c>
      <c r="C537">
        <f>'KG1-3'!DY44</f>
        <v/>
      </c>
      <c r="D537">
        <f>'KG1-3'!DY43</f>
        <v/>
      </c>
      <c r="E537">
        <f>'KG1-3'!DY40</f>
        <v/>
      </c>
      <c r="F537">
        <f>'KG1-3'!DY41</f>
        <v/>
      </c>
      <c r="G537">
        <f>'KG1-3'!DY42</f>
        <v/>
      </c>
    </row>
    <row r="538">
      <c r="A538">
        <f>'KG1-3'!$B$2</f>
        <v/>
      </c>
      <c r="B538" s="126" t="n">
        <v>46405</v>
      </c>
      <c r="C538">
        <f>'KG1-3'!DZ44</f>
        <v/>
      </c>
      <c r="D538">
        <f>'KG1-3'!DZ43</f>
        <v/>
      </c>
      <c r="E538">
        <f>'KG1-3'!DZ40</f>
        <v/>
      </c>
      <c r="F538">
        <f>'KG1-3'!DZ41</f>
        <v/>
      </c>
      <c r="G538">
        <f>'KG1-3'!DZ42</f>
        <v/>
      </c>
    </row>
    <row r="539">
      <c r="A539">
        <f>'KG1-3'!$B$2</f>
        <v/>
      </c>
      <c r="B539" s="126" t="n">
        <v>46406</v>
      </c>
      <c r="C539">
        <f>'KG1-3'!EA44</f>
        <v/>
      </c>
      <c r="D539">
        <f>'KG1-3'!EA43</f>
        <v/>
      </c>
      <c r="E539">
        <f>'KG1-3'!EA40</f>
        <v/>
      </c>
      <c r="F539">
        <f>'KG1-3'!EA41</f>
        <v/>
      </c>
      <c r="G539">
        <f>'KG1-3'!EA42</f>
        <v/>
      </c>
    </row>
    <row r="540">
      <c r="A540">
        <f>'KG1-3'!$B$2</f>
        <v/>
      </c>
      <c r="B540" s="126" t="n">
        <v>46407</v>
      </c>
      <c r="C540">
        <f>'KG1-3'!EB44</f>
        <v/>
      </c>
      <c r="D540">
        <f>'KG1-3'!EB43</f>
        <v/>
      </c>
      <c r="E540">
        <f>'KG1-3'!EB40</f>
        <v/>
      </c>
      <c r="F540">
        <f>'KG1-3'!EB41</f>
        <v/>
      </c>
      <c r="G540">
        <f>'KG1-3'!EB42</f>
        <v/>
      </c>
    </row>
    <row r="541">
      <c r="A541">
        <f>'KG1-3'!$B$2</f>
        <v/>
      </c>
      <c r="B541" s="126" t="n">
        <v>46408</v>
      </c>
      <c r="C541">
        <f>'KG1-3'!EC44</f>
        <v/>
      </c>
      <c r="D541">
        <f>'KG1-3'!EC43</f>
        <v/>
      </c>
      <c r="E541">
        <f>'KG1-3'!EC40</f>
        <v/>
      </c>
      <c r="F541">
        <f>'KG1-3'!EC41</f>
        <v/>
      </c>
      <c r="G541">
        <f>'KG1-3'!EC42</f>
        <v/>
      </c>
    </row>
    <row r="542">
      <c r="A542">
        <f>'KG1-3'!$B$2</f>
        <v/>
      </c>
      <c r="B542" s="126" t="n">
        <v>46409</v>
      </c>
      <c r="C542">
        <f>'KG1-3'!ED44</f>
        <v/>
      </c>
      <c r="D542">
        <f>'KG1-3'!ED43</f>
        <v/>
      </c>
      <c r="E542">
        <f>'KG1-3'!ED40</f>
        <v/>
      </c>
      <c r="F542">
        <f>'KG1-3'!ED41</f>
        <v/>
      </c>
      <c r="G542">
        <f>'KG1-3'!ED42</f>
        <v/>
      </c>
    </row>
    <row r="543">
      <c r="A543">
        <f>'KG1-3'!$B$2</f>
        <v/>
      </c>
      <c r="B543" s="126" t="n">
        <v>46412</v>
      </c>
      <c r="C543">
        <f>'KG1-3'!EE44</f>
        <v/>
      </c>
      <c r="D543">
        <f>'KG1-3'!EE43</f>
        <v/>
      </c>
      <c r="E543">
        <f>'KG1-3'!EE40</f>
        <v/>
      </c>
      <c r="F543">
        <f>'KG1-3'!EE41</f>
        <v/>
      </c>
      <c r="G543">
        <f>'KG1-3'!EE42</f>
        <v/>
      </c>
    </row>
    <row r="544">
      <c r="A544">
        <f>'KG1-3'!$B$2</f>
        <v/>
      </c>
      <c r="B544" s="126" t="n">
        <v>46413</v>
      </c>
      <c r="C544">
        <f>'KG1-3'!EF44</f>
        <v/>
      </c>
      <c r="D544">
        <f>'KG1-3'!EF43</f>
        <v/>
      </c>
      <c r="E544">
        <f>'KG1-3'!EF40</f>
        <v/>
      </c>
      <c r="F544">
        <f>'KG1-3'!EF41</f>
        <v/>
      </c>
      <c r="G544">
        <f>'KG1-3'!EF42</f>
        <v/>
      </c>
    </row>
    <row r="545">
      <c r="A545">
        <f>'KG1-3'!$B$2</f>
        <v/>
      </c>
      <c r="B545" s="126" t="n">
        <v>46414</v>
      </c>
      <c r="C545">
        <f>'KG1-3'!EG44</f>
        <v/>
      </c>
      <c r="D545">
        <f>'KG1-3'!EG43</f>
        <v/>
      </c>
      <c r="E545">
        <f>'KG1-3'!EG40</f>
        <v/>
      </c>
      <c r="F545">
        <f>'KG1-3'!EG41</f>
        <v/>
      </c>
      <c r="G545">
        <f>'KG1-3'!EG42</f>
        <v/>
      </c>
    </row>
    <row r="546">
      <c r="A546">
        <f>'KG1-3'!$B$2</f>
        <v/>
      </c>
      <c r="B546" s="126" t="n">
        <v>46415</v>
      </c>
      <c r="C546">
        <f>'KG1-3'!EH44</f>
        <v/>
      </c>
      <c r="D546">
        <f>'KG1-3'!EH43</f>
        <v/>
      </c>
      <c r="E546">
        <f>'KG1-3'!EH40</f>
        <v/>
      </c>
      <c r="F546">
        <f>'KG1-3'!EH41</f>
        <v/>
      </c>
      <c r="G546">
        <f>'KG1-3'!EH42</f>
        <v/>
      </c>
    </row>
    <row r="547">
      <c r="A547">
        <f>'KG1-3'!$B$2</f>
        <v/>
      </c>
      <c r="B547" s="126" t="n">
        <v>46416</v>
      </c>
      <c r="C547">
        <f>'KG1-3'!EI44</f>
        <v/>
      </c>
      <c r="D547">
        <f>'KG1-3'!EI43</f>
        <v/>
      </c>
      <c r="E547">
        <f>'KG1-3'!EI40</f>
        <v/>
      </c>
      <c r="F547">
        <f>'KG1-3'!EI41</f>
        <v/>
      </c>
      <c r="G547">
        <f>'KG1-3'!EI42</f>
        <v/>
      </c>
    </row>
    <row r="548">
      <c r="A548">
        <f>'KG1-3'!$B$2</f>
        <v/>
      </c>
      <c r="B548" s="126" t="n">
        <v>46419</v>
      </c>
      <c r="C548">
        <f>'KG1-3'!EJ44</f>
        <v/>
      </c>
      <c r="D548">
        <f>'KG1-3'!EJ43</f>
        <v/>
      </c>
      <c r="E548">
        <f>'KG1-3'!EJ40</f>
        <v/>
      </c>
      <c r="F548">
        <f>'KG1-3'!EJ41</f>
        <v/>
      </c>
      <c r="G548">
        <f>'KG1-3'!EJ42</f>
        <v/>
      </c>
    </row>
    <row r="549">
      <c r="A549">
        <f>'KG1-3'!$B$2</f>
        <v/>
      </c>
      <c r="B549" s="126" t="n">
        <v>46420</v>
      </c>
      <c r="C549">
        <f>'KG1-3'!EK44</f>
        <v/>
      </c>
      <c r="D549">
        <f>'KG1-3'!EK43</f>
        <v/>
      </c>
      <c r="E549">
        <f>'KG1-3'!EK40</f>
        <v/>
      </c>
      <c r="F549">
        <f>'KG1-3'!EK41</f>
        <v/>
      </c>
      <c r="G549">
        <f>'KG1-3'!EK42</f>
        <v/>
      </c>
    </row>
    <row r="550">
      <c r="A550">
        <f>'KG1-3'!$B$2</f>
        <v/>
      </c>
      <c r="B550" s="126" t="n">
        <v>46421</v>
      </c>
      <c r="C550">
        <f>'KG1-3'!EL44</f>
        <v/>
      </c>
      <c r="D550">
        <f>'KG1-3'!EL43</f>
        <v/>
      </c>
      <c r="E550">
        <f>'KG1-3'!EL40</f>
        <v/>
      </c>
      <c r="F550">
        <f>'KG1-3'!EL41</f>
        <v/>
      </c>
      <c r="G550">
        <f>'KG1-3'!EL42</f>
        <v/>
      </c>
    </row>
    <row r="551">
      <c r="A551">
        <f>'KG1-3'!$B$2</f>
        <v/>
      </c>
      <c r="B551" s="126" t="n">
        <v>46422</v>
      </c>
      <c r="C551">
        <f>'KG1-3'!EM44</f>
        <v/>
      </c>
      <c r="D551">
        <f>'KG1-3'!EM43</f>
        <v/>
      </c>
      <c r="E551">
        <f>'KG1-3'!EM40</f>
        <v/>
      </c>
      <c r="F551">
        <f>'KG1-3'!EM41</f>
        <v/>
      </c>
      <c r="G551">
        <f>'KG1-3'!EM42</f>
        <v/>
      </c>
    </row>
    <row r="552">
      <c r="A552">
        <f>'KG1-3'!$B$2</f>
        <v/>
      </c>
      <c r="B552" s="126" t="n">
        <v>46423</v>
      </c>
      <c r="C552">
        <f>'KG1-3'!EN44</f>
        <v/>
      </c>
      <c r="D552">
        <f>'KG1-3'!EN43</f>
        <v/>
      </c>
      <c r="E552">
        <f>'KG1-3'!EN40</f>
        <v/>
      </c>
      <c r="F552">
        <f>'KG1-3'!EN41</f>
        <v/>
      </c>
      <c r="G552">
        <f>'KG1-3'!EN42</f>
        <v/>
      </c>
    </row>
    <row r="553">
      <c r="A553">
        <f>'KG1-3'!$B$2</f>
        <v/>
      </c>
      <c r="B553" s="126" t="n">
        <v>46426</v>
      </c>
      <c r="C553">
        <f>'KG1-3'!EO44</f>
        <v/>
      </c>
      <c r="D553">
        <f>'KG1-3'!EO43</f>
        <v/>
      </c>
      <c r="E553">
        <f>'KG1-3'!EO40</f>
        <v/>
      </c>
      <c r="F553">
        <f>'KG1-3'!EO41</f>
        <v/>
      </c>
      <c r="G553">
        <f>'KG1-3'!EO42</f>
        <v/>
      </c>
    </row>
    <row r="554">
      <c r="A554">
        <f>'KG1-3'!$B$2</f>
        <v/>
      </c>
      <c r="B554" s="126" t="n">
        <v>46427</v>
      </c>
      <c r="C554">
        <f>'KG1-3'!EP44</f>
        <v/>
      </c>
      <c r="D554">
        <f>'KG1-3'!EP43</f>
        <v/>
      </c>
      <c r="E554">
        <f>'KG1-3'!EP40</f>
        <v/>
      </c>
      <c r="F554">
        <f>'KG1-3'!EP41</f>
        <v/>
      </c>
      <c r="G554">
        <f>'KG1-3'!EP42</f>
        <v/>
      </c>
    </row>
    <row r="555">
      <c r="A555">
        <f>'KG1-3'!$B$2</f>
        <v/>
      </c>
      <c r="B555" s="126" t="n">
        <v>46428</v>
      </c>
      <c r="C555">
        <f>'KG1-3'!EQ44</f>
        <v/>
      </c>
      <c r="D555">
        <f>'KG1-3'!EQ43</f>
        <v/>
      </c>
      <c r="E555">
        <f>'KG1-3'!EQ40</f>
        <v/>
      </c>
      <c r="F555">
        <f>'KG1-3'!EQ41</f>
        <v/>
      </c>
      <c r="G555">
        <f>'KG1-3'!EQ42</f>
        <v/>
      </c>
    </row>
    <row r="556">
      <c r="A556">
        <f>'KG1-3'!$B$2</f>
        <v/>
      </c>
      <c r="B556" s="126" t="n">
        <v>46429</v>
      </c>
      <c r="C556">
        <f>'KG1-3'!ER44</f>
        <v/>
      </c>
      <c r="D556">
        <f>'KG1-3'!ER43</f>
        <v/>
      </c>
      <c r="E556">
        <f>'KG1-3'!ER40</f>
        <v/>
      </c>
      <c r="F556">
        <f>'KG1-3'!ER41</f>
        <v/>
      </c>
      <c r="G556">
        <f>'KG1-3'!ER42</f>
        <v/>
      </c>
    </row>
    <row r="557">
      <c r="A557">
        <f>'KG1-3'!$B$2</f>
        <v/>
      </c>
      <c r="B557" s="126" t="n">
        <v>46430</v>
      </c>
      <c r="C557">
        <f>'KG1-3'!ES44</f>
        <v/>
      </c>
      <c r="D557">
        <f>'KG1-3'!ES43</f>
        <v/>
      </c>
      <c r="E557">
        <f>'KG1-3'!ES40</f>
        <v/>
      </c>
      <c r="F557">
        <f>'KG1-3'!ES41</f>
        <v/>
      </c>
      <c r="G557">
        <f>'KG1-3'!ES42</f>
        <v/>
      </c>
    </row>
    <row r="558">
      <c r="A558">
        <f>'KG1-3'!$B$2</f>
        <v/>
      </c>
      <c r="B558" s="126" t="n">
        <v>46433</v>
      </c>
      <c r="C558">
        <f>'KG1-3'!ET44</f>
        <v/>
      </c>
      <c r="D558">
        <f>'KG1-3'!ET43</f>
        <v/>
      </c>
      <c r="E558">
        <f>'KG1-3'!ET40</f>
        <v/>
      </c>
      <c r="F558">
        <f>'KG1-3'!ET41</f>
        <v/>
      </c>
      <c r="G558">
        <f>'KG1-3'!ET42</f>
        <v/>
      </c>
    </row>
    <row r="559">
      <c r="A559">
        <f>'KG1-3'!$B$2</f>
        <v/>
      </c>
      <c r="B559" s="126" t="n">
        <v>46434</v>
      </c>
      <c r="C559">
        <f>'KG1-3'!EU44</f>
        <v/>
      </c>
      <c r="D559">
        <f>'KG1-3'!EU43</f>
        <v/>
      </c>
      <c r="E559">
        <f>'KG1-3'!EU40</f>
        <v/>
      </c>
      <c r="F559">
        <f>'KG1-3'!EU41</f>
        <v/>
      </c>
      <c r="G559">
        <f>'KG1-3'!EU42</f>
        <v/>
      </c>
    </row>
    <row r="560">
      <c r="A560">
        <f>'KG1-3'!$B$2</f>
        <v/>
      </c>
      <c r="B560" s="126" t="n">
        <v>46435</v>
      </c>
      <c r="C560">
        <f>'KG1-3'!EV44</f>
        <v/>
      </c>
      <c r="D560">
        <f>'KG1-3'!EV43</f>
        <v/>
      </c>
      <c r="E560">
        <f>'KG1-3'!EV40</f>
        <v/>
      </c>
      <c r="F560">
        <f>'KG1-3'!EV41</f>
        <v/>
      </c>
      <c r="G560">
        <f>'KG1-3'!EV42</f>
        <v/>
      </c>
    </row>
    <row r="561">
      <c r="A561">
        <f>'KG1-3'!$B$2</f>
        <v/>
      </c>
      <c r="B561" s="126" t="n">
        <v>46436</v>
      </c>
      <c r="C561">
        <f>'KG1-3'!EW44</f>
        <v/>
      </c>
      <c r="D561">
        <f>'KG1-3'!EW43</f>
        <v/>
      </c>
      <c r="E561">
        <f>'KG1-3'!EW40</f>
        <v/>
      </c>
      <c r="F561">
        <f>'KG1-3'!EW41</f>
        <v/>
      </c>
      <c r="G561">
        <f>'KG1-3'!EW42</f>
        <v/>
      </c>
    </row>
    <row r="562">
      <c r="A562">
        <f>'KG1-3'!$B$2</f>
        <v/>
      </c>
      <c r="B562" s="126" t="n">
        <v>46437</v>
      </c>
      <c r="C562">
        <f>'KG1-3'!EX44</f>
        <v/>
      </c>
      <c r="D562">
        <f>'KG1-3'!EX43</f>
        <v/>
      </c>
      <c r="E562">
        <f>'KG1-3'!EX40</f>
        <v/>
      </c>
      <c r="F562">
        <f>'KG1-3'!EX41</f>
        <v/>
      </c>
      <c r="G562">
        <f>'KG1-3'!EX42</f>
        <v/>
      </c>
    </row>
    <row r="563">
      <c r="A563">
        <f>'KG1-3'!$B$2</f>
        <v/>
      </c>
      <c r="B563" s="126" t="n">
        <v>46440</v>
      </c>
      <c r="C563">
        <f>'KG1-3'!EY44</f>
        <v/>
      </c>
      <c r="D563">
        <f>'KG1-3'!EY43</f>
        <v/>
      </c>
      <c r="E563">
        <f>'KG1-3'!EY40</f>
        <v/>
      </c>
      <c r="F563">
        <f>'KG1-3'!EY41</f>
        <v/>
      </c>
      <c r="G563">
        <f>'KG1-3'!EY42</f>
        <v/>
      </c>
    </row>
    <row r="564">
      <c r="A564">
        <f>'KG1-3'!$B$2</f>
        <v/>
      </c>
      <c r="B564" s="126" t="n">
        <v>46441</v>
      </c>
      <c r="C564">
        <f>'KG1-3'!EZ44</f>
        <v/>
      </c>
      <c r="D564">
        <f>'KG1-3'!EZ43</f>
        <v/>
      </c>
      <c r="E564">
        <f>'KG1-3'!EZ40</f>
        <v/>
      </c>
      <c r="F564">
        <f>'KG1-3'!EZ41</f>
        <v/>
      </c>
      <c r="G564">
        <f>'KG1-3'!EZ42</f>
        <v/>
      </c>
    </row>
    <row r="565">
      <c r="A565">
        <f>'KG1-3'!$B$2</f>
        <v/>
      </c>
      <c r="B565" s="126" t="n">
        <v>46442</v>
      </c>
      <c r="C565">
        <f>'KG1-3'!FA44</f>
        <v/>
      </c>
      <c r="D565">
        <f>'KG1-3'!FA43</f>
        <v/>
      </c>
      <c r="E565">
        <f>'KG1-3'!FA40</f>
        <v/>
      </c>
      <c r="F565">
        <f>'KG1-3'!FA41</f>
        <v/>
      </c>
      <c r="G565">
        <f>'KG1-3'!FA42</f>
        <v/>
      </c>
    </row>
    <row r="566">
      <c r="A566">
        <f>'KG1-3'!$B$2</f>
        <v/>
      </c>
      <c r="B566" s="126" t="n">
        <v>46443</v>
      </c>
      <c r="C566">
        <f>'KG1-3'!FB44</f>
        <v/>
      </c>
      <c r="D566">
        <f>'KG1-3'!FB43</f>
        <v/>
      </c>
      <c r="E566">
        <f>'KG1-3'!FB40</f>
        <v/>
      </c>
      <c r="F566">
        <f>'KG1-3'!FB41</f>
        <v/>
      </c>
      <c r="G566">
        <f>'KG1-3'!FB42</f>
        <v/>
      </c>
    </row>
    <row r="567">
      <c r="A567">
        <f>'KG1-3'!$B$2</f>
        <v/>
      </c>
      <c r="B567" s="126" t="n">
        <v>46444</v>
      </c>
      <c r="C567">
        <f>'KG1-3'!FC44</f>
        <v/>
      </c>
      <c r="D567">
        <f>'KG1-3'!FC43</f>
        <v/>
      </c>
      <c r="E567">
        <f>'KG1-3'!FC40</f>
        <v/>
      </c>
      <c r="F567">
        <f>'KG1-3'!FC41</f>
        <v/>
      </c>
      <c r="G567">
        <f>'KG1-3'!FC42</f>
        <v/>
      </c>
    </row>
    <row r="568">
      <c r="A568">
        <f>'KG1-3'!$B$2</f>
        <v/>
      </c>
      <c r="B568" s="126" t="n">
        <v>46447</v>
      </c>
      <c r="C568">
        <f>'KG1-3'!FD44</f>
        <v/>
      </c>
      <c r="D568">
        <f>'KG1-3'!FD43</f>
        <v/>
      </c>
      <c r="E568">
        <f>'KG1-3'!FD40</f>
        <v/>
      </c>
      <c r="F568">
        <f>'KG1-3'!FD41</f>
        <v/>
      </c>
      <c r="G568">
        <f>'KG1-3'!FD42</f>
        <v/>
      </c>
    </row>
    <row r="569">
      <c r="A569">
        <f>'KG1-3'!$B$2</f>
        <v/>
      </c>
      <c r="B569" s="126" t="n">
        <v>46448</v>
      </c>
      <c r="C569">
        <f>'KG1-3'!FE44</f>
        <v/>
      </c>
      <c r="D569">
        <f>'KG1-3'!FE43</f>
        <v/>
      </c>
      <c r="E569">
        <f>'KG1-3'!FE40</f>
        <v/>
      </c>
      <c r="F569">
        <f>'KG1-3'!FE41</f>
        <v/>
      </c>
      <c r="G569">
        <f>'KG1-3'!FE42</f>
        <v/>
      </c>
    </row>
    <row r="570">
      <c r="A570">
        <f>'KG1-3'!$B$2</f>
        <v/>
      </c>
      <c r="B570" s="126" t="n">
        <v>46449</v>
      </c>
      <c r="C570">
        <f>'KG1-3'!FF44</f>
        <v/>
      </c>
      <c r="D570">
        <f>'KG1-3'!FF43</f>
        <v/>
      </c>
      <c r="E570">
        <f>'KG1-3'!FF40</f>
        <v/>
      </c>
      <c r="F570">
        <f>'KG1-3'!FF41</f>
        <v/>
      </c>
      <c r="G570">
        <f>'KG1-3'!FF42</f>
        <v/>
      </c>
    </row>
    <row r="571">
      <c r="A571">
        <f>'KG1-3'!$B$2</f>
        <v/>
      </c>
      <c r="B571" s="126" t="n">
        <v>46450</v>
      </c>
      <c r="C571">
        <f>'KG1-3'!FG44</f>
        <v/>
      </c>
      <c r="D571">
        <f>'KG1-3'!FG43</f>
        <v/>
      </c>
      <c r="E571">
        <f>'KG1-3'!FG40</f>
        <v/>
      </c>
      <c r="F571">
        <f>'KG1-3'!FG41</f>
        <v/>
      </c>
      <c r="G571">
        <f>'KG1-3'!FG42</f>
        <v/>
      </c>
    </row>
    <row r="572">
      <c r="A572">
        <f>'KG1-3'!$B$2</f>
        <v/>
      </c>
      <c r="B572" s="126" t="n">
        <v>46451</v>
      </c>
      <c r="C572">
        <f>'KG1-3'!FH44</f>
        <v/>
      </c>
      <c r="D572">
        <f>'KG1-3'!FH43</f>
        <v/>
      </c>
      <c r="E572">
        <f>'KG1-3'!FH40</f>
        <v/>
      </c>
      <c r="F572">
        <f>'KG1-3'!FH41</f>
        <v/>
      </c>
      <c r="G572">
        <f>'KG1-3'!FH42</f>
        <v/>
      </c>
    </row>
    <row r="573">
      <c r="A573">
        <f>'KG1-3'!$B$2</f>
        <v/>
      </c>
      <c r="B573" s="126" t="n">
        <v>46454</v>
      </c>
      <c r="C573">
        <f>'KG1-3'!FI44</f>
        <v/>
      </c>
      <c r="D573">
        <f>'KG1-3'!FI43</f>
        <v/>
      </c>
      <c r="E573">
        <f>'KG1-3'!FI40</f>
        <v/>
      </c>
      <c r="F573">
        <f>'KG1-3'!FI41</f>
        <v/>
      </c>
      <c r="G573">
        <f>'KG1-3'!FI42</f>
        <v/>
      </c>
    </row>
    <row r="574">
      <c r="A574">
        <f>'KG1-3'!$B$2</f>
        <v/>
      </c>
      <c r="B574" s="126" t="n">
        <v>46455</v>
      </c>
      <c r="C574">
        <f>'KG1-3'!FJ44</f>
        <v/>
      </c>
      <c r="D574">
        <f>'KG1-3'!FJ43</f>
        <v/>
      </c>
      <c r="E574">
        <f>'KG1-3'!FJ40</f>
        <v/>
      </c>
      <c r="F574">
        <f>'KG1-3'!FJ41</f>
        <v/>
      </c>
      <c r="G574">
        <f>'KG1-3'!FJ42</f>
        <v/>
      </c>
    </row>
    <row r="575">
      <c r="A575">
        <f>'KG1-3'!$B$2</f>
        <v/>
      </c>
      <c r="B575" s="126" t="n">
        <v>46456</v>
      </c>
      <c r="C575">
        <f>'KG1-3'!FK44</f>
        <v/>
      </c>
      <c r="D575">
        <f>'KG1-3'!FK43</f>
        <v/>
      </c>
      <c r="E575">
        <f>'KG1-3'!FK40</f>
        <v/>
      </c>
      <c r="F575">
        <f>'KG1-3'!FK41</f>
        <v/>
      </c>
      <c r="G575">
        <f>'KG1-3'!FK42</f>
        <v/>
      </c>
    </row>
    <row r="576">
      <c r="A576">
        <f>'KG1-3'!$B$2</f>
        <v/>
      </c>
      <c r="B576" s="126" t="n">
        <v>46457</v>
      </c>
      <c r="C576">
        <f>'KG1-3'!FL44</f>
        <v/>
      </c>
      <c r="D576">
        <f>'KG1-3'!FL43</f>
        <v/>
      </c>
      <c r="E576">
        <f>'KG1-3'!FL40</f>
        <v/>
      </c>
      <c r="F576">
        <f>'KG1-3'!FL41</f>
        <v/>
      </c>
      <c r="G576">
        <f>'KG1-3'!FL42</f>
        <v/>
      </c>
    </row>
    <row r="577">
      <c r="A577">
        <f>'KG1-3'!$B$2</f>
        <v/>
      </c>
      <c r="B577" s="126" t="n">
        <v>46458</v>
      </c>
      <c r="C577">
        <f>'KG1-3'!FM44</f>
        <v/>
      </c>
      <c r="D577">
        <f>'KG1-3'!FM43</f>
        <v/>
      </c>
      <c r="E577">
        <f>'KG1-3'!FM40</f>
        <v/>
      </c>
      <c r="F577">
        <f>'KG1-3'!FM41</f>
        <v/>
      </c>
      <c r="G577">
        <f>'KG1-3'!FM42</f>
        <v/>
      </c>
    </row>
    <row r="578">
      <c r="A578">
        <f>'KG1-3'!$B$2</f>
        <v/>
      </c>
      <c r="B578" s="126" t="n">
        <v>46461</v>
      </c>
      <c r="C578">
        <f>'KG1-3'!FN44</f>
        <v/>
      </c>
      <c r="D578">
        <f>'KG1-3'!FN43</f>
        <v/>
      </c>
      <c r="E578">
        <f>'KG1-3'!FN40</f>
        <v/>
      </c>
      <c r="F578">
        <f>'KG1-3'!FN41</f>
        <v/>
      </c>
      <c r="G578">
        <f>'KG1-3'!FN42</f>
        <v/>
      </c>
    </row>
    <row r="579">
      <c r="A579">
        <f>'KG1-3'!$B$2</f>
        <v/>
      </c>
      <c r="B579" s="126" t="n">
        <v>46462</v>
      </c>
      <c r="C579">
        <f>'KG1-3'!FO44</f>
        <v/>
      </c>
      <c r="D579">
        <f>'KG1-3'!FO43</f>
        <v/>
      </c>
      <c r="E579">
        <f>'KG1-3'!FO40</f>
        <v/>
      </c>
      <c r="F579">
        <f>'KG1-3'!FO41</f>
        <v/>
      </c>
      <c r="G579">
        <f>'KG1-3'!FO42</f>
        <v/>
      </c>
    </row>
    <row r="580">
      <c r="A580">
        <f>'KG1-3'!$B$2</f>
        <v/>
      </c>
      <c r="B580" s="126" t="n">
        <v>46463</v>
      </c>
      <c r="C580">
        <f>'KG1-3'!FP44</f>
        <v/>
      </c>
      <c r="D580">
        <f>'KG1-3'!FP43</f>
        <v/>
      </c>
      <c r="E580">
        <f>'KG1-3'!FP40</f>
        <v/>
      </c>
      <c r="F580">
        <f>'KG1-3'!FP41</f>
        <v/>
      </c>
      <c r="G580">
        <f>'KG1-3'!FP42</f>
        <v/>
      </c>
    </row>
    <row r="581">
      <c r="A581">
        <f>'KG1-3'!$B$2</f>
        <v/>
      </c>
      <c r="B581" s="126" t="n">
        <v>46464</v>
      </c>
      <c r="C581">
        <f>'KG1-3'!FQ44</f>
        <v/>
      </c>
      <c r="D581">
        <f>'KG1-3'!FQ43</f>
        <v/>
      </c>
      <c r="E581">
        <f>'KG1-3'!FQ40</f>
        <v/>
      </c>
      <c r="F581">
        <f>'KG1-3'!FQ41</f>
        <v/>
      </c>
      <c r="G581">
        <f>'KG1-3'!FQ42</f>
        <v/>
      </c>
    </row>
    <row r="582">
      <c r="A582">
        <f>'KG1-3'!$B$2</f>
        <v/>
      </c>
      <c r="B582" s="126" t="n">
        <v>46465</v>
      </c>
      <c r="C582">
        <f>'KG1-3'!FR44</f>
        <v/>
      </c>
      <c r="D582">
        <f>'KG1-3'!FR43</f>
        <v/>
      </c>
      <c r="E582">
        <f>'KG1-3'!FR40</f>
        <v/>
      </c>
      <c r="F582">
        <f>'KG1-3'!FR41</f>
        <v/>
      </c>
      <c r="G582">
        <f>'KG1-3'!FR42</f>
        <v/>
      </c>
    </row>
    <row r="583">
      <c r="A583">
        <f>'KG1-3'!$B$2</f>
        <v/>
      </c>
      <c r="B583" s="126" t="n">
        <v>46468</v>
      </c>
      <c r="C583">
        <f>'KG1-3'!FS44</f>
        <v/>
      </c>
      <c r="D583">
        <f>'KG1-3'!FS43</f>
        <v/>
      </c>
      <c r="E583">
        <f>'KG1-3'!FS40</f>
        <v/>
      </c>
      <c r="F583">
        <f>'KG1-3'!FS41</f>
        <v/>
      </c>
      <c r="G583">
        <f>'KG1-3'!FS42</f>
        <v/>
      </c>
    </row>
    <row r="584">
      <c r="A584">
        <f>'KG1-3'!$B$2</f>
        <v/>
      </c>
      <c r="B584" s="126" t="n">
        <v>46469</v>
      </c>
      <c r="C584">
        <f>'KG1-3'!FT44</f>
        <v/>
      </c>
      <c r="D584">
        <f>'KG1-3'!FT43</f>
        <v/>
      </c>
      <c r="E584">
        <f>'KG1-3'!FT40</f>
        <v/>
      </c>
      <c r="F584">
        <f>'KG1-3'!FT41</f>
        <v/>
      </c>
      <c r="G584">
        <f>'KG1-3'!FT42</f>
        <v/>
      </c>
    </row>
    <row r="585">
      <c r="A585">
        <f>'KG1-3'!$B$2</f>
        <v/>
      </c>
      <c r="B585" s="126" t="n">
        <v>46470</v>
      </c>
      <c r="C585">
        <f>'KG1-3'!FU44</f>
        <v/>
      </c>
      <c r="D585">
        <f>'KG1-3'!FU43</f>
        <v/>
      </c>
      <c r="E585">
        <f>'KG1-3'!FU40</f>
        <v/>
      </c>
      <c r="F585">
        <f>'KG1-3'!FU41</f>
        <v/>
      </c>
      <c r="G585">
        <f>'KG1-3'!FU42</f>
        <v/>
      </c>
    </row>
    <row r="586">
      <c r="A586">
        <f>'KG1-3'!$B$2</f>
        <v/>
      </c>
      <c r="B586" s="126" t="n">
        <v>46471</v>
      </c>
      <c r="C586">
        <f>'KG1-3'!FV44</f>
        <v/>
      </c>
      <c r="D586">
        <f>'KG1-3'!FV43</f>
        <v/>
      </c>
      <c r="E586">
        <f>'KG1-3'!FV40</f>
        <v/>
      </c>
      <c r="F586">
        <f>'KG1-3'!FV41</f>
        <v/>
      </c>
      <c r="G586">
        <f>'KG1-3'!FV42</f>
        <v/>
      </c>
    </row>
    <row r="587">
      <c r="A587">
        <f>'KG1-3'!$B$2</f>
        <v/>
      </c>
      <c r="B587" s="126" t="n">
        <v>46472</v>
      </c>
      <c r="C587">
        <f>'KG1-3'!FW44</f>
        <v/>
      </c>
      <c r="D587">
        <f>'KG1-3'!FW43</f>
        <v/>
      </c>
      <c r="E587">
        <f>'KG1-3'!FW40</f>
        <v/>
      </c>
      <c r="F587">
        <f>'KG1-3'!FW41</f>
        <v/>
      </c>
      <c r="G587">
        <f>'KG1-3'!FW42</f>
        <v/>
      </c>
    </row>
    <row r="588">
      <c r="A588">
        <f>'KG1-3'!$B$2</f>
        <v/>
      </c>
      <c r="B588" s="126" t="n">
        <v>46475</v>
      </c>
      <c r="C588">
        <f>'KG1-3'!FX44</f>
        <v/>
      </c>
      <c r="D588">
        <f>'KG1-3'!FX43</f>
        <v/>
      </c>
      <c r="E588">
        <f>'KG1-3'!FX40</f>
        <v/>
      </c>
      <c r="F588">
        <f>'KG1-3'!FX41</f>
        <v/>
      </c>
      <c r="G588">
        <f>'KG1-3'!FX42</f>
        <v/>
      </c>
    </row>
    <row r="589">
      <c r="A589">
        <f>'KG1-3'!$B$2</f>
        <v/>
      </c>
      <c r="B589" s="126" t="n">
        <v>46476</v>
      </c>
      <c r="C589">
        <f>'KG1-3'!FY44</f>
        <v/>
      </c>
      <c r="D589">
        <f>'KG1-3'!FY43</f>
        <v/>
      </c>
      <c r="E589">
        <f>'KG1-3'!FY40</f>
        <v/>
      </c>
      <c r="F589">
        <f>'KG1-3'!FY41</f>
        <v/>
      </c>
      <c r="G589">
        <f>'KG1-3'!FY42</f>
        <v/>
      </c>
    </row>
    <row r="590">
      <c r="A590">
        <f>'KG1-3'!$B$2</f>
        <v/>
      </c>
      <c r="B590" s="126" t="n">
        <v>46477</v>
      </c>
      <c r="C590">
        <f>'KG1-3'!FZ44</f>
        <v/>
      </c>
      <c r="D590">
        <f>'KG1-3'!FZ43</f>
        <v/>
      </c>
      <c r="E590">
        <f>'KG1-3'!FZ40</f>
        <v/>
      </c>
      <c r="F590">
        <f>'KG1-3'!FZ41</f>
        <v/>
      </c>
      <c r="G590">
        <f>'KG1-3'!FZ42</f>
        <v/>
      </c>
    </row>
    <row r="591">
      <c r="A591">
        <f>'KG1-3'!$B$2</f>
        <v/>
      </c>
      <c r="B591" s="126" t="n">
        <v>46478</v>
      </c>
      <c r="C591">
        <f>'KG1-3'!GA44</f>
        <v/>
      </c>
      <c r="D591">
        <f>'KG1-3'!GA43</f>
        <v/>
      </c>
      <c r="E591">
        <f>'KG1-3'!GA40</f>
        <v/>
      </c>
      <c r="F591">
        <f>'KG1-3'!GA41</f>
        <v/>
      </c>
      <c r="G591">
        <f>'KG1-3'!GA42</f>
        <v/>
      </c>
    </row>
    <row r="592">
      <c r="A592">
        <f>'KG1-3'!$B$2</f>
        <v/>
      </c>
      <c r="B592" s="126" t="n">
        <v>46479</v>
      </c>
      <c r="C592">
        <f>'KG1-3'!GB44</f>
        <v/>
      </c>
      <c r="D592">
        <f>'KG1-3'!GB43</f>
        <v/>
      </c>
      <c r="E592">
        <f>'KG1-3'!GB40</f>
        <v/>
      </c>
      <c r="F592">
        <f>'KG1-3'!GB41</f>
        <v/>
      </c>
      <c r="G592">
        <f>'KG1-3'!GB42</f>
        <v/>
      </c>
    </row>
    <row r="593">
      <c r="A593">
        <f>'KG1-3'!$B$2</f>
        <v/>
      </c>
      <c r="B593" s="126" t="n">
        <v>46482</v>
      </c>
      <c r="C593">
        <f>'KG1-3'!GC44</f>
        <v/>
      </c>
      <c r="D593">
        <f>'KG1-3'!GC43</f>
        <v/>
      </c>
      <c r="E593">
        <f>'KG1-3'!GC40</f>
        <v/>
      </c>
      <c r="F593">
        <f>'KG1-3'!GC41</f>
        <v/>
      </c>
      <c r="G593">
        <f>'KG1-3'!GC42</f>
        <v/>
      </c>
    </row>
    <row r="594">
      <c r="A594">
        <f>'KG1-3'!$B$2</f>
        <v/>
      </c>
      <c r="B594" s="126" t="n">
        <v>46483</v>
      </c>
      <c r="C594">
        <f>'KG1-3'!GD44</f>
        <v/>
      </c>
      <c r="D594">
        <f>'KG1-3'!GD43</f>
        <v/>
      </c>
      <c r="E594">
        <f>'KG1-3'!GD40</f>
        <v/>
      </c>
      <c r="F594">
        <f>'KG1-3'!GD41</f>
        <v/>
      </c>
      <c r="G594">
        <f>'KG1-3'!GD42</f>
        <v/>
      </c>
    </row>
    <row r="595">
      <c r="A595">
        <f>'KG1-3'!$B$2</f>
        <v/>
      </c>
      <c r="B595" s="126" t="n">
        <v>46484</v>
      </c>
      <c r="C595">
        <f>'KG1-3'!GE44</f>
        <v/>
      </c>
      <c r="D595">
        <f>'KG1-3'!GE43</f>
        <v/>
      </c>
      <c r="E595">
        <f>'KG1-3'!GE40</f>
        <v/>
      </c>
      <c r="F595">
        <f>'KG1-3'!GE41</f>
        <v/>
      </c>
      <c r="G595">
        <f>'KG1-3'!GE42</f>
        <v/>
      </c>
    </row>
    <row r="596">
      <c r="A596">
        <f>'KG1-3'!$B$2</f>
        <v/>
      </c>
      <c r="B596" s="126" t="n">
        <v>46485</v>
      </c>
      <c r="C596">
        <f>'KG1-3'!GF44</f>
        <v/>
      </c>
      <c r="D596">
        <f>'KG1-3'!GF43</f>
        <v/>
      </c>
      <c r="E596">
        <f>'KG1-3'!GF40</f>
        <v/>
      </c>
      <c r="F596">
        <f>'KG1-3'!GF41</f>
        <v/>
      </c>
      <c r="G596">
        <f>'KG1-3'!GF42</f>
        <v/>
      </c>
    </row>
    <row r="597">
      <c r="A597">
        <f>'KG1-3'!$B$2</f>
        <v/>
      </c>
      <c r="B597" s="126" t="n">
        <v>46486</v>
      </c>
      <c r="C597">
        <f>'KG1-3'!GG44</f>
        <v/>
      </c>
      <c r="D597">
        <f>'KG1-3'!GG43</f>
        <v/>
      </c>
      <c r="E597">
        <f>'KG1-3'!GG40</f>
        <v/>
      </c>
      <c r="F597">
        <f>'KG1-3'!GG41</f>
        <v/>
      </c>
      <c r="G597">
        <f>'KG1-3'!GG42</f>
        <v/>
      </c>
    </row>
    <row r="598">
      <c r="A598">
        <f>'KG1-3'!$B$2</f>
        <v/>
      </c>
      <c r="B598" s="126" t="n">
        <v>46489</v>
      </c>
      <c r="C598">
        <f>'KG1-3'!GH44</f>
        <v/>
      </c>
      <c r="D598">
        <f>'KG1-3'!GH43</f>
        <v/>
      </c>
      <c r="E598">
        <f>'KG1-3'!GH40</f>
        <v/>
      </c>
      <c r="F598">
        <f>'KG1-3'!GH41</f>
        <v/>
      </c>
      <c r="G598">
        <f>'KG1-3'!GH42</f>
        <v/>
      </c>
    </row>
    <row r="599">
      <c r="A599">
        <f>'KG1-3'!$B$2</f>
        <v/>
      </c>
      <c r="B599" s="126" t="n">
        <v>46490</v>
      </c>
      <c r="C599">
        <f>'KG1-3'!GI44</f>
        <v/>
      </c>
      <c r="D599">
        <f>'KG1-3'!GI43</f>
        <v/>
      </c>
      <c r="E599">
        <f>'KG1-3'!GI40</f>
        <v/>
      </c>
      <c r="F599">
        <f>'KG1-3'!GI41</f>
        <v/>
      </c>
      <c r="G599">
        <f>'KG1-3'!GI42</f>
        <v/>
      </c>
    </row>
    <row r="600">
      <c r="A600">
        <f>'KG1-3'!$B$2</f>
        <v/>
      </c>
      <c r="B600" s="126" t="n">
        <v>46491</v>
      </c>
      <c r="C600">
        <f>'KG1-3'!GJ44</f>
        <v/>
      </c>
      <c r="D600">
        <f>'KG1-3'!GJ43</f>
        <v/>
      </c>
      <c r="E600">
        <f>'KG1-3'!GJ40</f>
        <v/>
      </c>
      <c r="F600">
        <f>'KG1-3'!GJ41</f>
        <v/>
      </c>
      <c r="G600">
        <f>'KG1-3'!GJ42</f>
        <v/>
      </c>
    </row>
    <row r="601">
      <c r="A601">
        <f>'KG1-3'!$B$2</f>
        <v/>
      </c>
      <c r="B601" s="126" t="n">
        <v>46492</v>
      </c>
      <c r="C601">
        <f>'KG1-3'!GK44</f>
        <v/>
      </c>
      <c r="D601">
        <f>'KG1-3'!GK43</f>
        <v/>
      </c>
      <c r="E601">
        <f>'KG1-3'!GK40</f>
        <v/>
      </c>
      <c r="F601">
        <f>'KG1-3'!GK41</f>
        <v/>
      </c>
      <c r="G601">
        <f>'KG1-3'!GK42</f>
        <v/>
      </c>
    </row>
    <row r="602">
      <c r="A602">
        <f>'KG1-3'!$B$2</f>
        <v/>
      </c>
      <c r="B602" s="126" t="n">
        <v>46493</v>
      </c>
      <c r="C602">
        <f>'KG1-3'!GL44</f>
        <v/>
      </c>
      <c r="D602">
        <f>'KG1-3'!GL43</f>
        <v/>
      </c>
      <c r="E602">
        <f>'KG1-3'!GL40</f>
        <v/>
      </c>
      <c r="F602">
        <f>'KG1-3'!GL41</f>
        <v/>
      </c>
      <c r="G602">
        <f>'KG1-3'!GL42</f>
        <v/>
      </c>
    </row>
    <row r="603">
      <c r="A603">
        <f>'KG1-3'!$B$2</f>
        <v/>
      </c>
      <c r="B603" s="126" t="n">
        <v>46496</v>
      </c>
      <c r="C603">
        <f>'KG1-3'!GM44</f>
        <v/>
      </c>
      <c r="D603">
        <f>'KG1-3'!GM43</f>
        <v/>
      </c>
      <c r="E603">
        <f>'KG1-3'!GM40</f>
        <v/>
      </c>
      <c r="F603">
        <f>'KG1-3'!GM41</f>
        <v/>
      </c>
      <c r="G603">
        <f>'KG1-3'!GM42</f>
        <v/>
      </c>
    </row>
    <row r="604">
      <c r="A604">
        <f>'KG1-3'!$B$2</f>
        <v/>
      </c>
      <c r="B604" s="126" t="n">
        <v>46497</v>
      </c>
      <c r="C604">
        <f>'KG1-3'!GN44</f>
        <v/>
      </c>
      <c r="D604">
        <f>'KG1-3'!GN43</f>
        <v/>
      </c>
      <c r="E604">
        <f>'KG1-3'!GN40</f>
        <v/>
      </c>
      <c r="F604">
        <f>'KG1-3'!GN41</f>
        <v/>
      </c>
      <c r="G604">
        <f>'KG1-3'!GN42</f>
        <v/>
      </c>
    </row>
    <row r="605">
      <c r="A605">
        <f>'KG1-3'!$B$2</f>
        <v/>
      </c>
      <c r="B605" s="126" t="n">
        <v>46498</v>
      </c>
      <c r="C605">
        <f>'KG1-3'!GO44</f>
        <v/>
      </c>
      <c r="D605">
        <f>'KG1-3'!GO43</f>
        <v/>
      </c>
      <c r="E605">
        <f>'KG1-3'!GO40</f>
        <v/>
      </c>
      <c r="F605">
        <f>'KG1-3'!GO41</f>
        <v/>
      </c>
      <c r="G605">
        <f>'KG1-3'!GO42</f>
        <v/>
      </c>
    </row>
    <row r="606">
      <c r="A606">
        <f>'KG1-3'!$B$2</f>
        <v/>
      </c>
      <c r="B606" s="126" t="n">
        <v>46499</v>
      </c>
      <c r="C606">
        <f>'KG1-3'!GP44</f>
        <v/>
      </c>
      <c r="D606">
        <f>'KG1-3'!GP43</f>
        <v/>
      </c>
      <c r="E606">
        <f>'KG1-3'!GP40</f>
        <v/>
      </c>
      <c r="F606">
        <f>'KG1-3'!GP41</f>
        <v/>
      </c>
      <c r="G606">
        <f>'KG1-3'!GP42</f>
        <v/>
      </c>
    </row>
    <row r="607">
      <c r="A607">
        <f>'KG1-3'!$B$2</f>
        <v/>
      </c>
      <c r="B607" s="126" t="n">
        <v>46500</v>
      </c>
      <c r="C607">
        <f>'KG1-3'!GQ44</f>
        <v/>
      </c>
      <c r="D607">
        <f>'KG1-3'!GQ43</f>
        <v/>
      </c>
      <c r="E607">
        <f>'KG1-3'!GQ40</f>
        <v/>
      </c>
      <c r="F607">
        <f>'KG1-3'!GQ41</f>
        <v/>
      </c>
      <c r="G607">
        <f>'KG1-3'!GQ42</f>
        <v/>
      </c>
    </row>
    <row r="608">
      <c r="A608">
        <f>'KG1-3'!$B$2</f>
        <v/>
      </c>
      <c r="B608" s="126" t="n">
        <v>46503</v>
      </c>
      <c r="C608">
        <f>'KG1-3'!GR44</f>
        <v/>
      </c>
      <c r="D608">
        <f>'KG1-3'!GR43</f>
        <v/>
      </c>
      <c r="E608">
        <f>'KG1-3'!GR40</f>
        <v/>
      </c>
      <c r="F608">
        <f>'KG1-3'!GR41</f>
        <v/>
      </c>
      <c r="G608">
        <f>'KG1-3'!GR42</f>
        <v/>
      </c>
    </row>
    <row r="609">
      <c r="A609">
        <f>'KG1-3'!$B$2</f>
        <v/>
      </c>
      <c r="B609" s="126" t="n">
        <v>46504</v>
      </c>
      <c r="C609">
        <f>'KG1-3'!GS44</f>
        <v/>
      </c>
      <c r="D609">
        <f>'KG1-3'!GS43</f>
        <v/>
      </c>
      <c r="E609">
        <f>'KG1-3'!GS40</f>
        <v/>
      </c>
      <c r="F609">
        <f>'KG1-3'!GS41</f>
        <v/>
      </c>
      <c r="G609">
        <f>'KG1-3'!GS42</f>
        <v/>
      </c>
    </row>
    <row r="610">
      <c r="A610">
        <f>'KG1-3'!$B$2</f>
        <v/>
      </c>
      <c r="B610" s="126" t="n">
        <v>46505</v>
      </c>
      <c r="C610">
        <f>'KG1-3'!GT44</f>
        <v/>
      </c>
      <c r="D610">
        <f>'KG1-3'!GT43</f>
        <v/>
      </c>
      <c r="E610">
        <f>'KG1-3'!GT40</f>
        <v/>
      </c>
      <c r="F610">
        <f>'KG1-3'!GT41</f>
        <v/>
      </c>
      <c r="G610">
        <f>'KG1-3'!GT42</f>
        <v/>
      </c>
    </row>
    <row r="611">
      <c r="A611">
        <f>'KG1-3'!$B$2</f>
        <v/>
      </c>
      <c r="B611" s="126" t="n">
        <v>46506</v>
      </c>
      <c r="C611">
        <f>'KG1-3'!GU44</f>
        <v/>
      </c>
      <c r="D611">
        <f>'KG1-3'!GU43</f>
        <v/>
      </c>
      <c r="E611">
        <f>'KG1-3'!GU40</f>
        <v/>
      </c>
      <c r="F611">
        <f>'KG1-3'!GU41</f>
        <v/>
      </c>
      <c r="G611">
        <f>'KG1-3'!GU42</f>
        <v/>
      </c>
    </row>
    <row r="612">
      <c r="A612">
        <f>'KG1-3'!$B$2</f>
        <v/>
      </c>
      <c r="B612" s="126" t="n">
        <v>46507</v>
      </c>
      <c r="C612">
        <f>'KG1-3'!GV44</f>
        <v/>
      </c>
      <c r="D612">
        <f>'KG1-3'!GV43</f>
        <v/>
      </c>
      <c r="E612">
        <f>'KG1-3'!GV40</f>
        <v/>
      </c>
      <c r="F612">
        <f>'KG1-3'!GV41</f>
        <v/>
      </c>
      <c r="G612">
        <f>'KG1-3'!GV42</f>
        <v/>
      </c>
    </row>
    <row r="613">
      <c r="A613">
        <f>'KG1-3'!$B$2</f>
        <v/>
      </c>
      <c r="B613" s="126" t="n">
        <v>46510</v>
      </c>
      <c r="C613">
        <f>'KG1-3'!GW44</f>
        <v/>
      </c>
      <c r="D613">
        <f>'KG1-3'!GW43</f>
        <v/>
      </c>
      <c r="E613">
        <f>'KG1-3'!GW40</f>
        <v/>
      </c>
      <c r="F613">
        <f>'KG1-3'!GW41</f>
        <v/>
      </c>
      <c r="G613">
        <f>'KG1-3'!GW42</f>
        <v/>
      </c>
    </row>
    <row r="614">
      <c r="A614">
        <f>'KG1-3'!$B$2</f>
        <v/>
      </c>
      <c r="B614" s="126" t="n">
        <v>46511</v>
      </c>
      <c r="C614">
        <f>'KG1-3'!GX44</f>
        <v/>
      </c>
      <c r="D614">
        <f>'KG1-3'!GX43</f>
        <v/>
      </c>
      <c r="E614">
        <f>'KG1-3'!GX40</f>
        <v/>
      </c>
      <c r="F614">
        <f>'KG1-3'!GX41</f>
        <v/>
      </c>
      <c r="G614">
        <f>'KG1-3'!GX42</f>
        <v/>
      </c>
    </row>
    <row r="615">
      <c r="A615">
        <f>'KG1-3'!$B$2</f>
        <v/>
      </c>
      <c r="B615" s="126" t="n">
        <v>46512</v>
      </c>
      <c r="C615">
        <f>'KG1-3'!GY44</f>
        <v/>
      </c>
      <c r="D615">
        <f>'KG1-3'!GY43</f>
        <v/>
      </c>
      <c r="E615">
        <f>'KG1-3'!GY40</f>
        <v/>
      </c>
      <c r="F615">
        <f>'KG1-3'!GY41</f>
        <v/>
      </c>
      <c r="G615">
        <f>'KG1-3'!GY42</f>
        <v/>
      </c>
    </row>
    <row r="616">
      <c r="A616">
        <f>'KG1-3'!$B$2</f>
        <v/>
      </c>
      <c r="B616" s="126" t="n">
        <v>46513</v>
      </c>
      <c r="C616">
        <f>'KG1-3'!GZ44</f>
        <v/>
      </c>
      <c r="D616">
        <f>'KG1-3'!GZ43</f>
        <v/>
      </c>
      <c r="E616">
        <f>'KG1-3'!GZ40</f>
        <v/>
      </c>
      <c r="F616">
        <f>'KG1-3'!GZ41</f>
        <v/>
      </c>
      <c r="G616">
        <f>'KG1-3'!GZ42</f>
        <v/>
      </c>
    </row>
    <row r="617">
      <c r="A617">
        <f>'KG1-3'!$B$2</f>
        <v/>
      </c>
      <c r="B617" s="126" t="n">
        <v>46514</v>
      </c>
      <c r="C617">
        <f>'KG1-3'!HA44</f>
        <v/>
      </c>
      <c r="D617">
        <f>'KG1-3'!HA43</f>
        <v/>
      </c>
      <c r="E617">
        <f>'KG1-3'!HA40</f>
        <v/>
      </c>
      <c r="F617">
        <f>'KG1-3'!HA41</f>
        <v/>
      </c>
      <c r="G617">
        <f>'KG1-3'!HA42</f>
        <v/>
      </c>
    </row>
    <row r="618">
      <c r="A618">
        <f>'KG1-3'!$B$2</f>
        <v/>
      </c>
      <c r="B618" s="126" t="n">
        <v>46517</v>
      </c>
      <c r="C618">
        <f>'KG1-3'!HB44</f>
        <v/>
      </c>
      <c r="D618">
        <f>'KG1-3'!HB43</f>
        <v/>
      </c>
      <c r="E618">
        <f>'KG1-3'!HB40</f>
        <v/>
      </c>
      <c r="F618">
        <f>'KG1-3'!HB41</f>
        <v/>
      </c>
      <c r="G618">
        <f>'KG1-3'!HB42</f>
        <v/>
      </c>
    </row>
    <row r="619">
      <c r="A619">
        <f>'KG1-3'!$B$2</f>
        <v/>
      </c>
      <c r="B619" s="126" t="n">
        <v>46518</v>
      </c>
      <c r="C619">
        <f>'KG1-3'!HC44</f>
        <v/>
      </c>
      <c r="D619">
        <f>'KG1-3'!HC43</f>
        <v/>
      </c>
      <c r="E619">
        <f>'KG1-3'!HC40</f>
        <v/>
      </c>
      <c r="F619">
        <f>'KG1-3'!HC41</f>
        <v/>
      </c>
      <c r="G619">
        <f>'KG1-3'!HC42</f>
        <v/>
      </c>
    </row>
    <row r="620">
      <c r="A620">
        <f>'KG1-3'!$B$2</f>
        <v/>
      </c>
      <c r="B620" s="126" t="n">
        <v>46519</v>
      </c>
      <c r="C620">
        <f>'KG1-3'!HD44</f>
        <v/>
      </c>
      <c r="D620">
        <f>'KG1-3'!HD43</f>
        <v/>
      </c>
      <c r="E620">
        <f>'KG1-3'!HD40</f>
        <v/>
      </c>
      <c r="F620">
        <f>'KG1-3'!HD41</f>
        <v/>
      </c>
      <c r="G620">
        <f>'KG1-3'!HD42</f>
        <v/>
      </c>
    </row>
    <row r="621">
      <c r="A621">
        <f>'KG1-3'!$B$2</f>
        <v/>
      </c>
      <c r="B621" s="126" t="n">
        <v>46520</v>
      </c>
      <c r="C621">
        <f>'KG1-3'!HE44</f>
        <v/>
      </c>
      <c r="D621">
        <f>'KG1-3'!HE43</f>
        <v/>
      </c>
      <c r="E621">
        <f>'KG1-3'!HE40</f>
        <v/>
      </c>
      <c r="F621">
        <f>'KG1-3'!HE41</f>
        <v/>
      </c>
      <c r="G621">
        <f>'KG1-3'!HE42</f>
        <v/>
      </c>
    </row>
    <row r="622">
      <c r="A622">
        <f>'KG1-3'!$B$2</f>
        <v/>
      </c>
      <c r="B622" s="126" t="n">
        <v>46521</v>
      </c>
      <c r="C622">
        <f>'KG1-3'!HF44</f>
        <v/>
      </c>
      <c r="D622">
        <f>'KG1-3'!HF43</f>
        <v/>
      </c>
      <c r="E622">
        <f>'KG1-3'!HF40</f>
        <v/>
      </c>
      <c r="F622">
        <f>'KG1-3'!HF41</f>
        <v/>
      </c>
      <c r="G622">
        <f>'KG1-3'!HF42</f>
        <v/>
      </c>
    </row>
    <row r="623">
      <c r="A623">
        <f>'KG1-3'!$B$2</f>
        <v/>
      </c>
      <c r="B623" s="126" t="n">
        <v>46524</v>
      </c>
      <c r="C623">
        <f>'KG1-3'!HG44</f>
        <v/>
      </c>
      <c r="D623">
        <f>'KG1-3'!HG43</f>
        <v/>
      </c>
      <c r="E623">
        <f>'KG1-3'!HG40</f>
        <v/>
      </c>
      <c r="F623">
        <f>'KG1-3'!HG41</f>
        <v/>
      </c>
      <c r="G623">
        <f>'KG1-3'!HG42</f>
        <v/>
      </c>
    </row>
    <row r="624">
      <c r="A624">
        <f>'KG1-3'!$B$2</f>
        <v/>
      </c>
      <c r="B624" s="126" t="n">
        <v>46525</v>
      </c>
      <c r="C624">
        <f>'KG1-3'!HH44</f>
        <v/>
      </c>
      <c r="D624">
        <f>'KG1-3'!HH43</f>
        <v/>
      </c>
      <c r="E624">
        <f>'KG1-3'!HH40</f>
        <v/>
      </c>
      <c r="F624">
        <f>'KG1-3'!HH41</f>
        <v/>
      </c>
      <c r="G624">
        <f>'KG1-3'!HH42</f>
        <v/>
      </c>
    </row>
    <row r="625">
      <c r="A625">
        <f>'KG1-3'!$B$2</f>
        <v/>
      </c>
      <c r="B625" s="126" t="n">
        <v>46526</v>
      </c>
      <c r="C625">
        <f>'KG1-3'!HI44</f>
        <v/>
      </c>
      <c r="D625">
        <f>'KG1-3'!HI43</f>
        <v/>
      </c>
      <c r="E625">
        <f>'KG1-3'!HI40</f>
        <v/>
      </c>
      <c r="F625">
        <f>'KG1-3'!HI41</f>
        <v/>
      </c>
      <c r="G625">
        <f>'KG1-3'!HI42</f>
        <v/>
      </c>
    </row>
    <row r="626">
      <c r="A626">
        <f>'KG1-3'!$B$2</f>
        <v/>
      </c>
      <c r="B626" s="126" t="n">
        <v>46527</v>
      </c>
      <c r="C626">
        <f>'KG1-3'!HJ44</f>
        <v/>
      </c>
      <c r="D626">
        <f>'KG1-3'!HJ43</f>
        <v/>
      </c>
      <c r="E626">
        <f>'KG1-3'!HJ40</f>
        <v/>
      </c>
      <c r="F626">
        <f>'KG1-3'!HJ41</f>
        <v/>
      </c>
      <c r="G626">
        <f>'KG1-3'!HJ42</f>
        <v/>
      </c>
    </row>
    <row r="627">
      <c r="A627">
        <f>'KG1-3'!$B$2</f>
        <v/>
      </c>
      <c r="B627" s="126" t="n">
        <v>46528</v>
      </c>
      <c r="C627">
        <f>'KG1-3'!HK44</f>
        <v/>
      </c>
      <c r="D627">
        <f>'KG1-3'!HK43</f>
        <v/>
      </c>
      <c r="E627">
        <f>'KG1-3'!HK40</f>
        <v/>
      </c>
      <c r="F627">
        <f>'KG1-3'!HK41</f>
        <v/>
      </c>
      <c r="G627">
        <f>'KG1-3'!HK42</f>
        <v/>
      </c>
    </row>
    <row r="628">
      <c r="A628">
        <f>'KG1-3'!$B$2</f>
        <v/>
      </c>
      <c r="B628" s="126" t="n">
        <v>46531</v>
      </c>
      <c r="C628">
        <f>'KG1-3'!HL44</f>
        <v/>
      </c>
      <c r="D628">
        <f>'KG1-3'!HL43</f>
        <v/>
      </c>
      <c r="E628">
        <f>'KG1-3'!HL40</f>
        <v/>
      </c>
      <c r="F628">
        <f>'KG1-3'!HL41</f>
        <v/>
      </c>
      <c r="G628">
        <f>'KG1-3'!HL42</f>
        <v/>
      </c>
    </row>
    <row r="629">
      <c r="A629">
        <f>'KG1-3'!$B$2</f>
        <v/>
      </c>
      <c r="B629" s="126" t="n">
        <v>46532</v>
      </c>
      <c r="C629">
        <f>'KG1-3'!HM44</f>
        <v/>
      </c>
      <c r="D629">
        <f>'KG1-3'!HM43</f>
        <v/>
      </c>
      <c r="E629">
        <f>'KG1-3'!HM40</f>
        <v/>
      </c>
      <c r="F629">
        <f>'KG1-3'!HM41</f>
        <v/>
      </c>
      <c r="G629">
        <f>'KG1-3'!HM42</f>
        <v/>
      </c>
    </row>
    <row r="630">
      <c r="A630">
        <f>'KG1-3'!$B$2</f>
        <v/>
      </c>
      <c r="B630" s="126" t="n">
        <v>46533</v>
      </c>
      <c r="C630">
        <f>'KG1-3'!HN44</f>
        <v/>
      </c>
      <c r="D630">
        <f>'KG1-3'!HN43</f>
        <v/>
      </c>
      <c r="E630">
        <f>'KG1-3'!HN40</f>
        <v/>
      </c>
      <c r="F630">
        <f>'KG1-3'!HN41</f>
        <v/>
      </c>
      <c r="G630">
        <f>'KG1-3'!HN42</f>
        <v/>
      </c>
    </row>
    <row r="631">
      <c r="A631">
        <f>'KG1-3'!$B$2</f>
        <v/>
      </c>
      <c r="B631" s="126" t="n">
        <v>46534</v>
      </c>
      <c r="C631">
        <f>'KG1-3'!HO44</f>
        <v/>
      </c>
      <c r="D631">
        <f>'KG1-3'!HO43</f>
        <v/>
      </c>
      <c r="E631">
        <f>'KG1-3'!HO40</f>
        <v/>
      </c>
      <c r="F631">
        <f>'KG1-3'!HO41</f>
        <v/>
      </c>
      <c r="G631">
        <f>'KG1-3'!HO42</f>
        <v/>
      </c>
    </row>
    <row r="632">
      <c r="A632">
        <f>'KG1-3'!$B$2</f>
        <v/>
      </c>
      <c r="B632" s="126" t="n">
        <v>46535</v>
      </c>
      <c r="C632">
        <f>'KG1-3'!HP44</f>
        <v/>
      </c>
      <c r="D632">
        <f>'KG1-3'!HP43</f>
        <v/>
      </c>
      <c r="E632">
        <f>'KG1-3'!HP40</f>
        <v/>
      </c>
      <c r="F632">
        <f>'KG1-3'!HP41</f>
        <v/>
      </c>
      <c r="G632">
        <f>'KG1-3'!HP42</f>
        <v/>
      </c>
    </row>
    <row r="633">
      <c r="A633">
        <f>'KG1-3'!$B$2</f>
        <v/>
      </c>
      <c r="B633" s="126" t="n">
        <v>46538</v>
      </c>
      <c r="C633">
        <f>'KG1-3'!HQ44</f>
        <v/>
      </c>
      <c r="D633">
        <f>'KG1-3'!HQ43</f>
        <v/>
      </c>
      <c r="E633">
        <f>'KG1-3'!HQ40</f>
        <v/>
      </c>
      <c r="F633">
        <f>'KG1-3'!HQ41</f>
        <v/>
      </c>
      <c r="G633">
        <f>'KG1-3'!HQ42</f>
        <v/>
      </c>
    </row>
    <row r="634">
      <c r="A634">
        <f>'KG1-3'!$B$2</f>
        <v/>
      </c>
      <c r="B634" s="126" t="n">
        <v>46539</v>
      </c>
      <c r="C634">
        <f>'KG1-3'!HR44</f>
        <v/>
      </c>
      <c r="D634">
        <f>'KG1-3'!HR43</f>
        <v/>
      </c>
      <c r="E634">
        <f>'KG1-3'!HR40</f>
        <v/>
      </c>
      <c r="F634">
        <f>'KG1-3'!HR41</f>
        <v/>
      </c>
      <c r="G634">
        <f>'KG1-3'!HR42</f>
        <v/>
      </c>
    </row>
    <row r="635">
      <c r="A635">
        <f>'KG1-3'!$B$2</f>
        <v/>
      </c>
      <c r="B635" s="126" t="n">
        <v>46540</v>
      </c>
      <c r="C635">
        <f>'KG1-3'!HS44</f>
        <v/>
      </c>
      <c r="D635">
        <f>'KG1-3'!HS43</f>
        <v/>
      </c>
      <c r="E635">
        <f>'KG1-3'!HS40</f>
        <v/>
      </c>
      <c r="F635">
        <f>'KG1-3'!HS41</f>
        <v/>
      </c>
      <c r="G635">
        <f>'KG1-3'!HS42</f>
        <v/>
      </c>
    </row>
    <row r="636">
      <c r="A636">
        <f>'KG1-3'!$B$2</f>
        <v/>
      </c>
      <c r="B636" s="126" t="n">
        <v>46541</v>
      </c>
      <c r="C636">
        <f>'KG1-3'!HT44</f>
        <v/>
      </c>
      <c r="D636">
        <f>'KG1-3'!HT43</f>
        <v/>
      </c>
      <c r="E636">
        <f>'KG1-3'!HT40</f>
        <v/>
      </c>
      <c r="F636">
        <f>'KG1-3'!HT41</f>
        <v/>
      </c>
      <c r="G636">
        <f>'KG1-3'!HT42</f>
        <v/>
      </c>
    </row>
    <row r="637">
      <c r="A637">
        <f>'KG1-3'!$B$2</f>
        <v/>
      </c>
      <c r="B637" s="126" t="n">
        <v>46542</v>
      </c>
      <c r="C637">
        <f>'KG1-3'!HU44</f>
        <v/>
      </c>
      <c r="D637">
        <f>'KG1-3'!HU43</f>
        <v/>
      </c>
      <c r="E637">
        <f>'KG1-3'!HU40</f>
        <v/>
      </c>
      <c r="F637">
        <f>'KG1-3'!HU41</f>
        <v/>
      </c>
      <c r="G637">
        <f>'KG1-3'!HU42</f>
        <v/>
      </c>
    </row>
    <row r="638">
      <c r="A638">
        <f>'KG1-3'!$B$2</f>
        <v/>
      </c>
      <c r="B638" s="126" t="n">
        <v>46545</v>
      </c>
      <c r="C638">
        <f>'KG1-3'!HV44</f>
        <v/>
      </c>
      <c r="D638">
        <f>'KG1-3'!HV43</f>
        <v/>
      </c>
      <c r="E638">
        <f>'KG1-3'!HV40</f>
        <v/>
      </c>
      <c r="F638">
        <f>'KG1-3'!HV41</f>
        <v/>
      </c>
      <c r="G638">
        <f>'KG1-3'!HV42</f>
        <v/>
      </c>
    </row>
    <row r="639">
      <c r="A639">
        <f>'KG1-3'!$B$2</f>
        <v/>
      </c>
      <c r="B639" s="126" t="n">
        <v>46546</v>
      </c>
      <c r="C639">
        <f>'KG1-3'!HW44</f>
        <v/>
      </c>
      <c r="D639">
        <f>'KG1-3'!HW43</f>
        <v/>
      </c>
      <c r="E639">
        <f>'KG1-3'!HW40</f>
        <v/>
      </c>
      <c r="F639">
        <f>'KG1-3'!HW41</f>
        <v/>
      </c>
      <c r="G639">
        <f>'KG1-3'!HW42</f>
        <v/>
      </c>
    </row>
    <row r="640">
      <c r="A640">
        <f>'KG1-3'!$B$2</f>
        <v/>
      </c>
      <c r="B640" s="126" t="n">
        <v>46547</v>
      </c>
      <c r="C640">
        <f>'KG1-3'!HX44</f>
        <v/>
      </c>
      <c r="D640">
        <f>'KG1-3'!HX43</f>
        <v/>
      </c>
      <c r="E640">
        <f>'KG1-3'!HX40</f>
        <v/>
      </c>
      <c r="F640">
        <f>'KG1-3'!HX41</f>
        <v/>
      </c>
      <c r="G640">
        <f>'KG1-3'!HX42</f>
        <v/>
      </c>
    </row>
    <row r="641">
      <c r="A641">
        <f>'KG1-3'!$B$2</f>
        <v/>
      </c>
      <c r="B641" s="126" t="n">
        <v>46548</v>
      </c>
      <c r="C641">
        <f>'KG1-3'!HY44</f>
        <v/>
      </c>
      <c r="D641">
        <f>'KG1-3'!HY43</f>
        <v/>
      </c>
      <c r="E641">
        <f>'KG1-3'!HY40</f>
        <v/>
      </c>
      <c r="F641">
        <f>'KG1-3'!HY41</f>
        <v/>
      </c>
      <c r="G641">
        <f>'KG1-3'!HY42</f>
        <v/>
      </c>
    </row>
    <row r="642">
      <c r="A642">
        <f>'KG1-3'!$B$2</f>
        <v/>
      </c>
      <c r="B642" s="126" t="n">
        <v>46549</v>
      </c>
      <c r="C642">
        <f>'KG1-3'!HZ44</f>
        <v/>
      </c>
      <c r="D642">
        <f>'KG1-3'!HZ43</f>
        <v/>
      </c>
      <c r="E642">
        <f>'KG1-3'!HZ40</f>
        <v/>
      </c>
      <c r="F642">
        <f>'KG1-3'!HZ41</f>
        <v/>
      </c>
      <c r="G642">
        <f>'KG1-3'!HZ42</f>
        <v/>
      </c>
    </row>
    <row r="643">
      <c r="A643">
        <f>'KG1-3'!$B$2</f>
        <v/>
      </c>
      <c r="B643" s="126" t="n">
        <v>46552</v>
      </c>
      <c r="C643">
        <f>'KG1-3'!IA44</f>
        <v/>
      </c>
      <c r="D643">
        <f>'KG1-3'!IA43</f>
        <v/>
      </c>
      <c r="E643">
        <f>'KG1-3'!IA40</f>
        <v/>
      </c>
      <c r="F643">
        <f>'KG1-3'!IA41</f>
        <v/>
      </c>
      <c r="G643">
        <f>'KG1-3'!IA42</f>
        <v/>
      </c>
    </row>
    <row r="644">
      <c r="A644">
        <f>'KG1-3'!$B$2</f>
        <v/>
      </c>
      <c r="B644" s="126" t="n">
        <v>46553</v>
      </c>
      <c r="C644">
        <f>'KG1-3'!IB44</f>
        <v/>
      </c>
      <c r="D644">
        <f>'KG1-3'!IB43</f>
        <v/>
      </c>
      <c r="E644">
        <f>'KG1-3'!IB40</f>
        <v/>
      </c>
      <c r="F644">
        <f>'KG1-3'!IB41</f>
        <v/>
      </c>
      <c r="G644">
        <f>'KG1-3'!IB42</f>
        <v/>
      </c>
    </row>
    <row r="645">
      <c r="A645">
        <f>'KG1-3'!$B$2</f>
        <v/>
      </c>
      <c r="B645" s="126" t="n">
        <v>46554</v>
      </c>
      <c r="C645">
        <f>'KG1-3'!IC44</f>
        <v/>
      </c>
      <c r="D645">
        <f>'KG1-3'!IC43</f>
        <v/>
      </c>
      <c r="E645">
        <f>'KG1-3'!IC40</f>
        <v/>
      </c>
      <c r="F645">
        <f>'KG1-3'!IC41</f>
        <v/>
      </c>
      <c r="G645">
        <f>'KG1-3'!IC42</f>
        <v/>
      </c>
    </row>
    <row r="646">
      <c r="A646">
        <f>'KG1-3'!$B$2</f>
        <v/>
      </c>
      <c r="B646" s="126" t="n">
        <v>46555</v>
      </c>
      <c r="C646">
        <f>'KG1-3'!ID44</f>
        <v/>
      </c>
      <c r="D646">
        <f>'KG1-3'!ID43</f>
        <v/>
      </c>
      <c r="E646">
        <f>'KG1-3'!ID40</f>
        <v/>
      </c>
      <c r="F646">
        <f>'KG1-3'!ID41</f>
        <v/>
      </c>
      <c r="G646">
        <f>'KG1-3'!ID42</f>
        <v/>
      </c>
    </row>
    <row r="647">
      <c r="A647">
        <f>'KG1-3'!$B$2</f>
        <v/>
      </c>
      <c r="B647" s="126" t="n">
        <v>46556</v>
      </c>
      <c r="C647">
        <f>'KG1-3'!IE44</f>
        <v/>
      </c>
      <c r="D647">
        <f>'KG1-3'!IE43</f>
        <v/>
      </c>
      <c r="E647">
        <f>'KG1-3'!IE40</f>
        <v/>
      </c>
      <c r="F647">
        <f>'KG1-3'!IE41</f>
        <v/>
      </c>
      <c r="G647">
        <f>'KG1-3'!IE42</f>
        <v/>
      </c>
    </row>
    <row r="648">
      <c r="A648">
        <f>'KG1-3'!$B$2</f>
        <v/>
      </c>
      <c r="B648" s="126" t="n">
        <v>46559</v>
      </c>
      <c r="C648">
        <f>'KG1-3'!IF44</f>
        <v/>
      </c>
      <c r="D648">
        <f>'KG1-3'!IF43</f>
        <v/>
      </c>
      <c r="E648">
        <f>'KG1-3'!IF40</f>
        <v/>
      </c>
      <c r="F648">
        <f>'KG1-3'!IF41</f>
        <v/>
      </c>
      <c r="G648">
        <f>'KG1-3'!IF42</f>
        <v/>
      </c>
    </row>
    <row r="649">
      <c r="A649">
        <f>'KG1-3'!$B$2</f>
        <v/>
      </c>
      <c r="B649" s="126" t="n">
        <v>46560</v>
      </c>
      <c r="C649">
        <f>'KG1-3'!IG44</f>
        <v/>
      </c>
      <c r="D649">
        <f>'KG1-3'!IG43</f>
        <v/>
      </c>
      <c r="E649">
        <f>'KG1-3'!IG40</f>
        <v/>
      </c>
      <c r="F649">
        <f>'KG1-3'!IG41</f>
        <v/>
      </c>
      <c r="G649">
        <f>'KG1-3'!IG42</f>
        <v/>
      </c>
    </row>
    <row r="650">
      <c r="A650">
        <f>'KG1-3'!$B$2</f>
        <v/>
      </c>
      <c r="B650" s="126" t="n">
        <v>46561</v>
      </c>
      <c r="C650">
        <f>'KG1-3'!IH44</f>
        <v/>
      </c>
      <c r="D650">
        <f>'KG1-3'!IH43</f>
        <v/>
      </c>
      <c r="E650">
        <f>'KG1-3'!IH40</f>
        <v/>
      </c>
      <c r="F650">
        <f>'KG1-3'!IH41</f>
        <v/>
      </c>
      <c r="G650">
        <f>'KG1-3'!IH42</f>
        <v/>
      </c>
    </row>
    <row r="651">
      <c r="A651">
        <f>'KG1-3'!$B$2</f>
        <v/>
      </c>
      <c r="B651" s="126" t="n">
        <v>46562</v>
      </c>
      <c r="C651">
        <f>'KG1-3'!II44</f>
        <v/>
      </c>
      <c r="D651">
        <f>'KG1-3'!II43</f>
        <v/>
      </c>
      <c r="E651">
        <f>'KG1-3'!II40</f>
        <v/>
      </c>
      <c r="F651">
        <f>'KG1-3'!II41</f>
        <v/>
      </c>
      <c r="G651">
        <f>'KG1-3'!II42</f>
        <v/>
      </c>
    </row>
    <row r="652">
      <c r="A652">
        <f>'KG1-3'!$B$2</f>
        <v/>
      </c>
      <c r="B652" s="126" t="n">
        <v>46563</v>
      </c>
      <c r="C652">
        <f>'KG1-3'!IJ44</f>
        <v/>
      </c>
      <c r="D652">
        <f>'KG1-3'!IJ43</f>
        <v/>
      </c>
      <c r="E652">
        <f>'KG1-3'!IJ40</f>
        <v/>
      </c>
      <c r="F652">
        <f>'KG1-3'!IJ41</f>
        <v/>
      </c>
      <c r="G652">
        <f>'KG1-3'!IJ42</f>
        <v/>
      </c>
    </row>
    <row r="653">
      <c r="A653">
        <f>'KG1-3'!$B$2</f>
        <v/>
      </c>
      <c r="B653" s="126" t="n">
        <v>46566</v>
      </c>
      <c r="C653">
        <f>'KG1-3'!IK44</f>
        <v/>
      </c>
      <c r="D653">
        <f>'KG1-3'!IK43</f>
        <v/>
      </c>
      <c r="E653">
        <f>'KG1-3'!IK40</f>
        <v/>
      </c>
      <c r="F653">
        <f>'KG1-3'!IK41</f>
        <v/>
      </c>
      <c r="G653">
        <f>'KG1-3'!IK42</f>
        <v/>
      </c>
    </row>
    <row r="654">
      <c r="A654">
        <f>'KG1-3'!$B$2</f>
        <v/>
      </c>
      <c r="B654" s="126" t="n">
        <v>46567</v>
      </c>
      <c r="C654">
        <f>'KG1-3'!IL44</f>
        <v/>
      </c>
      <c r="D654">
        <f>'KG1-3'!IL43</f>
        <v/>
      </c>
      <c r="E654">
        <f>'KG1-3'!IL40</f>
        <v/>
      </c>
      <c r="F654">
        <f>'KG1-3'!IL41</f>
        <v/>
      </c>
      <c r="G654">
        <f>'KG1-3'!IL42</f>
        <v/>
      </c>
    </row>
    <row r="655">
      <c r="A655">
        <f>'KG1-3'!$B$2</f>
        <v/>
      </c>
      <c r="B655" s="126" t="n">
        <v>46568</v>
      </c>
      <c r="C655">
        <f>'KG1-3'!IM44</f>
        <v/>
      </c>
      <c r="D655">
        <f>'KG1-3'!IM43</f>
        <v/>
      </c>
      <c r="E655">
        <f>'KG1-3'!IM40</f>
        <v/>
      </c>
      <c r="F655">
        <f>'KG1-3'!IM41</f>
        <v/>
      </c>
      <c r="G655">
        <f>'KG1-3'!IM42</f>
        <v/>
      </c>
    </row>
    <row r="656">
      <c r="A656">
        <f>'KG1-4'!$B$2</f>
        <v/>
      </c>
      <c r="B656" s="126" t="n">
        <v>46265</v>
      </c>
      <c r="C656">
        <f>'KG1-4'!AD44</f>
        <v/>
      </c>
      <c r="D656">
        <f>'KG1-4'!AD43</f>
        <v/>
      </c>
      <c r="E656">
        <f>'KG1-4'!AD40</f>
        <v/>
      </c>
      <c r="F656">
        <f>'KG1-4'!AD41</f>
        <v/>
      </c>
      <c r="G656">
        <f>'KG1-4'!AD42</f>
        <v/>
      </c>
    </row>
    <row r="657">
      <c r="A657">
        <f>'KG1-4'!$B$2</f>
        <v/>
      </c>
      <c r="B657" s="126" t="n">
        <v>46266</v>
      </c>
      <c r="C657">
        <f>'KG1-4'!AE44</f>
        <v/>
      </c>
      <c r="D657">
        <f>'KG1-4'!AE43</f>
        <v/>
      </c>
      <c r="E657">
        <f>'KG1-4'!AE40</f>
        <v/>
      </c>
      <c r="F657">
        <f>'KG1-4'!AE41</f>
        <v/>
      </c>
      <c r="G657">
        <f>'KG1-4'!AE42</f>
        <v/>
      </c>
    </row>
    <row r="658">
      <c r="A658">
        <f>'KG1-4'!$B$2</f>
        <v/>
      </c>
      <c r="B658" s="126" t="n">
        <v>46267</v>
      </c>
      <c r="C658">
        <f>'KG1-4'!AF44</f>
        <v/>
      </c>
      <c r="D658">
        <f>'KG1-4'!AF43</f>
        <v/>
      </c>
      <c r="E658">
        <f>'KG1-4'!AF40</f>
        <v/>
      </c>
      <c r="F658">
        <f>'KG1-4'!AF41</f>
        <v/>
      </c>
      <c r="G658">
        <f>'KG1-4'!AF42</f>
        <v/>
      </c>
    </row>
    <row r="659">
      <c r="A659">
        <f>'KG1-4'!$B$2</f>
        <v/>
      </c>
      <c r="B659" s="126" t="n">
        <v>46268</v>
      </c>
      <c r="C659">
        <f>'KG1-4'!AG44</f>
        <v/>
      </c>
      <c r="D659">
        <f>'KG1-4'!AG43</f>
        <v/>
      </c>
      <c r="E659">
        <f>'KG1-4'!AG40</f>
        <v/>
      </c>
      <c r="F659">
        <f>'KG1-4'!AG41</f>
        <v/>
      </c>
      <c r="G659">
        <f>'KG1-4'!AG42</f>
        <v/>
      </c>
    </row>
    <row r="660">
      <c r="A660">
        <f>'KG1-4'!$B$2</f>
        <v/>
      </c>
      <c r="B660" s="126" t="n">
        <v>46269</v>
      </c>
      <c r="C660">
        <f>'KG1-4'!AH44</f>
        <v/>
      </c>
      <c r="D660">
        <f>'KG1-4'!AH43</f>
        <v/>
      </c>
      <c r="E660">
        <f>'KG1-4'!AH40</f>
        <v/>
      </c>
      <c r="F660">
        <f>'KG1-4'!AH41</f>
        <v/>
      </c>
      <c r="G660">
        <f>'KG1-4'!AH42</f>
        <v/>
      </c>
    </row>
    <row r="661">
      <c r="A661">
        <f>'KG1-4'!$B$2</f>
        <v/>
      </c>
      <c r="B661" s="126" t="n">
        <v>46272</v>
      </c>
      <c r="C661">
        <f>'KG1-4'!AI44</f>
        <v/>
      </c>
      <c r="D661">
        <f>'KG1-4'!AI43</f>
        <v/>
      </c>
      <c r="E661">
        <f>'KG1-4'!AI40</f>
        <v/>
      </c>
      <c r="F661">
        <f>'KG1-4'!AI41</f>
        <v/>
      </c>
      <c r="G661">
        <f>'KG1-4'!AI42</f>
        <v/>
      </c>
    </row>
    <row r="662">
      <c r="A662">
        <f>'KG1-4'!$B$2</f>
        <v/>
      </c>
      <c r="B662" s="126" t="n">
        <v>46273</v>
      </c>
      <c r="C662">
        <f>'KG1-4'!AJ44</f>
        <v/>
      </c>
      <c r="D662">
        <f>'KG1-4'!AJ43</f>
        <v/>
      </c>
      <c r="E662">
        <f>'KG1-4'!AJ40</f>
        <v/>
      </c>
      <c r="F662">
        <f>'KG1-4'!AJ41</f>
        <v/>
      </c>
      <c r="G662">
        <f>'KG1-4'!AJ42</f>
        <v/>
      </c>
    </row>
    <row r="663">
      <c r="A663">
        <f>'KG1-4'!$B$2</f>
        <v/>
      </c>
      <c r="B663" s="126" t="n">
        <v>46274</v>
      </c>
      <c r="C663">
        <f>'KG1-4'!AK44</f>
        <v/>
      </c>
      <c r="D663">
        <f>'KG1-4'!AK43</f>
        <v/>
      </c>
      <c r="E663">
        <f>'KG1-4'!AK40</f>
        <v/>
      </c>
      <c r="F663">
        <f>'KG1-4'!AK41</f>
        <v/>
      </c>
      <c r="G663">
        <f>'KG1-4'!AK42</f>
        <v/>
      </c>
    </row>
    <row r="664">
      <c r="A664">
        <f>'KG1-4'!$B$2</f>
        <v/>
      </c>
      <c r="B664" s="126" t="n">
        <v>46275</v>
      </c>
      <c r="C664">
        <f>'KG1-4'!AL44</f>
        <v/>
      </c>
      <c r="D664">
        <f>'KG1-4'!AL43</f>
        <v/>
      </c>
      <c r="E664">
        <f>'KG1-4'!AL40</f>
        <v/>
      </c>
      <c r="F664">
        <f>'KG1-4'!AL41</f>
        <v/>
      </c>
      <c r="G664">
        <f>'KG1-4'!AL42</f>
        <v/>
      </c>
    </row>
    <row r="665">
      <c r="A665">
        <f>'KG1-4'!$B$2</f>
        <v/>
      </c>
      <c r="B665" s="126" t="n">
        <v>46276</v>
      </c>
      <c r="C665">
        <f>'KG1-4'!AM44</f>
        <v/>
      </c>
      <c r="D665">
        <f>'KG1-4'!AM43</f>
        <v/>
      </c>
      <c r="E665">
        <f>'KG1-4'!AM40</f>
        <v/>
      </c>
      <c r="F665">
        <f>'KG1-4'!AM41</f>
        <v/>
      </c>
      <c r="G665">
        <f>'KG1-4'!AM42</f>
        <v/>
      </c>
    </row>
    <row r="666">
      <c r="A666">
        <f>'KG1-4'!$B$2</f>
        <v/>
      </c>
      <c r="B666" s="126" t="n">
        <v>46279</v>
      </c>
      <c r="C666">
        <f>'KG1-4'!AN44</f>
        <v/>
      </c>
      <c r="D666">
        <f>'KG1-4'!AN43</f>
        <v/>
      </c>
      <c r="E666">
        <f>'KG1-4'!AN40</f>
        <v/>
      </c>
      <c r="F666">
        <f>'KG1-4'!AN41</f>
        <v/>
      </c>
      <c r="G666">
        <f>'KG1-4'!AN42</f>
        <v/>
      </c>
    </row>
    <row r="667">
      <c r="A667">
        <f>'KG1-4'!$B$2</f>
        <v/>
      </c>
      <c r="B667" s="126" t="n">
        <v>46280</v>
      </c>
      <c r="C667">
        <f>'KG1-4'!AO44</f>
        <v/>
      </c>
      <c r="D667">
        <f>'KG1-4'!AO43</f>
        <v/>
      </c>
      <c r="E667">
        <f>'KG1-4'!AO40</f>
        <v/>
      </c>
      <c r="F667">
        <f>'KG1-4'!AO41</f>
        <v/>
      </c>
      <c r="G667">
        <f>'KG1-4'!AO42</f>
        <v/>
      </c>
    </row>
    <row r="668">
      <c r="A668">
        <f>'KG1-4'!$B$2</f>
        <v/>
      </c>
      <c r="B668" s="126" t="n">
        <v>46281</v>
      </c>
      <c r="C668">
        <f>'KG1-4'!AP44</f>
        <v/>
      </c>
      <c r="D668">
        <f>'KG1-4'!AP43</f>
        <v/>
      </c>
      <c r="E668">
        <f>'KG1-4'!AP40</f>
        <v/>
      </c>
      <c r="F668">
        <f>'KG1-4'!AP41</f>
        <v/>
      </c>
      <c r="G668">
        <f>'KG1-4'!AP42</f>
        <v/>
      </c>
    </row>
    <row r="669">
      <c r="A669">
        <f>'KG1-4'!$B$2</f>
        <v/>
      </c>
      <c r="B669" s="126" t="n">
        <v>46282</v>
      </c>
      <c r="C669">
        <f>'KG1-4'!AQ44</f>
        <v/>
      </c>
      <c r="D669">
        <f>'KG1-4'!AQ43</f>
        <v/>
      </c>
      <c r="E669">
        <f>'KG1-4'!AQ40</f>
        <v/>
      </c>
      <c r="F669">
        <f>'KG1-4'!AQ41</f>
        <v/>
      </c>
      <c r="G669">
        <f>'KG1-4'!AQ42</f>
        <v/>
      </c>
    </row>
    <row r="670">
      <c r="A670">
        <f>'KG1-4'!$B$2</f>
        <v/>
      </c>
      <c r="B670" s="126" t="n">
        <v>46283</v>
      </c>
      <c r="C670">
        <f>'KG1-4'!AR44</f>
        <v/>
      </c>
      <c r="D670">
        <f>'KG1-4'!AR43</f>
        <v/>
      </c>
      <c r="E670">
        <f>'KG1-4'!AR40</f>
        <v/>
      </c>
      <c r="F670">
        <f>'KG1-4'!AR41</f>
        <v/>
      </c>
      <c r="G670">
        <f>'KG1-4'!AR42</f>
        <v/>
      </c>
    </row>
    <row r="671">
      <c r="A671">
        <f>'KG1-4'!$B$2</f>
        <v/>
      </c>
      <c r="B671" s="126" t="n">
        <v>46286</v>
      </c>
      <c r="C671">
        <f>'KG1-4'!AS44</f>
        <v/>
      </c>
      <c r="D671">
        <f>'KG1-4'!AS43</f>
        <v/>
      </c>
      <c r="E671">
        <f>'KG1-4'!AS40</f>
        <v/>
      </c>
      <c r="F671">
        <f>'KG1-4'!AS41</f>
        <v/>
      </c>
      <c r="G671">
        <f>'KG1-4'!AS42</f>
        <v/>
      </c>
    </row>
    <row r="672">
      <c r="A672">
        <f>'KG1-4'!$B$2</f>
        <v/>
      </c>
      <c r="B672" s="126" t="n">
        <v>46287</v>
      </c>
      <c r="C672">
        <f>'KG1-4'!AT44</f>
        <v/>
      </c>
      <c r="D672">
        <f>'KG1-4'!AT43</f>
        <v/>
      </c>
      <c r="E672">
        <f>'KG1-4'!AT40</f>
        <v/>
      </c>
      <c r="F672">
        <f>'KG1-4'!AT41</f>
        <v/>
      </c>
      <c r="G672">
        <f>'KG1-4'!AT42</f>
        <v/>
      </c>
    </row>
    <row r="673">
      <c r="A673">
        <f>'KG1-4'!$B$2</f>
        <v/>
      </c>
      <c r="B673" s="126" t="n">
        <v>46288</v>
      </c>
      <c r="C673">
        <f>'KG1-4'!AU44</f>
        <v/>
      </c>
      <c r="D673">
        <f>'KG1-4'!AU43</f>
        <v/>
      </c>
      <c r="E673">
        <f>'KG1-4'!AU40</f>
        <v/>
      </c>
      <c r="F673">
        <f>'KG1-4'!AU41</f>
        <v/>
      </c>
      <c r="G673">
        <f>'KG1-4'!AU42</f>
        <v/>
      </c>
    </row>
    <row r="674">
      <c r="A674">
        <f>'KG1-4'!$B$2</f>
        <v/>
      </c>
      <c r="B674" s="126" t="n">
        <v>46289</v>
      </c>
      <c r="C674">
        <f>'KG1-4'!AV44</f>
        <v/>
      </c>
      <c r="D674">
        <f>'KG1-4'!AV43</f>
        <v/>
      </c>
      <c r="E674">
        <f>'KG1-4'!AV40</f>
        <v/>
      </c>
      <c r="F674">
        <f>'KG1-4'!AV41</f>
        <v/>
      </c>
      <c r="G674">
        <f>'KG1-4'!AV42</f>
        <v/>
      </c>
    </row>
    <row r="675">
      <c r="A675">
        <f>'KG1-4'!$B$2</f>
        <v/>
      </c>
      <c r="B675" s="126" t="n">
        <v>46290</v>
      </c>
      <c r="C675">
        <f>'KG1-4'!AW44</f>
        <v/>
      </c>
      <c r="D675">
        <f>'KG1-4'!AW43</f>
        <v/>
      </c>
      <c r="E675">
        <f>'KG1-4'!AW40</f>
        <v/>
      </c>
      <c r="F675">
        <f>'KG1-4'!AW41</f>
        <v/>
      </c>
      <c r="G675">
        <f>'KG1-4'!AW42</f>
        <v/>
      </c>
    </row>
    <row r="676">
      <c r="A676">
        <f>'KG1-4'!$B$2</f>
        <v/>
      </c>
      <c r="B676" s="126" t="n">
        <v>46293</v>
      </c>
      <c r="C676">
        <f>'KG1-4'!AX44</f>
        <v/>
      </c>
      <c r="D676">
        <f>'KG1-4'!AX43</f>
        <v/>
      </c>
      <c r="E676">
        <f>'KG1-4'!AX40</f>
        <v/>
      </c>
      <c r="F676">
        <f>'KG1-4'!AX41</f>
        <v/>
      </c>
      <c r="G676">
        <f>'KG1-4'!AX42</f>
        <v/>
      </c>
    </row>
    <row r="677">
      <c r="A677">
        <f>'KG1-4'!$B$2</f>
        <v/>
      </c>
      <c r="B677" s="126" t="n">
        <v>46294</v>
      </c>
      <c r="C677">
        <f>'KG1-4'!AY44</f>
        <v/>
      </c>
      <c r="D677">
        <f>'KG1-4'!AY43</f>
        <v/>
      </c>
      <c r="E677">
        <f>'KG1-4'!AY40</f>
        <v/>
      </c>
      <c r="F677">
        <f>'KG1-4'!AY41</f>
        <v/>
      </c>
      <c r="G677">
        <f>'KG1-4'!AY42</f>
        <v/>
      </c>
    </row>
    <row r="678">
      <c r="A678">
        <f>'KG1-4'!$B$2</f>
        <v/>
      </c>
      <c r="B678" s="126" t="n">
        <v>46295</v>
      </c>
      <c r="C678">
        <f>'KG1-4'!AZ44</f>
        <v/>
      </c>
      <c r="D678">
        <f>'KG1-4'!AZ43</f>
        <v/>
      </c>
      <c r="E678">
        <f>'KG1-4'!AZ40</f>
        <v/>
      </c>
      <c r="F678">
        <f>'KG1-4'!AZ41</f>
        <v/>
      </c>
      <c r="G678">
        <f>'KG1-4'!AZ42</f>
        <v/>
      </c>
    </row>
    <row r="679">
      <c r="A679">
        <f>'KG1-4'!$B$2</f>
        <v/>
      </c>
      <c r="B679" s="126" t="n">
        <v>46296</v>
      </c>
      <c r="C679">
        <f>'KG1-4'!BA44</f>
        <v/>
      </c>
      <c r="D679">
        <f>'KG1-4'!BA43</f>
        <v/>
      </c>
      <c r="E679">
        <f>'KG1-4'!BA40</f>
        <v/>
      </c>
      <c r="F679">
        <f>'KG1-4'!BA41</f>
        <v/>
      </c>
      <c r="G679">
        <f>'KG1-4'!BA42</f>
        <v/>
      </c>
    </row>
    <row r="680">
      <c r="A680">
        <f>'KG1-4'!$B$2</f>
        <v/>
      </c>
      <c r="B680" s="126" t="n">
        <v>46297</v>
      </c>
      <c r="C680">
        <f>'KG1-4'!BB44</f>
        <v/>
      </c>
      <c r="D680">
        <f>'KG1-4'!BB43</f>
        <v/>
      </c>
      <c r="E680">
        <f>'KG1-4'!BB40</f>
        <v/>
      </c>
      <c r="F680">
        <f>'KG1-4'!BB41</f>
        <v/>
      </c>
      <c r="G680">
        <f>'KG1-4'!BB42</f>
        <v/>
      </c>
    </row>
    <row r="681">
      <c r="A681">
        <f>'KG1-4'!$B$2</f>
        <v/>
      </c>
      <c r="B681" s="126" t="n">
        <v>46300</v>
      </c>
      <c r="C681">
        <f>'KG1-4'!BC44</f>
        <v/>
      </c>
      <c r="D681">
        <f>'KG1-4'!BC43</f>
        <v/>
      </c>
      <c r="E681">
        <f>'KG1-4'!BC40</f>
        <v/>
      </c>
      <c r="F681">
        <f>'KG1-4'!BC41</f>
        <v/>
      </c>
      <c r="G681">
        <f>'KG1-4'!BC42</f>
        <v/>
      </c>
    </row>
    <row r="682">
      <c r="A682">
        <f>'KG1-4'!$B$2</f>
        <v/>
      </c>
      <c r="B682" s="126" t="n">
        <v>46301</v>
      </c>
      <c r="C682">
        <f>'KG1-4'!BD44</f>
        <v/>
      </c>
      <c r="D682">
        <f>'KG1-4'!BD43</f>
        <v/>
      </c>
      <c r="E682">
        <f>'KG1-4'!BD40</f>
        <v/>
      </c>
      <c r="F682">
        <f>'KG1-4'!BD41</f>
        <v/>
      </c>
      <c r="G682">
        <f>'KG1-4'!BD42</f>
        <v/>
      </c>
    </row>
    <row r="683">
      <c r="A683">
        <f>'KG1-4'!$B$2</f>
        <v/>
      </c>
      <c r="B683" s="126" t="n">
        <v>46302</v>
      </c>
      <c r="C683">
        <f>'KG1-4'!BE44</f>
        <v/>
      </c>
      <c r="D683">
        <f>'KG1-4'!BE43</f>
        <v/>
      </c>
      <c r="E683">
        <f>'KG1-4'!BE40</f>
        <v/>
      </c>
      <c r="F683">
        <f>'KG1-4'!BE41</f>
        <v/>
      </c>
      <c r="G683">
        <f>'KG1-4'!BE42</f>
        <v/>
      </c>
    </row>
    <row r="684">
      <c r="A684">
        <f>'KG1-4'!$B$2</f>
        <v/>
      </c>
      <c r="B684" s="126" t="n">
        <v>46303</v>
      </c>
      <c r="C684">
        <f>'KG1-4'!BF44</f>
        <v/>
      </c>
      <c r="D684">
        <f>'KG1-4'!BF43</f>
        <v/>
      </c>
      <c r="E684">
        <f>'KG1-4'!BF40</f>
        <v/>
      </c>
      <c r="F684">
        <f>'KG1-4'!BF41</f>
        <v/>
      </c>
      <c r="G684">
        <f>'KG1-4'!BF42</f>
        <v/>
      </c>
    </row>
    <row r="685">
      <c r="A685">
        <f>'KG1-4'!$B$2</f>
        <v/>
      </c>
      <c r="B685" s="126" t="n">
        <v>46304</v>
      </c>
      <c r="C685">
        <f>'KG1-4'!BG44</f>
        <v/>
      </c>
      <c r="D685">
        <f>'KG1-4'!BG43</f>
        <v/>
      </c>
      <c r="E685">
        <f>'KG1-4'!BG40</f>
        <v/>
      </c>
      <c r="F685">
        <f>'KG1-4'!BG41</f>
        <v/>
      </c>
      <c r="G685">
        <f>'KG1-4'!BG42</f>
        <v/>
      </c>
    </row>
    <row r="686">
      <c r="A686">
        <f>'KG1-4'!$B$2</f>
        <v/>
      </c>
      <c r="B686" s="126" t="n">
        <v>46307</v>
      </c>
      <c r="C686">
        <f>'KG1-4'!BH44</f>
        <v/>
      </c>
      <c r="D686">
        <f>'KG1-4'!BH43</f>
        <v/>
      </c>
      <c r="E686">
        <f>'KG1-4'!BH40</f>
        <v/>
      </c>
      <c r="F686">
        <f>'KG1-4'!BH41</f>
        <v/>
      </c>
      <c r="G686">
        <f>'KG1-4'!BH42</f>
        <v/>
      </c>
    </row>
    <row r="687">
      <c r="A687">
        <f>'KG1-4'!$B$2</f>
        <v/>
      </c>
      <c r="B687" s="126" t="n">
        <v>46308</v>
      </c>
      <c r="C687">
        <f>'KG1-4'!BI44</f>
        <v/>
      </c>
      <c r="D687">
        <f>'KG1-4'!BI43</f>
        <v/>
      </c>
      <c r="E687">
        <f>'KG1-4'!BI40</f>
        <v/>
      </c>
      <c r="F687">
        <f>'KG1-4'!BI41</f>
        <v/>
      </c>
      <c r="G687">
        <f>'KG1-4'!BI42</f>
        <v/>
      </c>
    </row>
    <row r="688">
      <c r="A688">
        <f>'KG1-4'!$B$2</f>
        <v/>
      </c>
      <c r="B688" s="126" t="n">
        <v>46309</v>
      </c>
      <c r="C688">
        <f>'KG1-4'!BJ44</f>
        <v/>
      </c>
      <c r="D688">
        <f>'KG1-4'!BJ43</f>
        <v/>
      </c>
      <c r="E688">
        <f>'KG1-4'!BJ40</f>
        <v/>
      </c>
      <c r="F688">
        <f>'KG1-4'!BJ41</f>
        <v/>
      </c>
      <c r="G688">
        <f>'KG1-4'!BJ42</f>
        <v/>
      </c>
    </row>
    <row r="689">
      <c r="A689">
        <f>'KG1-4'!$B$2</f>
        <v/>
      </c>
      <c r="B689" s="126" t="n">
        <v>46310</v>
      </c>
      <c r="C689">
        <f>'KG1-4'!BK44</f>
        <v/>
      </c>
      <c r="D689">
        <f>'KG1-4'!BK43</f>
        <v/>
      </c>
      <c r="E689">
        <f>'KG1-4'!BK40</f>
        <v/>
      </c>
      <c r="F689">
        <f>'KG1-4'!BK41</f>
        <v/>
      </c>
      <c r="G689">
        <f>'KG1-4'!BK42</f>
        <v/>
      </c>
    </row>
    <row r="690">
      <c r="A690">
        <f>'KG1-4'!$B$2</f>
        <v/>
      </c>
      <c r="B690" s="126" t="n">
        <v>46311</v>
      </c>
      <c r="C690">
        <f>'KG1-4'!BL44</f>
        <v/>
      </c>
      <c r="D690">
        <f>'KG1-4'!BL43</f>
        <v/>
      </c>
      <c r="E690">
        <f>'KG1-4'!BL40</f>
        <v/>
      </c>
      <c r="F690">
        <f>'KG1-4'!BL41</f>
        <v/>
      </c>
      <c r="G690">
        <f>'KG1-4'!BL42</f>
        <v/>
      </c>
    </row>
    <row r="691">
      <c r="A691">
        <f>'KG1-4'!$B$2</f>
        <v/>
      </c>
      <c r="B691" s="126" t="n">
        <v>46314</v>
      </c>
      <c r="C691">
        <f>'KG1-4'!BM44</f>
        <v/>
      </c>
      <c r="D691">
        <f>'KG1-4'!BM43</f>
        <v/>
      </c>
      <c r="E691">
        <f>'KG1-4'!BM40</f>
        <v/>
      </c>
      <c r="F691">
        <f>'KG1-4'!BM41</f>
        <v/>
      </c>
      <c r="G691">
        <f>'KG1-4'!BM42</f>
        <v/>
      </c>
    </row>
    <row r="692">
      <c r="A692">
        <f>'KG1-4'!$B$2</f>
        <v/>
      </c>
      <c r="B692" s="126" t="n">
        <v>46315</v>
      </c>
      <c r="C692">
        <f>'KG1-4'!BN44</f>
        <v/>
      </c>
      <c r="D692">
        <f>'KG1-4'!BN43</f>
        <v/>
      </c>
      <c r="E692">
        <f>'KG1-4'!BN40</f>
        <v/>
      </c>
      <c r="F692">
        <f>'KG1-4'!BN41</f>
        <v/>
      </c>
      <c r="G692">
        <f>'KG1-4'!BN42</f>
        <v/>
      </c>
    </row>
    <row r="693">
      <c r="A693">
        <f>'KG1-4'!$B$2</f>
        <v/>
      </c>
      <c r="B693" s="126" t="n">
        <v>46316</v>
      </c>
      <c r="C693">
        <f>'KG1-4'!BO44</f>
        <v/>
      </c>
      <c r="D693">
        <f>'KG1-4'!BO43</f>
        <v/>
      </c>
      <c r="E693">
        <f>'KG1-4'!BO40</f>
        <v/>
      </c>
      <c r="F693">
        <f>'KG1-4'!BO41</f>
        <v/>
      </c>
      <c r="G693">
        <f>'KG1-4'!BO42</f>
        <v/>
      </c>
    </row>
    <row r="694">
      <c r="A694">
        <f>'KG1-4'!$B$2</f>
        <v/>
      </c>
      <c r="B694" s="126" t="n">
        <v>46317</v>
      </c>
      <c r="C694">
        <f>'KG1-4'!BP44</f>
        <v/>
      </c>
      <c r="D694">
        <f>'KG1-4'!BP43</f>
        <v/>
      </c>
      <c r="E694">
        <f>'KG1-4'!BP40</f>
        <v/>
      </c>
      <c r="F694">
        <f>'KG1-4'!BP41</f>
        <v/>
      </c>
      <c r="G694">
        <f>'KG1-4'!BP42</f>
        <v/>
      </c>
    </row>
    <row r="695">
      <c r="A695">
        <f>'KG1-4'!$B$2</f>
        <v/>
      </c>
      <c r="B695" s="126" t="n">
        <v>46318</v>
      </c>
      <c r="C695">
        <f>'KG1-4'!BQ44</f>
        <v/>
      </c>
      <c r="D695">
        <f>'KG1-4'!BQ43</f>
        <v/>
      </c>
      <c r="E695">
        <f>'KG1-4'!BQ40</f>
        <v/>
      </c>
      <c r="F695">
        <f>'KG1-4'!BQ41</f>
        <v/>
      </c>
      <c r="G695">
        <f>'KG1-4'!BQ42</f>
        <v/>
      </c>
    </row>
    <row r="696">
      <c r="A696">
        <f>'KG1-4'!$B$2</f>
        <v/>
      </c>
      <c r="B696" s="126" t="n">
        <v>46321</v>
      </c>
      <c r="C696">
        <f>'KG1-4'!BR44</f>
        <v/>
      </c>
      <c r="D696">
        <f>'KG1-4'!BR43</f>
        <v/>
      </c>
      <c r="E696">
        <f>'KG1-4'!BR40</f>
        <v/>
      </c>
      <c r="F696">
        <f>'KG1-4'!BR41</f>
        <v/>
      </c>
      <c r="G696">
        <f>'KG1-4'!BR42</f>
        <v/>
      </c>
    </row>
    <row r="697">
      <c r="A697">
        <f>'KG1-4'!$B$2</f>
        <v/>
      </c>
      <c r="B697" s="126" t="n">
        <v>46322</v>
      </c>
      <c r="C697">
        <f>'KG1-4'!BS44</f>
        <v/>
      </c>
      <c r="D697">
        <f>'KG1-4'!BS43</f>
        <v/>
      </c>
      <c r="E697">
        <f>'KG1-4'!BS40</f>
        <v/>
      </c>
      <c r="F697">
        <f>'KG1-4'!BS41</f>
        <v/>
      </c>
      <c r="G697">
        <f>'KG1-4'!BS42</f>
        <v/>
      </c>
    </row>
    <row r="698">
      <c r="A698">
        <f>'KG1-4'!$B$2</f>
        <v/>
      </c>
      <c r="B698" s="126" t="n">
        <v>46323</v>
      </c>
      <c r="C698">
        <f>'KG1-4'!BT44</f>
        <v/>
      </c>
      <c r="D698">
        <f>'KG1-4'!BT43</f>
        <v/>
      </c>
      <c r="E698">
        <f>'KG1-4'!BT40</f>
        <v/>
      </c>
      <c r="F698">
        <f>'KG1-4'!BT41</f>
        <v/>
      </c>
      <c r="G698">
        <f>'KG1-4'!BT42</f>
        <v/>
      </c>
    </row>
    <row r="699">
      <c r="A699">
        <f>'KG1-4'!$B$2</f>
        <v/>
      </c>
      <c r="B699" s="126" t="n">
        <v>46324</v>
      </c>
      <c r="C699">
        <f>'KG1-4'!BU44</f>
        <v/>
      </c>
      <c r="D699">
        <f>'KG1-4'!BU43</f>
        <v/>
      </c>
      <c r="E699">
        <f>'KG1-4'!BU40</f>
        <v/>
      </c>
      <c r="F699">
        <f>'KG1-4'!BU41</f>
        <v/>
      </c>
      <c r="G699">
        <f>'KG1-4'!BU42</f>
        <v/>
      </c>
    </row>
    <row r="700">
      <c r="A700">
        <f>'KG1-4'!$B$2</f>
        <v/>
      </c>
      <c r="B700" s="126" t="n">
        <v>46325</v>
      </c>
      <c r="C700">
        <f>'KG1-4'!BV44</f>
        <v/>
      </c>
      <c r="D700">
        <f>'KG1-4'!BV43</f>
        <v/>
      </c>
      <c r="E700">
        <f>'KG1-4'!BV40</f>
        <v/>
      </c>
      <c r="F700">
        <f>'KG1-4'!BV41</f>
        <v/>
      </c>
      <c r="G700">
        <f>'KG1-4'!BV42</f>
        <v/>
      </c>
    </row>
    <row r="701">
      <c r="A701">
        <f>'KG1-4'!$B$2</f>
        <v/>
      </c>
      <c r="B701" s="126" t="n">
        <v>46328</v>
      </c>
      <c r="C701">
        <f>'KG1-4'!BW44</f>
        <v/>
      </c>
      <c r="D701">
        <f>'KG1-4'!BW43</f>
        <v/>
      </c>
      <c r="E701">
        <f>'KG1-4'!BW40</f>
        <v/>
      </c>
      <c r="F701">
        <f>'KG1-4'!BW41</f>
        <v/>
      </c>
      <c r="G701">
        <f>'KG1-4'!BW42</f>
        <v/>
      </c>
    </row>
    <row r="702">
      <c r="A702">
        <f>'KG1-4'!$B$2</f>
        <v/>
      </c>
      <c r="B702" s="126" t="n">
        <v>46329</v>
      </c>
      <c r="C702">
        <f>'KG1-4'!BX44</f>
        <v/>
      </c>
      <c r="D702">
        <f>'KG1-4'!BX43</f>
        <v/>
      </c>
      <c r="E702">
        <f>'KG1-4'!BX40</f>
        <v/>
      </c>
      <c r="F702">
        <f>'KG1-4'!BX41</f>
        <v/>
      </c>
      <c r="G702">
        <f>'KG1-4'!BX42</f>
        <v/>
      </c>
    </row>
    <row r="703">
      <c r="A703">
        <f>'KG1-4'!$B$2</f>
        <v/>
      </c>
      <c r="B703" s="126" t="n">
        <v>46330</v>
      </c>
      <c r="C703">
        <f>'KG1-4'!BY44</f>
        <v/>
      </c>
      <c r="D703">
        <f>'KG1-4'!BY43</f>
        <v/>
      </c>
      <c r="E703">
        <f>'KG1-4'!BY40</f>
        <v/>
      </c>
      <c r="F703">
        <f>'KG1-4'!BY41</f>
        <v/>
      </c>
      <c r="G703">
        <f>'KG1-4'!BY42</f>
        <v/>
      </c>
    </row>
    <row r="704">
      <c r="A704">
        <f>'KG1-4'!$B$2</f>
        <v/>
      </c>
      <c r="B704" s="126" t="n">
        <v>46331</v>
      </c>
      <c r="C704">
        <f>'KG1-4'!BZ44</f>
        <v/>
      </c>
      <c r="D704">
        <f>'KG1-4'!BZ43</f>
        <v/>
      </c>
      <c r="E704">
        <f>'KG1-4'!BZ40</f>
        <v/>
      </c>
      <c r="F704">
        <f>'KG1-4'!BZ41</f>
        <v/>
      </c>
      <c r="G704">
        <f>'KG1-4'!BZ42</f>
        <v/>
      </c>
    </row>
    <row r="705">
      <c r="A705">
        <f>'KG1-4'!$B$2</f>
        <v/>
      </c>
      <c r="B705" s="126" t="n">
        <v>46332</v>
      </c>
      <c r="C705">
        <f>'KG1-4'!CA44</f>
        <v/>
      </c>
      <c r="D705">
        <f>'KG1-4'!CA43</f>
        <v/>
      </c>
      <c r="E705">
        <f>'KG1-4'!CA40</f>
        <v/>
      </c>
      <c r="F705">
        <f>'KG1-4'!CA41</f>
        <v/>
      </c>
      <c r="G705">
        <f>'KG1-4'!CA42</f>
        <v/>
      </c>
    </row>
    <row r="706">
      <c r="A706">
        <f>'KG1-4'!$B$2</f>
        <v/>
      </c>
      <c r="B706" s="126" t="n">
        <v>46335</v>
      </c>
      <c r="C706">
        <f>'KG1-4'!CB44</f>
        <v/>
      </c>
      <c r="D706">
        <f>'KG1-4'!CB43</f>
        <v/>
      </c>
      <c r="E706">
        <f>'KG1-4'!CB40</f>
        <v/>
      </c>
      <c r="F706">
        <f>'KG1-4'!CB41</f>
        <v/>
      </c>
      <c r="G706">
        <f>'KG1-4'!CB42</f>
        <v/>
      </c>
    </row>
    <row r="707">
      <c r="A707">
        <f>'KG1-4'!$B$2</f>
        <v/>
      </c>
      <c r="B707" s="126" t="n">
        <v>46336</v>
      </c>
      <c r="C707">
        <f>'KG1-4'!CC44</f>
        <v/>
      </c>
      <c r="D707">
        <f>'KG1-4'!CC43</f>
        <v/>
      </c>
      <c r="E707">
        <f>'KG1-4'!CC40</f>
        <v/>
      </c>
      <c r="F707">
        <f>'KG1-4'!CC41</f>
        <v/>
      </c>
      <c r="G707">
        <f>'KG1-4'!CC42</f>
        <v/>
      </c>
    </row>
    <row r="708">
      <c r="A708">
        <f>'KG1-4'!$B$2</f>
        <v/>
      </c>
      <c r="B708" s="126" t="n">
        <v>46337</v>
      </c>
      <c r="C708">
        <f>'KG1-4'!CD44</f>
        <v/>
      </c>
      <c r="D708">
        <f>'KG1-4'!CD43</f>
        <v/>
      </c>
      <c r="E708">
        <f>'KG1-4'!CD40</f>
        <v/>
      </c>
      <c r="F708">
        <f>'KG1-4'!CD41</f>
        <v/>
      </c>
      <c r="G708">
        <f>'KG1-4'!CD42</f>
        <v/>
      </c>
    </row>
    <row r="709">
      <c r="A709">
        <f>'KG1-4'!$B$2</f>
        <v/>
      </c>
      <c r="B709" s="126" t="n">
        <v>46338</v>
      </c>
      <c r="C709">
        <f>'KG1-4'!CE44</f>
        <v/>
      </c>
      <c r="D709">
        <f>'KG1-4'!CE43</f>
        <v/>
      </c>
      <c r="E709">
        <f>'KG1-4'!CE40</f>
        <v/>
      </c>
      <c r="F709">
        <f>'KG1-4'!CE41</f>
        <v/>
      </c>
      <c r="G709">
        <f>'KG1-4'!CE42</f>
        <v/>
      </c>
    </row>
    <row r="710">
      <c r="A710">
        <f>'KG1-4'!$B$2</f>
        <v/>
      </c>
      <c r="B710" s="126" t="n">
        <v>46339</v>
      </c>
      <c r="C710">
        <f>'KG1-4'!CF44</f>
        <v/>
      </c>
      <c r="D710">
        <f>'KG1-4'!CF43</f>
        <v/>
      </c>
      <c r="E710">
        <f>'KG1-4'!CF40</f>
        <v/>
      </c>
      <c r="F710">
        <f>'KG1-4'!CF41</f>
        <v/>
      </c>
      <c r="G710">
        <f>'KG1-4'!CF42</f>
        <v/>
      </c>
    </row>
    <row r="711">
      <c r="A711">
        <f>'KG1-4'!$B$2</f>
        <v/>
      </c>
      <c r="B711" s="126" t="n">
        <v>46342</v>
      </c>
      <c r="C711">
        <f>'KG1-4'!CG44</f>
        <v/>
      </c>
      <c r="D711">
        <f>'KG1-4'!CG43</f>
        <v/>
      </c>
      <c r="E711">
        <f>'KG1-4'!CG40</f>
        <v/>
      </c>
      <c r="F711">
        <f>'KG1-4'!CG41</f>
        <v/>
      </c>
      <c r="G711">
        <f>'KG1-4'!CG42</f>
        <v/>
      </c>
    </row>
    <row r="712">
      <c r="A712">
        <f>'KG1-4'!$B$2</f>
        <v/>
      </c>
      <c r="B712" s="126" t="n">
        <v>46343</v>
      </c>
      <c r="C712">
        <f>'KG1-4'!CH44</f>
        <v/>
      </c>
      <c r="D712">
        <f>'KG1-4'!CH43</f>
        <v/>
      </c>
      <c r="E712">
        <f>'KG1-4'!CH40</f>
        <v/>
      </c>
      <c r="F712">
        <f>'KG1-4'!CH41</f>
        <v/>
      </c>
      <c r="G712">
        <f>'KG1-4'!CH42</f>
        <v/>
      </c>
    </row>
    <row r="713">
      <c r="A713">
        <f>'KG1-4'!$B$2</f>
        <v/>
      </c>
      <c r="B713" s="126" t="n">
        <v>46344</v>
      </c>
      <c r="C713">
        <f>'KG1-4'!CI44</f>
        <v/>
      </c>
      <c r="D713">
        <f>'KG1-4'!CI43</f>
        <v/>
      </c>
      <c r="E713">
        <f>'KG1-4'!CI40</f>
        <v/>
      </c>
      <c r="F713">
        <f>'KG1-4'!CI41</f>
        <v/>
      </c>
      <c r="G713">
        <f>'KG1-4'!CI42</f>
        <v/>
      </c>
    </row>
    <row r="714">
      <c r="A714">
        <f>'KG1-4'!$B$2</f>
        <v/>
      </c>
      <c r="B714" s="126" t="n">
        <v>46345</v>
      </c>
      <c r="C714">
        <f>'KG1-4'!CJ44</f>
        <v/>
      </c>
      <c r="D714">
        <f>'KG1-4'!CJ43</f>
        <v/>
      </c>
      <c r="E714">
        <f>'KG1-4'!CJ40</f>
        <v/>
      </c>
      <c r="F714">
        <f>'KG1-4'!CJ41</f>
        <v/>
      </c>
      <c r="G714">
        <f>'KG1-4'!CJ42</f>
        <v/>
      </c>
    </row>
    <row r="715">
      <c r="A715">
        <f>'KG1-4'!$B$2</f>
        <v/>
      </c>
      <c r="B715" s="126" t="n">
        <v>46346</v>
      </c>
      <c r="C715">
        <f>'KG1-4'!CK44</f>
        <v/>
      </c>
      <c r="D715">
        <f>'KG1-4'!CK43</f>
        <v/>
      </c>
      <c r="E715">
        <f>'KG1-4'!CK40</f>
        <v/>
      </c>
      <c r="F715">
        <f>'KG1-4'!CK41</f>
        <v/>
      </c>
      <c r="G715">
        <f>'KG1-4'!CK42</f>
        <v/>
      </c>
    </row>
    <row r="716">
      <c r="A716">
        <f>'KG1-4'!$B$2</f>
        <v/>
      </c>
      <c r="B716" s="126" t="n">
        <v>46349</v>
      </c>
      <c r="C716">
        <f>'KG1-4'!CL44</f>
        <v/>
      </c>
      <c r="D716">
        <f>'KG1-4'!CL43</f>
        <v/>
      </c>
      <c r="E716">
        <f>'KG1-4'!CL40</f>
        <v/>
      </c>
      <c r="F716">
        <f>'KG1-4'!CL41</f>
        <v/>
      </c>
      <c r="G716">
        <f>'KG1-4'!CL42</f>
        <v/>
      </c>
    </row>
    <row r="717">
      <c r="A717">
        <f>'KG1-4'!$B$2</f>
        <v/>
      </c>
      <c r="B717" s="126" t="n">
        <v>46350</v>
      </c>
      <c r="C717">
        <f>'KG1-4'!CM44</f>
        <v/>
      </c>
      <c r="D717">
        <f>'KG1-4'!CM43</f>
        <v/>
      </c>
      <c r="E717">
        <f>'KG1-4'!CM40</f>
        <v/>
      </c>
      <c r="F717">
        <f>'KG1-4'!CM41</f>
        <v/>
      </c>
      <c r="G717">
        <f>'KG1-4'!CM42</f>
        <v/>
      </c>
    </row>
    <row r="718">
      <c r="A718">
        <f>'KG1-4'!$B$2</f>
        <v/>
      </c>
      <c r="B718" s="126" t="n">
        <v>46351</v>
      </c>
      <c r="C718">
        <f>'KG1-4'!CN44</f>
        <v/>
      </c>
      <c r="D718">
        <f>'KG1-4'!CN43</f>
        <v/>
      </c>
      <c r="E718">
        <f>'KG1-4'!CN40</f>
        <v/>
      </c>
      <c r="F718">
        <f>'KG1-4'!CN41</f>
        <v/>
      </c>
      <c r="G718">
        <f>'KG1-4'!CN42</f>
        <v/>
      </c>
    </row>
    <row r="719">
      <c r="A719">
        <f>'KG1-4'!$B$2</f>
        <v/>
      </c>
      <c r="B719" s="126" t="n">
        <v>46352</v>
      </c>
      <c r="C719">
        <f>'KG1-4'!CO44</f>
        <v/>
      </c>
      <c r="D719">
        <f>'KG1-4'!CO43</f>
        <v/>
      </c>
      <c r="E719">
        <f>'KG1-4'!CO40</f>
        <v/>
      </c>
      <c r="F719">
        <f>'KG1-4'!CO41</f>
        <v/>
      </c>
      <c r="G719">
        <f>'KG1-4'!CO42</f>
        <v/>
      </c>
    </row>
    <row r="720">
      <c r="A720">
        <f>'KG1-4'!$B$2</f>
        <v/>
      </c>
      <c r="B720" s="126" t="n">
        <v>46353</v>
      </c>
      <c r="C720">
        <f>'KG1-4'!CP44</f>
        <v/>
      </c>
      <c r="D720">
        <f>'KG1-4'!CP43</f>
        <v/>
      </c>
      <c r="E720">
        <f>'KG1-4'!CP40</f>
        <v/>
      </c>
      <c r="F720">
        <f>'KG1-4'!CP41</f>
        <v/>
      </c>
      <c r="G720">
        <f>'KG1-4'!CP42</f>
        <v/>
      </c>
    </row>
    <row r="721">
      <c r="A721">
        <f>'KG1-4'!$B$2</f>
        <v/>
      </c>
      <c r="B721" s="126" t="n">
        <v>46356</v>
      </c>
      <c r="C721">
        <f>'KG1-4'!CQ44</f>
        <v/>
      </c>
      <c r="D721">
        <f>'KG1-4'!CQ43</f>
        <v/>
      </c>
      <c r="E721">
        <f>'KG1-4'!CQ40</f>
        <v/>
      </c>
      <c r="F721">
        <f>'KG1-4'!CQ41</f>
        <v/>
      </c>
      <c r="G721">
        <f>'KG1-4'!CQ42</f>
        <v/>
      </c>
    </row>
    <row r="722">
      <c r="A722">
        <f>'KG1-4'!$B$2</f>
        <v/>
      </c>
      <c r="B722" s="126" t="n">
        <v>46357</v>
      </c>
      <c r="C722">
        <f>'KG1-4'!CR44</f>
        <v/>
      </c>
      <c r="D722">
        <f>'KG1-4'!CR43</f>
        <v/>
      </c>
      <c r="E722">
        <f>'KG1-4'!CR40</f>
        <v/>
      </c>
      <c r="F722">
        <f>'KG1-4'!CR41</f>
        <v/>
      </c>
      <c r="G722">
        <f>'KG1-4'!CR42</f>
        <v/>
      </c>
    </row>
    <row r="723">
      <c r="A723">
        <f>'KG1-4'!$B$2</f>
        <v/>
      </c>
      <c r="B723" s="126" t="n">
        <v>46358</v>
      </c>
      <c r="C723">
        <f>'KG1-4'!CS44</f>
        <v/>
      </c>
      <c r="D723">
        <f>'KG1-4'!CS43</f>
        <v/>
      </c>
      <c r="E723">
        <f>'KG1-4'!CS40</f>
        <v/>
      </c>
      <c r="F723">
        <f>'KG1-4'!CS41</f>
        <v/>
      </c>
      <c r="G723">
        <f>'KG1-4'!CS42</f>
        <v/>
      </c>
    </row>
    <row r="724">
      <c r="A724">
        <f>'KG1-4'!$B$2</f>
        <v/>
      </c>
      <c r="B724" s="126" t="n">
        <v>46359</v>
      </c>
      <c r="C724">
        <f>'KG1-4'!CT44</f>
        <v/>
      </c>
      <c r="D724">
        <f>'KG1-4'!CT43</f>
        <v/>
      </c>
      <c r="E724">
        <f>'KG1-4'!CT40</f>
        <v/>
      </c>
      <c r="F724">
        <f>'KG1-4'!CT41</f>
        <v/>
      </c>
      <c r="G724">
        <f>'KG1-4'!CT42</f>
        <v/>
      </c>
    </row>
    <row r="725">
      <c r="A725">
        <f>'KG1-4'!$B$2</f>
        <v/>
      </c>
      <c r="B725" s="126" t="n">
        <v>46360</v>
      </c>
      <c r="C725">
        <f>'KG1-4'!CU44</f>
        <v/>
      </c>
      <c r="D725">
        <f>'KG1-4'!CU43</f>
        <v/>
      </c>
      <c r="E725">
        <f>'KG1-4'!CU40</f>
        <v/>
      </c>
      <c r="F725">
        <f>'KG1-4'!CU41</f>
        <v/>
      </c>
      <c r="G725">
        <f>'KG1-4'!CU42</f>
        <v/>
      </c>
    </row>
    <row r="726">
      <c r="A726">
        <f>'KG1-4'!$B$2</f>
        <v/>
      </c>
      <c r="B726" s="126" t="n">
        <v>46363</v>
      </c>
      <c r="C726">
        <f>'KG1-4'!CV44</f>
        <v/>
      </c>
      <c r="D726">
        <f>'KG1-4'!CV43</f>
        <v/>
      </c>
      <c r="E726">
        <f>'KG1-4'!CV40</f>
        <v/>
      </c>
      <c r="F726">
        <f>'KG1-4'!CV41</f>
        <v/>
      </c>
      <c r="G726">
        <f>'KG1-4'!CV42</f>
        <v/>
      </c>
    </row>
    <row r="727">
      <c r="A727">
        <f>'KG1-4'!$B$2</f>
        <v/>
      </c>
      <c r="B727" s="126" t="n">
        <v>46364</v>
      </c>
      <c r="C727">
        <f>'KG1-4'!CW44</f>
        <v/>
      </c>
      <c r="D727">
        <f>'KG1-4'!CW43</f>
        <v/>
      </c>
      <c r="E727">
        <f>'KG1-4'!CW40</f>
        <v/>
      </c>
      <c r="F727">
        <f>'KG1-4'!CW41</f>
        <v/>
      </c>
      <c r="G727">
        <f>'KG1-4'!CW42</f>
        <v/>
      </c>
    </row>
    <row r="728">
      <c r="A728">
        <f>'KG1-4'!$B$2</f>
        <v/>
      </c>
      <c r="B728" s="126" t="n">
        <v>46365</v>
      </c>
      <c r="C728">
        <f>'KG1-4'!CX44</f>
        <v/>
      </c>
      <c r="D728">
        <f>'KG1-4'!CX43</f>
        <v/>
      </c>
      <c r="E728">
        <f>'KG1-4'!CX40</f>
        <v/>
      </c>
      <c r="F728">
        <f>'KG1-4'!CX41</f>
        <v/>
      </c>
      <c r="G728">
        <f>'KG1-4'!CX42</f>
        <v/>
      </c>
    </row>
    <row r="729">
      <c r="A729">
        <f>'KG1-4'!$B$2</f>
        <v/>
      </c>
      <c r="B729" s="126" t="n">
        <v>46366</v>
      </c>
      <c r="C729">
        <f>'KG1-4'!CY44</f>
        <v/>
      </c>
      <c r="D729">
        <f>'KG1-4'!CY43</f>
        <v/>
      </c>
      <c r="E729">
        <f>'KG1-4'!CY40</f>
        <v/>
      </c>
      <c r="F729">
        <f>'KG1-4'!CY41</f>
        <v/>
      </c>
      <c r="G729">
        <f>'KG1-4'!CY42</f>
        <v/>
      </c>
    </row>
    <row r="730">
      <c r="A730">
        <f>'KG1-4'!$B$2</f>
        <v/>
      </c>
      <c r="B730" s="126" t="n">
        <v>46367</v>
      </c>
      <c r="C730">
        <f>'KG1-4'!CZ44</f>
        <v/>
      </c>
      <c r="D730">
        <f>'KG1-4'!CZ43</f>
        <v/>
      </c>
      <c r="E730">
        <f>'KG1-4'!CZ40</f>
        <v/>
      </c>
      <c r="F730">
        <f>'KG1-4'!CZ41</f>
        <v/>
      </c>
      <c r="G730">
        <f>'KG1-4'!CZ42</f>
        <v/>
      </c>
    </row>
    <row r="731">
      <c r="A731">
        <f>'KG1-4'!$B$2</f>
        <v/>
      </c>
      <c r="B731" s="126" t="n">
        <v>46370</v>
      </c>
      <c r="C731">
        <f>'KG1-4'!DA44</f>
        <v/>
      </c>
      <c r="D731">
        <f>'KG1-4'!DA43</f>
        <v/>
      </c>
      <c r="E731">
        <f>'KG1-4'!DA40</f>
        <v/>
      </c>
      <c r="F731">
        <f>'KG1-4'!DA41</f>
        <v/>
      </c>
      <c r="G731">
        <f>'KG1-4'!DA42</f>
        <v/>
      </c>
    </row>
    <row r="732">
      <c r="A732">
        <f>'KG1-4'!$B$2</f>
        <v/>
      </c>
      <c r="B732" s="126" t="n">
        <v>46371</v>
      </c>
      <c r="C732">
        <f>'KG1-4'!DB44</f>
        <v/>
      </c>
      <c r="D732">
        <f>'KG1-4'!DB43</f>
        <v/>
      </c>
      <c r="E732">
        <f>'KG1-4'!DB40</f>
        <v/>
      </c>
      <c r="F732">
        <f>'KG1-4'!DB41</f>
        <v/>
      </c>
      <c r="G732">
        <f>'KG1-4'!DB42</f>
        <v/>
      </c>
    </row>
    <row r="733">
      <c r="A733">
        <f>'KG1-4'!$B$2</f>
        <v/>
      </c>
      <c r="B733" s="126" t="n">
        <v>46372</v>
      </c>
      <c r="C733">
        <f>'KG1-4'!DC44</f>
        <v/>
      </c>
      <c r="D733">
        <f>'KG1-4'!DC43</f>
        <v/>
      </c>
      <c r="E733">
        <f>'KG1-4'!DC40</f>
        <v/>
      </c>
      <c r="F733">
        <f>'KG1-4'!DC41</f>
        <v/>
      </c>
      <c r="G733">
        <f>'KG1-4'!DC42</f>
        <v/>
      </c>
    </row>
    <row r="734">
      <c r="A734">
        <f>'KG1-4'!$B$2</f>
        <v/>
      </c>
      <c r="B734" s="126" t="n">
        <v>46373</v>
      </c>
      <c r="C734">
        <f>'KG1-4'!DD44</f>
        <v/>
      </c>
      <c r="D734">
        <f>'KG1-4'!DD43</f>
        <v/>
      </c>
      <c r="E734">
        <f>'KG1-4'!DD40</f>
        <v/>
      </c>
      <c r="F734">
        <f>'KG1-4'!DD41</f>
        <v/>
      </c>
      <c r="G734">
        <f>'KG1-4'!DD42</f>
        <v/>
      </c>
    </row>
    <row r="735">
      <c r="A735">
        <f>'KG1-4'!$B$2</f>
        <v/>
      </c>
      <c r="B735" s="126" t="n">
        <v>46374</v>
      </c>
      <c r="C735">
        <f>'KG1-4'!DE44</f>
        <v/>
      </c>
      <c r="D735">
        <f>'KG1-4'!DE43</f>
        <v/>
      </c>
      <c r="E735">
        <f>'KG1-4'!DE40</f>
        <v/>
      </c>
      <c r="F735">
        <f>'KG1-4'!DE41</f>
        <v/>
      </c>
      <c r="G735">
        <f>'KG1-4'!DE42</f>
        <v/>
      </c>
    </row>
    <row r="736">
      <c r="A736">
        <f>'KG1-4'!$B$2</f>
        <v/>
      </c>
      <c r="B736" s="126" t="n">
        <v>46377</v>
      </c>
      <c r="C736">
        <f>'KG1-4'!DF44</f>
        <v/>
      </c>
      <c r="D736">
        <f>'KG1-4'!DF43</f>
        <v/>
      </c>
      <c r="E736">
        <f>'KG1-4'!DF40</f>
        <v/>
      </c>
      <c r="F736">
        <f>'KG1-4'!DF41</f>
        <v/>
      </c>
      <c r="G736">
        <f>'KG1-4'!DF42</f>
        <v/>
      </c>
    </row>
    <row r="737">
      <c r="A737">
        <f>'KG1-4'!$B$2</f>
        <v/>
      </c>
      <c r="B737" s="126" t="n">
        <v>46378</v>
      </c>
      <c r="C737">
        <f>'KG1-4'!DG44</f>
        <v/>
      </c>
      <c r="D737">
        <f>'KG1-4'!DG43</f>
        <v/>
      </c>
      <c r="E737">
        <f>'KG1-4'!DG40</f>
        <v/>
      </c>
      <c r="F737">
        <f>'KG1-4'!DG41</f>
        <v/>
      </c>
      <c r="G737">
        <f>'KG1-4'!DG42</f>
        <v/>
      </c>
    </row>
    <row r="738">
      <c r="A738">
        <f>'KG1-4'!$B$2</f>
        <v/>
      </c>
      <c r="B738" s="126" t="n">
        <v>46379</v>
      </c>
      <c r="C738">
        <f>'KG1-4'!DH44</f>
        <v/>
      </c>
      <c r="D738">
        <f>'KG1-4'!DH43</f>
        <v/>
      </c>
      <c r="E738">
        <f>'KG1-4'!DH40</f>
        <v/>
      </c>
      <c r="F738">
        <f>'KG1-4'!DH41</f>
        <v/>
      </c>
      <c r="G738">
        <f>'KG1-4'!DH42</f>
        <v/>
      </c>
    </row>
    <row r="739">
      <c r="A739">
        <f>'KG1-4'!$B$2</f>
        <v/>
      </c>
      <c r="B739" s="126" t="n">
        <v>46380</v>
      </c>
      <c r="C739">
        <f>'KG1-4'!DI44</f>
        <v/>
      </c>
      <c r="D739">
        <f>'KG1-4'!DI43</f>
        <v/>
      </c>
      <c r="E739">
        <f>'KG1-4'!DI40</f>
        <v/>
      </c>
      <c r="F739">
        <f>'KG1-4'!DI41</f>
        <v/>
      </c>
      <c r="G739">
        <f>'KG1-4'!DI42</f>
        <v/>
      </c>
    </row>
    <row r="740">
      <c r="A740">
        <f>'KG1-4'!$B$2</f>
        <v/>
      </c>
      <c r="B740" s="126" t="n">
        <v>46381</v>
      </c>
      <c r="C740">
        <f>'KG1-4'!DJ44</f>
        <v/>
      </c>
      <c r="D740">
        <f>'KG1-4'!DJ43</f>
        <v/>
      </c>
      <c r="E740">
        <f>'KG1-4'!DJ40</f>
        <v/>
      </c>
      <c r="F740">
        <f>'KG1-4'!DJ41</f>
        <v/>
      </c>
      <c r="G740">
        <f>'KG1-4'!DJ42</f>
        <v/>
      </c>
    </row>
    <row r="741">
      <c r="A741">
        <f>'KG1-4'!$B$2</f>
        <v/>
      </c>
      <c r="B741" s="126" t="n">
        <v>46384</v>
      </c>
      <c r="C741">
        <f>'KG1-4'!DK44</f>
        <v/>
      </c>
      <c r="D741">
        <f>'KG1-4'!DK43</f>
        <v/>
      </c>
      <c r="E741">
        <f>'KG1-4'!DK40</f>
        <v/>
      </c>
      <c r="F741">
        <f>'KG1-4'!DK41</f>
        <v/>
      </c>
      <c r="G741">
        <f>'KG1-4'!DK42</f>
        <v/>
      </c>
    </row>
    <row r="742">
      <c r="A742">
        <f>'KG1-4'!$B$2</f>
        <v/>
      </c>
      <c r="B742" s="126" t="n">
        <v>46385</v>
      </c>
      <c r="C742">
        <f>'KG1-4'!DL44</f>
        <v/>
      </c>
      <c r="D742">
        <f>'KG1-4'!DL43</f>
        <v/>
      </c>
      <c r="E742">
        <f>'KG1-4'!DL40</f>
        <v/>
      </c>
      <c r="F742">
        <f>'KG1-4'!DL41</f>
        <v/>
      </c>
      <c r="G742">
        <f>'KG1-4'!DL42</f>
        <v/>
      </c>
    </row>
    <row r="743">
      <c r="A743">
        <f>'KG1-4'!$B$2</f>
        <v/>
      </c>
      <c r="B743" s="126" t="n">
        <v>46386</v>
      </c>
      <c r="C743">
        <f>'KG1-4'!DM44</f>
        <v/>
      </c>
      <c r="D743">
        <f>'KG1-4'!DM43</f>
        <v/>
      </c>
      <c r="E743">
        <f>'KG1-4'!DM40</f>
        <v/>
      </c>
      <c r="F743">
        <f>'KG1-4'!DM41</f>
        <v/>
      </c>
      <c r="G743">
        <f>'KG1-4'!DM42</f>
        <v/>
      </c>
    </row>
    <row r="744">
      <c r="A744">
        <f>'KG1-4'!$B$2</f>
        <v/>
      </c>
      <c r="B744" s="126" t="n">
        <v>46387</v>
      </c>
      <c r="C744">
        <f>'KG1-4'!DN44</f>
        <v/>
      </c>
      <c r="D744">
        <f>'KG1-4'!DN43</f>
        <v/>
      </c>
      <c r="E744">
        <f>'KG1-4'!DN40</f>
        <v/>
      </c>
      <c r="F744">
        <f>'KG1-4'!DN41</f>
        <v/>
      </c>
      <c r="G744">
        <f>'KG1-4'!DN42</f>
        <v/>
      </c>
    </row>
    <row r="745">
      <c r="A745">
        <f>'KG1-4'!$B$2</f>
        <v/>
      </c>
      <c r="B745" s="126" t="n">
        <v>46388</v>
      </c>
      <c r="C745">
        <f>'KG1-4'!DO44</f>
        <v/>
      </c>
      <c r="D745">
        <f>'KG1-4'!DO43</f>
        <v/>
      </c>
      <c r="E745">
        <f>'KG1-4'!DO40</f>
        <v/>
      </c>
      <c r="F745">
        <f>'KG1-4'!DO41</f>
        <v/>
      </c>
      <c r="G745">
        <f>'KG1-4'!DO42</f>
        <v/>
      </c>
    </row>
    <row r="746">
      <c r="A746">
        <f>'KG1-4'!$B$2</f>
        <v/>
      </c>
      <c r="B746" s="126" t="n">
        <v>46391</v>
      </c>
      <c r="C746">
        <f>'KG1-4'!DP44</f>
        <v/>
      </c>
      <c r="D746">
        <f>'KG1-4'!DP43</f>
        <v/>
      </c>
      <c r="E746">
        <f>'KG1-4'!DP40</f>
        <v/>
      </c>
      <c r="F746">
        <f>'KG1-4'!DP41</f>
        <v/>
      </c>
      <c r="G746">
        <f>'KG1-4'!DP42</f>
        <v/>
      </c>
    </row>
    <row r="747">
      <c r="A747">
        <f>'KG1-4'!$B$2</f>
        <v/>
      </c>
      <c r="B747" s="126" t="n">
        <v>46392</v>
      </c>
      <c r="C747">
        <f>'KG1-4'!DQ44</f>
        <v/>
      </c>
      <c r="D747">
        <f>'KG1-4'!DQ43</f>
        <v/>
      </c>
      <c r="E747">
        <f>'KG1-4'!DQ40</f>
        <v/>
      </c>
      <c r="F747">
        <f>'KG1-4'!DQ41</f>
        <v/>
      </c>
      <c r="G747">
        <f>'KG1-4'!DQ42</f>
        <v/>
      </c>
    </row>
    <row r="748">
      <c r="A748">
        <f>'KG1-4'!$B$2</f>
        <v/>
      </c>
      <c r="B748" s="126" t="n">
        <v>46393</v>
      </c>
      <c r="C748">
        <f>'KG1-4'!DR44</f>
        <v/>
      </c>
      <c r="D748">
        <f>'KG1-4'!DR43</f>
        <v/>
      </c>
      <c r="E748">
        <f>'KG1-4'!DR40</f>
        <v/>
      </c>
      <c r="F748">
        <f>'KG1-4'!DR41</f>
        <v/>
      </c>
      <c r="G748">
        <f>'KG1-4'!DR42</f>
        <v/>
      </c>
    </row>
    <row r="749">
      <c r="A749">
        <f>'KG1-4'!$B$2</f>
        <v/>
      </c>
      <c r="B749" s="126" t="n">
        <v>46394</v>
      </c>
      <c r="C749">
        <f>'KG1-4'!DS44</f>
        <v/>
      </c>
      <c r="D749">
        <f>'KG1-4'!DS43</f>
        <v/>
      </c>
      <c r="E749">
        <f>'KG1-4'!DS40</f>
        <v/>
      </c>
      <c r="F749">
        <f>'KG1-4'!DS41</f>
        <v/>
      </c>
      <c r="G749">
        <f>'KG1-4'!DS42</f>
        <v/>
      </c>
    </row>
    <row r="750">
      <c r="A750">
        <f>'KG1-4'!$B$2</f>
        <v/>
      </c>
      <c r="B750" s="126" t="n">
        <v>46395</v>
      </c>
      <c r="C750">
        <f>'KG1-4'!DT44</f>
        <v/>
      </c>
      <c r="D750">
        <f>'KG1-4'!DT43</f>
        <v/>
      </c>
      <c r="E750">
        <f>'KG1-4'!DT40</f>
        <v/>
      </c>
      <c r="F750">
        <f>'KG1-4'!DT41</f>
        <v/>
      </c>
      <c r="G750">
        <f>'KG1-4'!DT42</f>
        <v/>
      </c>
    </row>
    <row r="751">
      <c r="A751">
        <f>'KG1-4'!$B$2</f>
        <v/>
      </c>
      <c r="B751" s="126" t="n">
        <v>46398</v>
      </c>
      <c r="C751">
        <f>'KG1-4'!DU44</f>
        <v/>
      </c>
      <c r="D751">
        <f>'KG1-4'!DU43</f>
        <v/>
      </c>
      <c r="E751">
        <f>'KG1-4'!DU40</f>
        <v/>
      </c>
      <c r="F751">
        <f>'KG1-4'!DU41</f>
        <v/>
      </c>
      <c r="G751">
        <f>'KG1-4'!DU42</f>
        <v/>
      </c>
    </row>
    <row r="752">
      <c r="A752">
        <f>'KG1-4'!$B$2</f>
        <v/>
      </c>
      <c r="B752" s="126" t="n">
        <v>46399</v>
      </c>
      <c r="C752">
        <f>'KG1-4'!DV44</f>
        <v/>
      </c>
      <c r="D752">
        <f>'KG1-4'!DV43</f>
        <v/>
      </c>
      <c r="E752">
        <f>'KG1-4'!DV40</f>
        <v/>
      </c>
      <c r="F752">
        <f>'KG1-4'!DV41</f>
        <v/>
      </c>
      <c r="G752">
        <f>'KG1-4'!DV42</f>
        <v/>
      </c>
    </row>
    <row r="753">
      <c r="A753">
        <f>'KG1-4'!$B$2</f>
        <v/>
      </c>
      <c r="B753" s="126" t="n">
        <v>46400</v>
      </c>
      <c r="C753">
        <f>'KG1-4'!DW44</f>
        <v/>
      </c>
      <c r="D753">
        <f>'KG1-4'!DW43</f>
        <v/>
      </c>
      <c r="E753">
        <f>'KG1-4'!DW40</f>
        <v/>
      </c>
      <c r="F753">
        <f>'KG1-4'!DW41</f>
        <v/>
      </c>
      <c r="G753">
        <f>'KG1-4'!DW42</f>
        <v/>
      </c>
    </row>
    <row r="754">
      <c r="A754">
        <f>'KG1-4'!$B$2</f>
        <v/>
      </c>
      <c r="B754" s="126" t="n">
        <v>46401</v>
      </c>
      <c r="C754">
        <f>'KG1-4'!DX44</f>
        <v/>
      </c>
      <c r="D754">
        <f>'KG1-4'!DX43</f>
        <v/>
      </c>
      <c r="E754">
        <f>'KG1-4'!DX40</f>
        <v/>
      </c>
      <c r="F754">
        <f>'KG1-4'!DX41</f>
        <v/>
      </c>
      <c r="G754">
        <f>'KG1-4'!DX42</f>
        <v/>
      </c>
    </row>
    <row r="755">
      <c r="A755">
        <f>'KG1-4'!$B$2</f>
        <v/>
      </c>
      <c r="B755" s="126" t="n">
        <v>46402</v>
      </c>
      <c r="C755">
        <f>'KG1-4'!DY44</f>
        <v/>
      </c>
      <c r="D755">
        <f>'KG1-4'!DY43</f>
        <v/>
      </c>
      <c r="E755">
        <f>'KG1-4'!DY40</f>
        <v/>
      </c>
      <c r="F755">
        <f>'KG1-4'!DY41</f>
        <v/>
      </c>
      <c r="G755">
        <f>'KG1-4'!DY42</f>
        <v/>
      </c>
    </row>
    <row r="756">
      <c r="A756">
        <f>'KG1-4'!$B$2</f>
        <v/>
      </c>
      <c r="B756" s="126" t="n">
        <v>46405</v>
      </c>
      <c r="C756">
        <f>'KG1-4'!DZ44</f>
        <v/>
      </c>
      <c r="D756">
        <f>'KG1-4'!DZ43</f>
        <v/>
      </c>
      <c r="E756">
        <f>'KG1-4'!DZ40</f>
        <v/>
      </c>
      <c r="F756">
        <f>'KG1-4'!DZ41</f>
        <v/>
      </c>
      <c r="G756">
        <f>'KG1-4'!DZ42</f>
        <v/>
      </c>
    </row>
    <row r="757">
      <c r="A757">
        <f>'KG1-4'!$B$2</f>
        <v/>
      </c>
      <c r="B757" s="126" t="n">
        <v>46406</v>
      </c>
      <c r="C757">
        <f>'KG1-4'!EA44</f>
        <v/>
      </c>
      <c r="D757">
        <f>'KG1-4'!EA43</f>
        <v/>
      </c>
      <c r="E757">
        <f>'KG1-4'!EA40</f>
        <v/>
      </c>
      <c r="F757">
        <f>'KG1-4'!EA41</f>
        <v/>
      </c>
      <c r="G757">
        <f>'KG1-4'!EA42</f>
        <v/>
      </c>
    </row>
    <row r="758">
      <c r="A758">
        <f>'KG1-4'!$B$2</f>
        <v/>
      </c>
      <c r="B758" s="126" t="n">
        <v>46407</v>
      </c>
      <c r="C758">
        <f>'KG1-4'!EB44</f>
        <v/>
      </c>
      <c r="D758">
        <f>'KG1-4'!EB43</f>
        <v/>
      </c>
      <c r="E758">
        <f>'KG1-4'!EB40</f>
        <v/>
      </c>
      <c r="F758">
        <f>'KG1-4'!EB41</f>
        <v/>
      </c>
      <c r="G758">
        <f>'KG1-4'!EB42</f>
        <v/>
      </c>
    </row>
    <row r="759">
      <c r="A759">
        <f>'KG1-4'!$B$2</f>
        <v/>
      </c>
      <c r="B759" s="126" t="n">
        <v>46408</v>
      </c>
      <c r="C759">
        <f>'KG1-4'!EC44</f>
        <v/>
      </c>
      <c r="D759">
        <f>'KG1-4'!EC43</f>
        <v/>
      </c>
      <c r="E759">
        <f>'KG1-4'!EC40</f>
        <v/>
      </c>
      <c r="F759">
        <f>'KG1-4'!EC41</f>
        <v/>
      </c>
      <c r="G759">
        <f>'KG1-4'!EC42</f>
        <v/>
      </c>
    </row>
    <row r="760">
      <c r="A760">
        <f>'KG1-4'!$B$2</f>
        <v/>
      </c>
      <c r="B760" s="126" t="n">
        <v>46409</v>
      </c>
      <c r="C760">
        <f>'KG1-4'!ED44</f>
        <v/>
      </c>
      <c r="D760">
        <f>'KG1-4'!ED43</f>
        <v/>
      </c>
      <c r="E760">
        <f>'KG1-4'!ED40</f>
        <v/>
      </c>
      <c r="F760">
        <f>'KG1-4'!ED41</f>
        <v/>
      </c>
      <c r="G760">
        <f>'KG1-4'!ED42</f>
        <v/>
      </c>
    </row>
    <row r="761">
      <c r="A761">
        <f>'KG1-4'!$B$2</f>
        <v/>
      </c>
      <c r="B761" s="126" t="n">
        <v>46412</v>
      </c>
      <c r="C761">
        <f>'KG1-4'!EE44</f>
        <v/>
      </c>
      <c r="D761">
        <f>'KG1-4'!EE43</f>
        <v/>
      </c>
      <c r="E761">
        <f>'KG1-4'!EE40</f>
        <v/>
      </c>
      <c r="F761">
        <f>'KG1-4'!EE41</f>
        <v/>
      </c>
      <c r="G761">
        <f>'KG1-4'!EE42</f>
        <v/>
      </c>
    </row>
    <row r="762">
      <c r="A762">
        <f>'KG1-4'!$B$2</f>
        <v/>
      </c>
      <c r="B762" s="126" t="n">
        <v>46413</v>
      </c>
      <c r="C762">
        <f>'KG1-4'!EF44</f>
        <v/>
      </c>
      <c r="D762">
        <f>'KG1-4'!EF43</f>
        <v/>
      </c>
      <c r="E762">
        <f>'KG1-4'!EF40</f>
        <v/>
      </c>
      <c r="F762">
        <f>'KG1-4'!EF41</f>
        <v/>
      </c>
      <c r="G762">
        <f>'KG1-4'!EF42</f>
        <v/>
      </c>
    </row>
    <row r="763">
      <c r="A763">
        <f>'KG1-4'!$B$2</f>
        <v/>
      </c>
      <c r="B763" s="126" t="n">
        <v>46414</v>
      </c>
      <c r="C763">
        <f>'KG1-4'!EG44</f>
        <v/>
      </c>
      <c r="D763">
        <f>'KG1-4'!EG43</f>
        <v/>
      </c>
      <c r="E763">
        <f>'KG1-4'!EG40</f>
        <v/>
      </c>
      <c r="F763">
        <f>'KG1-4'!EG41</f>
        <v/>
      </c>
      <c r="G763">
        <f>'KG1-4'!EG42</f>
        <v/>
      </c>
    </row>
    <row r="764">
      <c r="A764">
        <f>'KG1-4'!$B$2</f>
        <v/>
      </c>
      <c r="B764" s="126" t="n">
        <v>46415</v>
      </c>
      <c r="C764">
        <f>'KG1-4'!EH44</f>
        <v/>
      </c>
      <c r="D764">
        <f>'KG1-4'!EH43</f>
        <v/>
      </c>
      <c r="E764">
        <f>'KG1-4'!EH40</f>
        <v/>
      </c>
      <c r="F764">
        <f>'KG1-4'!EH41</f>
        <v/>
      </c>
      <c r="G764">
        <f>'KG1-4'!EH42</f>
        <v/>
      </c>
    </row>
    <row r="765">
      <c r="A765">
        <f>'KG1-4'!$B$2</f>
        <v/>
      </c>
      <c r="B765" s="126" t="n">
        <v>46416</v>
      </c>
      <c r="C765">
        <f>'KG1-4'!EI44</f>
        <v/>
      </c>
      <c r="D765">
        <f>'KG1-4'!EI43</f>
        <v/>
      </c>
      <c r="E765">
        <f>'KG1-4'!EI40</f>
        <v/>
      </c>
      <c r="F765">
        <f>'KG1-4'!EI41</f>
        <v/>
      </c>
      <c r="G765">
        <f>'KG1-4'!EI42</f>
        <v/>
      </c>
    </row>
    <row r="766">
      <c r="A766">
        <f>'KG1-4'!$B$2</f>
        <v/>
      </c>
      <c r="B766" s="126" t="n">
        <v>46419</v>
      </c>
      <c r="C766">
        <f>'KG1-4'!EJ44</f>
        <v/>
      </c>
      <c r="D766">
        <f>'KG1-4'!EJ43</f>
        <v/>
      </c>
      <c r="E766">
        <f>'KG1-4'!EJ40</f>
        <v/>
      </c>
      <c r="F766">
        <f>'KG1-4'!EJ41</f>
        <v/>
      </c>
      <c r="G766">
        <f>'KG1-4'!EJ42</f>
        <v/>
      </c>
    </row>
    <row r="767">
      <c r="A767">
        <f>'KG1-4'!$B$2</f>
        <v/>
      </c>
      <c r="B767" s="126" t="n">
        <v>46420</v>
      </c>
      <c r="C767">
        <f>'KG1-4'!EK44</f>
        <v/>
      </c>
      <c r="D767">
        <f>'KG1-4'!EK43</f>
        <v/>
      </c>
      <c r="E767">
        <f>'KG1-4'!EK40</f>
        <v/>
      </c>
      <c r="F767">
        <f>'KG1-4'!EK41</f>
        <v/>
      </c>
      <c r="G767">
        <f>'KG1-4'!EK42</f>
        <v/>
      </c>
    </row>
    <row r="768">
      <c r="A768">
        <f>'KG1-4'!$B$2</f>
        <v/>
      </c>
      <c r="B768" s="126" t="n">
        <v>46421</v>
      </c>
      <c r="C768">
        <f>'KG1-4'!EL44</f>
        <v/>
      </c>
      <c r="D768">
        <f>'KG1-4'!EL43</f>
        <v/>
      </c>
      <c r="E768">
        <f>'KG1-4'!EL40</f>
        <v/>
      </c>
      <c r="F768">
        <f>'KG1-4'!EL41</f>
        <v/>
      </c>
      <c r="G768">
        <f>'KG1-4'!EL42</f>
        <v/>
      </c>
    </row>
    <row r="769">
      <c r="A769">
        <f>'KG1-4'!$B$2</f>
        <v/>
      </c>
      <c r="B769" s="126" t="n">
        <v>46422</v>
      </c>
      <c r="C769">
        <f>'KG1-4'!EM44</f>
        <v/>
      </c>
      <c r="D769">
        <f>'KG1-4'!EM43</f>
        <v/>
      </c>
      <c r="E769">
        <f>'KG1-4'!EM40</f>
        <v/>
      </c>
      <c r="F769">
        <f>'KG1-4'!EM41</f>
        <v/>
      </c>
      <c r="G769">
        <f>'KG1-4'!EM42</f>
        <v/>
      </c>
    </row>
    <row r="770">
      <c r="A770">
        <f>'KG1-4'!$B$2</f>
        <v/>
      </c>
      <c r="B770" s="126" t="n">
        <v>46423</v>
      </c>
      <c r="C770">
        <f>'KG1-4'!EN44</f>
        <v/>
      </c>
      <c r="D770">
        <f>'KG1-4'!EN43</f>
        <v/>
      </c>
      <c r="E770">
        <f>'KG1-4'!EN40</f>
        <v/>
      </c>
      <c r="F770">
        <f>'KG1-4'!EN41</f>
        <v/>
      </c>
      <c r="G770">
        <f>'KG1-4'!EN42</f>
        <v/>
      </c>
    </row>
    <row r="771">
      <c r="A771">
        <f>'KG1-4'!$B$2</f>
        <v/>
      </c>
      <c r="B771" s="126" t="n">
        <v>46426</v>
      </c>
      <c r="C771">
        <f>'KG1-4'!EO44</f>
        <v/>
      </c>
      <c r="D771">
        <f>'KG1-4'!EO43</f>
        <v/>
      </c>
      <c r="E771">
        <f>'KG1-4'!EO40</f>
        <v/>
      </c>
      <c r="F771">
        <f>'KG1-4'!EO41</f>
        <v/>
      </c>
      <c r="G771">
        <f>'KG1-4'!EO42</f>
        <v/>
      </c>
    </row>
    <row r="772">
      <c r="A772">
        <f>'KG1-4'!$B$2</f>
        <v/>
      </c>
      <c r="B772" s="126" t="n">
        <v>46427</v>
      </c>
      <c r="C772">
        <f>'KG1-4'!EP44</f>
        <v/>
      </c>
      <c r="D772">
        <f>'KG1-4'!EP43</f>
        <v/>
      </c>
      <c r="E772">
        <f>'KG1-4'!EP40</f>
        <v/>
      </c>
      <c r="F772">
        <f>'KG1-4'!EP41</f>
        <v/>
      </c>
      <c r="G772">
        <f>'KG1-4'!EP42</f>
        <v/>
      </c>
    </row>
    <row r="773">
      <c r="A773">
        <f>'KG1-4'!$B$2</f>
        <v/>
      </c>
      <c r="B773" s="126" t="n">
        <v>46428</v>
      </c>
      <c r="C773">
        <f>'KG1-4'!EQ44</f>
        <v/>
      </c>
      <c r="D773">
        <f>'KG1-4'!EQ43</f>
        <v/>
      </c>
      <c r="E773">
        <f>'KG1-4'!EQ40</f>
        <v/>
      </c>
      <c r="F773">
        <f>'KG1-4'!EQ41</f>
        <v/>
      </c>
      <c r="G773">
        <f>'KG1-4'!EQ42</f>
        <v/>
      </c>
    </row>
    <row r="774">
      <c r="A774">
        <f>'KG1-4'!$B$2</f>
        <v/>
      </c>
      <c r="B774" s="126" t="n">
        <v>46429</v>
      </c>
      <c r="C774">
        <f>'KG1-4'!ER44</f>
        <v/>
      </c>
      <c r="D774">
        <f>'KG1-4'!ER43</f>
        <v/>
      </c>
      <c r="E774">
        <f>'KG1-4'!ER40</f>
        <v/>
      </c>
      <c r="F774">
        <f>'KG1-4'!ER41</f>
        <v/>
      </c>
      <c r="G774">
        <f>'KG1-4'!ER42</f>
        <v/>
      </c>
    </row>
    <row r="775">
      <c r="A775">
        <f>'KG1-4'!$B$2</f>
        <v/>
      </c>
      <c r="B775" s="126" t="n">
        <v>46430</v>
      </c>
      <c r="C775">
        <f>'KG1-4'!ES44</f>
        <v/>
      </c>
      <c r="D775">
        <f>'KG1-4'!ES43</f>
        <v/>
      </c>
      <c r="E775">
        <f>'KG1-4'!ES40</f>
        <v/>
      </c>
      <c r="F775">
        <f>'KG1-4'!ES41</f>
        <v/>
      </c>
      <c r="G775">
        <f>'KG1-4'!ES42</f>
        <v/>
      </c>
    </row>
    <row r="776">
      <c r="A776">
        <f>'KG1-4'!$B$2</f>
        <v/>
      </c>
      <c r="B776" s="126" t="n">
        <v>46433</v>
      </c>
      <c r="C776">
        <f>'KG1-4'!ET44</f>
        <v/>
      </c>
      <c r="D776">
        <f>'KG1-4'!ET43</f>
        <v/>
      </c>
      <c r="E776">
        <f>'KG1-4'!ET40</f>
        <v/>
      </c>
      <c r="F776">
        <f>'KG1-4'!ET41</f>
        <v/>
      </c>
      <c r="G776">
        <f>'KG1-4'!ET42</f>
        <v/>
      </c>
    </row>
    <row r="777">
      <c r="A777">
        <f>'KG1-4'!$B$2</f>
        <v/>
      </c>
      <c r="B777" s="126" t="n">
        <v>46434</v>
      </c>
      <c r="C777">
        <f>'KG1-4'!EU44</f>
        <v/>
      </c>
      <c r="D777">
        <f>'KG1-4'!EU43</f>
        <v/>
      </c>
      <c r="E777">
        <f>'KG1-4'!EU40</f>
        <v/>
      </c>
      <c r="F777">
        <f>'KG1-4'!EU41</f>
        <v/>
      </c>
      <c r="G777">
        <f>'KG1-4'!EU42</f>
        <v/>
      </c>
    </row>
    <row r="778">
      <c r="A778">
        <f>'KG1-4'!$B$2</f>
        <v/>
      </c>
      <c r="B778" s="126" t="n">
        <v>46435</v>
      </c>
      <c r="C778">
        <f>'KG1-4'!EV44</f>
        <v/>
      </c>
      <c r="D778">
        <f>'KG1-4'!EV43</f>
        <v/>
      </c>
      <c r="E778">
        <f>'KG1-4'!EV40</f>
        <v/>
      </c>
      <c r="F778">
        <f>'KG1-4'!EV41</f>
        <v/>
      </c>
      <c r="G778">
        <f>'KG1-4'!EV42</f>
        <v/>
      </c>
    </row>
    <row r="779">
      <c r="A779">
        <f>'KG1-4'!$B$2</f>
        <v/>
      </c>
      <c r="B779" s="126" t="n">
        <v>46436</v>
      </c>
      <c r="C779">
        <f>'KG1-4'!EW44</f>
        <v/>
      </c>
      <c r="D779">
        <f>'KG1-4'!EW43</f>
        <v/>
      </c>
      <c r="E779">
        <f>'KG1-4'!EW40</f>
        <v/>
      </c>
      <c r="F779">
        <f>'KG1-4'!EW41</f>
        <v/>
      </c>
      <c r="G779">
        <f>'KG1-4'!EW42</f>
        <v/>
      </c>
    </row>
    <row r="780">
      <c r="A780">
        <f>'KG1-4'!$B$2</f>
        <v/>
      </c>
      <c r="B780" s="126" t="n">
        <v>46437</v>
      </c>
      <c r="C780">
        <f>'KG1-4'!EX44</f>
        <v/>
      </c>
      <c r="D780">
        <f>'KG1-4'!EX43</f>
        <v/>
      </c>
      <c r="E780">
        <f>'KG1-4'!EX40</f>
        <v/>
      </c>
      <c r="F780">
        <f>'KG1-4'!EX41</f>
        <v/>
      </c>
      <c r="G780">
        <f>'KG1-4'!EX42</f>
        <v/>
      </c>
    </row>
    <row r="781">
      <c r="A781">
        <f>'KG1-4'!$B$2</f>
        <v/>
      </c>
      <c r="B781" s="126" t="n">
        <v>46440</v>
      </c>
      <c r="C781">
        <f>'KG1-4'!EY44</f>
        <v/>
      </c>
      <c r="D781">
        <f>'KG1-4'!EY43</f>
        <v/>
      </c>
      <c r="E781">
        <f>'KG1-4'!EY40</f>
        <v/>
      </c>
      <c r="F781">
        <f>'KG1-4'!EY41</f>
        <v/>
      </c>
      <c r="G781">
        <f>'KG1-4'!EY42</f>
        <v/>
      </c>
    </row>
    <row r="782">
      <c r="A782">
        <f>'KG1-4'!$B$2</f>
        <v/>
      </c>
      <c r="B782" s="126" t="n">
        <v>46441</v>
      </c>
      <c r="C782">
        <f>'KG1-4'!EZ44</f>
        <v/>
      </c>
      <c r="D782">
        <f>'KG1-4'!EZ43</f>
        <v/>
      </c>
      <c r="E782">
        <f>'KG1-4'!EZ40</f>
        <v/>
      </c>
      <c r="F782">
        <f>'KG1-4'!EZ41</f>
        <v/>
      </c>
      <c r="G782">
        <f>'KG1-4'!EZ42</f>
        <v/>
      </c>
    </row>
    <row r="783">
      <c r="A783">
        <f>'KG1-4'!$B$2</f>
        <v/>
      </c>
      <c r="B783" s="126" t="n">
        <v>46442</v>
      </c>
      <c r="C783">
        <f>'KG1-4'!FA44</f>
        <v/>
      </c>
      <c r="D783">
        <f>'KG1-4'!FA43</f>
        <v/>
      </c>
      <c r="E783">
        <f>'KG1-4'!FA40</f>
        <v/>
      </c>
      <c r="F783">
        <f>'KG1-4'!FA41</f>
        <v/>
      </c>
      <c r="G783">
        <f>'KG1-4'!FA42</f>
        <v/>
      </c>
    </row>
    <row r="784">
      <c r="A784">
        <f>'KG1-4'!$B$2</f>
        <v/>
      </c>
      <c r="B784" s="126" t="n">
        <v>46443</v>
      </c>
      <c r="C784">
        <f>'KG1-4'!FB44</f>
        <v/>
      </c>
      <c r="D784">
        <f>'KG1-4'!FB43</f>
        <v/>
      </c>
      <c r="E784">
        <f>'KG1-4'!FB40</f>
        <v/>
      </c>
      <c r="F784">
        <f>'KG1-4'!FB41</f>
        <v/>
      </c>
      <c r="G784">
        <f>'KG1-4'!FB42</f>
        <v/>
      </c>
    </row>
    <row r="785">
      <c r="A785">
        <f>'KG1-4'!$B$2</f>
        <v/>
      </c>
      <c r="B785" s="126" t="n">
        <v>46444</v>
      </c>
      <c r="C785">
        <f>'KG1-4'!FC44</f>
        <v/>
      </c>
      <c r="D785">
        <f>'KG1-4'!FC43</f>
        <v/>
      </c>
      <c r="E785">
        <f>'KG1-4'!FC40</f>
        <v/>
      </c>
      <c r="F785">
        <f>'KG1-4'!FC41</f>
        <v/>
      </c>
      <c r="G785">
        <f>'KG1-4'!FC42</f>
        <v/>
      </c>
    </row>
    <row r="786">
      <c r="A786">
        <f>'KG1-4'!$B$2</f>
        <v/>
      </c>
      <c r="B786" s="126" t="n">
        <v>46447</v>
      </c>
      <c r="C786">
        <f>'KG1-4'!FD44</f>
        <v/>
      </c>
      <c r="D786">
        <f>'KG1-4'!FD43</f>
        <v/>
      </c>
      <c r="E786">
        <f>'KG1-4'!FD40</f>
        <v/>
      </c>
      <c r="F786">
        <f>'KG1-4'!FD41</f>
        <v/>
      </c>
      <c r="G786">
        <f>'KG1-4'!FD42</f>
        <v/>
      </c>
    </row>
    <row r="787">
      <c r="A787">
        <f>'KG1-4'!$B$2</f>
        <v/>
      </c>
      <c r="B787" s="126" t="n">
        <v>46448</v>
      </c>
      <c r="C787">
        <f>'KG1-4'!FE44</f>
        <v/>
      </c>
      <c r="D787">
        <f>'KG1-4'!FE43</f>
        <v/>
      </c>
      <c r="E787">
        <f>'KG1-4'!FE40</f>
        <v/>
      </c>
      <c r="F787">
        <f>'KG1-4'!FE41</f>
        <v/>
      </c>
      <c r="G787">
        <f>'KG1-4'!FE42</f>
        <v/>
      </c>
    </row>
    <row r="788">
      <c r="A788">
        <f>'KG1-4'!$B$2</f>
        <v/>
      </c>
      <c r="B788" s="126" t="n">
        <v>46449</v>
      </c>
      <c r="C788">
        <f>'KG1-4'!FF44</f>
        <v/>
      </c>
      <c r="D788">
        <f>'KG1-4'!FF43</f>
        <v/>
      </c>
      <c r="E788">
        <f>'KG1-4'!FF40</f>
        <v/>
      </c>
      <c r="F788">
        <f>'KG1-4'!FF41</f>
        <v/>
      </c>
      <c r="G788">
        <f>'KG1-4'!FF42</f>
        <v/>
      </c>
    </row>
    <row r="789">
      <c r="A789">
        <f>'KG1-4'!$B$2</f>
        <v/>
      </c>
      <c r="B789" s="126" t="n">
        <v>46450</v>
      </c>
      <c r="C789">
        <f>'KG1-4'!FG44</f>
        <v/>
      </c>
      <c r="D789">
        <f>'KG1-4'!FG43</f>
        <v/>
      </c>
      <c r="E789">
        <f>'KG1-4'!FG40</f>
        <v/>
      </c>
      <c r="F789">
        <f>'KG1-4'!FG41</f>
        <v/>
      </c>
      <c r="G789">
        <f>'KG1-4'!FG42</f>
        <v/>
      </c>
    </row>
    <row r="790">
      <c r="A790">
        <f>'KG1-4'!$B$2</f>
        <v/>
      </c>
      <c r="B790" s="126" t="n">
        <v>46451</v>
      </c>
      <c r="C790">
        <f>'KG1-4'!FH44</f>
        <v/>
      </c>
      <c r="D790">
        <f>'KG1-4'!FH43</f>
        <v/>
      </c>
      <c r="E790">
        <f>'KG1-4'!FH40</f>
        <v/>
      </c>
      <c r="F790">
        <f>'KG1-4'!FH41</f>
        <v/>
      </c>
      <c r="G790">
        <f>'KG1-4'!FH42</f>
        <v/>
      </c>
    </row>
    <row r="791">
      <c r="A791">
        <f>'KG1-4'!$B$2</f>
        <v/>
      </c>
      <c r="B791" s="126" t="n">
        <v>46454</v>
      </c>
      <c r="C791">
        <f>'KG1-4'!FI44</f>
        <v/>
      </c>
      <c r="D791">
        <f>'KG1-4'!FI43</f>
        <v/>
      </c>
      <c r="E791">
        <f>'KG1-4'!FI40</f>
        <v/>
      </c>
      <c r="F791">
        <f>'KG1-4'!FI41</f>
        <v/>
      </c>
      <c r="G791">
        <f>'KG1-4'!FI42</f>
        <v/>
      </c>
    </row>
    <row r="792">
      <c r="A792">
        <f>'KG1-4'!$B$2</f>
        <v/>
      </c>
      <c r="B792" s="126" t="n">
        <v>46455</v>
      </c>
      <c r="C792">
        <f>'KG1-4'!FJ44</f>
        <v/>
      </c>
      <c r="D792">
        <f>'KG1-4'!FJ43</f>
        <v/>
      </c>
      <c r="E792">
        <f>'KG1-4'!FJ40</f>
        <v/>
      </c>
      <c r="F792">
        <f>'KG1-4'!FJ41</f>
        <v/>
      </c>
      <c r="G792">
        <f>'KG1-4'!FJ42</f>
        <v/>
      </c>
    </row>
    <row r="793">
      <c r="A793">
        <f>'KG1-4'!$B$2</f>
        <v/>
      </c>
      <c r="B793" s="126" t="n">
        <v>46456</v>
      </c>
      <c r="C793">
        <f>'KG1-4'!FK44</f>
        <v/>
      </c>
      <c r="D793">
        <f>'KG1-4'!FK43</f>
        <v/>
      </c>
      <c r="E793">
        <f>'KG1-4'!FK40</f>
        <v/>
      </c>
      <c r="F793">
        <f>'KG1-4'!FK41</f>
        <v/>
      </c>
      <c r="G793">
        <f>'KG1-4'!FK42</f>
        <v/>
      </c>
    </row>
    <row r="794">
      <c r="A794">
        <f>'KG1-4'!$B$2</f>
        <v/>
      </c>
      <c r="B794" s="126" t="n">
        <v>46457</v>
      </c>
      <c r="C794">
        <f>'KG1-4'!FL44</f>
        <v/>
      </c>
      <c r="D794">
        <f>'KG1-4'!FL43</f>
        <v/>
      </c>
      <c r="E794">
        <f>'KG1-4'!FL40</f>
        <v/>
      </c>
      <c r="F794">
        <f>'KG1-4'!FL41</f>
        <v/>
      </c>
      <c r="G794">
        <f>'KG1-4'!FL42</f>
        <v/>
      </c>
    </row>
    <row r="795">
      <c r="A795">
        <f>'KG1-4'!$B$2</f>
        <v/>
      </c>
      <c r="B795" s="126" t="n">
        <v>46458</v>
      </c>
      <c r="C795">
        <f>'KG1-4'!FM44</f>
        <v/>
      </c>
      <c r="D795">
        <f>'KG1-4'!FM43</f>
        <v/>
      </c>
      <c r="E795">
        <f>'KG1-4'!FM40</f>
        <v/>
      </c>
      <c r="F795">
        <f>'KG1-4'!FM41</f>
        <v/>
      </c>
      <c r="G795">
        <f>'KG1-4'!FM42</f>
        <v/>
      </c>
    </row>
    <row r="796">
      <c r="A796">
        <f>'KG1-4'!$B$2</f>
        <v/>
      </c>
      <c r="B796" s="126" t="n">
        <v>46461</v>
      </c>
      <c r="C796">
        <f>'KG1-4'!FN44</f>
        <v/>
      </c>
      <c r="D796">
        <f>'KG1-4'!FN43</f>
        <v/>
      </c>
      <c r="E796">
        <f>'KG1-4'!FN40</f>
        <v/>
      </c>
      <c r="F796">
        <f>'KG1-4'!FN41</f>
        <v/>
      </c>
      <c r="G796">
        <f>'KG1-4'!FN42</f>
        <v/>
      </c>
    </row>
    <row r="797">
      <c r="A797">
        <f>'KG1-4'!$B$2</f>
        <v/>
      </c>
      <c r="B797" s="126" t="n">
        <v>46462</v>
      </c>
      <c r="C797">
        <f>'KG1-4'!FO44</f>
        <v/>
      </c>
      <c r="D797">
        <f>'KG1-4'!FO43</f>
        <v/>
      </c>
      <c r="E797">
        <f>'KG1-4'!FO40</f>
        <v/>
      </c>
      <c r="F797">
        <f>'KG1-4'!FO41</f>
        <v/>
      </c>
      <c r="G797">
        <f>'KG1-4'!FO42</f>
        <v/>
      </c>
    </row>
    <row r="798">
      <c r="A798">
        <f>'KG1-4'!$B$2</f>
        <v/>
      </c>
      <c r="B798" s="126" t="n">
        <v>46463</v>
      </c>
      <c r="C798">
        <f>'KG1-4'!FP44</f>
        <v/>
      </c>
      <c r="D798">
        <f>'KG1-4'!FP43</f>
        <v/>
      </c>
      <c r="E798">
        <f>'KG1-4'!FP40</f>
        <v/>
      </c>
      <c r="F798">
        <f>'KG1-4'!FP41</f>
        <v/>
      </c>
      <c r="G798">
        <f>'KG1-4'!FP42</f>
        <v/>
      </c>
    </row>
    <row r="799">
      <c r="A799">
        <f>'KG1-4'!$B$2</f>
        <v/>
      </c>
      <c r="B799" s="126" t="n">
        <v>46464</v>
      </c>
      <c r="C799">
        <f>'KG1-4'!FQ44</f>
        <v/>
      </c>
      <c r="D799">
        <f>'KG1-4'!FQ43</f>
        <v/>
      </c>
      <c r="E799">
        <f>'KG1-4'!FQ40</f>
        <v/>
      </c>
      <c r="F799">
        <f>'KG1-4'!FQ41</f>
        <v/>
      </c>
      <c r="G799">
        <f>'KG1-4'!FQ42</f>
        <v/>
      </c>
    </row>
    <row r="800">
      <c r="A800">
        <f>'KG1-4'!$B$2</f>
        <v/>
      </c>
      <c r="B800" s="126" t="n">
        <v>46465</v>
      </c>
      <c r="C800">
        <f>'KG1-4'!FR44</f>
        <v/>
      </c>
      <c r="D800">
        <f>'KG1-4'!FR43</f>
        <v/>
      </c>
      <c r="E800">
        <f>'KG1-4'!FR40</f>
        <v/>
      </c>
      <c r="F800">
        <f>'KG1-4'!FR41</f>
        <v/>
      </c>
      <c r="G800">
        <f>'KG1-4'!FR42</f>
        <v/>
      </c>
    </row>
    <row r="801">
      <c r="A801">
        <f>'KG1-4'!$B$2</f>
        <v/>
      </c>
      <c r="B801" s="126" t="n">
        <v>46468</v>
      </c>
      <c r="C801">
        <f>'KG1-4'!FS44</f>
        <v/>
      </c>
      <c r="D801">
        <f>'KG1-4'!FS43</f>
        <v/>
      </c>
      <c r="E801">
        <f>'KG1-4'!FS40</f>
        <v/>
      </c>
      <c r="F801">
        <f>'KG1-4'!FS41</f>
        <v/>
      </c>
      <c r="G801">
        <f>'KG1-4'!FS42</f>
        <v/>
      </c>
    </row>
    <row r="802">
      <c r="A802">
        <f>'KG1-4'!$B$2</f>
        <v/>
      </c>
      <c r="B802" s="126" t="n">
        <v>46469</v>
      </c>
      <c r="C802">
        <f>'KG1-4'!FT44</f>
        <v/>
      </c>
      <c r="D802">
        <f>'KG1-4'!FT43</f>
        <v/>
      </c>
      <c r="E802">
        <f>'KG1-4'!FT40</f>
        <v/>
      </c>
      <c r="F802">
        <f>'KG1-4'!FT41</f>
        <v/>
      </c>
      <c r="G802">
        <f>'KG1-4'!FT42</f>
        <v/>
      </c>
    </row>
    <row r="803">
      <c r="A803">
        <f>'KG1-4'!$B$2</f>
        <v/>
      </c>
      <c r="B803" s="126" t="n">
        <v>46470</v>
      </c>
      <c r="C803">
        <f>'KG1-4'!FU44</f>
        <v/>
      </c>
      <c r="D803">
        <f>'KG1-4'!FU43</f>
        <v/>
      </c>
      <c r="E803">
        <f>'KG1-4'!FU40</f>
        <v/>
      </c>
      <c r="F803">
        <f>'KG1-4'!FU41</f>
        <v/>
      </c>
      <c r="G803">
        <f>'KG1-4'!FU42</f>
        <v/>
      </c>
    </row>
    <row r="804">
      <c r="A804">
        <f>'KG1-4'!$B$2</f>
        <v/>
      </c>
      <c r="B804" s="126" t="n">
        <v>46471</v>
      </c>
      <c r="C804">
        <f>'KG1-4'!FV44</f>
        <v/>
      </c>
      <c r="D804">
        <f>'KG1-4'!FV43</f>
        <v/>
      </c>
      <c r="E804">
        <f>'KG1-4'!FV40</f>
        <v/>
      </c>
      <c r="F804">
        <f>'KG1-4'!FV41</f>
        <v/>
      </c>
      <c r="G804">
        <f>'KG1-4'!FV42</f>
        <v/>
      </c>
    </row>
    <row r="805">
      <c r="A805">
        <f>'KG1-4'!$B$2</f>
        <v/>
      </c>
      <c r="B805" s="126" t="n">
        <v>46472</v>
      </c>
      <c r="C805">
        <f>'KG1-4'!FW44</f>
        <v/>
      </c>
      <c r="D805">
        <f>'KG1-4'!FW43</f>
        <v/>
      </c>
      <c r="E805">
        <f>'KG1-4'!FW40</f>
        <v/>
      </c>
      <c r="F805">
        <f>'KG1-4'!FW41</f>
        <v/>
      </c>
      <c r="G805">
        <f>'KG1-4'!FW42</f>
        <v/>
      </c>
    </row>
    <row r="806">
      <c r="A806">
        <f>'KG1-4'!$B$2</f>
        <v/>
      </c>
      <c r="B806" s="126" t="n">
        <v>46475</v>
      </c>
      <c r="C806">
        <f>'KG1-4'!FX44</f>
        <v/>
      </c>
      <c r="D806">
        <f>'KG1-4'!FX43</f>
        <v/>
      </c>
      <c r="E806">
        <f>'KG1-4'!FX40</f>
        <v/>
      </c>
      <c r="F806">
        <f>'KG1-4'!FX41</f>
        <v/>
      </c>
      <c r="G806">
        <f>'KG1-4'!FX42</f>
        <v/>
      </c>
    </row>
    <row r="807">
      <c r="A807">
        <f>'KG1-4'!$B$2</f>
        <v/>
      </c>
      <c r="B807" s="126" t="n">
        <v>46476</v>
      </c>
      <c r="C807">
        <f>'KG1-4'!FY44</f>
        <v/>
      </c>
      <c r="D807">
        <f>'KG1-4'!FY43</f>
        <v/>
      </c>
      <c r="E807">
        <f>'KG1-4'!FY40</f>
        <v/>
      </c>
      <c r="F807">
        <f>'KG1-4'!FY41</f>
        <v/>
      </c>
      <c r="G807">
        <f>'KG1-4'!FY42</f>
        <v/>
      </c>
    </row>
    <row r="808">
      <c r="A808">
        <f>'KG1-4'!$B$2</f>
        <v/>
      </c>
      <c r="B808" s="126" t="n">
        <v>46477</v>
      </c>
      <c r="C808">
        <f>'KG1-4'!FZ44</f>
        <v/>
      </c>
      <c r="D808">
        <f>'KG1-4'!FZ43</f>
        <v/>
      </c>
      <c r="E808">
        <f>'KG1-4'!FZ40</f>
        <v/>
      </c>
      <c r="F808">
        <f>'KG1-4'!FZ41</f>
        <v/>
      </c>
      <c r="G808">
        <f>'KG1-4'!FZ42</f>
        <v/>
      </c>
    </row>
    <row r="809">
      <c r="A809">
        <f>'KG1-4'!$B$2</f>
        <v/>
      </c>
      <c r="B809" s="126" t="n">
        <v>46478</v>
      </c>
      <c r="C809">
        <f>'KG1-4'!GA44</f>
        <v/>
      </c>
      <c r="D809">
        <f>'KG1-4'!GA43</f>
        <v/>
      </c>
      <c r="E809">
        <f>'KG1-4'!GA40</f>
        <v/>
      </c>
      <c r="F809">
        <f>'KG1-4'!GA41</f>
        <v/>
      </c>
      <c r="G809">
        <f>'KG1-4'!GA42</f>
        <v/>
      </c>
    </row>
    <row r="810">
      <c r="A810">
        <f>'KG1-4'!$B$2</f>
        <v/>
      </c>
      <c r="B810" s="126" t="n">
        <v>46479</v>
      </c>
      <c r="C810">
        <f>'KG1-4'!GB44</f>
        <v/>
      </c>
      <c r="D810">
        <f>'KG1-4'!GB43</f>
        <v/>
      </c>
      <c r="E810">
        <f>'KG1-4'!GB40</f>
        <v/>
      </c>
      <c r="F810">
        <f>'KG1-4'!GB41</f>
        <v/>
      </c>
      <c r="G810">
        <f>'KG1-4'!GB42</f>
        <v/>
      </c>
    </row>
    <row r="811">
      <c r="A811">
        <f>'KG1-4'!$B$2</f>
        <v/>
      </c>
      <c r="B811" s="126" t="n">
        <v>46482</v>
      </c>
      <c r="C811">
        <f>'KG1-4'!GC44</f>
        <v/>
      </c>
      <c r="D811">
        <f>'KG1-4'!GC43</f>
        <v/>
      </c>
      <c r="E811">
        <f>'KG1-4'!GC40</f>
        <v/>
      </c>
      <c r="F811">
        <f>'KG1-4'!GC41</f>
        <v/>
      </c>
      <c r="G811">
        <f>'KG1-4'!GC42</f>
        <v/>
      </c>
    </row>
    <row r="812">
      <c r="A812">
        <f>'KG1-4'!$B$2</f>
        <v/>
      </c>
      <c r="B812" s="126" t="n">
        <v>46483</v>
      </c>
      <c r="C812">
        <f>'KG1-4'!GD44</f>
        <v/>
      </c>
      <c r="D812">
        <f>'KG1-4'!GD43</f>
        <v/>
      </c>
      <c r="E812">
        <f>'KG1-4'!GD40</f>
        <v/>
      </c>
      <c r="F812">
        <f>'KG1-4'!GD41</f>
        <v/>
      </c>
      <c r="G812">
        <f>'KG1-4'!GD42</f>
        <v/>
      </c>
    </row>
    <row r="813">
      <c r="A813">
        <f>'KG1-4'!$B$2</f>
        <v/>
      </c>
      <c r="B813" s="126" t="n">
        <v>46484</v>
      </c>
      <c r="C813">
        <f>'KG1-4'!GE44</f>
        <v/>
      </c>
      <c r="D813">
        <f>'KG1-4'!GE43</f>
        <v/>
      </c>
      <c r="E813">
        <f>'KG1-4'!GE40</f>
        <v/>
      </c>
      <c r="F813">
        <f>'KG1-4'!GE41</f>
        <v/>
      </c>
      <c r="G813">
        <f>'KG1-4'!GE42</f>
        <v/>
      </c>
    </row>
    <row r="814">
      <c r="A814">
        <f>'KG1-4'!$B$2</f>
        <v/>
      </c>
      <c r="B814" s="126" t="n">
        <v>46485</v>
      </c>
      <c r="C814">
        <f>'KG1-4'!GF44</f>
        <v/>
      </c>
      <c r="D814">
        <f>'KG1-4'!GF43</f>
        <v/>
      </c>
      <c r="E814">
        <f>'KG1-4'!GF40</f>
        <v/>
      </c>
      <c r="F814">
        <f>'KG1-4'!GF41</f>
        <v/>
      </c>
      <c r="G814">
        <f>'KG1-4'!GF42</f>
        <v/>
      </c>
    </row>
    <row r="815">
      <c r="A815">
        <f>'KG1-4'!$B$2</f>
        <v/>
      </c>
      <c r="B815" s="126" t="n">
        <v>46486</v>
      </c>
      <c r="C815">
        <f>'KG1-4'!GG44</f>
        <v/>
      </c>
      <c r="D815">
        <f>'KG1-4'!GG43</f>
        <v/>
      </c>
      <c r="E815">
        <f>'KG1-4'!GG40</f>
        <v/>
      </c>
      <c r="F815">
        <f>'KG1-4'!GG41</f>
        <v/>
      </c>
      <c r="G815">
        <f>'KG1-4'!GG42</f>
        <v/>
      </c>
    </row>
    <row r="816">
      <c r="A816">
        <f>'KG1-4'!$B$2</f>
        <v/>
      </c>
      <c r="B816" s="126" t="n">
        <v>46489</v>
      </c>
      <c r="C816">
        <f>'KG1-4'!GH44</f>
        <v/>
      </c>
      <c r="D816">
        <f>'KG1-4'!GH43</f>
        <v/>
      </c>
      <c r="E816">
        <f>'KG1-4'!GH40</f>
        <v/>
      </c>
      <c r="F816">
        <f>'KG1-4'!GH41</f>
        <v/>
      </c>
      <c r="G816">
        <f>'KG1-4'!GH42</f>
        <v/>
      </c>
    </row>
    <row r="817">
      <c r="A817">
        <f>'KG1-4'!$B$2</f>
        <v/>
      </c>
      <c r="B817" s="126" t="n">
        <v>46490</v>
      </c>
      <c r="C817">
        <f>'KG1-4'!GI44</f>
        <v/>
      </c>
      <c r="D817">
        <f>'KG1-4'!GI43</f>
        <v/>
      </c>
      <c r="E817">
        <f>'KG1-4'!GI40</f>
        <v/>
      </c>
      <c r="F817">
        <f>'KG1-4'!GI41</f>
        <v/>
      </c>
      <c r="G817">
        <f>'KG1-4'!GI42</f>
        <v/>
      </c>
    </row>
    <row r="818">
      <c r="A818">
        <f>'KG1-4'!$B$2</f>
        <v/>
      </c>
      <c r="B818" s="126" t="n">
        <v>46491</v>
      </c>
      <c r="C818">
        <f>'KG1-4'!GJ44</f>
        <v/>
      </c>
      <c r="D818">
        <f>'KG1-4'!GJ43</f>
        <v/>
      </c>
      <c r="E818">
        <f>'KG1-4'!GJ40</f>
        <v/>
      </c>
      <c r="F818">
        <f>'KG1-4'!GJ41</f>
        <v/>
      </c>
      <c r="G818">
        <f>'KG1-4'!GJ42</f>
        <v/>
      </c>
    </row>
    <row r="819">
      <c r="A819">
        <f>'KG1-4'!$B$2</f>
        <v/>
      </c>
      <c r="B819" s="126" t="n">
        <v>46492</v>
      </c>
      <c r="C819">
        <f>'KG1-4'!GK44</f>
        <v/>
      </c>
      <c r="D819">
        <f>'KG1-4'!GK43</f>
        <v/>
      </c>
      <c r="E819">
        <f>'KG1-4'!GK40</f>
        <v/>
      </c>
      <c r="F819">
        <f>'KG1-4'!GK41</f>
        <v/>
      </c>
      <c r="G819">
        <f>'KG1-4'!GK42</f>
        <v/>
      </c>
    </row>
    <row r="820">
      <c r="A820">
        <f>'KG1-4'!$B$2</f>
        <v/>
      </c>
      <c r="B820" s="126" t="n">
        <v>46493</v>
      </c>
      <c r="C820">
        <f>'KG1-4'!GL44</f>
        <v/>
      </c>
      <c r="D820">
        <f>'KG1-4'!GL43</f>
        <v/>
      </c>
      <c r="E820">
        <f>'KG1-4'!GL40</f>
        <v/>
      </c>
      <c r="F820">
        <f>'KG1-4'!GL41</f>
        <v/>
      </c>
      <c r="G820">
        <f>'KG1-4'!GL42</f>
        <v/>
      </c>
    </row>
    <row r="821">
      <c r="A821">
        <f>'KG1-4'!$B$2</f>
        <v/>
      </c>
      <c r="B821" s="126" t="n">
        <v>46496</v>
      </c>
      <c r="C821">
        <f>'KG1-4'!GM44</f>
        <v/>
      </c>
      <c r="D821">
        <f>'KG1-4'!GM43</f>
        <v/>
      </c>
      <c r="E821">
        <f>'KG1-4'!GM40</f>
        <v/>
      </c>
      <c r="F821">
        <f>'KG1-4'!GM41</f>
        <v/>
      </c>
      <c r="G821">
        <f>'KG1-4'!GM42</f>
        <v/>
      </c>
    </row>
    <row r="822">
      <c r="A822">
        <f>'KG1-4'!$B$2</f>
        <v/>
      </c>
      <c r="B822" s="126" t="n">
        <v>46497</v>
      </c>
      <c r="C822">
        <f>'KG1-4'!GN44</f>
        <v/>
      </c>
      <c r="D822">
        <f>'KG1-4'!GN43</f>
        <v/>
      </c>
      <c r="E822">
        <f>'KG1-4'!GN40</f>
        <v/>
      </c>
      <c r="F822">
        <f>'KG1-4'!GN41</f>
        <v/>
      </c>
      <c r="G822">
        <f>'KG1-4'!GN42</f>
        <v/>
      </c>
    </row>
    <row r="823">
      <c r="A823">
        <f>'KG1-4'!$B$2</f>
        <v/>
      </c>
      <c r="B823" s="126" t="n">
        <v>46498</v>
      </c>
      <c r="C823">
        <f>'KG1-4'!GO44</f>
        <v/>
      </c>
      <c r="D823">
        <f>'KG1-4'!GO43</f>
        <v/>
      </c>
      <c r="E823">
        <f>'KG1-4'!GO40</f>
        <v/>
      </c>
      <c r="F823">
        <f>'KG1-4'!GO41</f>
        <v/>
      </c>
      <c r="G823">
        <f>'KG1-4'!GO42</f>
        <v/>
      </c>
    </row>
    <row r="824">
      <c r="A824">
        <f>'KG1-4'!$B$2</f>
        <v/>
      </c>
      <c r="B824" s="126" t="n">
        <v>46499</v>
      </c>
      <c r="C824">
        <f>'KG1-4'!GP44</f>
        <v/>
      </c>
      <c r="D824">
        <f>'KG1-4'!GP43</f>
        <v/>
      </c>
      <c r="E824">
        <f>'KG1-4'!GP40</f>
        <v/>
      </c>
      <c r="F824">
        <f>'KG1-4'!GP41</f>
        <v/>
      </c>
      <c r="G824">
        <f>'KG1-4'!GP42</f>
        <v/>
      </c>
    </row>
    <row r="825">
      <c r="A825">
        <f>'KG1-4'!$B$2</f>
        <v/>
      </c>
      <c r="B825" s="126" t="n">
        <v>46500</v>
      </c>
      <c r="C825">
        <f>'KG1-4'!GQ44</f>
        <v/>
      </c>
      <c r="D825">
        <f>'KG1-4'!GQ43</f>
        <v/>
      </c>
      <c r="E825">
        <f>'KG1-4'!GQ40</f>
        <v/>
      </c>
      <c r="F825">
        <f>'KG1-4'!GQ41</f>
        <v/>
      </c>
      <c r="G825">
        <f>'KG1-4'!GQ42</f>
        <v/>
      </c>
    </row>
    <row r="826">
      <c r="A826">
        <f>'KG1-4'!$B$2</f>
        <v/>
      </c>
      <c r="B826" s="126" t="n">
        <v>46503</v>
      </c>
      <c r="C826">
        <f>'KG1-4'!GR44</f>
        <v/>
      </c>
      <c r="D826">
        <f>'KG1-4'!GR43</f>
        <v/>
      </c>
      <c r="E826">
        <f>'KG1-4'!GR40</f>
        <v/>
      </c>
      <c r="F826">
        <f>'KG1-4'!GR41</f>
        <v/>
      </c>
      <c r="G826">
        <f>'KG1-4'!GR42</f>
        <v/>
      </c>
    </row>
    <row r="827">
      <c r="A827">
        <f>'KG1-4'!$B$2</f>
        <v/>
      </c>
      <c r="B827" s="126" t="n">
        <v>46504</v>
      </c>
      <c r="C827">
        <f>'KG1-4'!GS44</f>
        <v/>
      </c>
      <c r="D827">
        <f>'KG1-4'!GS43</f>
        <v/>
      </c>
      <c r="E827">
        <f>'KG1-4'!GS40</f>
        <v/>
      </c>
      <c r="F827">
        <f>'KG1-4'!GS41</f>
        <v/>
      </c>
      <c r="G827">
        <f>'KG1-4'!GS42</f>
        <v/>
      </c>
    </row>
    <row r="828">
      <c r="A828">
        <f>'KG1-4'!$B$2</f>
        <v/>
      </c>
      <c r="B828" s="126" t="n">
        <v>46505</v>
      </c>
      <c r="C828">
        <f>'KG1-4'!GT44</f>
        <v/>
      </c>
      <c r="D828">
        <f>'KG1-4'!GT43</f>
        <v/>
      </c>
      <c r="E828">
        <f>'KG1-4'!GT40</f>
        <v/>
      </c>
      <c r="F828">
        <f>'KG1-4'!GT41</f>
        <v/>
      </c>
      <c r="G828">
        <f>'KG1-4'!GT42</f>
        <v/>
      </c>
    </row>
    <row r="829">
      <c r="A829">
        <f>'KG1-4'!$B$2</f>
        <v/>
      </c>
      <c r="B829" s="126" t="n">
        <v>46506</v>
      </c>
      <c r="C829">
        <f>'KG1-4'!GU44</f>
        <v/>
      </c>
      <c r="D829">
        <f>'KG1-4'!GU43</f>
        <v/>
      </c>
      <c r="E829">
        <f>'KG1-4'!GU40</f>
        <v/>
      </c>
      <c r="F829">
        <f>'KG1-4'!GU41</f>
        <v/>
      </c>
      <c r="G829">
        <f>'KG1-4'!GU42</f>
        <v/>
      </c>
    </row>
    <row r="830">
      <c r="A830">
        <f>'KG1-4'!$B$2</f>
        <v/>
      </c>
      <c r="B830" s="126" t="n">
        <v>46507</v>
      </c>
      <c r="C830">
        <f>'KG1-4'!GV44</f>
        <v/>
      </c>
      <c r="D830">
        <f>'KG1-4'!GV43</f>
        <v/>
      </c>
      <c r="E830">
        <f>'KG1-4'!GV40</f>
        <v/>
      </c>
      <c r="F830">
        <f>'KG1-4'!GV41</f>
        <v/>
      </c>
      <c r="G830">
        <f>'KG1-4'!GV42</f>
        <v/>
      </c>
    </row>
    <row r="831">
      <c r="A831">
        <f>'KG1-4'!$B$2</f>
        <v/>
      </c>
      <c r="B831" s="126" t="n">
        <v>46510</v>
      </c>
      <c r="C831">
        <f>'KG1-4'!GW44</f>
        <v/>
      </c>
      <c r="D831">
        <f>'KG1-4'!GW43</f>
        <v/>
      </c>
      <c r="E831">
        <f>'KG1-4'!GW40</f>
        <v/>
      </c>
      <c r="F831">
        <f>'KG1-4'!GW41</f>
        <v/>
      </c>
      <c r="G831">
        <f>'KG1-4'!GW42</f>
        <v/>
      </c>
    </row>
    <row r="832">
      <c r="A832">
        <f>'KG1-4'!$B$2</f>
        <v/>
      </c>
      <c r="B832" s="126" t="n">
        <v>46511</v>
      </c>
      <c r="C832">
        <f>'KG1-4'!GX44</f>
        <v/>
      </c>
      <c r="D832">
        <f>'KG1-4'!GX43</f>
        <v/>
      </c>
      <c r="E832">
        <f>'KG1-4'!GX40</f>
        <v/>
      </c>
      <c r="F832">
        <f>'KG1-4'!GX41</f>
        <v/>
      </c>
      <c r="G832">
        <f>'KG1-4'!GX42</f>
        <v/>
      </c>
    </row>
    <row r="833">
      <c r="A833">
        <f>'KG1-4'!$B$2</f>
        <v/>
      </c>
      <c r="B833" s="126" t="n">
        <v>46512</v>
      </c>
      <c r="C833">
        <f>'KG1-4'!GY44</f>
        <v/>
      </c>
      <c r="D833">
        <f>'KG1-4'!GY43</f>
        <v/>
      </c>
      <c r="E833">
        <f>'KG1-4'!GY40</f>
        <v/>
      </c>
      <c r="F833">
        <f>'KG1-4'!GY41</f>
        <v/>
      </c>
      <c r="G833">
        <f>'KG1-4'!GY42</f>
        <v/>
      </c>
    </row>
    <row r="834">
      <c r="A834">
        <f>'KG1-4'!$B$2</f>
        <v/>
      </c>
      <c r="B834" s="126" t="n">
        <v>46513</v>
      </c>
      <c r="C834">
        <f>'KG1-4'!GZ44</f>
        <v/>
      </c>
      <c r="D834">
        <f>'KG1-4'!GZ43</f>
        <v/>
      </c>
      <c r="E834">
        <f>'KG1-4'!GZ40</f>
        <v/>
      </c>
      <c r="F834">
        <f>'KG1-4'!GZ41</f>
        <v/>
      </c>
      <c r="G834">
        <f>'KG1-4'!GZ42</f>
        <v/>
      </c>
    </row>
    <row r="835">
      <c r="A835">
        <f>'KG1-4'!$B$2</f>
        <v/>
      </c>
      <c r="B835" s="126" t="n">
        <v>46514</v>
      </c>
      <c r="C835">
        <f>'KG1-4'!HA44</f>
        <v/>
      </c>
      <c r="D835">
        <f>'KG1-4'!HA43</f>
        <v/>
      </c>
      <c r="E835">
        <f>'KG1-4'!HA40</f>
        <v/>
      </c>
      <c r="F835">
        <f>'KG1-4'!HA41</f>
        <v/>
      </c>
      <c r="G835">
        <f>'KG1-4'!HA42</f>
        <v/>
      </c>
    </row>
    <row r="836">
      <c r="A836">
        <f>'KG1-4'!$B$2</f>
        <v/>
      </c>
      <c r="B836" s="126" t="n">
        <v>46517</v>
      </c>
      <c r="C836">
        <f>'KG1-4'!HB44</f>
        <v/>
      </c>
      <c r="D836">
        <f>'KG1-4'!HB43</f>
        <v/>
      </c>
      <c r="E836">
        <f>'KG1-4'!HB40</f>
        <v/>
      </c>
      <c r="F836">
        <f>'KG1-4'!HB41</f>
        <v/>
      </c>
      <c r="G836">
        <f>'KG1-4'!HB42</f>
        <v/>
      </c>
    </row>
    <row r="837">
      <c r="A837">
        <f>'KG1-4'!$B$2</f>
        <v/>
      </c>
      <c r="B837" s="126" t="n">
        <v>46518</v>
      </c>
      <c r="C837">
        <f>'KG1-4'!HC44</f>
        <v/>
      </c>
      <c r="D837">
        <f>'KG1-4'!HC43</f>
        <v/>
      </c>
      <c r="E837">
        <f>'KG1-4'!HC40</f>
        <v/>
      </c>
      <c r="F837">
        <f>'KG1-4'!HC41</f>
        <v/>
      </c>
      <c r="G837">
        <f>'KG1-4'!HC42</f>
        <v/>
      </c>
    </row>
    <row r="838">
      <c r="A838">
        <f>'KG1-4'!$B$2</f>
        <v/>
      </c>
      <c r="B838" s="126" t="n">
        <v>46519</v>
      </c>
      <c r="C838">
        <f>'KG1-4'!HD44</f>
        <v/>
      </c>
      <c r="D838">
        <f>'KG1-4'!HD43</f>
        <v/>
      </c>
      <c r="E838">
        <f>'KG1-4'!HD40</f>
        <v/>
      </c>
      <c r="F838">
        <f>'KG1-4'!HD41</f>
        <v/>
      </c>
      <c r="G838">
        <f>'KG1-4'!HD42</f>
        <v/>
      </c>
    </row>
    <row r="839">
      <c r="A839">
        <f>'KG1-4'!$B$2</f>
        <v/>
      </c>
      <c r="B839" s="126" t="n">
        <v>46520</v>
      </c>
      <c r="C839">
        <f>'KG1-4'!HE44</f>
        <v/>
      </c>
      <c r="D839">
        <f>'KG1-4'!HE43</f>
        <v/>
      </c>
      <c r="E839">
        <f>'KG1-4'!HE40</f>
        <v/>
      </c>
      <c r="F839">
        <f>'KG1-4'!HE41</f>
        <v/>
      </c>
      <c r="G839">
        <f>'KG1-4'!HE42</f>
        <v/>
      </c>
    </row>
    <row r="840">
      <c r="A840">
        <f>'KG1-4'!$B$2</f>
        <v/>
      </c>
      <c r="B840" s="126" t="n">
        <v>46521</v>
      </c>
      <c r="C840">
        <f>'KG1-4'!HF44</f>
        <v/>
      </c>
      <c r="D840">
        <f>'KG1-4'!HF43</f>
        <v/>
      </c>
      <c r="E840">
        <f>'KG1-4'!HF40</f>
        <v/>
      </c>
      <c r="F840">
        <f>'KG1-4'!HF41</f>
        <v/>
      </c>
      <c r="G840">
        <f>'KG1-4'!HF42</f>
        <v/>
      </c>
    </row>
    <row r="841">
      <c r="A841">
        <f>'KG1-4'!$B$2</f>
        <v/>
      </c>
      <c r="B841" s="126" t="n">
        <v>46524</v>
      </c>
      <c r="C841">
        <f>'KG1-4'!HG44</f>
        <v/>
      </c>
      <c r="D841">
        <f>'KG1-4'!HG43</f>
        <v/>
      </c>
      <c r="E841">
        <f>'KG1-4'!HG40</f>
        <v/>
      </c>
      <c r="F841">
        <f>'KG1-4'!HG41</f>
        <v/>
      </c>
      <c r="G841">
        <f>'KG1-4'!HG42</f>
        <v/>
      </c>
    </row>
    <row r="842">
      <c r="A842">
        <f>'KG1-4'!$B$2</f>
        <v/>
      </c>
      <c r="B842" s="126" t="n">
        <v>46525</v>
      </c>
      <c r="C842">
        <f>'KG1-4'!HH44</f>
        <v/>
      </c>
      <c r="D842">
        <f>'KG1-4'!HH43</f>
        <v/>
      </c>
      <c r="E842">
        <f>'KG1-4'!HH40</f>
        <v/>
      </c>
      <c r="F842">
        <f>'KG1-4'!HH41</f>
        <v/>
      </c>
      <c r="G842">
        <f>'KG1-4'!HH42</f>
        <v/>
      </c>
    </row>
    <row r="843">
      <c r="A843">
        <f>'KG1-4'!$B$2</f>
        <v/>
      </c>
      <c r="B843" s="126" t="n">
        <v>46526</v>
      </c>
      <c r="C843">
        <f>'KG1-4'!HI44</f>
        <v/>
      </c>
      <c r="D843">
        <f>'KG1-4'!HI43</f>
        <v/>
      </c>
      <c r="E843">
        <f>'KG1-4'!HI40</f>
        <v/>
      </c>
      <c r="F843">
        <f>'KG1-4'!HI41</f>
        <v/>
      </c>
      <c r="G843">
        <f>'KG1-4'!HI42</f>
        <v/>
      </c>
    </row>
    <row r="844">
      <c r="A844">
        <f>'KG1-4'!$B$2</f>
        <v/>
      </c>
      <c r="B844" s="126" t="n">
        <v>46527</v>
      </c>
      <c r="C844">
        <f>'KG1-4'!HJ44</f>
        <v/>
      </c>
      <c r="D844">
        <f>'KG1-4'!HJ43</f>
        <v/>
      </c>
      <c r="E844">
        <f>'KG1-4'!HJ40</f>
        <v/>
      </c>
      <c r="F844">
        <f>'KG1-4'!HJ41</f>
        <v/>
      </c>
      <c r="G844">
        <f>'KG1-4'!HJ42</f>
        <v/>
      </c>
    </row>
    <row r="845">
      <c r="A845">
        <f>'KG1-4'!$B$2</f>
        <v/>
      </c>
      <c r="B845" s="126" t="n">
        <v>46528</v>
      </c>
      <c r="C845">
        <f>'KG1-4'!HK44</f>
        <v/>
      </c>
      <c r="D845">
        <f>'KG1-4'!HK43</f>
        <v/>
      </c>
      <c r="E845">
        <f>'KG1-4'!HK40</f>
        <v/>
      </c>
      <c r="F845">
        <f>'KG1-4'!HK41</f>
        <v/>
      </c>
      <c r="G845">
        <f>'KG1-4'!HK42</f>
        <v/>
      </c>
    </row>
    <row r="846">
      <c r="A846">
        <f>'KG1-4'!$B$2</f>
        <v/>
      </c>
      <c r="B846" s="126" t="n">
        <v>46531</v>
      </c>
      <c r="C846">
        <f>'KG1-4'!HL44</f>
        <v/>
      </c>
      <c r="D846">
        <f>'KG1-4'!HL43</f>
        <v/>
      </c>
      <c r="E846">
        <f>'KG1-4'!HL40</f>
        <v/>
      </c>
      <c r="F846">
        <f>'KG1-4'!HL41</f>
        <v/>
      </c>
      <c r="G846">
        <f>'KG1-4'!HL42</f>
        <v/>
      </c>
    </row>
    <row r="847">
      <c r="A847">
        <f>'KG1-4'!$B$2</f>
        <v/>
      </c>
      <c r="B847" s="126" t="n">
        <v>46532</v>
      </c>
      <c r="C847">
        <f>'KG1-4'!HM44</f>
        <v/>
      </c>
      <c r="D847">
        <f>'KG1-4'!HM43</f>
        <v/>
      </c>
      <c r="E847">
        <f>'KG1-4'!HM40</f>
        <v/>
      </c>
      <c r="F847">
        <f>'KG1-4'!HM41</f>
        <v/>
      </c>
      <c r="G847">
        <f>'KG1-4'!HM42</f>
        <v/>
      </c>
    </row>
    <row r="848">
      <c r="A848">
        <f>'KG1-4'!$B$2</f>
        <v/>
      </c>
      <c r="B848" s="126" t="n">
        <v>46533</v>
      </c>
      <c r="C848">
        <f>'KG1-4'!HN44</f>
        <v/>
      </c>
      <c r="D848">
        <f>'KG1-4'!HN43</f>
        <v/>
      </c>
      <c r="E848">
        <f>'KG1-4'!HN40</f>
        <v/>
      </c>
      <c r="F848">
        <f>'KG1-4'!HN41</f>
        <v/>
      </c>
      <c r="G848">
        <f>'KG1-4'!HN42</f>
        <v/>
      </c>
    </row>
    <row r="849">
      <c r="A849">
        <f>'KG1-4'!$B$2</f>
        <v/>
      </c>
      <c r="B849" s="126" t="n">
        <v>46534</v>
      </c>
      <c r="C849">
        <f>'KG1-4'!HO44</f>
        <v/>
      </c>
      <c r="D849">
        <f>'KG1-4'!HO43</f>
        <v/>
      </c>
      <c r="E849">
        <f>'KG1-4'!HO40</f>
        <v/>
      </c>
      <c r="F849">
        <f>'KG1-4'!HO41</f>
        <v/>
      </c>
      <c r="G849">
        <f>'KG1-4'!HO42</f>
        <v/>
      </c>
    </row>
    <row r="850">
      <c r="A850">
        <f>'KG1-4'!$B$2</f>
        <v/>
      </c>
      <c r="B850" s="126" t="n">
        <v>46535</v>
      </c>
      <c r="C850">
        <f>'KG1-4'!HP44</f>
        <v/>
      </c>
      <c r="D850">
        <f>'KG1-4'!HP43</f>
        <v/>
      </c>
      <c r="E850">
        <f>'KG1-4'!HP40</f>
        <v/>
      </c>
      <c r="F850">
        <f>'KG1-4'!HP41</f>
        <v/>
      </c>
      <c r="G850">
        <f>'KG1-4'!HP42</f>
        <v/>
      </c>
    </row>
    <row r="851">
      <c r="A851">
        <f>'KG1-4'!$B$2</f>
        <v/>
      </c>
      <c r="B851" s="126" t="n">
        <v>46538</v>
      </c>
      <c r="C851">
        <f>'KG1-4'!HQ44</f>
        <v/>
      </c>
      <c r="D851">
        <f>'KG1-4'!HQ43</f>
        <v/>
      </c>
      <c r="E851">
        <f>'KG1-4'!HQ40</f>
        <v/>
      </c>
      <c r="F851">
        <f>'KG1-4'!HQ41</f>
        <v/>
      </c>
      <c r="G851">
        <f>'KG1-4'!HQ42</f>
        <v/>
      </c>
    </row>
    <row r="852">
      <c r="A852">
        <f>'KG1-4'!$B$2</f>
        <v/>
      </c>
      <c r="B852" s="126" t="n">
        <v>46539</v>
      </c>
      <c r="C852">
        <f>'KG1-4'!HR44</f>
        <v/>
      </c>
      <c r="D852">
        <f>'KG1-4'!HR43</f>
        <v/>
      </c>
      <c r="E852">
        <f>'KG1-4'!HR40</f>
        <v/>
      </c>
      <c r="F852">
        <f>'KG1-4'!HR41</f>
        <v/>
      </c>
      <c r="G852">
        <f>'KG1-4'!HR42</f>
        <v/>
      </c>
    </row>
    <row r="853">
      <c r="A853">
        <f>'KG1-4'!$B$2</f>
        <v/>
      </c>
      <c r="B853" s="126" t="n">
        <v>46540</v>
      </c>
      <c r="C853">
        <f>'KG1-4'!HS44</f>
        <v/>
      </c>
      <c r="D853">
        <f>'KG1-4'!HS43</f>
        <v/>
      </c>
      <c r="E853">
        <f>'KG1-4'!HS40</f>
        <v/>
      </c>
      <c r="F853">
        <f>'KG1-4'!HS41</f>
        <v/>
      </c>
      <c r="G853">
        <f>'KG1-4'!HS42</f>
        <v/>
      </c>
    </row>
    <row r="854">
      <c r="A854">
        <f>'KG1-4'!$B$2</f>
        <v/>
      </c>
      <c r="B854" s="126" t="n">
        <v>46541</v>
      </c>
      <c r="C854">
        <f>'KG1-4'!HT44</f>
        <v/>
      </c>
      <c r="D854">
        <f>'KG1-4'!HT43</f>
        <v/>
      </c>
      <c r="E854">
        <f>'KG1-4'!HT40</f>
        <v/>
      </c>
      <c r="F854">
        <f>'KG1-4'!HT41</f>
        <v/>
      </c>
      <c r="G854">
        <f>'KG1-4'!HT42</f>
        <v/>
      </c>
    </row>
    <row r="855">
      <c r="A855">
        <f>'KG1-4'!$B$2</f>
        <v/>
      </c>
      <c r="B855" s="126" t="n">
        <v>46542</v>
      </c>
      <c r="C855">
        <f>'KG1-4'!HU44</f>
        <v/>
      </c>
      <c r="D855">
        <f>'KG1-4'!HU43</f>
        <v/>
      </c>
      <c r="E855">
        <f>'KG1-4'!HU40</f>
        <v/>
      </c>
      <c r="F855">
        <f>'KG1-4'!HU41</f>
        <v/>
      </c>
      <c r="G855">
        <f>'KG1-4'!HU42</f>
        <v/>
      </c>
    </row>
    <row r="856">
      <c r="A856">
        <f>'KG1-4'!$B$2</f>
        <v/>
      </c>
      <c r="B856" s="126" t="n">
        <v>46545</v>
      </c>
      <c r="C856">
        <f>'KG1-4'!HV44</f>
        <v/>
      </c>
      <c r="D856">
        <f>'KG1-4'!HV43</f>
        <v/>
      </c>
      <c r="E856">
        <f>'KG1-4'!HV40</f>
        <v/>
      </c>
      <c r="F856">
        <f>'KG1-4'!HV41</f>
        <v/>
      </c>
      <c r="G856">
        <f>'KG1-4'!HV42</f>
        <v/>
      </c>
    </row>
    <row r="857">
      <c r="A857">
        <f>'KG1-4'!$B$2</f>
        <v/>
      </c>
      <c r="B857" s="126" t="n">
        <v>46546</v>
      </c>
      <c r="C857">
        <f>'KG1-4'!HW44</f>
        <v/>
      </c>
      <c r="D857">
        <f>'KG1-4'!HW43</f>
        <v/>
      </c>
      <c r="E857">
        <f>'KG1-4'!HW40</f>
        <v/>
      </c>
      <c r="F857">
        <f>'KG1-4'!HW41</f>
        <v/>
      </c>
      <c r="G857">
        <f>'KG1-4'!HW42</f>
        <v/>
      </c>
    </row>
    <row r="858">
      <c r="A858">
        <f>'KG1-4'!$B$2</f>
        <v/>
      </c>
      <c r="B858" s="126" t="n">
        <v>46547</v>
      </c>
      <c r="C858">
        <f>'KG1-4'!HX44</f>
        <v/>
      </c>
      <c r="D858">
        <f>'KG1-4'!HX43</f>
        <v/>
      </c>
      <c r="E858">
        <f>'KG1-4'!HX40</f>
        <v/>
      </c>
      <c r="F858">
        <f>'KG1-4'!HX41</f>
        <v/>
      </c>
      <c r="G858">
        <f>'KG1-4'!HX42</f>
        <v/>
      </c>
    </row>
    <row r="859">
      <c r="A859">
        <f>'KG1-4'!$B$2</f>
        <v/>
      </c>
      <c r="B859" s="126" t="n">
        <v>46548</v>
      </c>
      <c r="C859">
        <f>'KG1-4'!HY44</f>
        <v/>
      </c>
      <c r="D859">
        <f>'KG1-4'!HY43</f>
        <v/>
      </c>
      <c r="E859">
        <f>'KG1-4'!HY40</f>
        <v/>
      </c>
      <c r="F859">
        <f>'KG1-4'!HY41</f>
        <v/>
      </c>
      <c r="G859">
        <f>'KG1-4'!HY42</f>
        <v/>
      </c>
    </row>
    <row r="860">
      <c r="A860">
        <f>'KG1-4'!$B$2</f>
        <v/>
      </c>
      <c r="B860" s="126" t="n">
        <v>46549</v>
      </c>
      <c r="C860">
        <f>'KG1-4'!HZ44</f>
        <v/>
      </c>
      <c r="D860">
        <f>'KG1-4'!HZ43</f>
        <v/>
      </c>
      <c r="E860">
        <f>'KG1-4'!HZ40</f>
        <v/>
      </c>
      <c r="F860">
        <f>'KG1-4'!HZ41</f>
        <v/>
      </c>
      <c r="G860">
        <f>'KG1-4'!HZ42</f>
        <v/>
      </c>
    </row>
    <row r="861">
      <c r="A861">
        <f>'KG1-4'!$B$2</f>
        <v/>
      </c>
      <c r="B861" s="126" t="n">
        <v>46552</v>
      </c>
      <c r="C861">
        <f>'KG1-4'!IA44</f>
        <v/>
      </c>
      <c r="D861">
        <f>'KG1-4'!IA43</f>
        <v/>
      </c>
      <c r="E861">
        <f>'KG1-4'!IA40</f>
        <v/>
      </c>
      <c r="F861">
        <f>'KG1-4'!IA41</f>
        <v/>
      </c>
      <c r="G861">
        <f>'KG1-4'!IA42</f>
        <v/>
      </c>
    </row>
    <row r="862">
      <c r="A862">
        <f>'KG1-4'!$B$2</f>
        <v/>
      </c>
      <c r="B862" s="126" t="n">
        <v>46553</v>
      </c>
      <c r="C862">
        <f>'KG1-4'!IB44</f>
        <v/>
      </c>
      <c r="D862">
        <f>'KG1-4'!IB43</f>
        <v/>
      </c>
      <c r="E862">
        <f>'KG1-4'!IB40</f>
        <v/>
      </c>
      <c r="F862">
        <f>'KG1-4'!IB41</f>
        <v/>
      </c>
      <c r="G862">
        <f>'KG1-4'!IB42</f>
        <v/>
      </c>
    </row>
    <row r="863">
      <c r="A863">
        <f>'KG1-4'!$B$2</f>
        <v/>
      </c>
      <c r="B863" s="126" t="n">
        <v>46554</v>
      </c>
      <c r="C863">
        <f>'KG1-4'!IC44</f>
        <v/>
      </c>
      <c r="D863">
        <f>'KG1-4'!IC43</f>
        <v/>
      </c>
      <c r="E863">
        <f>'KG1-4'!IC40</f>
        <v/>
      </c>
      <c r="F863">
        <f>'KG1-4'!IC41</f>
        <v/>
      </c>
      <c r="G863">
        <f>'KG1-4'!IC42</f>
        <v/>
      </c>
    </row>
    <row r="864">
      <c r="A864">
        <f>'KG1-4'!$B$2</f>
        <v/>
      </c>
      <c r="B864" s="126" t="n">
        <v>46555</v>
      </c>
      <c r="C864">
        <f>'KG1-4'!ID44</f>
        <v/>
      </c>
      <c r="D864">
        <f>'KG1-4'!ID43</f>
        <v/>
      </c>
      <c r="E864">
        <f>'KG1-4'!ID40</f>
        <v/>
      </c>
      <c r="F864">
        <f>'KG1-4'!ID41</f>
        <v/>
      </c>
      <c r="G864">
        <f>'KG1-4'!ID42</f>
        <v/>
      </c>
    </row>
    <row r="865">
      <c r="A865">
        <f>'KG1-4'!$B$2</f>
        <v/>
      </c>
      <c r="B865" s="126" t="n">
        <v>46556</v>
      </c>
      <c r="C865">
        <f>'KG1-4'!IE44</f>
        <v/>
      </c>
      <c r="D865">
        <f>'KG1-4'!IE43</f>
        <v/>
      </c>
      <c r="E865">
        <f>'KG1-4'!IE40</f>
        <v/>
      </c>
      <c r="F865">
        <f>'KG1-4'!IE41</f>
        <v/>
      </c>
      <c r="G865">
        <f>'KG1-4'!IE42</f>
        <v/>
      </c>
    </row>
    <row r="866">
      <c r="A866">
        <f>'KG1-4'!$B$2</f>
        <v/>
      </c>
      <c r="B866" s="126" t="n">
        <v>46559</v>
      </c>
      <c r="C866">
        <f>'KG1-4'!IF44</f>
        <v/>
      </c>
      <c r="D866">
        <f>'KG1-4'!IF43</f>
        <v/>
      </c>
      <c r="E866">
        <f>'KG1-4'!IF40</f>
        <v/>
      </c>
      <c r="F866">
        <f>'KG1-4'!IF41</f>
        <v/>
      </c>
      <c r="G866">
        <f>'KG1-4'!IF42</f>
        <v/>
      </c>
    </row>
    <row r="867">
      <c r="A867">
        <f>'KG1-4'!$B$2</f>
        <v/>
      </c>
      <c r="B867" s="126" t="n">
        <v>46560</v>
      </c>
      <c r="C867">
        <f>'KG1-4'!IG44</f>
        <v/>
      </c>
      <c r="D867">
        <f>'KG1-4'!IG43</f>
        <v/>
      </c>
      <c r="E867">
        <f>'KG1-4'!IG40</f>
        <v/>
      </c>
      <c r="F867">
        <f>'KG1-4'!IG41</f>
        <v/>
      </c>
      <c r="G867">
        <f>'KG1-4'!IG42</f>
        <v/>
      </c>
    </row>
    <row r="868">
      <c r="A868">
        <f>'KG1-4'!$B$2</f>
        <v/>
      </c>
      <c r="B868" s="126" t="n">
        <v>46561</v>
      </c>
      <c r="C868">
        <f>'KG1-4'!IH44</f>
        <v/>
      </c>
      <c r="D868">
        <f>'KG1-4'!IH43</f>
        <v/>
      </c>
      <c r="E868">
        <f>'KG1-4'!IH40</f>
        <v/>
      </c>
      <c r="F868">
        <f>'KG1-4'!IH41</f>
        <v/>
      </c>
      <c r="G868">
        <f>'KG1-4'!IH42</f>
        <v/>
      </c>
    </row>
    <row r="869">
      <c r="A869">
        <f>'KG1-4'!$B$2</f>
        <v/>
      </c>
      <c r="B869" s="126" t="n">
        <v>46562</v>
      </c>
      <c r="C869">
        <f>'KG1-4'!II44</f>
        <v/>
      </c>
      <c r="D869">
        <f>'KG1-4'!II43</f>
        <v/>
      </c>
      <c r="E869">
        <f>'KG1-4'!II40</f>
        <v/>
      </c>
      <c r="F869">
        <f>'KG1-4'!II41</f>
        <v/>
      </c>
      <c r="G869">
        <f>'KG1-4'!II42</f>
        <v/>
      </c>
    </row>
    <row r="870">
      <c r="A870">
        <f>'KG1-4'!$B$2</f>
        <v/>
      </c>
      <c r="B870" s="126" t="n">
        <v>46563</v>
      </c>
      <c r="C870">
        <f>'KG1-4'!IJ44</f>
        <v/>
      </c>
      <c r="D870">
        <f>'KG1-4'!IJ43</f>
        <v/>
      </c>
      <c r="E870">
        <f>'KG1-4'!IJ40</f>
        <v/>
      </c>
      <c r="F870">
        <f>'KG1-4'!IJ41</f>
        <v/>
      </c>
      <c r="G870">
        <f>'KG1-4'!IJ42</f>
        <v/>
      </c>
    </row>
    <row r="871">
      <c r="A871">
        <f>'KG1-4'!$B$2</f>
        <v/>
      </c>
      <c r="B871" s="126" t="n">
        <v>46566</v>
      </c>
      <c r="C871">
        <f>'KG1-4'!IK44</f>
        <v/>
      </c>
      <c r="D871">
        <f>'KG1-4'!IK43</f>
        <v/>
      </c>
      <c r="E871">
        <f>'KG1-4'!IK40</f>
        <v/>
      </c>
      <c r="F871">
        <f>'KG1-4'!IK41</f>
        <v/>
      </c>
      <c r="G871">
        <f>'KG1-4'!IK42</f>
        <v/>
      </c>
    </row>
    <row r="872">
      <c r="A872">
        <f>'KG1-4'!$B$2</f>
        <v/>
      </c>
      <c r="B872" s="126" t="n">
        <v>46567</v>
      </c>
      <c r="C872">
        <f>'KG1-4'!IL44</f>
        <v/>
      </c>
      <c r="D872">
        <f>'KG1-4'!IL43</f>
        <v/>
      </c>
      <c r="E872">
        <f>'KG1-4'!IL40</f>
        <v/>
      </c>
      <c r="F872">
        <f>'KG1-4'!IL41</f>
        <v/>
      </c>
      <c r="G872">
        <f>'KG1-4'!IL42</f>
        <v/>
      </c>
    </row>
    <row r="873">
      <c r="A873">
        <f>'KG1-4'!$B$2</f>
        <v/>
      </c>
      <c r="B873" s="126" t="n">
        <v>46568</v>
      </c>
      <c r="C873">
        <f>'KG1-4'!IM44</f>
        <v/>
      </c>
      <c r="D873">
        <f>'KG1-4'!IM43</f>
        <v/>
      </c>
      <c r="E873">
        <f>'KG1-4'!IM40</f>
        <v/>
      </c>
      <c r="F873">
        <f>'KG1-4'!IM41</f>
        <v/>
      </c>
      <c r="G873">
        <f>'KG1-4'!IM42</f>
        <v/>
      </c>
    </row>
    <row r="874">
      <c r="A874">
        <f>'KG1-5'!$B$2</f>
        <v/>
      </c>
      <c r="B874" s="126" t="n">
        <v>46265</v>
      </c>
      <c r="C874">
        <f>'KG1-5'!AD44</f>
        <v/>
      </c>
      <c r="D874">
        <f>'KG1-5'!AD43</f>
        <v/>
      </c>
      <c r="E874">
        <f>'KG1-5'!AD40</f>
        <v/>
      </c>
      <c r="F874">
        <f>'KG1-5'!AD41</f>
        <v/>
      </c>
      <c r="G874">
        <f>'KG1-5'!AD42</f>
        <v/>
      </c>
    </row>
    <row r="875">
      <c r="A875">
        <f>'KG1-5'!$B$2</f>
        <v/>
      </c>
      <c r="B875" s="126" t="n">
        <v>46266</v>
      </c>
      <c r="C875">
        <f>'KG1-5'!AE44</f>
        <v/>
      </c>
      <c r="D875">
        <f>'KG1-5'!AE43</f>
        <v/>
      </c>
      <c r="E875">
        <f>'KG1-5'!AE40</f>
        <v/>
      </c>
      <c r="F875">
        <f>'KG1-5'!AE41</f>
        <v/>
      </c>
      <c r="G875">
        <f>'KG1-5'!AE42</f>
        <v/>
      </c>
    </row>
    <row r="876">
      <c r="A876">
        <f>'KG1-5'!$B$2</f>
        <v/>
      </c>
      <c r="B876" s="126" t="n">
        <v>46267</v>
      </c>
      <c r="C876">
        <f>'KG1-5'!AF44</f>
        <v/>
      </c>
      <c r="D876">
        <f>'KG1-5'!AF43</f>
        <v/>
      </c>
      <c r="E876">
        <f>'KG1-5'!AF40</f>
        <v/>
      </c>
      <c r="F876">
        <f>'KG1-5'!AF41</f>
        <v/>
      </c>
      <c r="G876">
        <f>'KG1-5'!AF42</f>
        <v/>
      </c>
    </row>
    <row r="877">
      <c r="A877">
        <f>'KG1-5'!$B$2</f>
        <v/>
      </c>
      <c r="B877" s="126" t="n">
        <v>46268</v>
      </c>
      <c r="C877">
        <f>'KG1-5'!AG44</f>
        <v/>
      </c>
      <c r="D877">
        <f>'KG1-5'!AG43</f>
        <v/>
      </c>
      <c r="E877">
        <f>'KG1-5'!AG40</f>
        <v/>
      </c>
      <c r="F877">
        <f>'KG1-5'!AG41</f>
        <v/>
      </c>
      <c r="G877">
        <f>'KG1-5'!AG42</f>
        <v/>
      </c>
    </row>
    <row r="878">
      <c r="A878">
        <f>'KG1-5'!$B$2</f>
        <v/>
      </c>
      <c r="B878" s="126" t="n">
        <v>46269</v>
      </c>
      <c r="C878">
        <f>'KG1-5'!AH44</f>
        <v/>
      </c>
      <c r="D878">
        <f>'KG1-5'!AH43</f>
        <v/>
      </c>
      <c r="E878">
        <f>'KG1-5'!AH40</f>
        <v/>
      </c>
      <c r="F878">
        <f>'KG1-5'!AH41</f>
        <v/>
      </c>
      <c r="G878">
        <f>'KG1-5'!AH42</f>
        <v/>
      </c>
    </row>
    <row r="879">
      <c r="A879">
        <f>'KG1-5'!$B$2</f>
        <v/>
      </c>
      <c r="B879" s="126" t="n">
        <v>46272</v>
      </c>
      <c r="C879">
        <f>'KG1-5'!AI44</f>
        <v/>
      </c>
      <c r="D879">
        <f>'KG1-5'!AI43</f>
        <v/>
      </c>
      <c r="E879">
        <f>'KG1-5'!AI40</f>
        <v/>
      </c>
      <c r="F879">
        <f>'KG1-5'!AI41</f>
        <v/>
      </c>
      <c r="G879">
        <f>'KG1-5'!AI42</f>
        <v/>
      </c>
    </row>
    <row r="880">
      <c r="A880">
        <f>'KG1-5'!$B$2</f>
        <v/>
      </c>
      <c r="B880" s="126" t="n">
        <v>46273</v>
      </c>
      <c r="C880">
        <f>'KG1-5'!AJ44</f>
        <v/>
      </c>
      <c r="D880">
        <f>'KG1-5'!AJ43</f>
        <v/>
      </c>
      <c r="E880">
        <f>'KG1-5'!AJ40</f>
        <v/>
      </c>
      <c r="F880">
        <f>'KG1-5'!AJ41</f>
        <v/>
      </c>
      <c r="G880">
        <f>'KG1-5'!AJ42</f>
        <v/>
      </c>
    </row>
    <row r="881">
      <c r="A881">
        <f>'KG1-5'!$B$2</f>
        <v/>
      </c>
      <c r="B881" s="126" t="n">
        <v>46274</v>
      </c>
      <c r="C881">
        <f>'KG1-5'!AK44</f>
        <v/>
      </c>
      <c r="D881">
        <f>'KG1-5'!AK43</f>
        <v/>
      </c>
      <c r="E881">
        <f>'KG1-5'!AK40</f>
        <v/>
      </c>
      <c r="F881">
        <f>'KG1-5'!AK41</f>
        <v/>
      </c>
      <c r="G881">
        <f>'KG1-5'!AK42</f>
        <v/>
      </c>
    </row>
    <row r="882">
      <c r="A882">
        <f>'KG1-5'!$B$2</f>
        <v/>
      </c>
      <c r="B882" s="126" t="n">
        <v>46275</v>
      </c>
      <c r="C882">
        <f>'KG1-5'!AL44</f>
        <v/>
      </c>
      <c r="D882">
        <f>'KG1-5'!AL43</f>
        <v/>
      </c>
      <c r="E882">
        <f>'KG1-5'!AL40</f>
        <v/>
      </c>
      <c r="F882">
        <f>'KG1-5'!AL41</f>
        <v/>
      </c>
      <c r="G882">
        <f>'KG1-5'!AL42</f>
        <v/>
      </c>
    </row>
    <row r="883">
      <c r="A883">
        <f>'KG1-5'!$B$2</f>
        <v/>
      </c>
      <c r="B883" s="126" t="n">
        <v>46276</v>
      </c>
      <c r="C883">
        <f>'KG1-5'!AM44</f>
        <v/>
      </c>
      <c r="D883">
        <f>'KG1-5'!AM43</f>
        <v/>
      </c>
      <c r="E883">
        <f>'KG1-5'!AM40</f>
        <v/>
      </c>
      <c r="F883">
        <f>'KG1-5'!AM41</f>
        <v/>
      </c>
      <c r="G883">
        <f>'KG1-5'!AM42</f>
        <v/>
      </c>
    </row>
    <row r="884">
      <c r="A884">
        <f>'KG1-5'!$B$2</f>
        <v/>
      </c>
      <c r="B884" s="126" t="n">
        <v>46279</v>
      </c>
      <c r="C884">
        <f>'KG1-5'!AN44</f>
        <v/>
      </c>
      <c r="D884">
        <f>'KG1-5'!AN43</f>
        <v/>
      </c>
      <c r="E884">
        <f>'KG1-5'!AN40</f>
        <v/>
      </c>
      <c r="F884">
        <f>'KG1-5'!AN41</f>
        <v/>
      </c>
      <c r="G884">
        <f>'KG1-5'!AN42</f>
        <v/>
      </c>
    </row>
    <row r="885">
      <c r="A885">
        <f>'KG1-5'!$B$2</f>
        <v/>
      </c>
      <c r="B885" s="126" t="n">
        <v>46280</v>
      </c>
      <c r="C885">
        <f>'KG1-5'!AO44</f>
        <v/>
      </c>
      <c r="D885">
        <f>'KG1-5'!AO43</f>
        <v/>
      </c>
      <c r="E885">
        <f>'KG1-5'!AO40</f>
        <v/>
      </c>
      <c r="F885">
        <f>'KG1-5'!AO41</f>
        <v/>
      </c>
      <c r="G885">
        <f>'KG1-5'!AO42</f>
        <v/>
      </c>
    </row>
    <row r="886">
      <c r="A886">
        <f>'KG1-5'!$B$2</f>
        <v/>
      </c>
      <c r="B886" s="126" t="n">
        <v>46281</v>
      </c>
      <c r="C886">
        <f>'KG1-5'!AP44</f>
        <v/>
      </c>
      <c r="D886">
        <f>'KG1-5'!AP43</f>
        <v/>
      </c>
      <c r="E886">
        <f>'KG1-5'!AP40</f>
        <v/>
      </c>
      <c r="F886">
        <f>'KG1-5'!AP41</f>
        <v/>
      </c>
      <c r="G886">
        <f>'KG1-5'!AP42</f>
        <v/>
      </c>
    </row>
    <row r="887">
      <c r="A887">
        <f>'KG1-5'!$B$2</f>
        <v/>
      </c>
      <c r="B887" s="126" t="n">
        <v>46282</v>
      </c>
      <c r="C887">
        <f>'KG1-5'!AQ44</f>
        <v/>
      </c>
      <c r="D887">
        <f>'KG1-5'!AQ43</f>
        <v/>
      </c>
      <c r="E887">
        <f>'KG1-5'!AQ40</f>
        <v/>
      </c>
      <c r="F887">
        <f>'KG1-5'!AQ41</f>
        <v/>
      </c>
      <c r="G887">
        <f>'KG1-5'!AQ42</f>
        <v/>
      </c>
    </row>
    <row r="888">
      <c r="A888">
        <f>'KG1-5'!$B$2</f>
        <v/>
      </c>
      <c r="B888" s="126" t="n">
        <v>46283</v>
      </c>
      <c r="C888">
        <f>'KG1-5'!AR44</f>
        <v/>
      </c>
      <c r="D888">
        <f>'KG1-5'!AR43</f>
        <v/>
      </c>
      <c r="E888">
        <f>'KG1-5'!AR40</f>
        <v/>
      </c>
      <c r="F888">
        <f>'KG1-5'!AR41</f>
        <v/>
      </c>
      <c r="G888">
        <f>'KG1-5'!AR42</f>
        <v/>
      </c>
    </row>
    <row r="889">
      <c r="A889">
        <f>'KG1-5'!$B$2</f>
        <v/>
      </c>
      <c r="B889" s="126" t="n">
        <v>46286</v>
      </c>
      <c r="C889">
        <f>'KG1-5'!AS44</f>
        <v/>
      </c>
      <c r="D889">
        <f>'KG1-5'!AS43</f>
        <v/>
      </c>
      <c r="E889">
        <f>'KG1-5'!AS40</f>
        <v/>
      </c>
      <c r="F889">
        <f>'KG1-5'!AS41</f>
        <v/>
      </c>
      <c r="G889">
        <f>'KG1-5'!AS42</f>
        <v/>
      </c>
    </row>
    <row r="890">
      <c r="A890">
        <f>'KG1-5'!$B$2</f>
        <v/>
      </c>
      <c r="B890" s="126" t="n">
        <v>46287</v>
      </c>
      <c r="C890">
        <f>'KG1-5'!AT44</f>
        <v/>
      </c>
      <c r="D890">
        <f>'KG1-5'!AT43</f>
        <v/>
      </c>
      <c r="E890">
        <f>'KG1-5'!AT40</f>
        <v/>
      </c>
      <c r="F890">
        <f>'KG1-5'!AT41</f>
        <v/>
      </c>
      <c r="G890">
        <f>'KG1-5'!AT42</f>
        <v/>
      </c>
    </row>
    <row r="891">
      <c r="A891">
        <f>'KG1-5'!$B$2</f>
        <v/>
      </c>
      <c r="B891" s="126" t="n">
        <v>46288</v>
      </c>
      <c r="C891">
        <f>'KG1-5'!AU44</f>
        <v/>
      </c>
      <c r="D891">
        <f>'KG1-5'!AU43</f>
        <v/>
      </c>
      <c r="E891">
        <f>'KG1-5'!AU40</f>
        <v/>
      </c>
      <c r="F891">
        <f>'KG1-5'!AU41</f>
        <v/>
      </c>
      <c r="G891">
        <f>'KG1-5'!AU42</f>
        <v/>
      </c>
    </row>
    <row r="892">
      <c r="A892">
        <f>'KG1-5'!$B$2</f>
        <v/>
      </c>
      <c r="B892" s="126" t="n">
        <v>46289</v>
      </c>
      <c r="C892">
        <f>'KG1-5'!AV44</f>
        <v/>
      </c>
      <c r="D892">
        <f>'KG1-5'!AV43</f>
        <v/>
      </c>
      <c r="E892">
        <f>'KG1-5'!AV40</f>
        <v/>
      </c>
      <c r="F892">
        <f>'KG1-5'!AV41</f>
        <v/>
      </c>
      <c r="G892">
        <f>'KG1-5'!AV42</f>
        <v/>
      </c>
    </row>
    <row r="893">
      <c r="A893">
        <f>'KG1-5'!$B$2</f>
        <v/>
      </c>
      <c r="B893" s="126" t="n">
        <v>46290</v>
      </c>
      <c r="C893">
        <f>'KG1-5'!AW44</f>
        <v/>
      </c>
      <c r="D893">
        <f>'KG1-5'!AW43</f>
        <v/>
      </c>
      <c r="E893">
        <f>'KG1-5'!AW40</f>
        <v/>
      </c>
      <c r="F893">
        <f>'KG1-5'!AW41</f>
        <v/>
      </c>
      <c r="G893">
        <f>'KG1-5'!AW42</f>
        <v/>
      </c>
    </row>
    <row r="894">
      <c r="A894">
        <f>'KG1-5'!$B$2</f>
        <v/>
      </c>
      <c r="B894" s="126" t="n">
        <v>46293</v>
      </c>
      <c r="C894">
        <f>'KG1-5'!AX44</f>
        <v/>
      </c>
      <c r="D894">
        <f>'KG1-5'!AX43</f>
        <v/>
      </c>
      <c r="E894">
        <f>'KG1-5'!AX40</f>
        <v/>
      </c>
      <c r="F894">
        <f>'KG1-5'!AX41</f>
        <v/>
      </c>
      <c r="G894">
        <f>'KG1-5'!AX42</f>
        <v/>
      </c>
    </row>
    <row r="895">
      <c r="A895">
        <f>'KG1-5'!$B$2</f>
        <v/>
      </c>
      <c r="B895" s="126" t="n">
        <v>46294</v>
      </c>
      <c r="C895">
        <f>'KG1-5'!AY44</f>
        <v/>
      </c>
      <c r="D895">
        <f>'KG1-5'!AY43</f>
        <v/>
      </c>
      <c r="E895">
        <f>'KG1-5'!AY40</f>
        <v/>
      </c>
      <c r="F895">
        <f>'KG1-5'!AY41</f>
        <v/>
      </c>
      <c r="G895">
        <f>'KG1-5'!AY42</f>
        <v/>
      </c>
    </row>
    <row r="896">
      <c r="A896">
        <f>'KG1-5'!$B$2</f>
        <v/>
      </c>
      <c r="B896" s="126" t="n">
        <v>46295</v>
      </c>
      <c r="C896">
        <f>'KG1-5'!AZ44</f>
        <v/>
      </c>
      <c r="D896">
        <f>'KG1-5'!AZ43</f>
        <v/>
      </c>
      <c r="E896">
        <f>'KG1-5'!AZ40</f>
        <v/>
      </c>
      <c r="F896">
        <f>'KG1-5'!AZ41</f>
        <v/>
      </c>
      <c r="G896">
        <f>'KG1-5'!AZ42</f>
        <v/>
      </c>
    </row>
    <row r="897">
      <c r="A897">
        <f>'KG1-5'!$B$2</f>
        <v/>
      </c>
      <c r="B897" s="126" t="n">
        <v>46296</v>
      </c>
      <c r="C897">
        <f>'KG1-5'!BA44</f>
        <v/>
      </c>
      <c r="D897">
        <f>'KG1-5'!BA43</f>
        <v/>
      </c>
      <c r="E897">
        <f>'KG1-5'!BA40</f>
        <v/>
      </c>
      <c r="F897">
        <f>'KG1-5'!BA41</f>
        <v/>
      </c>
      <c r="G897">
        <f>'KG1-5'!BA42</f>
        <v/>
      </c>
    </row>
    <row r="898">
      <c r="A898">
        <f>'KG1-5'!$B$2</f>
        <v/>
      </c>
      <c r="B898" s="126" t="n">
        <v>46297</v>
      </c>
      <c r="C898">
        <f>'KG1-5'!BB44</f>
        <v/>
      </c>
      <c r="D898">
        <f>'KG1-5'!BB43</f>
        <v/>
      </c>
      <c r="E898">
        <f>'KG1-5'!BB40</f>
        <v/>
      </c>
      <c r="F898">
        <f>'KG1-5'!BB41</f>
        <v/>
      </c>
      <c r="G898">
        <f>'KG1-5'!BB42</f>
        <v/>
      </c>
    </row>
    <row r="899">
      <c r="A899">
        <f>'KG1-5'!$B$2</f>
        <v/>
      </c>
      <c r="B899" s="126" t="n">
        <v>46300</v>
      </c>
      <c r="C899">
        <f>'KG1-5'!BC44</f>
        <v/>
      </c>
      <c r="D899">
        <f>'KG1-5'!BC43</f>
        <v/>
      </c>
      <c r="E899">
        <f>'KG1-5'!BC40</f>
        <v/>
      </c>
      <c r="F899">
        <f>'KG1-5'!BC41</f>
        <v/>
      </c>
      <c r="G899">
        <f>'KG1-5'!BC42</f>
        <v/>
      </c>
    </row>
    <row r="900">
      <c r="A900">
        <f>'KG1-5'!$B$2</f>
        <v/>
      </c>
      <c r="B900" s="126" t="n">
        <v>46301</v>
      </c>
      <c r="C900">
        <f>'KG1-5'!BD44</f>
        <v/>
      </c>
      <c r="D900">
        <f>'KG1-5'!BD43</f>
        <v/>
      </c>
      <c r="E900">
        <f>'KG1-5'!BD40</f>
        <v/>
      </c>
      <c r="F900">
        <f>'KG1-5'!BD41</f>
        <v/>
      </c>
      <c r="G900">
        <f>'KG1-5'!BD42</f>
        <v/>
      </c>
    </row>
    <row r="901">
      <c r="A901">
        <f>'KG1-5'!$B$2</f>
        <v/>
      </c>
      <c r="B901" s="126" t="n">
        <v>46302</v>
      </c>
      <c r="C901">
        <f>'KG1-5'!BE44</f>
        <v/>
      </c>
      <c r="D901">
        <f>'KG1-5'!BE43</f>
        <v/>
      </c>
      <c r="E901">
        <f>'KG1-5'!BE40</f>
        <v/>
      </c>
      <c r="F901">
        <f>'KG1-5'!BE41</f>
        <v/>
      </c>
      <c r="G901">
        <f>'KG1-5'!BE42</f>
        <v/>
      </c>
    </row>
    <row r="902">
      <c r="A902">
        <f>'KG1-5'!$B$2</f>
        <v/>
      </c>
      <c r="B902" s="126" t="n">
        <v>46303</v>
      </c>
      <c r="C902">
        <f>'KG1-5'!BF44</f>
        <v/>
      </c>
      <c r="D902">
        <f>'KG1-5'!BF43</f>
        <v/>
      </c>
      <c r="E902">
        <f>'KG1-5'!BF40</f>
        <v/>
      </c>
      <c r="F902">
        <f>'KG1-5'!BF41</f>
        <v/>
      </c>
      <c r="G902">
        <f>'KG1-5'!BF42</f>
        <v/>
      </c>
    </row>
    <row r="903">
      <c r="A903">
        <f>'KG1-5'!$B$2</f>
        <v/>
      </c>
      <c r="B903" s="126" t="n">
        <v>46304</v>
      </c>
      <c r="C903">
        <f>'KG1-5'!BG44</f>
        <v/>
      </c>
      <c r="D903">
        <f>'KG1-5'!BG43</f>
        <v/>
      </c>
      <c r="E903">
        <f>'KG1-5'!BG40</f>
        <v/>
      </c>
      <c r="F903">
        <f>'KG1-5'!BG41</f>
        <v/>
      </c>
      <c r="G903">
        <f>'KG1-5'!BG42</f>
        <v/>
      </c>
    </row>
    <row r="904">
      <c r="A904">
        <f>'KG1-5'!$B$2</f>
        <v/>
      </c>
      <c r="B904" s="126" t="n">
        <v>46307</v>
      </c>
      <c r="C904">
        <f>'KG1-5'!BH44</f>
        <v/>
      </c>
      <c r="D904">
        <f>'KG1-5'!BH43</f>
        <v/>
      </c>
      <c r="E904">
        <f>'KG1-5'!BH40</f>
        <v/>
      </c>
      <c r="F904">
        <f>'KG1-5'!BH41</f>
        <v/>
      </c>
      <c r="G904">
        <f>'KG1-5'!BH42</f>
        <v/>
      </c>
    </row>
    <row r="905">
      <c r="A905">
        <f>'KG1-5'!$B$2</f>
        <v/>
      </c>
      <c r="B905" s="126" t="n">
        <v>46308</v>
      </c>
      <c r="C905">
        <f>'KG1-5'!BI44</f>
        <v/>
      </c>
      <c r="D905">
        <f>'KG1-5'!BI43</f>
        <v/>
      </c>
      <c r="E905">
        <f>'KG1-5'!BI40</f>
        <v/>
      </c>
      <c r="F905">
        <f>'KG1-5'!BI41</f>
        <v/>
      </c>
      <c r="G905">
        <f>'KG1-5'!BI42</f>
        <v/>
      </c>
    </row>
    <row r="906">
      <c r="A906">
        <f>'KG1-5'!$B$2</f>
        <v/>
      </c>
      <c r="B906" s="126" t="n">
        <v>46309</v>
      </c>
      <c r="C906">
        <f>'KG1-5'!BJ44</f>
        <v/>
      </c>
      <c r="D906">
        <f>'KG1-5'!BJ43</f>
        <v/>
      </c>
      <c r="E906">
        <f>'KG1-5'!BJ40</f>
        <v/>
      </c>
      <c r="F906">
        <f>'KG1-5'!BJ41</f>
        <v/>
      </c>
      <c r="G906">
        <f>'KG1-5'!BJ42</f>
        <v/>
      </c>
    </row>
    <row r="907">
      <c r="A907">
        <f>'KG1-5'!$B$2</f>
        <v/>
      </c>
      <c r="B907" s="126" t="n">
        <v>46310</v>
      </c>
      <c r="C907">
        <f>'KG1-5'!BK44</f>
        <v/>
      </c>
      <c r="D907">
        <f>'KG1-5'!BK43</f>
        <v/>
      </c>
      <c r="E907">
        <f>'KG1-5'!BK40</f>
        <v/>
      </c>
      <c r="F907">
        <f>'KG1-5'!BK41</f>
        <v/>
      </c>
      <c r="G907">
        <f>'KG1-5'!BK42</f>
        <v/>
      </c>
    </row>
    <row r="908">
      <c r="A908">
        <f>'KG1-5'!$B$2</f>
        <v/>
      </c>
      <c r="B908" s="126" t="n">
        <v>46311</v>
      </c>
      <c r="C908">
        <f>'KG1-5'!BL44</f>
        <v/>
      </c>
      <c r="D908">
        <f>'KG1-5'!BL43</f>
        <v/>
      </c>
      <c r="E908">
        <f>'KG1-5'!BL40</f>
        <v/>
      </c>
      <c r="F908">
        <f>'KG1-5'!BL41</f>
        <v/>
      </c>
      <c r="G908">
        <f>'KG1-5'!BL42</f>
        <v/>
      </c>
    </row>
    <row r="909">
      <c r="A909">
        <f>'KG1-5'!$B$2</f>
        <v/>
      </c>
      <c r="B909" s="126" t="n">
        <v>46314</v>
      </c>
      <c r="C909">
        <f>'KG1-5'!BM44</f>
        <v/>
      </c>
      <c r="D909">
        <f>'KG1-5'!BM43</f>
        <v/>
      </c>
      <c r="E909">
        <f>'KG1-5'!BM40</f>
        <v/>
      </c>
      <c r="F909">
        <f>'KG1-5'!BM41</f>
        <v/>
      </c>
      <c r="G909">
        <f>'KG1-5'!BM42</f>
        <v/>
      </c>
    </row>
    <row r="910">
      <c r="A910">
        <f>'KG1-5'!$B$2</f>
        <v/>
      </c>
      <c r="B910" s="126" t="n">
        <v>46315</v>
      </c>
      <c r="C910">
        <f>'KG1-5'!BN44</f>
        <v/>
      </c>
      <c r="D910">
        <f>'KG1-5'!BN43</f>
        <v/>
      </c>
      <c r="E910">
        <f>'KG1-5'!BN40</f>
        <v/>
      </c>
      <c r="F910">
        <f>'KG1-5'!BN41</f>
        <v/>
      </c>
      <c r="G910">
        <f>'KG1-5'!BN42</f>
        <v/>
      </c>
    </row>
    <row r="911">
      <c r="A911">
        <f>'KG1-5'!$B$2</f>
        <v/>
      </c>
      <c r="B911" s="126" t="n">
        <v>46316</v>
      </c>
      <c r="C911">
        <f>'KG1-5'!BO44</f>
        <v/>
      </c>
      <c r="D911">
        <f>'KG1-5'!BO43</f>
        <v/>
      </c>
      <c r="E911">
        <f>'KG1-5'!BO40</f>
        <v/>
      </c>
      <c r="F911">
        <f>'KG1-5'!BO41</f>
        <v/>
      </c>
      <c r="G911">
        <f>'KG1-5'!BO42</f>
        <v/>
      </c>
    </row>
    <row r="912">
      <c r="A912">
        <f>'KG1-5'!$B$2</f>
        <v/>
      </c>
      <c r="B912" s="126" t="n">
        <v>46317</v>
      </c>
      <c r="C912">
        <f>'KG1-5'!BP44</f>
        <v/>
      </c>
      <c r="D912">
        <f>'KG1-5'!BP43</f>
        <v/>
      </c>
      <c r="E912">
        <f>'KG1-5'!BP40</f>
        <v/>
      </c>
      <c r="F912">
        <f>'KG1-5'!BP41</f>
        <v/>
      </c>
      <c r="G912">
        <f>'KG1-5'!BP42</f>
        <v/>
      </c>
    </row>
    <row r="913">
      <c r="A913">
        <f>'KG1-5'!$B$2</f>
        <v/>
      </c>
      <c r="B913" s="126" t="n">
        <v>46318</v>
      </c>
      <c r="C913">
        <f>'KG1-5'!BQ44</f>
        <v/>
      </c>
      <c r="D913">
        <f>'KG1-5'!BQ43</f>
        <v/>
      </c>
      <c r="E913">
        <f>'KG1-5'!BQ40</f>
        <v/>
      </c>
      <c r="F913">
        <f>'KG1-5'!BQ41</f>
        <v/>
      </c>
      <c r="G913">
        <f>'KG1-5'!BQ42</f>
        <v/>
      </c>
    </row>
    <row r="914">
      <c r="A914">
        <f>'KG1-5'!$B$2</f>
        <v/>
      </c>
      <c r="B914" s="126" t="n">
        <v>46321</v>
      </c>
      <c r="C914">
        <f>'KG1-5'!BR44</f>
        <v/>
      </c>
      <c r="D914">
        <f>'KG1-5'!BR43</f>
        <v/>
      </c>
      <c r="E914">
        <f>'KG1-5'!BR40</f>
        <v/>
      </c>
      <c r="F914">
        <f>'KG1-5'!BR41</f>
        <v/>
      </c>
      <c r="G914">
        <f>'KG1-5'!BR42</f>
        <v/>
      </c>
    </row>
    <row r="915">
      <c r="A915">
        <f>'KG1-5'!$B$2</f>
        <v/>
      </c>
      <c r="B915" s="126" t="n">
        <v>46322</v>
      </c>
      <c r="C915">
        <f>'KG1-5'!BS44</f>
        <v/>
      </c>
      <c r="D915">
        <f>'KG1-5'!BS43</f>
        <v/>
      </c>
      <c r="E915">
        <f>'KG1-5'!BS40</f>
        <v/>
      </c>
      <c r="F915">
        <f>'KG1-5'!BS41</f>
        <v/>
      </c>
      <c r="G915">
        <f>'KG1-5'!BS42</f>
        <v/>
      </c>
    </row>
    <row r="916">
      <c r="A916">
        <f>'KG1-5'!$B$2</f>
        <v/>
      </c>
      <c r="B916" s="126" t="n">
        <v>46323</v>
      </c>
      <c r="C916">
        <f>'KG1-5'!BT44</f>
        <v/>
      </c>
      <c r="D916">
        <f>'KG1-5'!BT43</f>
        <v/>
      </c>
      <c r="E916">
        <f>'KG1-5'!BT40</f>
        <v/>
      </c>
      <c r="F916">
        <f>'KG1-5'!BT41</f>
        <v/>
      </c>
      <c r="G916">
        <f>'KG1-5'!BT42</f>
        <v/>
      </c>
    </row>
    <row r="917">
      <c r="A917">
        <f>'KG1-5'!$B$2</f>
        <v/>
      </c>
      <c r="B917" s="126" t="n">
        <v>46324</v>
      </c>
      <c r="C917">
        <f>'KG1-5'!BU44</f>
        <v/>
      </c>
      <c r="D917">
        <f>'KG1-5'!BU43</f>
        <v/>
      </c>
      <c r="E917">
        <f>'KG1-5'!BU40</f>
        <v/>
      </c>
      <c r="F917">
        <f>'KG1-5'!BU41</f>
        <v/>
      </c>
      <c r="G917">
        <f>'KG1-5'!BU42</f>
        <v/>
      </c>
    </row>
    <row r="918">
      <c r="A918">
        <f>'KG1-5'!$B$2</f>
        <v/>
      </c>
      <c r="B918" s="126" t="n">
        <v>46325</v>
      </c>
      <c r="C918">
        <f>'KG1-5'!BV44</f>
        <v/>
      </c>
      <c r="D918">
        <f>'KG1-5'!BV43</f>
        <v/>
      </c>
      <c r="E918">
        <f>'KG1-5'!BV40</f>
        <v/>
      </c>
      <c r="F918">
        <f>'KG1-5'!BV41</f>
        <v/>
      </c>
      <c r="G918">
        <f>'KG1-5'!BV42</f>
        <v/>
      </c>
    </row>
    <row r="919">
      <c r="A919">
        <f>'KG1-5'!$B$2</f>
        <v/>
      </c>
      <c r="B919" s="126" t="n">
        <v>46328</v>
      </c>
      <c r="C919">
        <f>'KG1-5'!BW44</f>
        <v/>
      </c>
      <c r="D919">
        <f>'KG1-5'!BW43</f>
        <v/>
      </c>
      <c r="E919">
        <f>'KG1-5'!BW40</f>
        <v/>
      </c>
      <c r="F919">
        <f>'KG1-5'!BW41</f>
        <v/>
      </c>
      <c r="G919">
        <f>'KG1-5'!BW42</f>
        <v/>
      </c>
    </row>
    <row r="920">
      <c r="A920">
        <f>'KG1-5'!$B$2</f>
        <v/>
      </c>
      <c r="B920" s="126" t="n">
        <v>46329</v>
      </c>
      <c r="C920">
        <f>'KG1-5'!BX44</f>
        <v/>
      </c>
      <c r="D920">
        <f>'KG1-5'!BX43</f>
        <v/>
      </c>
      <c r="E920">
        <f>'KG1-5'!BX40</f>
        <v/>
      </c>
      <c r="F920">
        <f>'KG1-5'!BX41</f>
        <v/>
      </c>
      <c r="G920">
        <f>'KG1-5'!BX42</f>
        <v/>
      </c>
    </row>
    <row r="921">
      <c r="A921">
        <f>'KG1-5'!$B$2</f>
        <v/>
      </c>
      <c r="B921" s="126" t="n">
        <v>46330</v>
      </c>
      <c r="C921">
        <f>'KG1-5'!BY44</f>
        <v/>
      </c>
      <c r="D921">
        <f>'KG1-5'!BY43</f>
        <v/>
      </c>
      <c r="E921">
        <f>'KG1-5'!BY40</f>
        <v/>
      </c>
      <c r="F921">
        <f>'KG1-5'!BY41</f>
        <v/>
      </c>
      <c r="G921">
        <f>'KG1-5'!BY42</f>
        <v/>
      </c>
    </row>
    <row r="922">
      <c r="A922">
        <f>'KG1-5'!$B$2</f>
        <v/>
      </c>
      <c r="B922" s="126" t="n">
        <v>46331</v>
      </c>
      <c r="C922">
        <f>'KG1-5'!BZ44</f>
        <v/>
      </c>
      <c r="D922">
        <f>'KG1-5'!BZ43</f>
        <v/>
      </c>
      <c r="E922">
        <f>'KG1-5'!BZ40</f>
        <v/>
      </c>
      <c r="F922">
        <f>'KG1-5'!BZ41</f>
        <v/>
      </c>
      <c r="G922">
        <f>'KG1-5'!BZ42</f>
        <v/>
      </c>
    </row>
    <row r="923">
      <c r="A923">
        <f>'KG1-5'!$B$2</f>
        <v/>
      </c>
      <c r="B923" s="126" t="n">
        <v>46332</v>
      </c>
      <c r="C923">
        <f>'KG1-5'!CA44</f>
        <v/>
      </c>
      <c r="D923">
        <f>'KG1-5'!CA43</f>
        <v/>
      </c>
      <c r="E923">
        <f>'KG1-5'!CA40</f>
        <v/>
      </c>
      <c r="F923">
        <f>'KG1-5'!CA41</f>
        <v/>
      </c>
      <c r="G923">
        <f>'KG1-5'!CA42</f>
        <v/>
      </c>
    </row>
    <row r="924">
      <c r="A924">
        <f>'KG1-5'!$B$2</f>
        <v/>
      </c>
      <c r="B924" s="126" t="n">
        <v>46335</v>
      </c>
      <c r="C924">
        <f>'KG1-5'!CB44</f>
        <v/>
      </c>
      <c r="D924">
        <f>'KG1-5'!CB43</f>
        <v/>
      </c>
      <c r="E924">
        <f>'KG1-5'!CB40</f>
        <v/>
      </c>
      <c r="F924">
        <f>'KG1-5'!CB41</f>
        <v/>
      </c>
      <c r="G924">
        <f>'KG1-5'!CB42</f>
        <v/>
      </c>
    </row>
    <row r="925">
      <c r="A925">
        <f>'KG1-5'!$B$2</f>
        <v/>
      </c>
      <c r="B925" s="126" t="n">
        <v>46336</v>
      </c>
      <c r="C925">
        <f>'KG1-5'!CC44</f>
        <v/>
      </c>
      <c r="D925">
        <f>'KG1-5'!CC43</f>
        <v/>
      </c>
      <c r="E925">
        <f>'KG1-5'!CC40</f>
        <v/>
      </c>
      <c r="F925">
        <f>'KG1-5'!CC41</f>
        <v/>
      </c>
      <c r="G925">
        <f>'KG1-5'!CC42</f>
        <v/>
      </c>
    </row>
    <row r="926">
      <c r="A926">
        <f>'KG1-5'!$B$2</f>
        <v/>
      </c>
      <c r="B926" s="126" t="n">
        <v>46337</v>
      </c>
      <c r="C926">
        <f>'KG1-5'!CD44</f>
        <v/>
      </c>
      <c r="D926">
        <f>'KG1-5'!CD43</f>
        <v/>
      </c>
      <c r="E926">
        <f>'KG1-5'!CD40</f>
        <v/>
      </c>
      <c r="F926">
        <f>'KG1-5'!CD41</f>
        <v/>
      </c>
      <c r="G926">
        <f>'KG1-5'!CD42</f>
        <v/>
      </c>
    </row>
    <row r="927">
      <c r="A927">
        <f>'KG1-5'!$B$2</f>
        <v/>
      </c>
      <c r="B927" s="126" t="n">
        <v>46338</v>
      </c>
      <c r="C927">
        <f>'KG1-5'!CE44</f>
        <v/>
      </c>
      <c r="D927">
        <f>'KG1-5'!CE43</f>
        <v/>
      </c>
      <c r="E927">
        <f>'KG1-5'!CE40</f>
        <v/>
      </c>
      <c r="F927">
        <f>'KG1-5'!CE41</f>
        <v/>
      </c>
      <c r="G927">
        <f>'KG1-5'!CE42</f>
        <v/>
      </c>
    </row>
    <row r="928">
      <c r="A928">
        <f>'KG1-5'!$B$2</f>
        <v/>
      </c>
      <c r="B928" s="126" t="n">
        <v>46339</v>
      </c>
      <c r="C928">
        <f>'KG1-5'!CF44</f>
        <v/>
      </c>
      <c r="D928">
        <f>'KG1-5'!CF43</f>
        <v/>
      </c>
      <c r="E928">
        <f>'KG1-5'!CF40</f>
        <v/>
      </c>
      <c r="F928">
        <f>'KG1-5'!CF41</f>
        <v/>
      </c>
      <c r="G928">
        <f>'KG1-5'!CF42</f>
        <v/>
      </c>
    </row>
    <row r="929">
      <c r="A929">
        <f>'KG1-5'!$B$2</f>
        <v/>
      </c>
      <c r="B929" s="126" t="n">
        <v>46342</v>
      </c>
      <c r="C929">
        <f>'KG1-5'!CG44</f>
        <v/>
      </c>
      <c r="D929">
        <f>'KG1-5'!CG43</f>
        <v/>
      </c>
      <c r="E929">
        <f>'KG1-5'!CG40</f>
        <v/>
      </c>
      <c r="F929">
        <f>'KG1-5'!CG41</f>
        <v/>
      </c>
      <c r="G929">
        <f>'KG1-5'!CG42</f>
        <v/>
      </c>
    </row>
    <row r="930">
      <c r="A930">
        <f>'KG1-5'!$B$2</f>
        <v/>
      </c>
      <c r="B930" s="126" t="n">
        <v>46343</v>
      </c>
      <c r="C930">
        <f>'KG1-5'!CH44</f>
        <v/>
      </c>
      <c r="D930">
        <f>'KG1-5'!CH43</f>
        <v/>
      </c>
      <c r="E930">
        <f>'KG1-5'!CH40</f>
        <v/>
      </c>
      <c r="F930">
        <f>'KG1-5'!CH41</f>
        <v/>
      </c>
      <c r="G930">
        <f>'KG1-5'!CH42</f>
        <v/>
      </c>
    </row>
    <row r="931">
      <c r="A931">
        <f>'KG1-5'!$B$2</f>
        <v/>
      </c>
      <c r="B931" s="126" t="n">
        <v>46344</v>
      </c>
      <c r="C931">
        <f>'KG1-5'!CI44</f>
        <v/>
      </c>
      <c r="D931">
        <f>'KG1-5'!CI43</f>
        <v/>
      </c>
      <c r="E931">
        <f>'KG1-5'!CI40</f>
        <v/>
      </c>
      <c r="F931">
        <f>'KG1-5'!CI41</f>
        <v/>
      </c>
      <c r="G931">
        <f>'KG1-5'!CI42</f>
        <v/>
      </c>
    </row>
    <row r="932">
      <c r="A932">
        <f>'KG1-5'!$B$2</f>
        <v/>
      </c>
      <c r="B932" s="126" t="n">
        <v>46345</v>
      </c>
      <c r="C932">
        <f>'KG1-5'!CJ44</f>
        <v/>
      </c>
      <c r="D932">
        <f>'KG1-5'!CJ43</f>
        <v/>
      </c>
      <c r="E932">
        <f>'KG1-5'!CJ40</f>
        <v/>
      </c>
      <c r="F932">
        <f>'KG1-5'!CJ41</f>
        <v/>
      </c>
      <c r="G932">
        <f>'KG1-5'!CJ42</f>
        <v/>
      </c>
    </row>
    <row r="933">
      <c r="A933">
        <f>'KG1-5'!$B$2</f>
        <v/>
      </c>
      <c r="B933" s="126" t="n">
        <v>46346</v>
      </c>
      <c r="C933">
        <f>'KG1-5'!CK44</f>
        <v/>
      </c>
      <c r="D933">
        <f>'KG1-5'!CK43</f>
        <v/>
      </c>
      <c r="E933">
        <f>'KG1-5'!CK40</f>
        <v/>
      </c>
      <c r="F933">
        <f>'KG1-5'!CK41</f>
        <v/>
      </c>
      <c r="G933">
        <f>'KG1-5'!CK42</f>
        <v/>
      </c>
    </row>
    <row r="934">
      <c r="A934">
        <f>'KG1-5'!$B$2</f>
        <v/>
      </c>
      <c r="B934" s="126" t="n">
        <v>46349</v>
      </c>
      <c r="C934">
        <f>'KG1-5'!CL44</f>
        <v/>
      </c>
      <c r="D934">
        <f>'KG1-5'!CL43</f>
        <v/>
      </c>
      <c r="E934">
        <f>'KG1-5'!CL40</f>
        <v/>
      </c>
      <c r="F934">
        <f>'KG1-5'!CL41</f>
        <v/>
      </c>
      <c r="G934">
        <f>'KG1-5'!CL42</f>
        <v/>
      </c>
    </row>
    <row r="935">
      <c r="A935">
        <f>'KG1-5'!$B$2</f>
        <v/>
      </c>
      <c r="B935" s="126" t="n">
        <v>46350</v>
      </c>
      <c r="C935">
        <f>'KG1-5'!CM44</f>
        <v/>
      </c>
      <c r="D935">
        <f>'KG1-5'!CM43</f>
        <v/>
      </c>
      <c r="E935">
        <f>'KG1-5'!CM40</f>
        <v/>
      </c>
      <c r="F935">
        <f>'KG1-5'!CM41</f>
        <v/>
      </c>
      <c r="G935">
        <f>'KG1-5'!CM42</f>
        <v/>
      </c>
    </row>
    <row r="936">
      <c r="A936">
        <f>'KG1-5'!$B$2</f>
        <v/>
      </c>
      <c r="B936" s="126" t="n">
        <v>46351</v>
      </c>
      <c r="C936">
        <f>'KG1-5'!CN44</f>
        <v/>
      </c>
      <c r="D936">
        <f>'KG1-5'!CN43</f>
        <v/>
      </c>
      <c r="E936">
        <f>'KG1-5'!CN40</f>
        <v/>
      </c>
      <c r="F936">
        <f>'KG1-5'!CN41</f>
        <v/>
      </c>
      <c r="G936">
        <f>'KG1-5'!CN42</f>
        <v/>
      </c>
    </row>
    <row r="937">
      <c r="A937">
        <f>'KG1-5'!$B$2</f>
        <v/>
      </c>
      <c r="B937" s="126" t="n">
        <v>46352</v>
      </c>
      <c r="C937">
        <f>'KG1-5'!CO44</f>
        <v/>
      </c>
      <c r="D937">
        <f>'KG1-5'!CO43</f>
        <v/>
      </c>
      <c r="E937">
        <f>'KG1-5'!CO40</f>
        <v/>
      </c>
      <c r="F937">
        <f>'KG1-5'!CO41</f>
        <v/>
      </c>
      <c r="G937">
        <f>'KG1-5'!CO42</f>
        <v/>
      </c>
    </row>
    <row r="938">
      <c r="A938">
        <f>'KG1-5'!$B$2</f>
        <v/>
      </c>
      <c r="B938" s="126" t="n">
        <v>46353</v>
      </c>
      <c r="C938">
        <f>'KG1-5'!CP44</f>
        <v/>
      </c>
      <c r="D938">
        <f>'KG1-5'!CP43</f>
        <v/>
      </c>
      <c r="E938">
        <f>'KG1-5'!CP40</f>
        <v/>
      </c>
      <c r="F938">
        <f>'KG1-5'!CP41</f>
        <v/>
      </c>
      <c r="G938">
        <f>'KG1-5'!CP42</f>
        <v/>
      </c>
    </row>
    <row r="939">
      <c r="A939">
        <f>'KG1-5'!$B$2</f>
        <v/>
      </c>
      <c r="B939" s="126" t="n">
        <v>46356</v>
      </c>
      <c r="C939">
        <f>'KG1-5'!CQ44</f>
        <v/>
      </c>
      <c r="D939">
        <f>'KG1-5'!CQ43</f>
        <v/>
      </c>
      <c r="E939">
        <f>'KG1-5'!CQ40</f>
        <v/>
      </c>
      <c r="F939">
        <f>'KG1-5'!CQ41</f>
        <v/>
      </c>
      <c r="G939">
        <f>'KG1-5'!CQ42</f>
        <v/>
      </c>
    </row>
    <row r="940">
      <c r="A940">
        <f>'KG1-5'!$B$2</f>
        <v/>
      </c>
      <c r="B940" s="126" t="n">
        <v>46357</v>
      </c>
      <c r="C940">
        <f>'KG1-5'!CR44</f>
        <v/>
      </c>
      <c r="D940">
        <f>'KG1-5'!CR43</f>
        <v/>
      </c>
      <c r="E940">
        <f>'KG1-5'!CR40</f>
        <v/>
      </c>
      <c r="F940">
        <f>'KG1-5'!CR41</f>
        <v/>
      </c>
      <c r="G940">
        <f>'KG1-5'!CR42</f>
        <v/>
      </c>
    </row>
    <row r="941">
      <c r="A941">
        <f>'KG1-5'!$B$2</f>
        <v/>
      </c>
      <c r="B941" s="126" t="n">
        <v>46358</v>
      </c>
      <c r="C941">
        <f>'KG1-5'!CS44</f>
        <v/>
      </c>
      <c r="D941">
        <f>'KG1-5'!CS43</f>
        <v/>
      </c>
      <c r="E941">
        <f>'KG1-5'!CS40</f>
        <v/>
      </c>
      <c r="F941">
        <f>'KG1-5'!CS41</f>
        <v/>
      </c>
      <c r="G941">
        <f>'KG1-5'!CS42</f>
        <v/>
      </c>
    </row>
    <row r="942">
      <c r="A942">
        <f>'KG1-5'!$B$2</f>
        <v/>
      </c>
      <c r="B942" s="126" t="n">
        <v>46359</v>
      </c>
      <c r="C942">
        <f>'KG1-5'!CT44</f>
        <v/>
      </c>
      <c r="D942">
        <f>'KG1-5'!CT43</f>
        <v/>
      </c>
      <c r="E942">
        <f>'KG1-5'!CT40</f>
        <v/>
      </c>
      <c r="F942">
        <f>'KG1-5'!CT41</f>
        <v/>
      </c>
      <c r="G942">
        <f>'KG1-5'!CT42</f>
        <v/>
      </c>
    </row>
    <row r="943">
      <c r="A943">
        <f>'KG1-5'!$B$2</f>
        <v/>
      </c>
      <c r="B943" s="126" t="n">
        <v>46360</v>
      </c>
      <c r="C943">
        <f>'KG1-5'!CU44</f>
        <v/>
      </c>
      <c r="D943">
        <f>'KG1-5'!CU43</f>
        <v/>
      </c>
      <c r="E943">
        <f>'KG1-5'!CU40</f>
        <v/>
      </c>
      <c r="F943">
        <f>'KG1-5'!CU41</f>
        <v/>
      </c>
      <c r="G943">
        <f>'KG1-5'!CU42</f>
        <v/>
      </c>
    </row>
    <row r="944">
      <c r="A944">
        <f>'KG1-5'!$B$2</f>
        <v/>
      </c>
      <c r="B944" s="126" t="n">
        <v>46363</v>
      </c>
      <c r="C944">
        <f>'KG1-5'!CV44</f>
        <v/>
      </c>
      <c r="D944">
        <f>'KG1-5'!CV43</f>
        <v/>
      </c>
      <c r="E944">
        <f>'KG1-5'!CV40</f>
        <v/>
      </c>
      <c r="F944">
        <f>'KG1-5'!CV41</f>
        <v/>
      </c>
      <c r="G944">
        <f>'KG1-5'!CV42</f>
        <v/>
      </c>
    </row>
    <row r="945">
      <c r="A945">
        <f>'KG1-5'!$B$2</f>
        <v/>
      </c>
      <c r="B945" s="126" t="n">
        <v>46364</v>
      </c>
      <c r="C945">
        <f>'KG1-5'!CW44</f>
        <v/>
      </c>
      <c r="D945">
        <f>'KG1-5'!CW43</f>
        <v/>
      </c>
      <c r="E945">
        <f>'KG1-5'!CW40</f>
        <v/>
      </c>
      <c r="F945">
        <f>'KG1-5'!CW41</f>
        <v/>
      </c>
      <c r="G945">
        <f>'KG1-5'!CW42</f>
        <v/>
      </c>
    </row>
    <row r="946">
      <c r="A946">
        <f>'KG1-5'!$B$2</f>
        <v/>
      </c>
      <c r="B946" s="126" t="n">
        <v>46365</v>
      </c>
      <c r="C946">
        <f>'KG1-5'!CX44</f>
        <v/>
      </c>
      <c r="D946">
        <f>'KG1-5'!CX43</f>
        <v/>
      </c>
      <c r="E946">
        <f>'KG1-5'!CX40</f>
        <v/>
      </c>
      <c r="F946">
        <f>'KG1-5'!CX41</f>
        <v/>
      </c>
      <c r="G946">
        <f>'KG1-5'!CX42</f>
        <v/>
      </c>
    </row>
    <row r="947">
      <c r="A947">
        <f>'KG1-5'!$B$2</f>
        <v/>
      </c>
      <c r="B947" s="126" t="n">
        <v>46366</v>
      </c>
      <c r="C947">
        <f>'KG1-5'!CY44</f>
        <v/>
      </c>
      <c r="D947">
        <f>'KG1-5'!CY43</f>
        <v/>
      </c>
      <c r="E947">
        <f>'KG1-5'!CY40</f>
        <v/>
      </c>
      <c r="F947">
        <f>'KG1-5'!CY41</f>
        <v/>
      </c>
      <c r="G947">
        <f>'KG1-5'!CY42</f>
        <v/>
      </c>
    </row>
    <row r="948">
      <c r="A948">
        <f>'KG1-5'!$B$2</f>
        <v/>
      </c>
      <c r="B948" s="126" t="n">
        <v>46367</v>
      </c>
      <c r="C948">
        <f>'KG1-5'!CZ44</f>
        <v/>
      </c>
      <c r="D948">
        <f>'KG1-5'!CZ43</f>
        <v/>
      </c>
      <c r="E948">
        <f>'KG1-5'!CZ40</f>
        <v/>
      </c>
      <c r="F948">
        <f>'KG1-5'!CZ41</f>
        <v/>
      </c>
      <c r="G948">
        <f>'KG1-5'!CZ42</f>
        <v/>
      </c>
    </row>
    <row r="949">
      <c r="A949">
        <f>'KG1-5'!$B$2</f>
        <v/>
      </c>
      <c r="B949" s="126" t="n">
        <v>46370</v>
      </c>
      <c r="C949">
        <f>'KG1-5'!DA44</f>
        <v/>
      </c>
      <c r="D949">
        <f>'KG1-5'!DA43</f>
        <v/>
      </c>
      <c r="E949">
        <f>'KG1-5'!DA40</f>
        <v/>
      </c>
      <c r="F949">
        <f>'KG1-5'!DA41</f>
        <v/>
      </c>
      <c r="G949">
        <f>'KG1-5'!DA42</f>
        <v/>
      </c>
    </row>
    <row r="950">
      <c r="A950">
        <f>'KG1-5'!$B$2</f>
        <v/>
      </c>
      <c r="B950" s="126" t="n">
        <v>46371</v>
      </c>
      <c r="C950">
        <f>'KG1-5'!DB44</f>
        <v/>
      </c>
      <c r="D950">
        <f>'KG1-5'!DB43</f>
        <v/>
      </c>
      <c r="E950">
        <f>'KG1-5'!DB40</f>
        <v/>
      </c>
      <c r="F950">
        <f>'KG1-5'!DB41</f>
        <v/>
      </c>
      <c r="G950">
        <f>'KG1-5'!DB42</f>
        <v/>
      </c>
    </row>
    <row r="951">
      <c r="A951">
        <f>'KG1-5'!$B$2</f>
        <v/>
      </c>
      <c r="B951" s="126" t="n">
        <v>46372</v>
      </c>
      <c r="C951">
        <f>'KG1-5'!DC44</f>
        <v/>
      </c>
      <c r="D951">
        <f>'KG1-5'!DC43</f>
        <v/>
      </c>
      <c r="E951">
        <f>'KG1-5'!DC40</f>
        <v/>
      </c>
      <c r="F951">
        <f>'KG1-5'!DC41</f>
        <v/>
      </c>
      <c r="G951">
        <f>'KG1-5'!DC42</f>
        <v/>
      </c>
    </row>
    <row r="952">
      <c r="A952">
        <f>'KG1-5'!$B$2</f>
        <v/>
      </c>
      <c r="B952" s="126" t="n">
        <v>46373</v>
      </c>
      <c r="C952">
        <f>'KG1-5'!DD44</f>
        <v/>
      </c>
      <c r="D952">
        <f>'KG1-5'!DD43</f>
        <v/>
      </c>
      <c r="E952">
        <f>'KG1-5'!DD40</f>
        <v/>
      </c>
      <c r="F952">
        <f>'KG1-5'!DD41</f>
        <v/>
      </c>
      <c r="G952">
        <f>'KG1-5'!DD42</f>
        <v/>
      </c>
    </row>
    <row r="953">
      <c r="A953">
        <f>'KG1-5'!$B$2</f>
        <v/>
      </c>
      <c r="B953" s="126" t="n">
        <v>46374</v>
      </c>
      <c r="C953">
        <f>'KG1-5'!DE44</f>
        <v/>
      </c>
      <c r="D953">
        <f>'KG1-5'!DE43</f>
        <v/>
      </c>
      <c r="E953">
        <f>'KG1-5'!DE40</f>
        <v/>
      </c>
      <c r="F953">
        <f>'KG1-5'!DE41</f>
        <v/>
      </c>
      <c r="G953">
        <f>'KG1-5'!DE42</f>
        <v/>
      </c>
    </row>
    <row r="954">
      <c r="A954">
        <f>'KG1-5'!$B$2</f>
        <v/>
      </c>
      <c r="B954" s="126" t="n">
        <v>46377</v>
      </c>
      <c r="C954">
        <f>'KG1-5'!DF44</f>
        <v/>
      </c>
      <c r="D954">
        <f>'KG1-5'!DF43</f>
        <v/>
      </c>
      <c r="E954">
        <f>'KG1-5'!DF40</f>
        <v/>
      </c>
      <c r="F954">
        <f>'KG1-5'!DF41</f>
        <v/>
      </c>
      <c r="G954">
        <f>'KG1-5'!DF42</f>
        <v/>
      </c>
    </row>
    <row r="955">
      <c r="A955">
        <f>'KG1-5'!$B$2</f>
        <v/>
      </c>
      <c r="B955" s="126" t="n">
        <v>46378</v>
      </c>
      <c r="C955">
        <f>'KG1-5'!DG44</f>
        <v/>
      </c>
      <c r="D955">
        <f>'KG1-5'!DG43</f>
        <v/>
      </c>
      <c r="E955">
        <f>'KG1-5'!DG40</f>
        <v/>
      </c>
      <c r="F955">
        <f>'KG1-5'!DG41</f>
        <v/>
      </c>
      <c r="G955">
        <f>'KG1-5'!DG42</f>
        <v/>
      </c>
    </row>
    <row r="956">
      <c r="A956">
        <f>'KG1-5'!$B$2</f>
        <v/>
      </c>
      <c r="B956" s="126" t="n">
        <v>46379</v>
      </c>
      <c r="C956">
        <f>'KG1-5'!DH44</f>
        <v/>
      </c>
      <c r="D956">
        <f>'KG1-5'!DH43</f>
        <v/>
      </c>
      <c r="E956">
        <f>'KG1-5'!DH40</f>
        <v/>
      </c>
      <c r="F956">
        <f>'KG1-5'!DH41</f>
        <v/>
      </c>
      <c r="G956">
        <f>'KG1-5'!DH42</f>
        <v/>
      </c>
    </row>
    <row r="957">
      <c r="A957">
        <f>'KG1-5'!$B$2</f>
        <v/>
      </c>
      <c r="B957" s="126" t="n">
        <v>46380</v>
      </c>
      <c r="C957">
        <f>'KG1-5'!DI44</f>
        <v/>
      </c>
      <c r="D957">
        <f>'KG1-5'!DI43</f>
        <v/>
      </c>
      <c r="E957">
        <f>'KG1-5'!DI40</f>
        <v/>
      </c>
      <c r="F957">
        <f>'KG1-5'!DI41</f>
        <v/>
      </c>
      <c r="G957">
        <f>'KG1-5'!DI42</f>
        <v/>
      </c>
    </row>
    <row r="958">
      <c r="A958">
        <f>'KG1-5'!$B$2</f>
        <v/>
      </c>
      <c r="B958" s="126" t="n">
        <v>46381</v>
      </c>
      <c r="C958">
        <f>'KG1-5'!DJ44</f>
        <v/>
      </c>
      <c r="D958">
        <f>'KG1-5'!DJ43</f>
        <v/>
      </c>
      <c r="E958">
        <f>'KG1-5'!DJ40</f>
        <v/>
      </c>
      <c r="F958">
        <f>'KG1-5'!DJ41</f>
        <v/>
      </c>
      <c r="G958">
        <f>'KG1-5'!DJ42</f>
        <v/>
      </c>
    </row>
    <row r="959">
      <c r="A959">
        <f>'KG1-5'!$B$2</f>
        <v/>
      </c>
      <c r="B959" s="126" t="n">
        <v>46384</v>
      </c>
      <c r="C959">
        <f>'KG1-5'!DK44</f>
        <v/>
      </c>
      <c r="D959">
        <f>'KG1-5'!DK43</f>
        <v/>
      </c>
      <c r="E959">
        <f>'KG1-5'!DK40</f>
        <v/>
      </c>
      <c r="F959">
        <f>'KG1-5'!DK41</f>
        <v/>
      </c>
      <c r="G959">
        <f>'KG1-5'!DK42</f>
        <v/>
      </c>
    </row>
    <row r="960">
      <c r="A960">
        <f>'KG1-5'!$B$2</f>
        <v/>
      </c>
      <c r="B960" s="126" t="n">
        <v>46385</v>
      </c>
      <c r="C960">
        <f>'KG1-5'!DL44</f>
        <v/>
      </c>
      <c r="D960">
        <f>'KG1-5'!DL43</f>
        <v/>
      </c>
      <c r="E960">
        <f>'KG1-5'!DL40</f>
        <v/>
      </c>
      <c r="F960">
        <f>'KG1-5'!DL41</f>
        <v/>
      </c>
      <c r="G960">
        <f>'KG1-5'!DL42</f>
        <v/>
      </c>
    </row>
    <row r="961">
      <c r="A961">
        <f>'KG1-5'!$B$2</f>
        <v/>
      </c>
      <c r="B961" s="126" t="n">
        <v>46386</v>
      </c>
      <c r="C961">
        <f>'KG1-5'!DM44</f>
        <v/>
      </c>
      <c r="D961">
        <f>'KG1-5'!DM43</f>
        <v/>
      </c>
      <c r="E961">
        <f>'KG1-5'!DM40</f>
        <v/>
      </c>
      <c r="F961">
        <f>'KG1-5'!DM41</f>
        <v/>
      </c>
      <c r="G961">
        <f>'KG1-5'!DM42</f>
        <v/>
      </c>
    </row>
    <row r="962">
      <c r="A962">
        <f>'KG1-5'!$B$2</f>
        <v/>
      </c>
      <c r="B962" s="126" t="n">
        <v>46387</v>
      </c>
      <c r="C962">
        <f>'KG1-5'!DN44</f>
        <v/>
      </c>
      <c r="D962">
        <f>'KG1-5'!DN43</f>
        <v/>
      </c>
      <c r="E962">
        <f>'KG1-5'!DN40</f>
        <v/>
      </c>
      <c r="F962">
        <f>'KG1-5'!DN41</f>
        <v/>
      </c>
      <c r="G962">
        <f>'KG1-5'!DN42</f>
        <v/>
      </c>
    </row>
    <row r="963">
      <c r="A963">
        <f>'KG1-5'!$B$2</f>
        <v/>
      </c>
      <c r="B963" s="126" t="n">
        <v>46388</v>
      </c>
      <c r="C963">
        <f>'KG1-5'!DO44</f>
        <v/>
      </c>
      <c r="D963">
        <f>'KG1-5'!DO43</f>
        <v/>
      </c>
      <c r="E963">
        <f>'KG1-5'!DO40</f>
        <v/>
      </c>
      <c r="F963">
        <f>'KG1-5'!DO41</f>
        <v/>
      </c>
      <c r="G963">
        <f>'KG1-5'!DO42</f>
        <v/>
      </c>
    </row>
    <row r="964">
      <c r="A964">
        <f>'KG1-5'!$B$2</f>
        <v/>
      </c>
      <c r="B964" s="126" t="n">
        <v>46391</v>
      </c>
      <c r="C964">
        <f>'KG1-5'!DP44</f>
        <v/>
      </c>
      <c r="D964">
        <f>'KG1-5'!DP43</f>
        <v/>
      </c>
      <c r="E964">
        <f>'KG1-5'!DP40</f>
        <v/>
      </c>
      <c r="F964">
        <f>'KG1-5'!DP41</f>
        <v/>
      </c>
      <c r="G964">
        <f>'KG1-5'!DP42</f>
        <v/>
      </c>
    </row>
    <row r="965">
      <c r="A965">
        <f>'KG1-5'!$B$2</f>
        <v/>
      </c>
      <c r="B965" s="126" t="n">
        <v>46392</v>
      </c>
      <c r="C965">
        <f>'KG1-5'!DQ44</f>
        <v/>
      </c>
      <c r="D965">
        <f>'KG1-5'!DQ43</f>
        <v/>
      </c>
      <c r="E965">
        <f>'KG1-5'!DQ40</f>
        <v/>
      </c>
      <c r="F965">
        <f>'KG1-5'!DQ41</f>
        <v/>
      </c>
      <c r="G965">
        <f>'KG1-5'!DQ42</f>
        <v/>
      </c>
    </row>
    <row r="966">
      <c r="A966">
        <f>'KG1-5'!$B$2</f>
        <v/>
      </c>
      <c r="B966" s="126" t="n">
        <v>46393</v>
      </c>
      <c r="C966">
        <f>'KG1-5'!DR44</f>
        <v/>
      </c>
      <c r="D966">
        <f>'KG1-5'!DR43</f>
        <v/>
      </c>
      <c r="E966">
        <f>'KG1-5'!DR40</f>
        <v/>
      </c>
      <c r="F966">
        <f>'KG1-5'!DR41</f>
        <v/>
      </c>
      <c r="G966">
        <f>'KG1-5'!DR42</f>
        <v/>
      </c>
    </row>
    <row r="967">
      <c r="A967">
        <f>'KG1-5'!$B$2</f>
        <v/>
      </c>
      <c r="B967" s="126" t="n">
        <v>46394</v>
      </c>
      <c r="C967">
        <f>'KG1-5'!DS44</f>
        <v/>
      </c>
      <c r="D967">
        <f>'KG1-5'!DS43</f>
        <v/>
      </c>
      <c r="E967">
        <f>'KG1-5'!DS40</f>
        <v/>
      </c>
      <c r="F967">
        <f>'KG1-5'!DS41</f>
        <v/>
      </c>
      <c r="G967">
        <f>'KG1-5'!DS42</f>
        <v/>
      </c>
    </row>
    <row r="968">
      <c r="A968">
        <f>'KG1-5'!$B$2</f>
        <v/>
      </c>
      <c r="B968" s="126" t="n">
        <v>46395</v>
      </c>
      <c r="C968">
        <f>'KG1-5'!DT44</f>
        <v/>
      </c>
      <c r="D968">
        <f>'KG1-5'!DT43</f>
        <v/>
      </c>
      <c r="E968">
        <f>'KG1-5'!DT40</f>
        <v/>
      </c>
      <c r="F968">
        <f>'KG1-5'!DT41</f>
        <v/>
      </c>
      <c r="G968">
        <f>'KG1-5'!DT42</f>
        <v/>
      </c>
    </row>
    <row r="969">
      <c r="A969">
        <f>'KG1-5'!$B$2</f>
        <v/>
      </c>
      <c r="B969" s="126" t="n">
        <v>46398</v>
      </c>
      <c r="C969">
        <f>'KG1-5'!DU44</f>
        <v/>
      </c>
      <c r="D969">
        <f>'KG1-5'!DU43</f>
        <v/>
      </c>
      <c r="E969">
        <f>'KG1-5'!DU40</f>
        <v/>
      </c>
      <c r="F969">
        <f>'KG1-5'!DU41</f>
        <v/>
      </c>
      <c r="G969">
        <f>'KG1-5'!DU42</f>
        <v/>
      </c>
    </row>
    <row r="970">
      <c r="A970">
        <f>'KG1-5'!$B$2</f>
        <v/>
      </c>
      <c r="B970" s="126" t="n">
        <v>46399</v>
      </c>
      <c r="C970">
        <f>'KG1-5'!DV44</f>
        <v/>
      </c>
      <c r="D970">
        <f>'KG1-5'!DV43</f>
        <v/>
      </c>
      <c r="E970">
        <f>'KG1-5'!DV40</f>
        <v/>
      </c>
      <c r="F970">
        <f>'KG1-5'!DV41</f>
        <v/>
      </c>
      <c r="G970">
        <f>'KG1-5'!DV42</f>
        <v/>
      </c>
    </row>
    <row r="971">
      <c r="A971">
        <f>'KG1-5'!$B$2</f>
        <v/>
      </c>
      <c r="B971" s="126" t="n">
        <v>46400</v>
      </c>
      <c r="C971">
        <f>'KG1-5'!DW44</f>
        <v/>
      </c>
      <c r="D971">
        <f>'KG1-5'!DW43</f>
        <v/>
      </c>
      <c r="E971">
        <f>'KG1-5'!DW40</f>
        <v/>
      </c>
      <c r="F971">
        <f>'KG1-5'!DW41</f>
        <v/>
      </c>
      <c r="G971">
        <f>'KG1-5'!DW42</f>
        <v/>
      </c>
    </row>
    <row r="972">
      <c r="A972">
        <f>'KG1-5'!$B$2</f>
        <v/>
      </c>
      <c r="B972" s="126" t="n">
        <v>46401</v>
      </c>
      <c r="C972">
        <f>'KG1-5'!DX44</f>
        <v/>
      </c>
      <c r="D972">
        <f>'KG1-5'!DX43</f>
        <v/>
      </c>
      <c r="E972">
        <f>'KG1-5'!DX40</f>
        <v/>
      </c>
      <c r="F972">
        <f>'KG1-5'!DX41</f>
        <v/>
      </c>
      <c r="G972">
        <f>'KG1-5'!DX42</f>
        <v/>
      </c>
    </row>
    <row r="973">
      <c r="A973">
        <f>'KG1-5'!$B$2</f>
        <v/>
      </c>
      <c r="B973" s="126" t="n">
        <v>46402</v>
      </c>
      <c r="C973">
        <f>'KG1-5'!DY44</f>
        <v/>
      </c>
      <c r="D973">
        <f>'KG1-5'!DY43</f>
        <v/>
      </c>
      <c r="E973">
        <f>'KG1-5'!DY40</f>
        <v/>
      </c>
      <c r="F973">
        <f>'KG1-5'!DY41</f>
        <v/>
      </c>
      <c r="G973">
        <f>'KG1-5'!DY42</f>
        <v/>
      </c>
    </row>
    <row r="974">
      <c r="A974">
        <f>'KG1-5'!$B$2</f>
        <v/>
      </c>
      <c r="B974" s="126" t="n">
        <v>46405</v>
      </c>
      <c r="C974">
        <f>'KG1-5'!DZ44</f>
        <v/>
      </c>
      <c r="D974">
        <f>'KG1-5'!DZ43</f>
        <v/>
      </c>
      <c r="E974">
        <f>'KG1-5'!DZ40</f>
        <v/>
      </c>
      <c r="F974">
        <f>'KG1-5'!DZ41</f>
        <v/>
      </c>
      <c r="G974">
        <f>'KG1-5'!DZ42</f>
        <v/>
      </c>
    </row>
    <row r="975">
      <c r="A975">
        <f>'KG1-5'!$B$2</f>
        <v/>
      </c>
      <c r="B975" s="126" t="n">
        <v>46406</v>
      </c>
      <c r="C975">
        <f>'KG1-5'!EA44</f>
        <v/>
      </c>
      <c r="D975">
        <f>'KG1-5'!EA43</f>
        <v/>
      </c>
      <c r="E975">
        <f>'KG1-5'!EA40</f>
        <v/>
      </c>
      <c r="F975">
        <f>'KG1-5'!EA41</f>
        <v/>
      </c>
      <c r="G975">
        <f>'KG1-5'!EA42</f>
        <v/>
      </c>
    </row>
    <row r="976">
      <c r="A976">
        <f>'KG1-5'!$B$2</f>
        <v/>
      </c>
      <c r="B976" s="126" t="n">
        <v>46407</v>
      </c>
      <c r="C976">
        <f>'KG1-5'!EB44</f>
        <v/>
      </c>
      <c r="D976">
        <f>'KG1-5'!EB43</f>
        <v/>
      </c>
      <c r="E976">
        <f>'KG1-5'!EB40</f>
        <v/>
      </c>
      <c r="F976">
        <f>'KG1-5'!EB41</f>
        <v/>
      </c>
      <c r="G976">
        <f>'KG1-5'!EB42</f>
        <v/>
      </c>
    </row>
    <row r="977">
      <c r="A977">
        <f>'KG1-5'!$B$2</f>
        <v/>
      </c>
      <c r="B977" s="126" t="n">
        <v>46408</v>
      </c>
      <c r="C977">
        <f>'KG1-5'!EC44</f>
        <v/>
      </c>
      <c r="D977">
        <f>'KG1-5'!EC43</f>
        <v/>
      </c>
      <c r="E977">
        <f>'KG1-5'!EC40</f>
        <v/>
      </c>
      <c r="F977">
        <f>'KG1-5'!EC41</f>
        <v/>
      </c>
      <c r="G977">
        <f>'KG1-5'!EC42</f>
        <v/>
      </c>
    </row>
    <row r="978">
      <c r="A978">
        <f>'KG1-5'!$B$2</f>
        <v/>
      </c>
      <c r="B978" s="126" t="n">
        <v>46409</v>
      </c>
      <c r="C978">
        <f>'KG1-5'!ED44</f>
        <v/>
      </c>
      <c r="D978">
        <f>'KG1-5'!ED43</f>
        <v/>
      </c>
      <c r="E978">
        <f>'KG1-5'!ED40</f>
        <v/>
      </c>
      <c r="F978">
        <f>'KG1-5'!ED41</f>
        <v/>
      </c>
      <c r="G978">
        <f>'KG1-5'!ED42</f>
        <v/>
      </c>
    </row>
    <row r="979">
      <c r="A979">
        <f>'KG1-5'!$B$2</f>
        <v/>
      </c>
      <c r="B979" s="126" t="n">
        <v>46412</v>
      </c>
      <c r="C979">
        <f>'KG1-5'!EE44</f>
        <v/>
      </c>
      <c r="D979">
        <f>'KG1-5'!EE43</f>
        <v/>
      </c>
      <c r="E979">
        <f>'KG1-5'!EE40</f>
        <v/>
      </c>
      <c r="F979">
        <f>'KG1-5'!EE41</f>
        <v/>
      </c>
      <c r="G979">
        <f>'KG1-5'!EE42</f>
        <v/>
      </c>
    </row>
    <row r="980">
      <c r="A980">
        <f>'KG1-5'!$B$2</f>
        <v/>
      </c>
      <c r="B980" s="126" t="n">
        <v>46413</v>
      </c>
      <c r="C980">
        <f>'KG1-5'!EF44</f>
        <v/>
      </c>
      <c r="D980">
        <f>'KG1-5'!EF43</f>
        <v/>
      </c>
      <c r="E980">
        <f>'KG1-5'!EF40</f>
        <v/>
      </c>
      <c r="F980">
        <f>'KG1-5'!EF41</f>
        <v/>
      </c>
      <c r="G980">
        <f>'KG1-5'!EF42</f>
        <v/>
      </c>
    </row>
    <row r="981">
      <c r="A981">
        <f>'KG1-5'!$B$2</f>
        <v/>
      </c>
      <c r="B981" s="126" t="n">
        <v>46414</v>
      </c>
      <c r="C981">
        <f>'KG1-5'!EG44</f>
        <v/>
      </c>
      <c r="D981">
        <f>'KG1-5'!EG43</f>
        <v/>
      </c>
      <c r="E981">
        <f>'KG1-5'!EG40</f>
        <v/>
      </c>
      <c r="F981">
        <f>'KG1-5'!EG41</f>
        <v/>
      </c>
      <c r="G981">
        <f>'KG1-5'!EG42</f>
        <v/>
      </c>
    </row>
    <row r="982">
      <c r="A982">
        <f>'KG1-5'!$B$2</f>
        <v/>
      </c>
      <c r="B982" s="126" t="n">
        <v>46415</v>
      </c>
      <c r="C982">
        <f>'KG1-5'!EH44</f>
        <v/>
      </c>
      <c r="D982">
        <f>'KG1-5'!EH43</f>
        <v/>
      </c>
      <c r="E982">
        <f>'KG1-5'!EH40</f>
        <v/>
      </c>
      <c r="F982">
        <f>'KG1-5'!EH41</f>
        <v/>
      </c>
      <c r="G982">
        <f>'KG1-5'!EH42</f>
        <v/>
      </c>
    </row>
    <row r="983">
      <c r="A983">
        <f>'KG1-5'!$B$2</f>
        <v/>
      </c>
      <c r="B983" s="126" t="n">
        <v>46416</v>
      </c>
      <c r="C983">
        <f>'KG1-5'!EI44</f>
        <v/>
      </c>
      <c r="D983">
        <f>'KG1-5'!EI43</f>
        <v/>
      </c>
      <c r="E983">
        <f>'KG1-5'!EI40</f>
        <v/>
      </c>
      <c r="F983">
        <f>'KG1-5'!EI41</f>
        <v/>
      </c>
      <c r="G983">
        <f>'KG1-5'!EI42</f>
        <v/>
      </c>
    </row>
    <row r="984">
      <c r="A984">
        <f>'KG1-5'!$B$2</f>
        <v/>
      </c>
      <c r="B984" s="126" t="n">
        <v>46419</v>
      </c>
      <c r="C984">
        <f>'KG1-5'!EJ44</f>
        <v/>
      </c>
      <c r="D984">
        <f>'KG1-5'!EJ43</f>
        <v/>
      </c>
      <c r="E984">
        <f>'KG1-5'!EJ40</f>
        <v/>
      </c>
      <c r="F984">
        <f>'KG1-5'!EJ41</f>
        <v/>
      </c>
      <c r="G984">
        <f>'KG1-5'!EJ42</f>
        <v/>
      </c>
    </row>
    <row r="985">
      <c r="A985">
        <f>'KG1-5'!$B$2</f>
        <v/>
      </c>
      <c r="B985" s="126" t="n">
        <v>46420</v>
      </c>
      <c r="C985">
        <f>'KG1-5'!EK44</f>
        <v/>
      </c>
      <c r="D985">
        <f>'KG1-5'!EK43</f>
        <v/>
      </c>
      <c r="E985">
        <f>'KG1-5'!EK40</f>
        <v/>
      </c>
      <c r="F985">
        <f>'KG1-5'!EK41</f>
        <v/>
      </c>
      <c r="G985">
        <f>'KG1-5'!EK42</f>
        <v/>
      </c>
    </row>
    <row r="986">
      <c r="A986">
        <f>'KG1-5'!$B$2</f>
        <v/>
      </c>
      <c r="B986" s="126" t="n">
        <v>46421</v>
      </c>
      <c r="C986">
        <f>'KG1-5'!EL44</f>
        <v/>
      </c>
      <c r="D986">
        <f>'KG1-5'!EL43</f>
        <v/>
      </c>
      <c r="E986">
        <f>'KG1-5'!EL40</f>
        <v/>
      </c>
      <c r="F986">
        <f>'KG1-5'!EL41</f>
        <v/>
      </c>
      <c r="G986">
        <f>'KG1-5'!EL42</f>
        <v/>
      </c>
    </row>
    <row r="987">
      <c r="A987">
        <f>'KG1-5'!$B$2</f>
        <v/>
      </c>
      <c r="B987" s="126" t="n">
        <v>46422</v>
      </c>
      <c r="C987">
        <f>'KG1-5'!EM44</f>
        <v/>
      </c>
      <c r="D987">
        <f>'KG1-5'!EM43</f>
        <v/>
      </c>
      <c r="E987">
        <f>'KG1-5'!EM40</f>
        <v/>
      </c>
      <c r="F987">
        <f>'KG1-5'!EM41</f>
        <v/>
      </c>
      <c r="G987">
        <f>'KG1-5'!EM42</f>
        <v/>
      </c>
    </row>
    <row r="988">
      <c r="A988">
        <f>'KG1-5'!$B$2</f>
        <v/>
      </c>
      <c r="B988" s="126" t="n">
        <v>46423</v>
      </c>
      <c r="C988">
        <f>'KG1-5'!EN44</f>
        <v/>
      </c>
      <c r="D988">
        <f>'KG1-5'!EN43</f>
        <v/>
      </c>
      <c r="E988">
        <f>'KG1-5'!EN40</f>
        <v/>
      </c>
      <c r="F988">
        <f>'KG1-5'!EN41</f>
        <v/>
      </c>
      <c r="G988">
        <f>'KG1-5'!EN42</f>
        <v/>
      </c>
    </row>
    <row r="989">
      <c r="A989">
        <f>'KG1-5'!$B$2</f>
        <v/>
      </c>
      <c r="B989" s="126" t="n">
        <v>46426</v>
      </c>
      <c r="C989">
        <f>'KG1-5'!EO44</f>
        <v/>
      </c>
      <c r="D989">
        <f>'KG1-5'!EO43</f>
        <v/>
      </c>
      <c r="E989">
        <f>'KG1-5'!EO40</f>
        <v/>
      </c>
      <c r="F989">
        <f>'KG1-5'!EO41</f>
        <v/>
      </c>
      <c r="G989">
        <f>'KG1-5'!EO42</f>
        <v/>
      </c>
    </row>
    <row r="990">
      <c r="A990">
        <f>'KG1-5'!$B$2</f>
        <v/>
      </c>
      <c r="B990" s="126" t="n">
        <v>46427</v>
      </c>
      <c r="C990">
        <f>'KG1-5'!EP44</f>
        <v/>
      </c>
      <c r="D990">
        <f>'KG1-5'!EP43</f>
        <v/>
      </c>
      <c r="E990">
        <f>'KG1-5'!EP40</f>
        <v/>
      </c>
      <c r="F990">
        <f>'KG1-5'!EP41</f>
        <v/>
      </c>
      <c r="G990">
        <f>'KG1-5'!EP42</f>
        <v/>
      </c>
    </row>
    <row r="991">
      <c r="A991">
        <f>'KG1-5'!$B$2</f>
        <v/>
      </c>
      <c r="B991" s="126" t="n">
        <v>46428</v>
      </c>
      <c r="C991">
        <f>'KG1-5'!EQ44</f>
        <v/>
      </c>
      <c r="D991">
        <f>'KG1-5'!EQ43</f>
        <v/>
      </c>
      <c r="E991">
        <f>'KG1-5'!EQ40</f>
        <v/>
      </c>
      <c r="F991">
        <f>'KG1-5'!EQ41</f>
        <v/>
      </c>
      <c r="G991">
        <f>'KG1-5'!EQ42</f>
        <v/>
      </c>
    </row>
    <row r="992">
      <c r="A992">
        <f>'KG1-5'!$B$2</f>
        <v/>
      </c>
      <c r="B992" s="126" t="n">
        <v>46429</v>
      </c>
      <c r="C992">
        <f>'KG1-5'!ER44</f>
        <v/>
      </c>
      <c r="D992">
        <f>'KG1-5'!ER43</f>
        <v/>
      </c>
      <c r="E992">
        <f>'KG1-5'!ER40</f>
        <v/>
      </c>
      <c r="F992">
        <f>'KG1-5'!ER41</f>
        <v/>
      </c>
      <c r="G992">
        <f>'KG1-5'!ER42</f>
        <v/>
      </c>
    </row>
    <row r="993">
      <c r="A993">
        <f>'KG1-5'!$B$2</f>
        <v/>
      </c>
      <c r="B993" s="126" t="n">
        <v>46430</v>
      </c>
      <c r="C993">
        <f>'KG1-5'!ES44</f>
        <v/>
      </c>
      <c r="D993">
        <f>'KG1-5'!ES43</f>
        <v/>
      </c>
      <c r="E993">
        <f>'KG1-5'!ES40</f>
        <v/>
      </c>
      <c r="F993">
        <f>'KG1-5'!ES41</f>
        <v/>
      </c>
      <c r="G993">
        <f>'KG1-5'!ES42</f>
        <v/>
      </c>
    </row>
    <row r="994">
      <c r="A994">
        <f>'KG1-5'!$B$2</f>
        <v/>
      </c>
      <c r="B994" s="126" t="n">
        <v>46433</v>
      </c>
      <c r="C994">
        <f>'KG1-5'!ET44</f>
        <v/>
      </c>
      <c r="D994">
        <f>'KG1-5'!ET43</f>
        <v/>
      </c>
      <c r="E994">
        <f>'KG1-5'!ET40</f>
        <v/>
      </c>
      <c r="F994">
        <f>'KG1-5'!ET41</f>
        <v/>
      </c>
      <c r="G994">
        <f>'KG1-5'!ET42</f>
        <v/>
      </c>
    </row>
    <row r="995">
      <c r="A995">
        <f>'KG1-5'!$B$2</f>
        <v/>
      </c>
      <c r="B995" s="126" t="n">
        <v>46434</v>
      </c>
      <c r="C995">
        <f>'KG1-5'!EU44</f>
        <v/>
      </c>
      <c r="D995">
        <f>'KG1-5'!EU43</f>
        <v/>
      </c>
      <c r="E995">
        <f>'KG1-5'!EU40</f>
        <v/>
      </c>
      <c r="F995">
        <f>'KG1-5'!EU41</f>
        <v/>
      </c>
      <c r="G995">
        <f>'KG1-5'!EU42</f>
        <v/>
      </c>
    </row>
    <row r="996">
      <c r="A996">
        <f>'KG1-5'!$B$2</f>
        <v/>
      </c>
      <c r="B996" s="126" t="n">
        <v>46435</v>
      </c>
      <c r="C996">
        <f>'KG1-5'!EV44</f>
        <v/>
      </c>
      <c r="D996">
        <f>'KG1-5'!EV43</f>
        <v/>
      </c>
      <c r="E996">
        <f>'KG1-5'!EV40</f>
        <v/>
      </c>
      <c r="F996">
        <f>'KG1-5'!EV41</f>
        <v/>
      </c>
      <c r="G996">
        <f>'KG1-5'!EV42</f>
        <v/>
      </c>
    </row>
    <row r="997">
      <c r="A997">
        <f>'KG1-5'!$B$2</f>
        <v/>
      </c>
      <c r="B997" s="126" t="n">
        <v>46436</v>
      </c>
      <c r="C997">
        <f>'KG1-5'!EW44</f>
        <v/>
      </c>
      <c r="D997">
        <f>'KG1-5'!EW43</f>
        <v/>
      </c>
      <c r="E997">
        <f>'KG1-5'!EW40</f>
        <v/>
      </c>
      <c r="F997">
        <f>'KG1-5'!EW41</f>
        <v/>
      </c>
      <c r="G997">
        <f>'KG1-5'!EW42</f>
        <v/>
      </c>
    </row>
    <row r="998">
      <c r="A998">
        <f>'KG1-5'!$B$2</f>
        <v/>
      </c>
      <c r="B998" s="126" t="n">
        <v>46437</v>
      </c>
      <c r="C998">
        <f>'KG1-5'!EX44</f>
        <v/>
      </c>
      <c r="D998">
        <f>'KG1-5'!EX43</f>
        <v/>
      </c>
      <c r="E998">
        <f>'KG1-5'!EX40</f>
        <v/>
      </c>
      <c r="F998">
        <f>'KG1-5'!EX41</f>
        <v/>
      </c>
      <c r="G998">
        <f>'KG1-5'!EX42</f>
        <v/>
      </c>
    </row>
    <row r="999">
      <c r="A999">
        <f>'KG1-5'!$B$2</f>
        <v/>
      </c>
      <c r="B999" s="126" t="n">
        <v>46440</v>
      </c>
      <c r="C999">
        <f>'KG1-5'!EY44</f>
        <v/>
      </c>
      <c r="D999">
        <f>'KG1-5'!EY43</f>
        <v/>
      </c>
      <c r="E999">
        <f>'KG1-5'!EY40</f>
        <v/>
      </c>
      <c r="F999">
        <f>'KG1-5'!EY41</f>
        <v/>
      </c>
      <c r="G999">
        <f>'KG1-5'!EY42</f>
        <v/>
      </c>
    </row>
    <row r="1000">
      <c r="A1000">
        <f>'KG1-5'!$B$2</f>
        <v/>
      </c>
      <c r="B1000" s="126" t="n">
        <v>46441</v>
      </c>
      <c r="C1000">
        <f>'KG1-5'!EZ44</f>
        <v/>
      </c>
      <c r="D1000">
        <f>'KG1-5'!EZ43</f>
        <v/>
      </c>
      <c r="E1000">
        <f>'KG1-5'!EZ40</f>
        <v/>
      </c>
      <c r="F1000">
        <f>'KG1-5'!EZ41</f>
        <v/>
      </c>
      <c r="G1000">
        <f>'KG1-5'!EZ42</f>
        <v/>
      </c>
    </row>
    <row r="1001">
      <c r="A1001">
        <f>'KG1-5'!$B$2</f>
        <v/>
      </c>
      <c r="B1001" s="126" t="n">
        <v>46442</v>
      </c>
      <c r="C1001">
        <f>'KG1-5'!FA44</f>
        <v/>
      </c>
      <c r="D1001">
        <f>'KG1-5'!FA43</f>
        <v/>
      </c>
      <c r="E1001">
        <f>'KG1-5'!FA40</f>
        <v/>
      </c>
      <c r="F1001">
        <f>'KG1-5'!FA41</f>
        <v/>
      </c>
      <c r="G1001">
        <f>'KG1-5'!FA42</f>
        <v/>
      </c>
    </row>
    <row r="1002">
      <c r="A1002">
        <f>'KG1-5'!$B$2</f>
        <v/>
      </c>
      <c r="B1002" s="126" t="n">
        <v>46443</v>
      </c>
      <c r="C1002">
        <f>'KG1-5'!FB44</f>
        <v/>
      </c>
      <c r="D1002">
        <f>'KG1-5'!FB43</f>
        <v/>
      </c>
      <c r="E1002">
        <f>'KG1-5'!FB40</f>
        <v/>
      </c>
      <c r="F1002">
        <f>'KG1-5'!FB41</f>
        <v/>
      </c>
      <c r="G1002">
        <f>'KG1-5'!FB42</f>
        <v/>
      </c>
    </row>
    <row r="1003">
      <c r="A1003">
        <f>'KG1-5'!$B$2</f>
        <v/>
      </c>
      <c r="B1003" s="126" t="n">
        <v>46444</v>
      </c>
      <c r="C1003">
        <f>'KG1-5'!FC44</f>
        <v/>
      </c>
      <c r="D1003">
        <f>'KG1-5'!FC43</f>
        <v/>
      </c>
      <c r="E1003">
        <f>'KG1-5'!FC40</f>
        <v/>
      </c>
      <c r="F1003">
        <f>'KG1-5'!FC41</f>
        <v/>
      </c>
      <c r="G1003">
        <f>'KG1-5'!FC42</f>
        <v/>
      </c>
    </row>
    <row r="1004">
      <c r="A1004">
        <f>'KG1-5'!$B$2</f>
        <v/>
      </c>
      <c r="B1004" s="126" t="n">
        <v>46447</v>
      </c>
      <c r="C1004">
        <f>'KG1-5'!FD44</f>
        <v/>
      </c>
      <c r="D1004">
        <f>'KG1-5'!FD43</f>
        <v/>
      </c>
      <c r="E1004">
        <f>'KG1-5'!FD40</f>
        <v/>
      </c>
      <c r="F1004">
        <f>'KG1-5'!FD41</f>
        <v/>
      </c>
      <c r="G1004">
        <f>'KG1-5'!FD42</f>
        <v/>
      </c>
    </row>
    <row r="1005">
      <c r="A1005">
        <f>'KG1-5'!$B$2</f>
        <v/>
      </c>
      <c r="B1005" s="126" t="n">
        <v>46448</v>
      </c>
      <c r="C1005">
        <f>'KG1-5'!FE44</f>
        <v/>
      </c>
      <c r="D1005">
        <f>'KG1-5'!FE43</f>
        <v/>
      </c>
      <c r="E1005">
        <f>'KG1-5'!FE40</f>
        <v/>
      </c>
      <c r="F1005">
        <f>'KG1-5'!FE41</f>
        <v/>
      </c>
      <c r="G1005">
        <f>'KG1-5'!FE42</f>
        <v/>
      </c>
    </row>
    <row r="1006">
      <c r="A1006">
        <f>'KG1-5'!$B$2</f>
        <v/>
      </c>
      <c r="B1006" s="126" t="n">
        <v>46449</v>
      </c>
      <c r="C1006">
        <f>'KG1-5'!FF44</f>
        <v/>
      </c>
      <c r="D1006">
        <f>'KG1-5'!FF43</f>
        <v/>
      </c>
      <c r="E1006">
        <f>'KG1-5'!FF40</f>
        <v/>
      </c>
      <c r="F1006">
        <f>'KG1-5'!FF41</f>
        <v/>
      </c>
      <c r="G1006">
        <f>'KG1-5'!FF42</f>
        <v/>
      </c>
    </row>
    <row r="1007">
      <c r="A1007">
        <f>'KG1-5'!$B$2</f>
        <v/>
      </c>
      <c r="B1007" s="126" t="n">
        <v>46450</v>
      </c>
      <c r="C1007">
        <f>'KG1-5'!FG44</f>
        <v/>
      </c>
      <c r="D1007">
        <f>'KG1-5'!FG43</f>
        <v/>
      </c>
      <c r="E1007">
        <f>'KG1-5'!FG40</f>
        <v/>
      </c>
      <c r="F1007">
        <f>'KG1-5'!FG41</f>
        <v/>
      </c>
      <c r="G1007">
        <f>'KG1-5'!FG42</f>
        <v/>
      </c>
    </row>
    <row r="1008">
      <c r="A1008">
        <f>'KG1-5'!$B$2</f>
        <v/>
      </c>
      <c r="B1008" s="126" t="n">
        <v>46451</v>
      </c>
      <c r="C1008">
        <f>'KG1-5'!FH44</f>
        <v/>
      </c>
      <c r="D1008">
        <f>'KG1-5'!FH43</f>
        <v/>
      </c>
      <c r="E1008">
        <f>'KG1-5'!FH40</f>
        <v/>
      </c>
      <c r="F1008">
        <f>'KG1-5'!FH41</f>
        <v/>
      </c>
      <c r="G1008">
        <f>'KG1-5'!FH42</f>
        <v/>
      </c>
    </row>
    <row r="1009">
      <c r="A1009">
        <f>'KG1-5'!$B$2</f>
        <v/>
      </c>
      <c r="B1009" s="126" t="n">
        <v>46454</v>
      </c>
      <c r="C1009">
        <f>'KG1-5'!FI44</f>
        <v/>
      </c>
      <c r="D1009">
        <f>'KG1-5'!FI43</f>
        <v/>
      </c>
      <c r="E1009">
        <f>'KG1-5'!FI40</f>
        <v/>
      </c>
      <c r="F1009">
        <f>'KG1-5'!FI41</f>
        <v/>
      </c>
      <c r="G1009">
        <f>'KG1-5'!FI42</f>
        <v/>
      </c>
    </row>
    <row r="1010">
      <c r="A1010">
        <f>'KG1-5'!$B$2</f>
        <v/>
      </c>
      <c r="B1010" s="126" t="n">
        <v>46455</v>
      </c>
      <c r="C1010">
        <f>'KG1-5'!FJ44</f>
        <v/>
      </c>
      <c r="D1010">
        <f>'KG1-5'!FJ43</f>
        <v/>
      </c>
      <c r="E1010">
        <f>'KG1-5'!FJ40</f>
        <v/>
      </c>
      <c r="F1010">
        <f>'KG1-5'!FJ41</f>
        <v/>
      </c>
      <c r="G1010">
        <f>'KG1-5'!FJ42</f>
        <v/>
      </c>
    </row>
    <row r="1011">
      <c r="A1011">
        <f>'KG1-5'!$B$2</f>
        <v/>
      </c>
      <c r="B1011" s="126" t="n">
        <v>46456</v>
      </c>
      <c r="C1011">
        <f>'KG1-5'!FK44</f>
        <v/>
      </c>
      <c r="D1011">
        <f>'KG1-5'!FK43</f>
        <v/>
      </c>
      <c r="E1011">
        <f>'KG1-5'!FK40</f>
        <v/>
      </c>
      <c r="F1011">
        <f>'KG1-5'!FK41</f>
        <v/>
      </c>
      <c r="G1011">
        <f>'KG1-5'!FK42</f>
        <v/>
      </c>
    </row>
    <row r="1012">
      <c r="A1012">
        <f>'KG1-5'!$B$2</f>
        <v/>
      </c>
      <c r="B1012" s="126" t="n">
        <v>46457</v>
      </c>
      <c r="C1012">
        <f>'KG1-5'!FL44</f>
        <v/>
      </c>
      <c r="D1012">
        <f>'KG1-5'!FL43</f>
        <v/>
      </c>
      <c r="E1012">
        <f>'KG1-5'!FL40</f>
        <v/>
      </c>
      <c r="F1012">
        <f>'KG1-5'!FL41</f>
        <v/>
      </c>
      <c r="G1012">
        <f>'KG1-5'!FL42</f>
        <v/>
      </c>
    </row>
    <row r="1013">
      <c r="A1013">
        <f>'KG1-5'!$B$2</f>
        <v/>
      </c>
      <c r="B1013" s="126" t="n">
        <v>46458</v>
      </c>
      <c r="C1013">
        <f>'KG1-5'!FM44</f>
        <v/>
      </c>
      <c r="D1013">
        <f>'KG1-5'!FM43</f>
        <v/>
      </c>
      <c r="E1013">
        <f>'KG1-5'!FM40</f>
        <v/>
      </c>
      <c r="F1013">
        <f>'KG1-5'!FM41</f>
        <v/>
      </c>
      <c r="G1013">
        <f>'KG1-5'!FM42</f>
        <v/>
      </c>
    </row>
    <row r="1014">
      <c r="A1014">
        <f>'KG1-5'!$B$2</f>
        <v/>
      </c>
      <c r="B1014" s="126" t="n">
        <v>46461</v>
      </c>
      <c r="C1014">
        <f>'KG1-5'!FN44</f>
        <v/>
      </c>
      <c r="D1014">
        <f>'KG1-5'!FN43</f>
        <v/>
      </c>
      <c r="E1014">
        <f>'KG1-5'!FN40</f>
        <v/>
      </c>
      <c r="F1014">
        <f>'KG1-5'!FN41</f>
        <v/>
      </c>
      <c r="G1014">
        <f>'KG1-5'!FN42</f>
        <v/>
      </c>
    </row>
    <row r="1015">
      <c r="A1015">
        <f>'KG1-5'!$B$2</f>
        <v/>
      </c>
      <c r="B1015" s="126" t="n">
        <v>46462</v>
      </c>
      <c r="C1015">
        <f>'KG1-5'!FO44</f>
        <v/>
      </c>
      <c r="D1015">
        <f>'KG1-5'!FO43</f>
        <v/>
      </c>
      <c r="E1015">
        <f>'KG1-5'!FO40</f>
        <v/>
      </c>
      <c r="F1015">
        <f>'KG1-5'!FO41</f>
        <v/>
      </c>
      <c r="G1015">
        <f>'KG1-5'!FO42</f>
        <v/>
      </c>
    </row>
    <row r="1016">
      <c r="A1016">
        <f>'KG1-5'!$B$2</f>
        <v/>
      </c>
      <c r="B1016" s="126" t="n">
        <v>46463</v>
      </c>
      <c r="C1016">
        <f>'KG1-5'!FP44</f>
        <v/>
      </c>
      <c r="D1016">
        <f>'KG1-5'!FP43</f>
        <v/>
      </c>
      <c r="E1016">
        <f>'KG1-5'!FP40</f>
        <v/>
      </c>
      <c r="F1016">
        <f>'KG1-5'!FP41</f>
        <v/>
      </c>
      <c r="G1016">
        <f>'KG1-5'!FP42</f>
        <v/>
      </c>
    </row>
    <row r="1017">
      <c r="A1017">
        <f>'KG1-5'!$B$2</f>
        <v/>
      </c>
      <c r="B1017" s="126" t="n">
        <v>46464</v>
      </c>
      <c r="C1017">
        <f>'KG1-5'!FQ44</f>
        <v/>
      </c>
      <c r="D1017">
        <f>'KG1-5'!FQ43</f>
        <v/>
      </c>
      <c r="E1017">
        <f>'KG1-5'!FQ40</f>
        <v/>
      </c>
      <c r="F1017">
        <f>'KG1-5'!FQ41</f>
        <v/>
      </c>
      <c r="G1017">
        <f>'KG1-5'!FQ42</f>
        <v/>
      </c>
    </row>
    <row r="1018">
      <c r="A1018">
        <f>'KG1-5'!$B$2</f>
        <v/>
      </c>
      <c r="B1018" s="126" t="n">
        <v>46465</v>
      </c>
      <c r="C1018">
        <f>'KG1-5'!FR44</f>
        <v/>
      </c>
      <c r="D1018">
        <f>'KG1-5'!FR43</f>
        <v/>
      </c>
      <c r="E1018">
        <f>'KG1-5'!FR40</f>
        <v/>
      </c>
      <c r="F1018">
        <f>'KG1-5'!FR41</f>
        <v/>
      </c>
      <c r="G1018">
        <f>'KG1-5'!FR42</f>
        <v/>
      </c>
    </row>
    <row r="1019">
      <c r="A1019">
        <f>'KG1-5'!$B$2</f>
        <v/>
      </c>
      <c r="B1019" s="126" t="n">
        <v>46468</v>
      </c>
      <c r="C1019">
        <f>'KG1-5'!FS44</f>
        <v/>
      </c>
      <c r="D1019">
        <f>'KG1-5'!FS43</f>
        <v/>
      </c>
      <c r="E1019">
        <f>'KG1-5'!FS40</f>
        <v/>
      </c>
      <c r="F1019">
        <f>'KG1-5'!FS41</f>
        <v/>
      </c>
      <c r="G1019">
        <f>'KG1-5'!FS42</f>
        <v/>
      </c>
    </row>
    <row r="1020">
      <c r="A1020">
        <f>'KG1-5'!$B$2</f>
        <v/>
      </c>
      <c r="B1020" s="126" t="n">
        <v>46469</v>
      </c>
      <c r="C1020">
        <f>'KG1-5'!FT44</f>
        <v/>
      </c>
      <c r="D1020">
        <f>'KG1-5'!FT43</f>
        <v/>
      </c>
      <c r="E1020">
        <f>'KG1-5'!FT40</f>
        <v/>
      </c>
      <c r="F1020">
        <f>'KG1-5'!FT41</f>
        <v/>
      </c>
      <c r="G1020">
        <f>'KG1-5'!FT42</f>
        <v/>
      </c>
    </row>
    <row r="1021">
      <c r="A1021">
        <f>'KG1-5'!$B$2</f>
        <v/>
      </c>
      <c r="B1021" s="126" t="n">
        <v>46470</v>
      </c>
      <c r="C1021">
        <f>'KG1-5'!FU44</f>
        <v/>
      </c>
      <c r="D1021">
        <f>'KG1-5'!FU43</f>
        <v/>
      </c>
      <c r="E1021">
        <f>'KG1-5'!FU40</f>
        <v/>
      </c>
      <c r="F1021">
        <f>'KG1-5'!FU41</f>
        <v/>
      </c>
      <c r="G1021">
        <f>'KG1-5'!FU42</f>
        <v/>
      </c>
    </row>
    <row r="1022">
      <c r="A1022">
        <f>'KG1-5'!$B$2</f>
        <v/>
      </c>
      <c r="B1022" s="126" t="n">
        <v>46471</v>
      </c>
      <c r="C1022">
        <f>'KG1-5'!FV44</f>
        <v/>
      </c>
      <c r="D1022">
        <f>'KG1-5'!FV43</f>
        <v/>
      </c>
      <c r="E1022">
        <f>'KG1-5'!FV40</f>
        <v/>
      </c>
      <c r="F1022">
        <f>'KG1-5'!FV41</f>
        <v/>
      </c>
      <c r="G1022">
        <f>'KG1-5'!FV42</f>
        <v/>
      </c>
    </row>
    <row r="1023">
      <c r="A1023">
        <f>'KG1-5'!$B$2</f>
        <v/>
      </c>
      <c r="B1023" s="126" t="n">
        <v>46472</v>
      </c>
      <c r="C1023">
        <f>'KG1-5'!FW44</f>
        <v/>
      </c>
      <c r="D1023">
        <f>'KG1-5'!FW43</f>
        <v/>
      </c>
      <c r="E1023">
        <f>'KG1-5'!FW40</f>
        <v/>
      </c>
      <c r="F1023">
        <f>'KG1-5'!FW41</f>
        <v/>
      </c>
      <c r="G1023">
        <f>'KG1-5'!FW42</f>
        <v/>
      </c>
    </row>
    <row r="1024">
      <c r="A1024">
        <f>'KG1-5'!$B$2</f>
        <v/>
      </c>
      <c r="B1024" s="126" t="n">
        <v>46475</v>
      </c>
      <c r="C1024">
        <f>'KG1-5'!FX44</f>
        <v/>
      </c>
      <c r="D1024">
        <f>'KG1-5'!FX43</f>
        <v/>
      </c>
      <c r="E1024">
        <f>'KG1-5'!FX40</f>
        <v/>
      </c>
      <c r="F1024">
        <f>'KG1-5'!FX41</f>
        <v/>
      </c>
      <c r="G1024">
        <f>'KG1-5'!FX42</f>
        <v/>
      </c>
    </row>
    <row r="1025">
      <c r="A1025">
        <f>'KG1-5'!$B$2</f>
        <v/>
      </c>
      <c r="B1025" s="126" t="n">
        <v>46476</v>
      </c>
      <c r="C1025">
        <f>'KG1-5'!FY44</f>
        <v/>
      </c>
      <c r="D1025">
        <f>'KG1-5'!FY43</f>
        <v/>
      </c>
      <c r="E1025">
        <f>'KG1-5'!FY40</f>
        <v/>
      </c>
      <c r="F1025">
        <f>'KG1-5'!FY41</f>
        <v/>
      </c>
      <c r="G1025">
        <f>'KG1-5'!FY42</f>
        <v/>
      </c>
    </row>
    <row r="1026">
      <c r="A1026">
        <f>'KG1-5'!$B$2</f>
        <v/>
      </c>
      <c r="B1026" s="126" t="n">
        <v>46477</v>
      </c>
      <c r="C1026">
        <f>'KG1-5'!FZ44</f>
        <v/>
      </c>
      <c r="D1026">
        <f>'KG1-5'!FZ43</f>
        <v/>
      </c>
      <c r="E1026">
        <f>'KG1-5'!FZ40</f>
        <v/>
      </c>
      <c r="F1026">
        <f>'KG1-5'!FZ41</f>
        <v/>
      </c>
      <c r="G1026">
        <f>'KG1-5'!FZ42</f>
        <v/>
      </c>
    </row>
    <row r="1027">
      <c r="A1027">
        <f>'KG1-5'!$B$2</f>
        <v/>
      </c>
      <c r="B1027" s="126" t="n">
        <v>46478</v>
      </c>
      <c r="C1027">
        <f>'KG1-5'!GA44</f>
        <v/>
      </c>
      <c r="D1027">
        <f>'KG1-5'!GA43</f>
        <v/>
      </c>
      <c r="E1027">
        <f>'KG1-5'!GA40</f>
        <v/>
      </c>
      <c r="F1027">
        <f>'KG1-5'!GA41</f>
        <v/>
      </c>
      <c r="G1027">
        <f>'KG1-5'!GA42</f>
        <v/>
      </c>
    </row>
    <row r="1028">
      <c r="A1028">
        <f>'KG1-5'!$B$2</f>
        <v/>
      </c>
      <c r="B1028" s="126" t="n">
        <v>46479</v>
      </c>
      <c r="C1028">
        <f>'KG1-5'!GB44</f>
        <v/>
      </c>
      <c r="D1028">
        <f>'KG1-5'!GB43</f>
        <v/>
      </c>
      <c r="E1028">
        <f>'KG1-5'!GB40</f>
        <v/>
      </c>
      <c r="F1028">
        <f>'KG1-5'!GB41</f>
        <v/>
      </c>
      <c r="G1028">
        <f>'KG1-5'!GB42</f>
        <v/>
      </c>
    </row>
    <row r="1029">
      <c r="A1029">
        <f>'KG1-5'!$B$2</f>
        <v/>
      </c>
      <c r="B1029" s="126" t="n">
        <v>46482</v>
      </c>
      <c r="C1029">
        <f>'KG1-5'!GC44</f>
        <v/>
      </c>
      <c r="D1029">
        <f>'KG1-5'!GC43</f>
        <v/>
      </c>
      <c r="E1029">
        <f>'KG1-5'!GC40</f>
        <v/>
      </c>
      <c r="F1029">
        <f>'KG1-5'!GC41</f>
        <v/>
      </c>
      <c r="G1029">
        <f>'KG1-5'!GC42</f>
        <v/>
      </c>
    </row>
    <row r="1030">
      <c r="A1030">
        <f>'KG1-5'!$B$2</f>
        <v/>
      </c>
      <c r="B1030" s="126" t="n">
        <v>46483</v>
      </c>
      <c r="C1030">
        <f>'KG1-5'!GD44</f>
        <v/>
      </c>
      <c r="D1030">
        <f>'KG1-5'!GD43</f>
        <v/>
      </c>
      <c r="E1030">
        <f>'KG1-5'!GD40</f>
        <v/>
      </c>
      <c r="F1030">
        <f>'KG1-5'!GD41</f>
        <v/>
      </c>
      <c r="G1030">
        <f>'KG1-5'!GD42</f>
        <v/>
      </c>
    </row>
    <row r="1031">
      <c r="A1031">
        <f>'KG1-5'!$B$2</f>
        <v/>
      </c>
      <c r="B1031" s="126" t="n">
        <v>46484</v>
      </c>
      <c r="C1031">
        <f>'KG1-5'!GE44</f>
        <v/>
      </c>
      <c r="D1031">
        <f>'KG1-5'!GE43</f>
        <v/>
      </c>
      <c r="E1031">
        <f>'KG1-5'!GE40</f>
        <v/>
      </c>
      <c r="F1031">
        <f>'KG1-5'!GE41</f>
        <v/>
      </c>
      <c r="G1031">
        <f>'KG1-5'!GE42</f>
        <v/>
      </c>
    </row>
    <row r="1032">
      <c r="A1032">
        <f>'KG1-5'!$B$2</f>
        <v/>
      </c>
      <c r="B1032" s="126" t="n">
        <v>46485</v>
      </c>
      <c r="C1032">
        <f>'KG1-5'!GF44</f>
        <v/>
      </c>
      <c r="D1032">
        <f>'KG1-5'!GF43</f>
        <v/>
      </c>
      <c r="E1032">
        <f>'KG1-5'!GF40</f>
        <v/>
      </c>
      <c r="F1032">
        <f>'KG1-5'!GF41</f>
        <v/>
      </c>
      <c r="G1032">
        <f>'KG1-5'!GF42</f>
        <v/>
      </c>
    </row>
    <row r="1033">
      <c r="A1033">
        <f>'KG1-5'!$B$2</f>
        <v/>
      </c>
      <c r="B1033" s="126" t="n">
        <v>46486</v>
      </c>
      <c r="C1033">
        <f>'KG1-5'!GG44</f>
        <v/>
      </c>
      <c r="D1033">
        <f>'KG1-5'!GG43</f>
        <v/>
      </c>
      <c r="E1033">
        <f>'KG1-5'!GG40</f>
        <v/>
      </c>
      <c r="F1033">
        <f>'KG1-5'!GG41</f>
        <v/>
      </c>
      <c r="G1033">
        <f>'KG1-5'!GG42</f>
        <v/>
      </c>
    </row>
    <row r="1034">
      <c r="A1034">
        <f>'KG1-5'!$B$2</f>
        <v/>
      </c>
      <c r="B1034" s="126" t="n">
        <v>46489</v>
      </c>
      <c r="C1034">
        <f>'KG1-5'!GH44</f>
        <v/>
      </c>
      <c r="D1034">
        <f>'KG1-5'!GH43</f>
        <v/>
      </c>
      <c r="E1034">
        <f>'KG1-5'!GH40</f>
        <v/>
      </c>
      <c r="F1034">
        <f>'KG1-5'!GH41</f>
        <v/>
      </c>
      <c r="G1034">
        <f>'KG1-5'!GH42</f>
        <v/>
      </c>
    </row>
    <row r="1035">
      <c r="A1035">
        <f>'KG1-5'!$B$2</f>
        <v/>
      </c>
      <c r="B1035" s="126" t="n">
        <v>46490</v>
      </c>
      <c r="C1035">
        <f>'KG1-5'!GI44</f>
        <v/>
      </c>
      <c r="D1035">
        <f>'KG1-5'!GI43</f>
        <v/>
      </c>
      <c r="E1035">
        <f>'KG1-5'!GI40</f>
        <v/>
      </c>
      <c r="F1035">
        <f>'KG1-5'!GI41</f>
        <v/>
      </c>
      <c r="G1035">
        <f>'KG1-5'!GI42</f>
        <v/>
      </c>
    </row>
    <row r="1036">
      <c r="A1036">
        <f>'KG1-5'!$B$2</f>
        <v/>
      </c>
      <c r="B1036" s="126" t="n">
        <v>46491</v>
      </c>
      <c r="C1036">
        <f>'KG1-5'!GJ44</f>
        <v/>
      </c>
      <c r="D1036">
        <f>'KG1-5'!GJ43</f>
        <v/>
      </c>
      <c r="E1036">
        <f>'KG1-5'!GJ40</f>
        <v/>
      </c>
      <c r="F1036">
        <f>'KG1-5'!GJ41</f>
        <v/>
      </c>
      <c r="G1036">
        <f>'KG1-5'!GJ42</f>
        <v/>
      </c>
    </row>
    <row r="1037">
      <c r="A1037">
        <f>'KG1-5'!$B$2</f>
        <v/>
      </c>
      <c r="B1037" s="126" t="n">
        <v>46492</v>
      </c>
      <c r="C1037">
        <f>'KG1-5'!GK44</f>
        <v/>
      </c>
      <c r="D1037">
        <f>'KG1-5'!GK43</f>
        <v/>
      </c>
      <c r="E1037">
        <f>'KG1-5'!GK40</f>
        <v/>
      </c>
      <c r="F1037">
        <f>'KG1-5'!GK41</f>
        <v/>
      </c>
      <c r="G1037">
        <f>'KG1-5'!GK42</f>
        <v/>
      </c>
    </row>
    <row r="1038">
      <c r="A1038">
        <f>'KG1-5'!$B$2</f>
        <v/>
      </c>
      <c r="B1038" s="126" t="n">
        <v>46493</v>
      </c>
      <c r="C1038">
        <f>'KG1-5'!GL44</f>
        <v/>
      </c>
      <c r="D1038">
        <f>'KG1-5'!GL43</f>
        <v/>
      </c>
      <c r="E1038">
        <f>'KG1-5'!GL40</f>
        <v/>
      </c>
      <c r="F1038">
        <f>'KG1-5'!GL41</f>
        <v/>
      </c>
      <c r="G1038">
        <f>'KG1-5'!GL42</f>
        <v/>
      </c>
    </row>
    <row r="1039">
      <c r="A1039">
        <f>'KG1-5'!$B$2</f>
        <v/>
      </c>
      <c r="B1039" s="126" t="n">
        <v>46496</v>
      </c>
      <c r="C1039">
        <f>'KG1-5'!GM44</f>
        <v/>
      </c>
      <c r="D1039">
        <f>'KG1-5'!GM43</f>
        <v/>
      </c>
      <c r="E1039">
        <f>'KG1-5'!GM40</f>
        <v/>
      </c>
      <c r="F1039">
        <f>'KG1-5'!GM41</f>
        <v/>
      </c>
      <c r="G1039">
        <f>'KG1-5'!GM42</f>
        <v/>
      </c>
    </row>
    <row r="1040">
      <c r="A1040">
        <f>'KG1-5'!$B$2</f>
        <v/>
      </c>
      <c r="B1040" s="126" t="n">
        <v>46497</v>
      </c>
      <c r="C1040">
        <f>'KG1-5'!GN44</f>
        <v/>
      </c>
      <c r="D1040">
        <f>'KG1-5'!GN43</f>
        <v/>
      </c>
      <c r="E1040">
        <f>'KG1-5'!GN40</f>
        <v/>
      </c>
      <c r="F1040">
        <f>'KG1-5'!GN41</f>
        <v/>
      </c>
      <c r="G1040">
        <f>'KG1-5'!GN42</f>
        <v/>
      </c>
    </row>
    <row r="1041">
      <c r="A1041">
        <f>'KG1-5'!$B$2</f>
        <v/>
      </c>
      <c r="B1041" s="126" t="n">
        <v>46498</v>
      </c>
      <c r="C1041">
        <f>'KG1-5'!GO44</f>
        <v/>
      </c>
      <c r="D1041">
        <f>'KG1-5'!GO43</f>
        <v/>
      </c>
      <c r="E1041">
        <f>'KG1-5'!GO40</f>
        <v/>
      </c>
      <c r="F1041">
        <f>'KG1-5'!GO41</f>
        <v/>
      </c>
      <c r="G1041">
        <f>'KG1-5'!GO42</f>
        <v/>
      </c>
    </row>
    <row r="1042">
      <c r="A1042">
        <f>'KG1-5'!$B$2</f>
        <v/>
      </c>
      <c r="B1042" s="126" t="n">
        <v>46499</v>
      </c>
      <c r="C1042">
        <f>'KG1-5'!GP44</f>
        <v/>
      </c>
      <c r="D1042">
        <f>'KG1-5'!GP43</f>
        <v/>
      </c>
      <c r="E1042">
        <f>'KG1-5'!GP40</f>
        <v/>
      </c>
      <c r="F1042">
        <f>'KG1-5'!GP41</f>
        <v/>
      </c>
      <c r="G1042">
        <f>'KG1-5'!GP42</f>
        <v/>
      </c>
    </row>
    <row r="1043">
      <c r="A1043">
        <f>'KG1-5'!$B$2</f>
        <v/>
      </c>
      <c r="B1043" s="126" t="n">
        <v>46500</v>
      </c>
      <c r="C1043">
        <f>'KG1-5'!GQ44</f>
        <v/>
      </c>
      <c r="D1043">
        <f>'KG1-5'!GQ43</f>
        <v/>
      </c>
      <c r="E1043">
        <f>'KG1-5'!GQ40</f>
        <v/>
      </c>
      <c r="F1043">
        <f>'KG1-5'!GQ41</f>
        <v/>
      </c>
      <c r="G1043">
        <f>'KG1-5'!GQ42</f>
        <v/>
      </c>
    </row>
    <row r="1044">
      <c r="A1044">
        <f>'KG1-5'!$B$2</f>
        <v/>
      </c>
      <c r="B1044" s="126" t="n">
        <v>46503</v>
      </c>
      <c r="C1044">
        <f>'KG1-5'!GR44</f>
        <v/>
      </c>
      <c r="D1044">
        <f>'KG1-5'!GR43</f>
        <v/>
      </c>
      <c r="E1044">
        <f>'KG1-5'!GR40</f>
        <v/>
      </c>
      <c r="F1044">
        <f>'KG1-5'!GR41</f>
        <v/>
      </c>
      <c r="G1044">
        <f>'KG1-5'!GR42</f>
        <v/>
      </c>
    </row>
    <row r="1045">
      <c r="A1045">
        <f>'KG1-5'!$B$2</f>
        <v/>
      </c>
      <c r="B1045" s="126" t="n">
        <v>46504</v>
      </c>
      <c r="C1045">
        <f>'KG1-5'!GS44</f>
        <v/>
      </c>
      <c r="D1045">
        <f>'KG1-5'!GS43</f>
        <v/>
      </c>
      <c r="E1045">
        <f>'KG1-5'!GS40</f>
        <v/>
      </c>
      <c r="F1045">
        <f>'KG1-5'!GS41</f>
        <v/>
      </c>
      <c r="G1045">
        <f>'KG1-5'!GS42</f>
        <v/>
      </c>
    </row>
    <row r="1046">
      <c r="A1046">
        <f>'KG1-5'!$B$2</f>
        <v/>
      </c>
      <c r="B1046" s="126" t="n">
        <v>46505</v>
      </c>
      <c r="C1046">
        <f>'KG1-5'!GT44</f>
        <v/>
      </c>
      <c r="D1046">
        <f>'KG1-5'!GT43</f>
        <v/>
      </c>
      <c r="E1046">
        <f>'KG1-5'!GT40</f>
        <v/>
      </c>
      <c r="F1046">
        <f>'KG1-5'!GT41</f>
        <v/>
      </c>
      <c r="G1046">
        <f>'KG1-5'!GT42</f>
        <v/>
      </c>
    </row>
    <row r="1047">
      <c r="A1047">
        <f>'KG1-5'!$B$2</f>
        <v/>
      </c>
      <c r="B1047" s="126" t="n">
        <v>46506</v>
      </c>
      <c r="C1047">
        <f>'KG1-5'!GU44</f>
        <v/>
      </c>
      <c r="D1047">
        <f>'KG1-5'!GU43</f>
        <v/>
      </c>
      <c r="E1047">
        <f>'KG1-5'!GU40</f>
        <v/>
      </c>
      <c r="F1047">
        <f>'KG1-5'!GU41</f>
        <v/>
      </c>
      <c r="G1047">
        <f>'KG1-5'!GU42</f>
        <v/>
      </c>
    </row>
    <row r="1048">
      <c r="A1048">
        <f>'KG1-5'!$B$2</f>
        <v/>
      </c>
      <c r="B1048" s="126" t="n">
        <v>46507</v>
      </c>
      <c r="C1048">
        <f>'KG1-5'!GV44</f>
        <v/>
      </c>
      <c r="D1048">
        <f>'KG1-5'!GV43</f>
        <v/>
      </c>
      <c r="E1048">
        <f>'KG1-5'!GV40</f>
        <v/>
      </c>
      <c r="F1048">
        <f>'KG1-5'!GV41</f>
        <v/>
      </c>
      <c r="G1048">
        <f>'KG1-5'!GV42</f>
        <v/>
      </c>
    </row>
    <row r="1049">
      <c r="A1049">
        <f>'KG1-5'!$B$2</f>
        <v/>
      </c>
      <c r="B1049" s="126" t="n">
        <v>46510</v>
      </c>
      <c r="C1049">
        <f>'KG1-5'!GW44</f>
        <v/>
      </c>
      <c r="D1049">
        <f>'KG1-5'!GW43</f>
        <v/>
      </c>
      <c r="E1049">
        <f>'KG1-5'!GW40</f>
        <v/>
      </c>
      <c r="F1049">
        <f>'KG1-5'!GW41</f>
        <v/>
      </c>
      <c r="G1049">
        <f>'KG1-5'!GW42</f>
        <v/>
      </c>
    </row>
    <row r="1050">
      <c r="A1050">
        <f>'KG1-5'!$B$2</f>
        <v/>
      </c>
      <c r="B1050" s="126" t="n">
        <v>46511</v>
      </c>
      <c r="C1050">
        <f>'KG1-5'!GX44</f>
        <v/>
      </c>
      <c r="D1050">
        <f>'KG1-5'!GX43</f>
        <v/>
      </c>
      <c r="E1050">
        <f>'KG1-5'!GX40</f>
        <v/>
      </c>
      <c r="F1050">
        <f>'KG1-5'!GX41</f>
        <v/>
      </c>
      <c r="G1050">
        <f>'KG1-5'!GX42</f>
        <v/>
      </c>
    </row>
    <row r="1051">
      <c r="A1051">
        <f>'KG1-5'!$B$2</f>
        <v/>
      </c>
      <c r="B1051" s="126" t="n">
        <v>46512</v>
      </c>
      <c r="C1051">
        <f>'KG1-5'!GY44</f>
        <v/>
      </c>
      <c r="D1051">
        <f>'KG1-5'!GY43</f>
        <v/>
      </c>
      <c r="E1051">
        <f>'KG1-5'!GY40</f>
        <v/>
      </c>
      <c r="F1051">
        <f>'KG1-5'!GY41</f>
        <v/>
      </c>
      <c r="G1051">
        <f>'KG1-5'!GY42</f>
        <v/>
      </c>
    </row>
    <row r="1052">
      <c r="A1052">
        <f>'KG1-5'!$B$2</f>
        <v/>
      </c>
      <c r="B1052" s="126" t="n">
        <v>46513</v>
      </c>
      <c r="C1052">
        <f>'KG1-5'!GZ44</f>
        <v/>
      </c>
      <c r="D1052">
        <f>'KG1-5'!GZ43</f>
        <v/>
      </c>
      <c r="E1052">
        <f>'KG1-5'!GZ40</f>
        <v/>
      </c>
      <c r="F1052">
        <f>'KG1-5'!GZ41</f>
        <v/>
      </c>
      <c r="G1052">
        <f>'KG1-5'!GZ42</f>
        <v/>
      </c>
    </row>
    <row r="1053">
      <c r="A1053">
        <f>'KG1-5'!$B$2</f>
        <v/>
      </c>
      <c r="B1053" s="126" t="n">
        <v>46514</v>
      </c>
      <c r="C1053">
        <f>'KG1-5'!HA44</f>
        <v/>
      </c>
      <c r="D1053">
        <f>'KG1-5'!HA43</f>
        <v/>
      </c>
      <c r="E1053">
        <f>'KG1-5'!HA40</f>
        <v/>
      </c>
      <c r="F1053">
        <f>'KG1-5'!HA41</f>
        <v/>
      </c>
      <c r="G1053">
        <f>'KG1-5'!HA42</f>
        <v/>
      </c>
    </row>
    <row r="1054">
      <c r="A1054">
        <f>'KG1-5'!$B$2</f>
        <v/>
      </c>
      <c r="B1054" s="126" t="n">
        <v>46517</v>
      </c>
      <c r="C1054">
        <f>'KG1-5'!HB44</f>
        <v/>
      </c>
      <c r="D1054">
        <f>'KG1-5'!HB43</f>
        <v/>
      </c>
      <c r="E1054">
        <f>'KG1-5'!HB40</f>
        <v/>
      </c>
      <c r="F1054">
        <f>'KG1-5'!HB41</f>
        <v/>
      </c>
      <c r="G1054">
        <f>'KG1-5'!HB42</f>
        <v/>
      </c>
    </row>
    <row r="1055">
      <c r="A1055">
        <f>'KG1-5'!$B$2</f>
        <v/>
      </c>
      <c r="B1055" s="126" t="n">
        <v>46518</v>
      </c>
      <c r="C1055">
        <f>'KG1-5'!HC44</f>
        <v/>
      </c>
      <c r="D1055">
        <f>'KG1-5'!HC43</f>
        <v/>
      </c>
      <c r="E1055">
        <f>'KG1-5'!HC40</f>
        <v/>
      </c>
      <c r="F1055">
        <f>'KG1-5'!HC41</f>
        <v/>
      </c>
      <c r="G1055">
        <f>'KG1-5'!HC42</f>
        <v/>
      </c>
    </row>
    <row r="1056">
      <c r="A1056">
        <f>'KG1-5'!$B$2</f>
        <v/>
      </c>
      <c r="B1056" s="126" t="n">
        <v>46519</v>
      </c>
      <c r="C1056">
        <f>'KG1-5'!HD44</f>
        <v/>
      </c>
      <c r="D1056">
        <f>'KG1-5'!HD43</f>
        <v/>
      </c>
      <c r="E1056">
        <f>'KG1-5'!HD40</f>
        <v/>
      </c>
      <c r="F1056">
        <f>'KG1-5'!HD41</f>
        <v/>
      </c>
      <c r="G1056">
        <f>'KG1-5'!HD42</f>
        <v/>
      </c>
    </row>
    <row r="1057">
      <c r="A1057">
        <f>'KG1-5'!$B$2</f>
        <v/>
      </c>
      <c r="B1057" s="126" t="n">
        <v>46520</v>
      </c>
      <c r="C1057">
        <f>'KG1-5'!HE44</f>
        <v/>
      </c>
      <c r="D1057">
        <f>'KG1-5'!HE43</f>
        <v/>
      </c>
      <c r="E1057">
        <f>'KG1-5'!HE40</f>
        <v/>
      </c>
      <c r="F1057">
        <f>'KG1-5'!HE41</f>
        <v/>
      </c>
      <c r="G1057">
        <f>'KG1-5'!HE42</f>
        <v/>
      </c>
    </row>
    <row r="1058">
      <c r="A1058">
        <f>'KG1-5'!$B$2</f>
        <v/>
      </c>
      <c r="B1058" s="126" t="n">
        <v>46521</v>
      </c>
      <c r="C1058">
        <f>'KG1-5'!HF44</f>
        <v/>
      </c>
      <c r="D1058">
        <f>'KG1-5'!HF43</f>
        <v/>
      </c>
      <c r="E1058">
        <f>'KG1-5'!HF40</f>
        <v/>
      </c>
      <c r="F1058">
        <f>'KG1-5'!HF41</f>
        <v/>
      </c>
      <c r="G1058">
        <f>'KG1-5'!HF42</f>
        <v/>
      </c>
    </row>
    <row r="1059">
      <c r="A1059">
        <f>'KG1-5'!$B$2</f>
        <v/>
      </c>
      <c r="B1059" s="126" t="n">
        <v>46524</v>
      </c>
      <c r="C1059">
        <f>'KG1-5'!HG44</f>
        <v/>
      </c>
      <c r="D1059">
        <f>'KG1-5'!HG43</f>
        <v/>
      </c>
      <c r="E1059">
        <f>'KG1-5'!HG40</f>
        <v/>
      </c>
      <c r="F1059">
        <f>'KG1-5'!HG41</f>
        <v/>
      </c>
      <c r="G1059">
        <f>'KG1-5'!HG42</f>
        <v/>
      </c>
    </row>
    <row r="1060">
      <c r="A1060">
        <f>'KG1-5'!$B$2</f>
        <v/>
      </c>
      <c r="B1060" s="126" t="n">
        <v>46525</v>
      </c>
      <c r="C1060">
        <f>'KG1-5'!HH44</f>
        <v/>
      </c>
      <c r="D1060">
        <f>'KG1-5'!HH43</f>
        <v/>
      </c>
      <c r="E1060">
        <f>'KG1-5'!HH40</f>
        <v/>
      </c>
      <c r="F1060">
        <f>'KG1-5'!HH41</f>
        <v/>
      </c>
      <c r="G1060">
        <f>'KG1-5'!HH42</f>
        <v/>
      </c>
    </row>
    <row r="1061">
      <c r="A1061">
        <f>'KG1-5'!$B$2</f>
        <v/>
      </c>
      <c r="B1061" s="126" t="n">
        <v>46526</v>
      </c>
      <c r="C1061">
        <f>'KG1-5'!HI44</f>
        <v/>
      </c>
      <c r="D1061">
        <f>'KG1-5'!HI43</f>
        <v/>
      </c>
      <c r="E1061">
        <f>'KG1-5'!HI40</f>
        <v/>
      </c>
      <c r="F1061">
        <f>'KG1-5'!HI41</f>
        <v/>
      </c>
      <c r="G1061">
        <f>'KG1-5'!HI42</f>
        <v/>
      </c>
    </row>
    <row r="1062">
      <c r="A1062">
        <f>'KG1-5'!$B$2</f>
        <v/>
      </c>
      <c r="B1062" s="126" t="n">
        <v>46527</v>
      </c>
      <c r="C1062">
        <f>'KG1-5'!HJ44</f>
        <v/>
      </c>
      <c r="D1062">
        <f>'KG1-5'!HJ43</f>
        <v/>
      </c>
      <c r="E1062">
        <f>'KG1-5'!HJ40</f>
        <v/>
      </c>
      <c r="F1062">
        <f>'KG1-5'!HJ41</f>
        <v/>
      </c>
      <c r="G1062">
        <f>'KG1-5'!HJ42</f>
        <v/>
      </c>
    </row>
    <row r="1063">
      <c r="A1063">
        <f>'KG1-5'!$B$2</f>
        <v/>
      </c>
      <c r="B1063" s="126" t="n">
        <v>46528</v>
      </c>
      <c r="C1063">
        <f>'KG1-5'!HK44</f>
        <v/>
      </c>
      <c r="D1063">
        <f>'KG1-5'!HK43</f>
        <v/>
      </c>
      <c r="E1063">
        <f>'KG1-5'!HK40</f>
        <v/>
      </c>
      <c r="F1063">
        <f>'KG1-5'!HK41</f>
        <v/>
      </c>
      <c r="G1063">
        <f>'KG1-5'!HK42</f>
        <v/>
      </c>
    </row>
    <row r="1064">
      <c r="A1064">
        <f>'KG1-5'!$B$2</f>
        <v/>
      </c>
      <c r="B1064" s="126" t="n">
        <v>46531</v>
      </c>
      <c r="C1064">
        <f>'KG1-5'!HL44</f>
        <v/>
      </c>
      <c r="D1064">
        <f>'KG1-5'!HL43</f>
        <v/>
      </c>
      <c r="E1064">
        <f>'KG1-5'!HL40</f>
        <v/>
      </c>
      <c r="F1064">
        <f>'KG1-5'!HL41</f>
        <v/>
      </c>
      <c r="G1064">
        <f>'KG1-5'!HL42</f>
        <v/>
      </c>
    </row>
    <row r="1065">
      <c r="A1065">
        <f>'KG1-5'!$B$2</f>
        <v/>
      </c>
      <c r="B1065" s="126" t="n">
        <v>46532</v>
      </c>
      <c r="C1065">
        <f>'KG1-5'!HM44</f>
        <v/>
      </c>
      <c r="D1065">
        <f>'KG1-5'!HM43</f>
        <v/>
      </c>
      <c r="E1065">
        <f>'KG1-5'!HM40</f>
        <v/>
      </c>
      <c r="F1065">
        <f>'KG1-5'!HM41</f>
        <v/>
      </c>
      <c r="G1065">
        <f>'KG1-5'!HM42</f>
        <v/>
      </c>
    </row>
    <row r="1066">
      <c r="A1066">
        <f>'KG1-5'!$B$2</f>
        <v/>
      </c>
      <c r="B1066" s="126" t="n">
        <v>46533</v>
      </c>
      <c r="C1066">
        <f>'KG1-5'!HN44</f>
        <v/>
      </c>
      <c r="D1066">
        <f>'KG1-5'!HN43</f>
        <v/>
      </c>
      <c r="E1066">
        <f>'KG1-5'!HN40</f>
        <v/>
      </c>
      <c r="F1066">
        <f>'KG1-5'!HN41</f>
        <v/>
      </c>
      <c r="G1066">
        <f>'KG1-5'!HN42</f>
        <v/>
      </c>
    </row>
    <row r="1067">
      <c r="A1067">
        <f>'KG1-5'!$B$2</f>
        <v/>
      </c>
      <c r="B1067" s="126" t="n">
        <v>46534</v>
      </c>
      <c r="C1067">
        <f>'KG1-5'!HO44</f>
        <v/>
      </c>
      <c r="D1067">
        <f>'KG1-5'!HO43</f>
        <v/>
      </c>
      <c r="E1067">
        <f>'KG1-5'!HO40</f>
        <v/>
      </c>
      <c r="F1067">
        <f>'KG1-5'!HO41</f>
        <v/>
      </c>
      <c r="G1067">
        <f>'KG1-5'!HO42</f>
        <v/>
      </c>
    </row>
    <row r="1068">
      <c r="A1068">
        <f>'KG1-5'!$B$2</f>
        <v/>
      </c>
      <c r="B1068" s="126" t="n">
        <v>46535</v>
      </c>
      <c r="C1068">
        <f>'KG1-5'!HP44</f>
        <v/>
      </c>
      <c r="D1068">
        <f>'KG1-5'!HP43</f>
        <v/>
      </c>
      <c r="E1068">
        <f>'KG1-5'!HP40</f>
        <v/>
      </c>
      <c r="F1068">
        <f>'KG1-5'!HP41</f>
        <v/>
      </c>
      <c r="G1068">
        <f>'KG1-5'!HP42</f>
        <v/>
      </c>
    </row>
    <row r="1069">
      <c r="A1069">
        <f>'KG1-5'!$B$2</f>
        <v/>
      </c>
      <c r="B1069" s="126" t="n">
        <v>46538</v>
      </c>
      <c r="C1069">
        <f>'KG1-5'!HQ44</f>
        <v/>
      </c>
      <c r="D1069">
        <f>'KG1-5'!HQ43</f>
        <v/>
      </c>
      <c r="E1069">
        <f>'KG1-5'!HQ40</f>
        <v/>
      </c>
      <c r="F1069">
        <f>'KG1-5'!HQ41</f>
        <v/>
      </c>
      <c r="G1069">
        <f>'KG1-5'!HQ42</f>
        <v/>
      </c>
    </row>
    <row r="1070">
      <c r="A1070">
        <f>'KG1-5'!$B$2</f>
        <v/>
      </c>
      <c r="B1070" s="126" t="n">
        <v>46539</v>
      </c>
      <c r="C1070">
        <f>'KG1-5'!HR44</f>
        <v/>
      </c>
      <c r="D1070">
        <f>'KG1-5'!HR43</f>
        <v/>
      </c>
      <c r="E1070">
        <f>'KG1-5'!HR40</f>
        <v/>
      </c>
      <c r="F1070">
        <f>'KG1-5'!HR41</f>
        <v/>
      </c>
      <c r="G1070">
        <f>'KG1-5'!HR42</f>
        <v/>
      </c>
    </row>
    <row r="1071">
      <c r="A1071">
        <f>'KG1-5'!$B$2</f>
        <v/>
      </c>
      <c r="B1071" s="126" t="n">
        <v>46540</v>
      </c>
      <c r="C1071">
        <f>'KG1-5'!HS44</f>
        <v/>
      </c>
      <c r="D1071">
        <f>'KG1-5'!HS43</f>
        <v/>
      </c>
      <c r="E1071">
        <f>'KG1-5'!HS40</f>
        <v/>
      </c>
      <c r="F1071">
        <f>'KG1-5'!HS41</f>
        <v/>
      </c>
      <c r="G1071">
        <f>'KG1-5'!HS42</f>
        <v/>
      </c>
    </row>
    <row r="1072">
      <c r="A1072">
        <f>'KG1-5'!$B$2</f>
        <v/>
      </c>
      <c r="B1072" s="126" t="n">
        <v>46541</v>
      </c>
      <c r="C1072">
        <f>'KG1-5'!HT44</f>
        <v/>
      </c>
      <c r="D1072">
        <f>'KG1-5'!HT43</f>
        <v/>
      </c>
      <c r="E1072">
        <f>'KG1-5'!HT40</f>
        <v/>
      </c>
      <c r="F1072">
        <f>'KG1-5'!HT41</f>
        <v/>
      </c>
      <c r="G1072">
        <f>'KG1-5'!HT42</f>
        <v/>
      </c>
    </row>
    <row r="1073">
      <c r="A1073">
        <f>'KG1-5'!$B$2</f>
        <v/>
      </c>
      <c r="B1073" s="126" t="n">
        <v>46542</v>
      </c>
      <c r="C1073">
        <f>'KG1-5'!HU44</f>
        <v/>
      </c>
      <c r="D1073">
        <f>'KG1-5'!HU43</f>
        <v/>
      </c>
      <c r="E1073">
        <f>'KG1-5'!HU40</f>
        <v/>
      </c>
      <c r="F1073">
        <f>'KG1-5'!HU41</f>
        <v/>
      </c>
      <c r="G1073">
        <f>'KG1-5'!HU42</f>
        <v/>
      </c>
    </row>
    <row r="1074">
      <c r="A1074">
        <f>'KG1-5'!$B$2</f>
        <v/>
      </c>
      <c r="B1074" s="126" t="n">
        <v>46545</v>
      </c>
      <c r="C1074">
        <f>'KG1-5'!HV44</f>
        <v/>
      </c>
      <c r="D1074">
        <f>'KG1-5'!HV43</f>
        <v/>
      </c>
      <c r="E1074">
        <f>'KG1-5'!HV40</f>
        <v/>
      </c>
      <c r="F1074">
        <f>'KG1-5'!HV41</f>
        <v/>
      </c>
      <c r="G1074">
        <f>'KG1-5'!HV42</f>
        <v/>
      </c>
    </row>
    <row r="1075">
      <c r="A1075">
        <f>'KG1-5'!$B$2</f>
        <v/>
      </c>
      <c r="B1075" s="126" t="n">
        <v>46546</v>
      </c>
      <c r="C1075">
        <f>'KG1-5'!HW44</f>
        <v/>
      </c>
      <c r="D1075">
        <f>'KG1-5'!HW43</f>
        <v/>
      </c>
      <c r="E1075">
        <f>'KG1-5'!HW40</f>
        <v/>
      </c>
      <c r="F1075">
        <f>'KG1-5'!HW41</f>
        <v/>
      </c>
      <c r="G1075">
        <f>'KG1-5'!HW42</f>
        <v/>
      </c>
    </row>
    <row r="1076">
      <c r="A1076">
        <f>'KG1-5'!$B$2</f>
        <v/>
      </c>
      <c r="B1076" s="126" t="n">
        <v>46547</v>
      </c>
      <c r="C1076">
        <f>'KG1-5'!HX44</f>
        <v/>
      </c>
      <c r="D1076">
        <f>'KG1-5'!HX43</f>
        <v/>
      </c>
      <c r="E1076">
        <f>'KG1-5'!HX40</f>
        <v/>
      </c>
      <c r="F1076">
        <f>'KG1-5'!HX41</f>
        <v/>
      </c>
      <c r="G1076">
        <f>'KG1-5'!HX42</f>
        <v/>
      </c>
    </row>
    <row r="1077">
      <c r="A1077">
        <f>'KG1-5'!$B$2</f>
        <v/>
      </c>
      <c r="B1077" s="126" t="n">
        <v>46548</v>
      </c>
      <c r="C1077">
        <f>'KG1-5'!HY44</f>
        <v/>
      </c>
      <c r="D1077">
        <f>'KG1-5'!HY43</f>
        <v/>
      </c>
      <c r="E1077">
        <f>'KG1-5'!HY40</f>
        <v/>
      </c>
      <c r="F1077">
        <f>'KG1-5'!HY41</f>
        <v/>
      </c>
      <c r="G1077">
        <f>'KG1-5'!HY42</f>
        <v/>
      </c>
    </row>
    <row r="1078">
      <c r="A1078">
        <f>'KG1-5'!$B$2</f>
        <v/>
      </c>
      <c r="B1078" s="126" t="n">
        <v>46549</v>
      </c>
      <c r="C1078">
        <f>'KG1-5'!HZ44</f>
        <v/>
      </c>
      <c r="D1078">
        <f>'KG1-5'!HZ43</f>
        <v/>
      </c>
      <c r="E1078">
        <f>'KG1-5'!HZ40</f>
        <v/>
      </c>
      <c r="F1078">
        <f>'KG1-5'!HZ41</f>
        <v/>
      </c>
      <c r="G1078">
        <f>'KG1-5'!HZ42</f>
        <v/>
      </c>
    </row>
    <row r="1079">
      <c r="A1079">
        <f>'KG1-5'!$B$2</f>
        <v/>
      </c>
      <c r="B1079" s="126" t="n">
        <v>46552</v>
      </c>
      <c r="C1079">
        <f>'KG1-5'!IA44</f>
        <v/>
      </c>
      <c r="D1079">
        <f>'KG1-5'!IA43</f>
        <v/>
      </c>
      <c r="E1079">
        <f>'KG1-5'!IA40</f>
        <v/>
      </c>
      <c r="F1079">
        <f>'KG1-5'!IA41</f>
        <v/>
      </c>
      <c r="G1079">
        <f>'KG1-5'!IA42</f>
        <v/>
      </c>
    </row>
    <row r="1080">
      <c r="A1080">
        <f>'KG1-5'!$B$2</f>
        <v/>
      </c>
      <c r="B1080" s="126" t="n">
        <v>46553</v>
      </c>
      <c r="C1080">
        <f>'KG1-5'!IB44</f>
        <v/>
      </c>
      <c r="D1080">
        <f>'KG1-5'!IB43</f>
        <v/>
      </c>
      <c r="E1080">
        <f>'KG1-5'!IB40</f>
        <v/>
      </c>
      <c r="F1080">
        <f>'KG1-5'!IB41</f>
        <v/>
      </c>
      <c r="G1080">
        <f>'KG1-5'!IB42</f>
        <v/>
      </c>
    </row>
    <row r="1081">
      <c r="A1081">
        <f>'KG1-5'!$B$2</f>
        <v/>
      </c>
      <c r="B1081" s="126" t="n">
        <v>46554</v>
      </c>
      <c r="C1081">
        <f>'KG1-5'!IC44</f>
        <v/>
      </c>
      <c r="D1081">
        <f>'KG1-5'!IC43</f>
        <v/>
      </c>
      <c r="E1081">
        <f>'KG1-5'!IC40</f>
        <v/>
      </c>
      <c r="F1081">
        <f>'KG1-5'!IC41</f>
        <v/>
      </c>
      <c r="G1081">
        <f>'KG1-5'!IC42</f>
        <v/>
      </c>
    </row>
    <row r="1082">
      <c r="A1082">
        <f>'KG1-5'!$B$2</f>
        <v/>
      </c>
      <c r="B1082" s="126" t="n">
        <v>46555</v>
      </c>
      <c r="C1082">
        <f>'KG1-5'!ID44</f>
        <v/>
      </c>
      <c r="D1082">
        <f>'KG1-5'!ID43</f>
        <v/>
      </c>
      <c r="E1082">
        <f>'KG1-5'!ID40</f>
        <v/>
      </c>
      <c r="F1082">
        <f>'KG1-5'!ID41</f>
        <v/>
      </c>
      <c r="G1082">
        <f>'KG1-5'!ID42</f>
        <v/>
      </c>
    </row>
    <row r="1083">
      <c r="A1083">
        <f>'KG1-5'!$B$2</f>
        <v/>
      </c>
      <c r="B1083" s="126" t="n">
        <v>46556</v>
      </c>
      <c r="C1083">
        <f>'KG1-5'!IE44</f>
        <v/>
      </c>
      <c r="D1083">
        <f>'KG1-5'!IE43</f>
        <v/>
      </c>
      <c r="E1083">
        <f>'KG1-5'!IE40</f>
        <v/>
      </c>
      <c r="F1083">
        <f>'KG1-5'!IE41</f>
        <v/>
      </c>
      <c r="G1083">
        <f>'KG1-5'!IE42</f>
        <v/>
      </c>
    </row>
    <row r="1084">
      <c r="A1084">
        <f>'KG1-5'!$B$2</f>
        <v/>
      </c>
      <c r="B1084" s="126" t="n">
        <v>46559</v>
      </c>
      <c r="C1084">
        <f>'KG1-5'!IF44</f>
        <v/>
      </c>
      <c r="D1084">
        <f>'KG1-5'!IF43</f>
        <v/>
      </c>
      <c r="E1084">
        <f>'KG1-5'!IF40</f>
        <v/>
      </c>
      <c r="F1084">
        <f>'KG1-5'!IF41</f>
        <v/>
      </c>
      <c r="G1084">
        <f>'KG1-5'!IF42</f>
        <v/>
      </c>
    </row>
    <row r="1085">
      <c r="A1085">
        <f>'KG1-5'!$B$2</f>
        <v/>
      </c>
      <c r="B1085" s="126" t="n">
        <v>46560</v>
      </c>
      <c r="C1085">
        <f>'KG1-5'!IG44</f>
        <v/>
      </c>
      <c r="D1085">
        <f>'KG1-5'!IG43</f>
        <v/>
      </c>
      <c r="E1085">
        <f>'KG1-5'!IG40</f>
        <v/>
      </c>
      <c r="F1085">
        <f>'KG1-5'!IG41</f>
        <v/>
      </c>
      <c r="G1085">
        <f>'KG1-5'!IG42</f>
        <v/>
      </c>
    </row>
    <row r="1086">
      <c r="A1086">
        <f>'KG1-5'!$B$2</f>
        <v/>
      </c>
      <c r="B1086" s="126" t="n">
        <v>46561</v>
      </c>
      <c r="C1086">
        <f>'KG1-5'!IH44</f>
        <v/>
      </c>
      <c r="D1086">
        <f>'KG1-5'!IH43</f>
        <v/>
      </c>
      <c r="E1086">
        <f>'KG1-5'!IH40</f>
        <v/>
      </c>
      <c r="F1086">
        <f>'KG1-5'!IH41</f>
        <v/>
      </c>
      <c r="G1086">
        <f>'KG1-5'!IH42</f>
        <v/>
      </c>
    </row>
    <row r="1087">
      <c r="A1087">
        <f>'KG1-5'!$B$2</f>
        <v/>
      </c>
      <c r="B1087" s="126" t="n">
        <v>46562</v>
      </c>
      <c r="C1087">
        <f>'KG1-5'!II44</f>
        <v/>
      </c>
      <c r="D1087">
        <f>'KG1-5'!II43</f>
        <v/>
      </c>
      <c r="E1087">
        <f>'KG1-5'!II40</f>
        <v/>
      </c>
      <c r="F1087">
        <f>'KG1-5'!II41</f>
        <v/>
      </c>
      <c r="G1087">
        <f>'KG1-5'!II42</f>
        <v/>
      </c>
    </row>
    <row r="1088">
      <c r="A1088">
        <f>'KG1-5'!$B$2</f>
        <v/>
      </c>
      <c r="B1088" s="126" t="n">
        <v>46563</v>
      </c>
      <c r="C1088">
        <f>'KG1-5'!IJ44</f>
        <v/>
      </c>
      <c r="D1088">
        <f>'KG1-5'!IJ43</f>
        <v/>
      </c>
      <c r="E1088">
        <f>'KG1-5'!IJ40</f>
        <v/>
      </c>
      <c r="F1088">
        <f>'KG1-5'!IJ41</f>
        <v/>
      </c>
      <c r="G1088">
        <f>'KG1-5'!IJ42</f>
        <v/>
      </c>
    </row>
    <row r="1089">
      <c r="A1089">
        <f>'KG1-5'!$B$2</f>
        <v/>
      </c>
      <c r="B1089" s="126" t="n">
        <v>46566</v>
      </c>
      <c r="C1089">
        <f>'KG1-5'!IK44</f>
        <v/>
      </c>
      <c r="D1089">
        <f>'KG1-5'!IK43</f>
        <v/>
      </c>
      <c r="E1089">
        <f>'KG1-5'!IK40</f>
        <v/>
      </c>
      <c r="F1089">
        <f>'KG1-5'!IK41</f>
        <v/>
      </c>
      <c r="G1089">
        <f>'KG1-5'!IK42</f>
        <v/>
      </c>
    </row>
    <row r="1090">
      <c r="A1090">
        <f>'KG1-5'!$B$2</f>
        <v/>
      </c>
      <c r="B1090" s="126" t="n">
        <v>46567</v>
      </c>
      <c r="C1090">
        <f>'KG1-5'!IL44</f>
        <v/>
      </c>
      <c r="D1090">
        <f>'KG1-5'!IL43</f>
        <v/>
      </c>
      <c r="E1090">
        <f>'KG1-5'!IL40</f>
        <v/>
      </c>
      <c r="F1090">
        <f>'KG1-5'!IL41</f>
        <v/>
      </c>
      <c r="G1090">
        <f>'KG1-5'!IL42</f>
        <v/>
      </c>
    </row>
    <row r="1091">
      <c r="A1091">
        <f>'KG1-5'!$B$2</f>
        <v/>
      </c>
      <c r="B1091" s="126" t="n">
        <v>46568</v>
      </c>
      <c r="C1091">
        <f>'KG1-5'!IM44</f>
        <v/>
      </c>
      <c r="D1091">
        <f>'KG1-5'!IM43</f>
        <v/>
      </c>
      <c r="E1091">
        <f>'KG1-5'!IM40</f>
        <v/>
      </c>
      <c r="F1091">
        <f>'KG1-5'!IM41</f>
        <v/>
      </c>
      <c r="G1091">
        <f>'KG1-5'!IM42</f>
        <v/>
      </c>
    </row>
    <row r="1092">
      <c r="A1092">
        <f>'KG1-6'!$B$2</f>
        <v/>
      </c>
      <c r="B1092" s="126" t="n">
        <v>46265</v>
      </c>
      <c r="C1092">
        <f>'KG1-6'!AD44</f>
        <v/>
      </c>
      <c r="D1092">
        <f>'KG1-6'!AD43</f>
        <v/>
      </c>
      <c r="E1092">
        <f>'KG1-6'!AD40</f>
        <v/>
      </c>
      <c r="F1092">
        <f>'KG1-6'!AD41</f>
        <v/>
      </c>
      <c r="G1092">
        <f>'KG1-6'!AD42</f>
        <v/>
      </c>
    </row>
    <row r="1093">
      <c r="A1093">
        <f>'KG1-6'!$B$2</f>
        <v/>
      </c>
      <c r="B1093" s="126" t="n">
        <v>46266</v>
      </c>
      <c r="C1093">
        <f>'KG1-6'!AE44</f>
        <v/>
      </c>
      <c r="D1093">
        <f>'KG1-6'!AE43</f>
        <v/>
      </c>
      <c r="E1093">
        <f>'KG1-6'!AE40</f>
        <v/>
      </c>
      <c r="F1093">
        <f>'KG1-6'!AE41</f>
        <v/>
      </c>
      <c r="G1093">
        <f>'KG1-6'!AE42</f>
        <v/>
      </c>
    </row>
    <row r="1094">
      <c r="A1094">
        <f>'KG1-6'!$B$2</f>
        <v/>
      </c>
      <c r="B1094" s="126" t="n">
        <v>46267</v>
      </c>
      <c r="C1094">
        <f>'KG1-6'!AF44</f>
        <v/>
      </c>
      <c r="D1094">
        <f>'KG1-6'!AF43</f>
        <v/>
      </c>
      <c r="E1094">
        <f>'KG1-6'!AF40</f>
        <v/>
      </c>
      <c r="F1094">
        <f>'KG1-6'!AF41</f>
        <v/>
      </c>
      <c r="G1094">
        <f>'KG1-6'!AF42</f>
        <v/>
      </c>
    </row>
    <row r="1095">
      <c r="A1095">
        <f>'KG1-6'!$B$2</f>
        <v/>
      </c>
      <c r="B1095" s="126" t="n">
        <v>46268</v>
      </c>
      <c r="C1095">
        <f>'KG1-6'!AG44</f>
        <v/>
      </c>
      <c r="D1095">
        <f>'KG1-6'!AG43</f>
        <v/>
      </c>
      <c r="E1095">
        <f>'KG1-6'!AG40</f>
        <v/>
      </c>
      <c r="F1095">
        <f>'KG1-6'!AG41</f>
        <v/>
      </c>
      <c r="G1095">
        <f>'KG1-6'!AG42</f>
        <v/>
      </c>
    </row>
    <row r="1096">
      <c r="A1096">
        <f>'KG1-6'!$B$2</f>
        <v/>
      </c>
      <c r="B1096" s="126" t="n">
        <v>46269</v>
      </c>
      <c r="C1096">
        <f>'KG1-6'!AH44</f>
        <v/>
      </c>
      <c r="D1096">
        <f>'KG1-6'!AH43</f>
        <v/>
      </c>
      <c r="E1096">
        <f>'KG1-6'!AH40</f>
        <v/>
      </c>
      <c r="F1096">
        <f>'KG1-6'!AH41</f>
        <v/>
      </c>
      <c r="G1096">
        <f>'KG1-6'!AH42</f>
        <v/>
      </c>
    </row>
    <row r="1097">
      <c r="A1097">
        <f>'KG1-6'!$B$2</f>
        <v/>
      </c>
      <c r="B1097" s="126" t="n">
        <v>46272</v>
      </c>
      <c r="C1097">
        <f>'KG1-6'!AI44</f>
        <v/>
      </c>
      <c r="D1097">
        <f>'KG1-6'!AI43</f>
        <v/>
      </c>
      <c r="E1097">
        <f>'KG1-6'!AI40</f>
        <v/>
      </c>
      <c r="F1097">
        <f>'KG1-6'!AI41</f>
        <v/>
      </c>
      <c r="G1097">
        <f>'KG1-6'!AI42</f>
        <v/>
      </c>
    </row>
    <row r="1098">
      <c r="A1098">
        <f>'KG1-6'!$B$2</f>
        <v/>
      </c>
      <c r="B1098" s="126" t="n">
        <v>46273</v>
      </c>
      <c r="C1098">
        <f>'KG1-6'!AJ44</f>
        <v/>
      </c>
      <c r="D1098">
        <f>'KG1-6'!AJ43</f>
        <v/>
      </c>
      <c r="E1098">
        <f>'KG1-6'!AJ40</f>
        <v/>
      </c>
      <c r="F1098">
        <f>'KG1-6'!AJ41</f>
        <v/>
      </c>
      <c r="G1098">
        <f>'KG1-6'!AJ42</f>
        <v/>
      </c>
    </row>
    <row r="1099">
      <c r="A1099">
        <f>'KG1-6'!$B$2</f>
        <v/>
      </c>
      <c r="B1099" s="126" t="n">
        <v>46274</v>
      </c>
      <c r="C1099">
        <f>'KG1-6'!AK44</f>
        <v/>
      </c>
      <c r="D1099">
        <f>'KG1-6'!AK43</f>
        <v/>
      </c>
      <c r="E1099">
        <f>'KG1-6'!AK40</f>
        <v/>
      </c>
      <c r="F1099">
        <f>'KG1-6'!AK41</f>
        <v/>
      </c>
      <c r="G1099">
        <f>'KG1-6'!AK42</f>
        <v/>
      </c>
    </row>
    <row r="1100">
      <c r="A1100">
        <f>'KG1-6'!$B$2</f>
        <v/>
      </c>
      <c r="B1100" s="126" t="n">
        <v>46275</v>
      </c>
      <c r="C1100">
        <f>'KG1-6'!AL44</f>
        <v/>
      </c>
      <c r="D1100">
        <f>'KG1-6'!AL43</f>
        <v/>
      </c>
      <c r="E1100">
        <f>'KG1-6'!AL40</f>
        <v/>
      </c>
      <c r="F1100">
        <f>'KG1-6'!AL41</f>
        <v/>
      </c>
      <c r="G1100">
        <f>'KG1-6'!AL42</f>
        <v/>
      </c>
    </row>
    <row r="1101">
      <c r="A1101">
        <f>'KG1-6'!$B$2</f>
        <v/>
      </c>
      <c r="B1101" s="126" t="n">
        <v>46276</v>
      </c>
      <c r="C1101">
        <f>'KG1-6'!AM44</f>
        <v/>
      </c>
      <c r="D1101">
        <f>'KG1-6'!AM43</f>
        <v/>
      </c>
      <c r="E1101">
        <f>'KG1-6'!AM40</f>
        <v/>
      </c>
      <c r="F1101">
        <f>'KG1-6'!AM41</f>
        <v/>
      </c>
      <c r="G1101">
        <f>'KG1-6'!AM42</f>
        <v/>
      </c>
    </row>
    <row r="1102">
      <c r="A1102">
        <f>'KG1-6'!$B$2</f>
        <v/>
      </c>
      <c r="B1102" s="126" t="n">
        <v>46279</v>
      </c>
      <c r="C1102">
        <f>'KG1-6'!AN44</f>
        <v/>
      </c>
      <c r="D1102">
        <f>'KG1-6'!AN43</f>
        <v/>
      </c>
      <c r="E1102">
        <f>'KG1-6'!AN40</f>
        <v/>
      </c>
      <c r="F1102">
        <f>'KG1-6'!AN41</f>
        <v/>
      </c>
      <c r="G1102">
        <f>'KG1-6'!AN42</f>
        <v/>
      </c>
    </row>
    <row r="1103">
      <c r="A1103">
        <f>'KG1-6'!$B$2</f>
        <v/>
      </c>
      <c r="B1103" s="126" t="n">
        <v>46280</v>
      </c>
      <c r="C1103">
        <f>'KG1-6'!AO44</f>
        <v/>
      </c>
      <c r="D1103">
        <f>'KG1-6'!AO43</f>
        <v/>
      </c>
      <c r="E1103">
        <f>'KG1-6'!AO40</f>
        <v/>
      </c>
      <c r="F1103">
        <f>'KG1-6'!AO41</f>
        <v/>
      </c>
      <c r="G1103">
        <f>'KG1-6'!AO42</f>
        <v/>
      </c>
    </row>
    <row r="1104">
      <c r="A1104">
        <f>'KG1-6'!$B$2</f>
        <v/>
      </c>
      <c r="B1104" s="126" t="n">
        <v>46281</v>
      </c>
      <c r="C1104">
        <f>'KG1-6'!AP44</f>
        <v/>
      </c>
      <c r="D1104">
        <f>'KG1-6'!AP43</f>
        <v/>
      </c>
      <c r="E1104">
        <f>'KG1-6'!AP40</f>
        <v/>
      </c>
      <c r="F1104">
        <f>'KG1-6'!AP41</f>
        <v/>
      </c>
      <c r="G1104">
        <f>'KG1-6'!AP42</f>
        <v/>
      </c>
    </row>
    <row r="1105">
      <c r="A1105">
        <f>'KG1-6'!$B$2</f>
        <v/>
      </c>
      <c r="B1105" s="126" t="n">
        <v>46282</v>
      </c>
      <c r="C1105">
        <f>'KG1-6'!AQ44</f>
        <v/>
      </c>
      <c r="D1105">
        <f>'KG1-6'!AQ43</f>
        <v/>
      </c>
      <c r="E1105">
        <f>'KG1-6'!AQ40</f>
        <v/>
      </c>
      <c r="F1105">
        <f>'KG1-6'!AQ41</f>
        <v/>
      </c>
      <c r="G1105">
        <f>'KG1-6'!AQ42</f>
        <v/>
      </c>
    </row>
    <row r="1106">
      <c r="A1106">
        <f>'KG1-6'!$B$2</f>
        <v/>
      </c>
      <c r="B1106" s="126" t="n">
        <v>46283</v>
      </c>
      <c r="C1106">
        <f>'KG1-6'!AR44</f>
        <v/>
      </c>
      <c r="D1106">
        <f>'KG1-6'!AR43</f>
        <v/>
      </c>
      <c r="E1106">
        <f>'KG1-6'!AR40</f>
        <v/>
      </c>
      <c r="F1106">
        <f>'KG1-6'!AR41</f>
        <v/>
      </c>
      <c r="G1106">
        <f>'KG1-6'!AR42</f>
        <v/>
      </c>
    </row>
    <row r="1107">
      <c r="A1107">
        <f>'KG1-6'!$B$2</f>
        <v/>
      </c>
      <c r="B1107" s="126" t="n">
        <v>46286</v>
      </c>
      <c r="C1107">
        <f>'KG1-6'!AS44</f>
        <v/>
      </c>
      <c r="D1107">
        <f>'KG1-6'!AS43</f>
        <v/>
      </c>
      <c r="E1107">
        <f>'KG1-6'!AS40</f>
        <v/>
      </c>
      <c r="F1107">
        <f>'KG1-6'!AS41</f>
        <v/>
      </c>
      <c r="G1107">
        <f>'KG1-6'!AS42</f>
        <v/>
      </c>
    </row>
    <row r="1108">
      <c r="A1108">
        <f>'KG1-6'!$B$2</f>
        <v/>
      </c>
      <c r="B1108" s="126" t="n">
        <v>46287</v>
      </c>
      <c r="C1108">
        <f>'KG1-6'!AT44</f>
        <v/>
      </c>
      <c r="D1108">
        <f>'KG1-6'!AT43</f>
        <v/>
      </c>
      <c r="E1108">
        <f>'KG1-6'!AT40</f>
        <v/>
      </c>
      <c r="F1108">
        <f>'KG1-6'!AT41</f>
        <v/>
      </c>
      <c r="G1108">
        <f>'KG1-6'!AT42</f>
        <v/>
      </c>
    </row>
    <row r="1109">
      <c r="A1109">
        <f>'KG1-6'!$B$2</f>
        <v/>
      </c>
      <c r="B1109" s="126" t="n">
        <v>46288</v>
      </c>
      <c r="C1109">
        <f>'KG1-6'!AU44</f>
        <v/>
      </c>
      <c r="D1109">
        <f>'KG1-6'!AU43</f>
        <v/>
      </c>
      <c r="E1109">
        <f>'KG1-6'!AU40</f>
        <v/>
      </c>
      <c r="F1109">
        <f>'KG1-6'!AU41</f>
        <v/>
      </c>
      <c r="G1109">
        <f>'KG1-6'!AU42</f>
        <v/>
      </c>
    </row>
    <row r="1110">
      <c r="A1110">
        <f>'KG1-6'!$B$2</f>
        <v/>
      </c>
      <c r="B1110" s="126" t="n">
        <v>46289</v>
      </c>
      <c r="C1110">
        <f>'KG1-6'!AV44</f>
        <v/>
      </c>
      <c r="D1110">
        <f>'KG1-6'!AV43</f>
        <v/>
      </c>
      <c r="E1110">
        <f>'KG1-6'!AV40</f>
        <v/>
      </c>
      <c r="F1110">
        <f>'KG1-6'!AV41</f>
        <v/>
      </c>
      <c r="G1110">
        <f>'KG1-6'!AV42</f>
        <v/>
      </c>
    </row>
    <row r="1111">
      <c r="A1111">
        <f>'KG1-6'!$B$2</f>
        <v/>
      </c>
      <c r="B1111" s="126" t="n">
        <v>46290</v>
      </c>
      <c r="C1111">
        <f>'KG1-6'!AW44</f>
        <v/>
      </c>
      <c r="D1111">
        <f>'KG1-6'!AW43</f>
        <v/>
      </c>
      <c r="E1111">
        <f>'KG1-6'!AW40</f>
        <v/>
      </c>
      <c r="F1111">
        <f>'KG1-6'!AW41</f>
        <v/>
      </c>
      <c r="G1111">
        <f>'KG1-6'!AW42</f>
        <v/>
      </c>
    </row>
    <row r="1112">
      <c r="A1112">
        <f>'KG1-6'!$B$2</f>
        <v/>
      </c>
      <c r="B1112" s="126" t="n">
        <v>46293</v>
      </c>
      <c r="C1112">
        <f>'KG1-6'!AX44</f>
        <v/>
      </c>
      <c r="D1112">
        <f>'KG1-6'!AX43</f>
        <v/>
      </c>
      <c r="E1112">
        <f>'KG1-6'!AX40</f>
        <v/>
      </c>
      <c r="F1112">
        <f>'KG1-6'!AX41</f>
        <v/>
      </c>
      <c r="G1112">
        <f>'KG1-6'!AX42</f>
        <v/>
      </c>
    </row>
    <row r="1113">
      <c r="A1113">
        <f>'KG1-6'!$B$2</f>
        <v/>
      </c>
      <c r="B1113" s="126" t="n">
        <v>46294</v>
      </c>
      <c r="C1113">
        <f>'KG1-6'!AY44</f>
        <v/>
      </c>
      <c r="D1113">
        <f>'KG1-6'!AY43</f>
        <v/>
      </c>
      <c r="E1113">
        <f>'KG1-6'!AY40</f>
        <v/>
      </c>
      <c r="F1113">
        <f>'KG1-6'!AY41</f>
        <v/>
      </c>
      <c r="G1113">
        <f>'KG1-6'!AY42</f>
        <v/>
      </c>
    </row>
    <row r="1114">
      <c r="A1114">
        <f>'KG1-6'!$B$2</f>
        <v/>
      </c>
      <c r="B1114" s="126" t="n">
        <v>46295</v>
      </c>
      <c r="C1114">
        <f>'KG1-6'!AZ44</f>
        <v/>
      </c>
      <c r="D1114">
        <f>'KG1-6'!AZ43</f>
        <v/>
      </c>
      <c r="E1114">
        <f>'KG1-6'!AZ40</f>
        <v/>
      </c>
      <c r="F1114">
        <f>'KG1-6'!AZ41</f>
        <v/>
      </c>
      <c r="G1114">
        <f>'KG1-6'!AZ42</f>
        <v/>
      </c>
    </row>
    <row r="1115">
      <c r="A1115">
        <f>'KG1-6'!$B$2</f>
        <v/>
      </c>
      <c r="B1115" s="126" t="n">
        <v>46296</v>
      </c>
      <c r="C1115">
        <f>'KG1-6'!BA44</f>
        <v/>
      </c>
      <c r="D1115">
        <f>'KG1-6'!BA43</f>
        <v/>
      </c>
      <c r="E1115">
        <f>'KG1-6'!BA40</f>
        <v/>
      </c>
      <c r="F1115">
        <f>'KG1-6'!BA41</f>
        <v/>
      </c>
      <c r="G1115">
        <f>'KG1-6'!BA42</f>
        <v/>
      </c>
    </row>
    <row r="1116">
      <c r="A1116">
        <f>'KG1-6'!$B$2</f>
        <v/>
      </c>
      <c r="B1116" s="126" t="n">
        <v>46297</v>
      </c>
      <c r="C1116">
        <f>'KG1-6'!BB44</f>
        <v/>
      </c>
      <c r="D1116">
        <f>'KG1-6'!BB43</f>
        <v/>
      </c>
      <c r="E1116">
        <f>'KG1-6'!BB40</f>
        <v/>
      </c>
      <c r="F1116">
        <f>'KG1-6'!BB41</f>
        <v/>
      </c>
      <c r="G1116">
        <f>'KG1-6'!BB42</f>
        <v/>
      </c>
    </row>
    <row r="1117">
      <c r="A1117">
        <f>'KG1-6'!$B$2</f>
        <v/>
      </c>
      <c r="B1117" s="126" t="n">
        <v>46300</v>
      </c>
      <c r="C1117">
        <f>'KG1-6'!BC44</f>
        <v/>
      </c>
      <c r="D1117">
        <f>'KG1-6'!BC43</f>
        <v/>
      </c>
      <c r="E1117">
        <f>'KG1-6'!BC40</f>
        <v/>
      </c>
      <c r="F1117">
        <f>'KG1-6'!BC41</f>
        <v/>
      </c>
      <c r="G1117">
        <f>'KG1-6'!BC42</f>
        <v/>
      </c>
    </row>
    <row r="1118">
      <c r="A1118">
        <f>'KG1-6'!$B$2</f>
        <v/>
      </c>
      <c r="B1118" s="126" t="n">
        <v>46301</v>
      </c>
      <c r="C1118">
        <f>'KG1-6'!BD44</f>
        <v/>
      </c>
      <c r="D1118">
        <f>'KG1-6'!BD43</f>
        <v/>
      </c>
      <c r="E1118">
        <f>'KG1-6'!BD40</f>
        <v/>
      </c>
      <c r="F1118">
        <f>'KG1-6'!BD41</f>
        <v/>
      </c>
      <c r="G1118">
        <f>'KG1-6'!BD42</f>
        <v/>
      </c>
    </row>
    <row r="1119">
      <c r="A1119">
        <f>'KG1-6'!$B$2</f>
        <v/>
      </c>
      <c r="B1119" s="126" t="n">
        <v>46302</v>
      </c>
      <c r="C1119">
        <f>'KG1-6'!BE44</f>
        <v/>
      </c>
      <c r="D1119">
        <f>'KG1-6'!BE43</f>
        <v/>
      </c>
      <c r="E1119">
        <f>'KG1-6'!BE40</f>
        <v/>
      </c>
      <c r="F1119">
        <f>'KG1-6'!BE41</f>
        <v/>
      </c>
      <c r="G1119">
        <f>'KG1-6'!BE42</f>
        <v/>
      </c>
    </row>
    <row r="1120">
      <c r="A1120">
        <f>'KG1-6'!$B$2</f>
        <v/>
      </c>
      <c r="B1120" s="126" t="n">
        <v>46303</v>
      </c>
      <c r="C1120">
        <f>'KG1-6'!BF44</f>
        <v/>
      </c>
      <c r="D1120">
        <f>'KG1-6'!BF43</f>
        <v/>
      </c>
      <c r="E1120">
        <f>'KG1-6'!BF40</f>
        <v/>
      </c>
      <c r="F1120">
        <f>'KG1-6'!BF41</f>
        <v/>
      </c>
      <c r="G1120">
        <f>'KG1-6'!BF42</f>
        <v/>
      </c>
    </row>
    <row r="1121">
      <c r="A1121">
        <f>'KG1-6'!$B$2</f>
        <v/>
      </c>
      <c r="B1121" s="126" t="n">
        <v>46304</v>
      </c>
      <c r="C1121">
        <f>'KG1-6'!BG44</f>
        <v/>
      </c>
      <c r="D1121">
        <f>'KG1-6'!BG43</f>
        <v/>
      </c>
      <c r="E1121">
        <f>'KG1-6'!BG40</f>
        <v/>
      </c>
      <c r="F1121">
        <f>'KG1-6'!BG41</f>
        <v/>
      </c>
      <c r="G1121">
        <f>'KG1-6'!BG42</f>
        <v/>
      </c>
    </row>
    <row r="1122">
      <c r="A1122">
        <f>'KG1-6'!$B$2</f>
        <v/>
      </c>
      <c r="B1122" s="126" t="n">
        <v>46307</v>
      </c>
      <c r="C1122">
        <f>'KG1-6'!BH44</f>
        <v/>
      </c>
      <c r="D1122">
        <f>'KG1-6'!BH43</f>
        <v/>
      </c>
      <c r="E1122">
        <f>'KG1-6'!BH40</f>
        <v/>
      </c>
      <c r="F1122">
        <f>'KG1-6'!BH41</f>
        <v/>
      </c>
      <c r="G1122">
        <f>'KG1-6'!BH42</f>
        <v/>
      </c>
    </row>
    <row r="1123">
      <c r="A1123">
        <f>'KG1-6'!$B$2</f>
        <v/>
      </c>
      <c r="B1123" s="126" t="n">
        <v>46308</v>
      </c>
      <c r="C1123">
        <f>'KG1-6'!BI44</f>
        <v/>
      </c>
      <c r="D1123">
        <f>'KG1-6'!BI43</f>
        <v/>
      </c>
      <c r="E1123">
        <f>'KG1-6'!BI40</f>
        <v/>
      </c>
      <c r="F1123">
        <f>'KG1-6'!BI41</f>
        <v/>
      </c>
      <c r="G1123">
        <f>'KG1-6'!BI42</f>
        <v/>
      </c>
    </row>
    <row r="1124">
      <c r="A1124">
        <f>'KG1-6'!$B$2</f>
        <v/>
      </c>
      <c r="B1124" s="126" t="n">
        <v>46309</v>
      </c>
      <c r="C1124">
        <f>'KG1-6'!BJ44</f>
        <v/>
      </c>
      <c r="D1124">
        <f>'KG1-6'!BJ43</f>
        <v/>
      </c>
      <c r="E1124">
        <f>'KG1-6'!BJ40</f>
        <v/>
      </c>
      <c r="F1124">
        <f>'KG1-6'!BJ41</f>
        <v/>
      </c>
      <c r="G1124">
        <f>'KG1-6'!BJ42</f>
        <v/>
      </c>
    </row>
    <row r="1125">
      <c r="A1125">
        <f>'KG1-6'!$B$2</f>
        <v/>
      </c>
      <c r="B1125" s="126" t="n">
        <v>46310</v>
      </c>
      <c r="C1125">
        <f>'KG1-6'!BK44</f>
        <v/>
      </c>
      <c r="D1125">
        <f>'KG1-6'!BK43</f>
        <v/>
      </c>
      <c r="E1125">
        <f>'KG1-6'!BK40</f>
        <v/>
      </c>
      <c r="F1125">
        <f>'KG1-6'!BK41</f>
        <v/>
      </c>
      <c r="G1125">
        <f>'KG1-6'!BK42</f>
        <v/>
      </c>
    </row>
    <row r="1126">
      <c r="A1126">
        <f>'KG1-6'!$B$2</f>
        <v/>
      </c>
      <c r="B1126" s="126" t="n">
        <v>46311</v>
      </c>
      <c r="C1126">
        <f>'KG1-6'!BL44</f>
        <v/>
      </c>
      <c r="D1126">
        <f>'KG1-6'!BL43</f>
        <v/>
      </c>
      <c r="E1126">
        <f>'KG1-6'!BL40</f>
        <v/>
      </c>
      <c r="F1126">
        <f>'KG1-6'!BL41</f>
        <v/>
      </c>
      <c r="G1126">
        <f>'KG1-6'!BL42</f>
        <v/>
      </c>
    </row>
    <row r="1127">
      <c r="A1127">
        <f>'KG1-6'!$B$2</f>
        <v/>
      </c>
      <c r="B1127" s="126" t="n">
        <v>46314</v>
      </c>
      <c r="C1127">
        <f>'KG1-6'!BM44</f>
        <v/>
      </c>
      <c r="D1127">
        <f>'KG1-6'!BM43</f>
        <v/>
      </c>
      <c r="E1127">
        <f>'KG1-6'!BM40</f>
        <v/>
      </c>
      <c r="F1127">
        <f>'KG1-6'!BM41</f>
        <v/>
      </c>
      <c r="G1127">
        <f>'KG1-6'!BM42</f>
        <v/>
      </c>
    </row>
    <row r="1128">
      <c r="A1128">
        <f>'KG1-6'!$B$2</f>
        <v/>
      </c>
      <c r="B1128" s="126" t="n">
        <v>46315</v>
      </c>
      <c r="C1128">
        <f>'KG1-6'!BN44</f>
        <v/>
      </c>
      <c r="D1128">
        <f>'KG1-6'!BN43</f>
        <v/>
      </c>
      <c r="E1128">
        <f>'KG1-6'!BN40</f>
        <v/>
      </c>
      <c r="F1128">
        <f>'KG1-6'!BN41</f>
        <v/>
      </c>
      <c r="G1128">
        <f>'KG1-6'!BN42</f>
        <v/>
      </c>
    </row>
    <row r="1129">
      <c r="A1129">
        <f>'KG1-6'!$B$2</f>
        <v/>
      </c>
      <c r="B1129" s="126" t="n">
        <v>46316</v>
      </c>
      <c r="C1129">
        <f>'KG1-6'!BO44</f>
        <v/>
      </c>
      <c r="D1129">
        <f>'KG1-6'!BO43</f>
        <v/>
      </c>
      <c r="E1129">
        <f>'KG1-6'!BO40</f>
        <v/>
      </c>
      <c r="F1129">
        <f>'KG1-6'!BO41</f>
        <v/>
      </c>
      <c r="G1129">
        <f>'KG1-6'!BO42</f>
        <v/>
      </c>
    </row>
    <row r="1130">
      <c r="A1130">
        <f>'KG1-6'!$B$2</f>
        <v/>
      </c>
      <c r="B1130" s="126" t="n">
        <v>46317</v>
      </c>
      <c r="C1130">
        <f>'KG1-6'!BP44</f>
        <v/>
      </c>
      <c r="D1130">
        <f>'KG1-6'!BP43</f>
        <v/>
      </c>
      <c r="E1130">
        <f>'KG1-6'!BP40</f>
        <v/>
      </c>
      <c r="F1130">
        <f>'KG1-6'!BP41</f>
        <v/>
      </c>
      <c r="G1130">
        <f>'KG1-6'!BP42</f>
        <v/>
      </c>
    </row>
    <row r="1131">
      <c r="A1131">
        <f>'KG1-6'!$B$2</f>
        <v/>
      </c>
      <c r="B1131" s="126" t="n">
        <v>46318</v>
      </c>
      <c r="C1131">
        <f>'KG1-6'!BQ44</f>
        <v/>
      </c>
      <c r="D1131">
        <f>'KG1-6'!BQ43</f>
        <v/>
      </c>
      <c r="E1131">
        <f>'KG1-6'!BQ40</f>
        <v/>
      </c>
      <c r="F1131">
        <f>'KG1-6'!BQ41</f>
        <v/>
      </c>
      <c r="G1131">
        <f>'KG1-6'!BQ42</f>
        <v/>
      </c>
    </row>
    <row r="1132">
      <c r="A1132">
        <f>'KG1-6'!$B$2</f>
        <v/>
      </c>
      <c r="B1132" s="126" t="n">
        <v>46321</v>
      </c>
      <c r="C1132">
        <f>'KG1-6'!BR44</f>
        <v/>
      </c>
      <c r="D1132">
        <f>'KG1-6'!BR43</f>
        <v/>
      </c>
      <c r="E1132">
        <f>'KG1-6'!BR40</f>
        <v/>
      </c>
      <c r="F1132">
        <f>'KG1-6'!BR41</f>
        <v/>
      </c>
      <c r="G1132">
        <f>'KG1-6'!BR42</f>
        <v/>
      </c>
    </row>
    <row r="1133">
      <c r="A1133">
        <f>'KG1-6'!$B$2</f>
        <v/>
      </c>
      <c r="B1133" s="126" t="n">
        <v>46322</v>
      </c>
      <c r="C1133">
        <f>'KG1-6'!BS44</f>
        <v/>
      </c>
      <c r="D1133">
        <f>'KG1-6'!BS43</f>
        <v/>
      </c>
      <c r="E1133">
        <f>'KG1-6'!BS40</f>
        <v/>
      </c>
      <c r="F1133">
        <f>'KG1-6'!BS41</f>
        <v/>
      </c>
      <c r="G1133">
        <f>'KG1-6'!BS42</f>
        <v/>
      </c>
    </row>
    <row r="1134">
      <c r="A1134">
        <f>'KG1-6'!$B$2</f>
        <v/>
      </c>
      <c r="B1134" s="126" t="n">
        <v>46323</v>
      </c>
      <c r="C1134">
        <f>'KG1-6'!BT44</f>
        <v/>
      </c>
      <c r="D1134">
        <f>'KG1-6'!BT43</f>
        <v/>
      </c>
      <c r="E1134">
        <f>'KG1-6'!BT40</f>
        <v/>
      </c>
      <c r="F1134">
        <f>'KG1-6'!BT41</f>
        <v/>
      </c>
      <c r="G1134">
        <f>'KG1-6'!BT42</f>
        <v/>
      </c>
    </row>
    <row r="1135">
      <c r="A1135">
        <f>'KG1-6'!$B$2</f>
        <v/>
      </c>
      <c r="B1135" s="126" t="n">
        <v>46324</v>
      </c>
      <c r="C1135">
        <f>'KG1-6'!BU44</f>
        <v/>
      </c>
      <c r="D1135">
        <f>'KG1-6'!BU43</f>
        <v/>
      </c>
      <c r="E1135">
        <f>'KG1-6'!BU40</f>
        <v/>
      </c>
      <c r="F1135">
        <f>'KG1-6'!BU41</f>
        <v/>
      </c>
      <c r="G1135">
        <f>'KG1-6'!BU42</f>
        <v/>
      </c>
    </row>
    <row r="1136">
      <c r="A1136">
        <f>'KG1-6'!$B$2</f>
        <v/>
      </c>
      <c r="B1136" s="126" t="n">
        <v>46325</v>
      </c>
      <c r="C1136">
        <f>'KG1-6'!BV44</f>
        <v/>
      </c>
      <c r="D1136">
        <f>'KG1-6'!BV43</f>
        <v/>
      </c>
      <c r="E1136">
        <f>'KG1-6'!BV40</f>
        <v/>
      </c>
      <c r="F1136">
        <f>'KG1-6'!BV41</f>
        <v/>
      </c>
      <c r="G1136">
        <f>'KG1-6'!BV42</f>
        <v/>
      </c>
    </row>
    <row r="1137">
      <c r="A1137">
        <f>'KG1-6'!$B$2</f>
        <v/>
      </c>
      <c r="B1137" s="126" t="n">
        <v>46328</v>
      </c>
      <c r="C1137">
        <f>'KG1-6'!BW44</f>
        <v/>
      </c>
      <c r="D1137">
        <f>'KG1-6'!BW43</f>
        <v/>
      </c>
      <c r="E1137">
        <f>'KG1-6'!BW40</f>
        <v/>
      </c>
      <c r="F1137">
        <f>'KG1-6'!BW41</f>
        <v/>
      </c>
      <c r="G1137">
        <f>'KG1-6'!BW42</f>
        <v/>
      </c>
    </row>
    <row r="1138">
      <c r="A1138">
        <f>'KG1-6'!$B$2</f>
        <v/>
      </c>
      <c r="B1138" s="126" t="n">
        <v>46329</v>
      </c>
      <c r="C1138">
        <f>'KG1-6'!BX44</f>
        <v/>
      </c>
      <c r="D1138">
        <f>'KG1-6'!BX43</f>
        <v/>
      </c>
      <c r="E1138">
        <f>'KG1-6'!BX40</f>
        <v/>
      </c>
      <c r="F1138">
        <f>'KG1-6'!BX41</f>
        <v/>
      </c>
      <c r="G1138">
        <f>'KG1-6'!BX42</f>
        <v/>
      </c>
    </row>
    <row r="1139">
      <c r="A1139">
        <f>'KG1-6'!$B$2</f>
        <v/>
      </c>
      <c r="B1139" s="126" t="n">
        <v>46330</v>
      </c>
      <c r="C1139">
        <f>'KG1-6'!BY44</f>
        <v/>
      </c>
      <c r="D1139">
        <f>'KG1-6'!BY43</f>
        <v/>
      </c>
      <c r="E1139">
        <f>'KG1-6'!BY40</f>
        <v/>
      </c>
      <c r="F1139">
        <f>'KG1-6'!BY41</f>
        <v/>
      </c>
      <c r="G1139">
        <f>'KG1-6'!BY42</f>
        <v/>
      </c>
    </row>
    <row r="1140">
      <c r="A1140">
        <f>'KG1-6'!$B$2</f>
        <v/>
      </c>
      <c r="B1140" s="126" t="n">
        <v>46331</v>
      </c>
      <c r="C1140">
        <f>'KG1-6'!BZ44</f>
        <v/>
      </c>
      <c r="D1140">
        <f>'KG1-6'!BZ43</f>
        <v/>
      </c>
      <c r="E1140">
        <f>'KG1-6'!BZ40</f>
        <v/>
      </c>
      <c r="F1140">
        <f>'KG1-6'!BZ41</f>
        <v/>
      </c>
      <c r="G1140">
        <f>'KG1-6'!BZ42</f>
        <v/>
      </c>
    </row>
    <row r="1141">
      <c r="A1141">
        <f>'KG1-6'!$B$2</f>
        <v/>
      </c>
      <c r="B1141" s="126" t="n">
        <v>46332</v>
      </c>
      <c r="C1141">
        <f>'KG1-6'!CA44</f>
        <v/>
      </c>
      <c r="D1141">
        <f>'KG1-6'!CA43</f>
        <v/>
      </c>
      <c r="E1141">
        <f>'KG1-6'!CA40</f>
        <v/>
      </c>
      <c r="F1141">
        <f>'KG1-6'!CA41</f>
        <v/>
      </c>
      <c r="G1141">
        <f>'KG1-6'!CA42</f>
        <v/>
      </c>
    </row>
    <row r="1142">
      <c r="A1142">
        <f>'KG1-6'!$B$2</f>
        <v/>
      </c>
      <c r="B1142" s="126" t="n">
        <v>46335</v>
      </c>
      <c r="C1142">
        <f>'KG1-6'!CB44</f>
        <v/>
      </c>
      <c r="D1142">
        <f>'KG1-6'!CB43</f>
        <v/>
      </c>
      <c r="E1142">
        <f>'KG1-6'!CB40</f>
        <v/>
      </c>
      <c r="F1142">
        <f>'KG1-6'!CB41</f>
        <v/>
      </c>
      <c r="G1142">
        <f>'KG1-6'!CB42</f>
        <v/>
      </c>
    </row>
    <row r="1143">
      <c r="A1143">
        <f>'KG1-6'!$B$2</f>
        <v/>
      </c>
      <c r="B1143" s="126" t="n">
        <v>46336</v>
      </c>
      <c r="C1143">
        <f>'KG1-6'!CC44</f>
        <v/>
      </c>
      <c r="D1143">
        <f>'KG1-6'!CC43</f>
        <v/>
      </c>
      <c r="E1143">
        <f>'KG1-6'!CC40</f>
        <v/>
      </c>
      <c r="F1143">
        <f>'KG1-6'!CC41</f>
        <v/>
      </c>
      <c r="G1143">
        <f>'KG1-6'!CC42</f>
        <v/>
      </c>
    </row>
    <row r="1144">
      <c r="A1144">
        <f>'KG1-6'!$B$2</f>
        <v/>
      </c>
      <c r="B1144" s="126" t="n">
        <v>46337</v>
      </c>
      <c r="C1144">
        <f>'KG1-6'!CD44</f>
        <v/>
      </c>
      <c r="D1144">
        <f>'KG1-6'!CD43</f>
        <v/>
      </c>
      <c r="E1144">
        <f>'KG1-6'!CD40</f>
        <v/>
      </c>
      <c r="F1144">
        <f>'KG1-6'!CD41</f>
        <v/>
      </c>
      <c r="G1144">
        <f>'KG1-6'!CD42</f>
        <v/>
      </c>
    </row>
    <row r="1145">
      <c r="A1145">
        <f>'KG1-6'!$B$2</f>
        <v/>
      </c>
      <c r="B1145" s="126" t="n">
        <v>46338</v>
      </c>
      <c r="C1145">
        <f>'KG1-6'!CE44</f>
        <v/>
      </c>
      <c r="D1145">
        <f>'KG1-6'!CE43</f>
        <v/>
      </c>
      <c r="E1145">
        <f>'KG1-6'!CE40</f>
        <v/>
      </c>
      <c r="F1145">
        <f>'KG1-6'!CE41</f>
        <v/>
      </c>
      <c r="G1145">
        <f>'KG1-6'!CE42</f>
        <v/>
      </c>
    </row>
    <row r="1146">
      <c r="A1146">
        <f>'KG1-6'!$B$2</f>
        <v/>
      </c>
      <c r="B1146" s="126" t="n">
        <v>46339</v>
      </c>
      <c r="C1146">
        <f>'KG1-6'!CF44</f>
        <v/>
      </c>
      <c r="D1146">
        <f>'KG1-6'!CF43</f>
        <v/>
      </c>
      <c r="E1146">
        <f>'KG1-6'!CF40</f>
        <v/>
      </c>
      <c r="F1146">
        <f>'KG1-6'!CF41</f>
        <v/>
      </c>
      <c r="G1146">
        <f>'KG1-6'!CF42</f>
        <v/>
      </c>
    </row>
    <row r="1147">
      <c r="A1147">
        <f>'KG1-6'!$B$2</f>
        <v/>
      </c>
      <c r="B1147" s="126" t="n">
        <v>46342</v>
      </c>
      <c r="C1147">
        <f>'KG1-6'!CG44</f>
        <v/>
      </c>
      <c r="D1147">
        <f>'KG1-6'!CG43</f>
        <v/>
      </c>
      <c r="E1147">
        <f>'KG1-6'!CG40</f>
        <v/>
      </c>
      <c r="F1147">
        <f>'KG1-6'!CG41</f>
        <v/>
      </c>
      <c r="G1147">
        <f>'KG1-6'!CG42</f>
        <v/>
      </c>
    </row>
    <row r="1148">
      <c r="A1148">
        <f>'KG1-6'!$B$2</f>
        <v/>
      </c>
      <c r="B1148" s="126" t="n">
        <v>46343</v>
      </c>
      <c r="C1148">
        <f>'KG1-6'!CH44</f>
        <v/>
      </c>
      <c r="D1148">
        <f>'KG1-6'!CH43</f>
        <v/>
      </c>
      <c r="E1148">
        <f>'KG1-6'!CH40</f>
        <v/>
      </c>
      <c r="F1148">
        <f>'KG1-6'!CH41</f>
        <v/>
      </c>
      <c r="G1148">
        <f>'KG1-6'!CH42</f>
        <v/>
      </c>
    </row>
    <row r="1149">
      <c r="A1149">
        <f>'KG1-6'!$B$2</f>
        <v/>
      </c>
      <c r="B1149" s="126" t="n">
        <v>46344</v>
      </c>
      <c r="C1149">
        <f>'KG1-6'!CI44</f>
        <v/>
      </c>
      <c r="D1149">
        <f>'KG1-6'!CI43</f>
        <v/>
      </c>
      <c r="E1149">
        <f>'KG1-6'!CI40</f>
        <v/>
      </c>
      <c r="F1149">
        <f>'KG1-6'!CI41</f>
        <v/>
      </c>
      <c r="G1149">
        <f>'KG1-6'!CI42</f>
        <v/>
      </c>
    </row>
    <row r="1150">
      <c r="A1150">
        <f>'KG1-6'!$B$2</f>
        <v/>
      </c>
      <c r="B1150" s="126" t="n">
        <v>46345</v>
      </c>
      <c r="C1150">
        <f>'KG1-6'!CJ44</f>
        <v/>
      </c>
      <c r="D1150">
        <f>'KG1-6'!CJ43</f>
        <v/>
      </c>
      <c r="E1150">
        <f>'KG1-6'!CJ40</f>
        <v/>
      </c>
      <c r="F1150">
        <f>'KG1-6'!CJ41</f>
        <v/>
      </c>
      <c r="G1150">
        <f>'KG1-6'!CJ42</f>
        <v/>
      </c>
    </row>
    <row r="1151">
      <c r="A1151">
        <f>'KG1-6'!$B$2</f>
        <v/>
      </c>
      <c r="B1151" s="126" t="n">
        <v>46346</v>
      </c>
      <c r="C1151">
        <f>'KG1-6'!CK44</f>
        <v/>
      </c>
      <c r="D1151">
        <f>'KG1-6'!CK43</f>
        <v/>
      </c>
      <c r="E1151">
        <f>'KG1-6'!CK40</f>
        <v/>
      </c>
      <c r="F1151">
        <f>'KG1-6'!CK41</f>
        <v/>
      </c>
      <c r="G1151">
        <f>'KG1-6'!CK42</f>
        <v/>
      </c>
    </row>
    <row r="1152">
      <c r="A1152">
        <f>'KG1-6'!$B$2</f>
        <v/>
      </c>
      <c r="B1152" s="126" t="n">
        <v>46349</v>
      </c>
      <c r="C1152">
        <f>'KG1-6'!CL44</f>
        <v/>
      </c>
      <c r="D1152">
        <f>'KG1-6'!CL43</f>
        <v/>
      </c>
      <c r="E1152">
        <f>'KG1-6'!CL40</f>
        <v/>
      </c>
      <c r="F1152">
        <f>'KG1-6'!CL41</f>
        <v/>
      </c>
      <c r="G1152">
        <f>'KG1-6'!CL42</f>
        <v/>
      </c>
    </row>
    <row r="1153">
      <c r="A1153">
        <f>'KG1-6'!$B$2</f>
        <v/>
      </c>
      <c r="B1153" s="126" t="n">
        <v>46350</v>
      </c>
      <c r="C1153">
        <f>'KG1-6'!CM44</f>
        <v/>
      </c>
      <c r="D1153">
        <f>'KG1-6'!CM43</f>
        <v/>
      </c>
      <c r="E1153">
        <f>'KG1-6'!CM40</f>
        <v/>
      </c>
      <c r="F1153">
        <f>'KG1-6'!CM41</f>
        <v/>
      </c>
      <c r="G1153">
        <f>'KG1-6'!CM42</f>
        <v/>
      </c>
    </row>
    <row r="1154">
      <c r="A1154">
        <f>'KG1-6'!$B$2</f>
        <v/>
      </c>
      <c r="B1154" s="126" t="n">
        <v>46351</v>
      </c>
      <c r="C1154">
        <f>'KG1-6'!CN44</f>
        <v/>
      </c>
      <c r="D1154">
        <f>'KG1-6'!CN43</f>
        <v/>
      </c>
      <c r="E1154">
        <f>'KG1-6'!CN40</f>
        <v/>
      </c>
      <c r="F1154">
        <f>'KG1-6'!CN41</f>
        <v/>
      </c>
      <c r="G1154">
        <f>'KG1-6'!CN42</f>
        <v/>
      </c>
    </row>
    <row r="1155">
      <c r="A1155">
        <f>'KG1-6'!$B$2</f>
        <v/>
      </c>
      <c r="B1155" s="126" t="n">
        <v>46352</v>
      </c>
      <c r="C1155">
        <f>'KG1-6'!CO44</f>
        <v/>
      </c>
      <c r="D1155">
        <f>'KG1-6'!CO43</f>
        <v/>
      </c>
      <c r="E1155">
        <f>'KG1-6'!CO40</f>
        <v/>
      </c>
      <c r="F1155">
        <f>'KG1-6'!CO41</f>
        <v/>
      </c>
      <c r="G1155">
        <f>'KG1-6'!CO42</f>
        <v/>
      </c>
    </row>
    <row r="1156">
      <c r="A1156">
        <f>'KG1-6'!$B$2</f>
        <v/>
      </c>
      <c r="B1156" s="126" t="n">
        <v>46353</v>
      </c>
      <c r="C1156">
        <f>'KG1-6'!CP44</f>
        <v/>
      </c>
      <c r="D1156">
        <f>'KG1-6'!CP43</f>
        <v/>
      </c>
      <c r="E1156">
        <f>'KG1-6'!CP40</f>
        <v/>
      </c>
      <c r="F1156">
        <f>'KG1-6'!CP41</f>
        <v/>
      </c>
      <c r="G1156">
        <f>'KG1-6'!CP42</f>
        <v/>
      </c>
    </row>
    <row r="1157">
      <c r="A1157">
        <f>'KG1-6'!$B$2</f>
        <v/>
      </c>
      <c r="B1157" s="126" t="n">
        <v>46356</v>
      </c>
      <c r="C1157">
        <f>'KG1-6'!CQ44</f>
        <v/>
      </c>
      <c r="D1157">
        <f>'KG1-6'!CQ43</f>
        <v/>
      </c>
      <c r="E1157">
        <f>'KG1-6'!CQ40</f>
        <v/>
      </c>
      <c r="F1157">
        <f>'KG1-6'!CQ41</f>
        <v/>
      </c>
      <c r="G1157">
        <f>'KG1-6'!CQ42</f>
        <v/>
      </c>
    </row>
    <row r="1158">
      <c r="A1158">
        <f>'KG1-6'!$B$2</f>
        <v/>
      </c>
      <c r="B1158" s="126" t="n">
        <v>46357</v>
      </c>
      <c r="C1158">
        <f>'KG1-6'!CR44</f>
        <v/>
      </c>
      <c r="D1158">
        <f>'KG1-6'!CR43</f>
        <v/>
      </c>
      <c r="E1158">
        <f>'KG1-6'!CR40</f>
        <v/>
      </c>
      <c r="F1158">
        <f>'KG1-6'!CR41</f>
        <v/>
      </c>
      <c r="G1158">
        <f>'KG1-6'!CR42</f>
        <v/>
      </c>
    </row>
    <row r="1159">
      <c r="A1159">
        <f>'KG1-6'!$B$2</f>
        <v/>
      </c>
      <c r="B1159" s="126" t="n">
        <v>46358</v>
      </c>
      <c r="C1159">
        <f>'KG1-6'!CS44</f>
        <v/>
      </c>
      <c r="D1159">
        <f>'KG1-6'!CS43</f>
        <v/>
      </c>
      <c r="E1159">
        <f>'KG1-6'!CS40</f>
        <v/>
      </c>
      <c r="F1159">
        <f>'KG1-6'!CS41</f>
        <v/>
      </c>
      <c r="G1159">
        <f>'KG1-6'!CS42</f>
        <v/>
      </c>
    </row>
    <row r="1160">
      <c r="A1160">
        <f>'KG1-6'!$B$2</f>
        <v/>
      </c>
      <c r="B1160" s="126" t="n">
        <v>46359</v>
      </c>
      <c r="C1160">
        <f>'KG1-6'!CT44</f>
        <v/>
      </c>
      <c r="D1160">
        <f>'KG1-6'!CT43</f>
        <v/>
      </c>
      <c r="E1160">
        <f>'KG1-6'!CT40</f>
        <v/>
      </c>
      <c r="F1160">
        <f>'KG1-6'!CT41</f>
        <v/>
      </c>
      <c r="G1160">
        <f>'KG1-6'!CT42</f>
        <v/>
      </c>
    </row>
    <row r="1161">
      <c r="A1161">
        <f>'KG1-6'!$B$2</f>
        <v/>
      </c>
      <c r="B1161" s="126" t="n">
        <v>46360</v>
      </c>
      <c r="C1161">
        <f>'KG1-6'!CU44</f>
        <v/>
      </c>
      <c r="D1161">
        <f>'KG1-6'!CU43</f>
        <v/>
      </c>
      <c r="E1161">
        <f>'KG1-6'!CU40</f>
        <v/>
      </c>
      <c r="F1161">
        <f>'KG1-6'!CU41</f>
        <v/>
      </c>
      <c r="G1161">
        <f>'KG1-6'!CU42</f>
        <v/>
      </c>
    </row>
    <row r="1162">
      <c r="A1162">
        <f>'KG1-6'!$B$2</f>
        <v/>
      </c>
      <c r="B1162" s="126" t="n">
        <v>46363</v>
      </c>
      <c r="C1162">
        <f>'KG1-6'!CV44</f>
        <v/>
      </c>
      <c r="D1162">
        <f>'KG1-6'!CV43</f>
        <v/>
      </c>
      <c r="E1162">
        <f>'KG1-6'!CV40</f>
        <v/>
      </c>
      <c r="F1162">
        <f>'KG1-6'!CV41</f>
        <v/>
      </c>
      <c r="G1162">
        <f>'KG1-6'!CV42</f>
        <v/>
      </c>
    </row>
    <row r="1163">
      <c r="A1163">
        <f>'KG1-6'!$B$2</f>
        <v/>
      </c>
      <c r="B1163" s="126" t="n">
        <v>46364</v>
      </c>
      <c r="C1163">
        <f>'KG1-6'!CW44</f>
        <v/>
      </c>
      <c r="D1163">
        <f>'KG1-6'!CW43</f>
        <v/>
      </c>
      <c r="E1163">
        <f>'KG1-6'!CW40</f>
        <v/>
      </c>
      <c r="F1163">
        <f>'KG1-6'!CW41</f>
        <v/>
      </c>
      <c r="G1163">
        <f>'KG1-6'!CW42</f>
        <v/>
      </c>
    </row>
    <row r="1164">
      <c r="A1164">
        <f>'KG1-6'!$B$2</f>
        <v/>
      </c>
      <c r="B1164" s="126" t="n">
        <v>46365</v>
      </c>
      <c r="C1164">
        <f>'KG1-6'!CX44</f>
        <v/>
      </c>
      <c r="D1164">
        <f>'KG1-6'!CX43</f>
        <v/>
      </c>
      <c r="E1164">
        <f>'KG1-6'!CX40</f>
        <v/>
      </c>
      <c r="F1164">
        <f>'KG1-6'!CX41</f>
        <v/>
      </c>
      <c r="G1164">
        <f>'KG1-6'!CX42</f>
        <v/>
      </c>
    </row>
    <row r="1165">
      <c r="A1165">
        <f>'KG1-6'!$B$2</f>
        <v/>
      </c>
      <c r="B1165" s="126" t="n">
        <v>46366</v>
      </c>
      <c r="C1165">
        <f>'KG1-6'!CY44</f>
        <v/>
      </c>
      <c r="D1165">
        <f>'KG1-6'!CY43</f>
        <v/>
      </c>
      <c r="E1165">
        <f>'KG1-6'!CY40</f>
        <v/>
      </c>
      <c r="F1165">
        <f>'KG1-6'!CY41</f>
        <v/>
      </c>
      <c r="G1165">
        <f>'KG1-6'!CY42</f>
        <v/>
      </c>
    </row>
    <row r="1166">
      <c r="A1166">
        <f>'KG1-6'!$B$2</f>
        <v/>
      </c>
      <c r="B1166" s="126" t="n">
        <v>46367</v>
      </c>
      <c r="C1166">
        <f>'KG1-6'!CZ44</f>
        <v/>
      </c>
      <c r="D1166">
        <f>'KG1-6'!CZ43</f>
        <v/>
      </c>
      <c r="E1166">
        <f>'KG1-6'!CZ40</f>
        <v/>
      </c>
      <c r="F1166">
        <f>'KG1-6'!CZ41</f>
        <v/>
      </c>
      <c r="G1166">
        <f>'KG1-6'!CZ42</f>
        <v/>
      </c>
    </row>
    <row r="1167">
      <c r="A1167">
        <f>'KG1-6'!$B$2</f>
        <v/>
      </c>
      <c r="B1167" s="126" t="n">
        <v>46370</v>
      </c>
      <c r="C1167">
        <f>'KG1-6'!DA44</f>
        <v/>
      </c>
      <c r="D1167">
        <f>'KG1-6'!DA43</f>
        <v/>
      </c>
      <c r="E1167">
        <f>'KG1-6'!DA40</f>
        <v/>
      </c>
      <c r="F1167">
        <f>'KG1-6'!DA41</f>
        <v/>
      </c>
      <c r="G1167">
        <f>'KG1-6'!DA42</f>
        <v/>
      </c>
    </row>
    <row r="1168">
      <c r="A1168">
        <f>'KG1-6'!$B$2</f>
        <v/>
      </c>
      <c r="B1168" s="126" t="n">
        <v>46371</v>
      </c>
      <c r="C1168">
        <f>'KG1-6'!DB44</f>
        <v/>
      </c>
      <c r="D1168">
        <f>'KG1-6'!DB43</f>
        <v/>
      </c>
      <c r="E1168">
        <f>'KG1-6'!DB40</f>
        <v/>
      </c>
      <c r="F1168">
        <f>'KG1-6'!DB41</f>
        <v/>
      </c>
      <c r="G1168">
        <f>'KG1-6'!DB42</f>
        <v/>
      </c>
    </row>
    <row r="1169">
      <c r="A1169">
        <f>'KG1-6'!$B$2</f>
        <v/>
      </c>
      <c r="B1169" s="126" t="n">
        <v>46372</v>
      </c>
      <c r="C1169">
        <f>'KG1-6'!DC44</f>
        <v/>
      </c>
      <c r="D1169">
        <f>'KG1-6'!DC43</f>
        <v/>
      </c>
      <c r="E1169">
        <f>'KG1-6'!DC40</f>
        <v/>
      </c>
      <c r="F1169">
        <f>'KG1-6'!DC41</f>
        <v/>
      </c>
      <c r="G1169">
        <f>'KG1-6'!DC42</f>
        <v/>
      </c>
    </row>
    <row r="1170">
      <c r="A1170">
        <f>'KG1-6'!$B$2</f>
        <v/>
      </c>
      <c r="B1170" s="126" t="n">
        <v>46373</v>
      </c>
      <c r="C1170">
        <f>'KG1-6'!DD44</f>
        <v/>
      </c>
      <c r="D1170">
        <f>'KG1-6'!DD43</f>
        <v/>
      </c>
      <c r="E1170">
        <f>'KG1-6'!DD40</f>
        <v/>
      </c>
      <c r="F1170">
        <f>'KG1-6'!DD41</f>
        <v/>
      </c>
      <c r="G1170">
        <f>'KG1-6'!DD42</f>
        <v/>
      </c>
    </row>
    <row r="1171">
      <c r="A1171">
        <f>'KG1-6'!$B$2</f>
        <v/>
      </c>
      <c r="B1171" s="126" t="n">
        <v>46374</v>
      </c>
      <c r="C1171">
        <f>'KG1-6'!DE44</f>
        <v/>
      </c>
      <c r="D1171">
        <f>'KG1-6'!DE43</f>
        <v/>
      </c>
      <c r="E1171">
        <f>'KG1-6'!DE40</f>
        <v/>
      </c>
      <c r="F1171">
        <f>'KG1-6'!DE41</f>
        <v/>
      </c>
      <c r="G1171">
        <f>'KG1-6'!DE42</f>
        <v/>
      </c>
    </row>
    <row r="1172">
      <c r="A1172">
        <f>'KG1-6'!$B$2</f>
        <v/>
      </c>
      <c r="B1172" s="126" t="n">
        <v>46377</v>
      </c>
      <c r="C1172">
        <f>'KG1-6'!DF44</f>
        <v/>
      </c>
      <c r="D1172">
        <f>'KG1-6'!DF43</f>
        <v/>
      </c>
      <c r="E1172">
        <f>'KG1-6'!DF40</f>
        <v/>
      </c>
      <c r="F1172">
        <f>'KG1-6'!DF41</f>
        <v/>
      </c>
      <c r="G1172">
        <f>'KG1-6'!DF42</f>
        <v/>
      </c>
    </row>
    <row r="1173">
      <c r="A1173">
        <f>'KG1-6'!$B$2</f>
        <v/>
      </c>
      <c r="B1173" s="126" t="n">
        <v>46378</v>
      </c>
      <c r="C1173">
        <f>'KG1-6'!DG44</f>
        <v/>
      </c>
      <c r="D1173">
        <f>'KG1-6'!DG43</f>
        <v/>
      </c>
      <c r="E1173">
        <f>'KG1-6'!DG40</f>
        <v/>
      </c>
      <c r="F1173">
        <f>'KG1-6'!DG41</f>
        <v/>
      </c>
      <c r="G1173">
        <f>'KG1-6'!DG42</f>
        <v/>
      </c>
    </row>
    <row r="1174">
      <c r="A1174">
        <f>'KG1-6'!$B$2</f>
        <v/>
      </c>
      <c r="B1174" s="126" t="n">
        <v>46379</v>
      </c>
      <c r="C1174">
        <f>'KG1-6'!DH44</f>
        <v/>
      </c>
      <c r="D1174">
        <f>'KG1-6'!DH43</f>
        <v/>
      </c>
      <c r="E1174">
        <f>'KG1-6'!DH40</f>
        <v/>
      </c>
      <c r="F1174">
        <f>'KG1-6'!DH41</f>
        <v/>
      </c>
      <c r="G1174">
        <f>'KG1-6'!DH42</f>
        <v/>
      </c>
    </row>
    <row r="1175">
      <c r="A1175">
        <f>'KG1-6'!$B$2</f>
        <v/>
      </c>
      <c r="B1175" s="126" t="n">
        <v>46380</v>
      </c>
      <c r="C1175">
        <f>'KG1-6'!DI44</f>
        <v/>
      </c>
      <c r="D1175">
        <f>'KG1-6'!DI43</f>
        <v/>
      </c>
      <c r="E1175">
        <f>'KG1-6'!DI40</f>
        <v/>
      </c>
      <c r="F1175">
        <f>'KG1-6'!DI41</f>
        <v/>
      </c>
      <c r="G1175">
        <f>'KG1-6'!DI42</f>
        <v/>
      </c>
    </row>
    <row r="1176">
      <c r="A1176">
        <f>'KG1-6'!$B$2</f>
        <v/>
      </c>
      <c r="B1176" s="126" t="n">
        <v>46381</v>
      </c>
      <c r="C1176">
        <f>'KG1-6'!DJ44</f>
        <v/>
      </c>
      <c r="D1176">
        <f>'KG1-6'!DJ43</f>
        <v/>
      </c>
      <c r="E1176">
        <f>'KG1-6'!DJ40</f>
        <v/>
      </c>
      <c r="F1176">
        <f>'KG1-6'!DJ41</f>
        <v/>
      </c>
      <c r="G1176">
        <f>'KG1-6'!DJ42</f>
        <v/>
      </c>
    </row>
    <row r="1177">
      <c r="A1177">
        <f>'KG1-6'!$B$2</f>
        <v/>
      </c>
      <c r="B1177" s="126" t="n">
        <v>46384</v>
      </c>
      <c r="C1177">
        <f>'KG1-6'!DK44</f>
        <v/>
      </c>
      <c r="D1177">
        <f>'KG1-6'!DK43</f>
        <v/>
      </c>
      <c r="E1177">
        <f>'KG1-6'!DK40</f>
        <v/>
      </c>
      <c r="F1177">
        <f>'KG1-6'!DK41</f>
        <v/>
      </c>
      <c r="G1177">
        <f>'KG1-6'!DK42</f>
        <v/>
      </c>
    </row>
    <row r="1178">
      <c r="A1178">
        <f>'KG1-6'!$B$2</f>
        <v/>
      </c>
      <c r="B1178" s="126" t="n">
        <v>46385</v>
      </c>
      <c r="C1178">
        <f>'KG1-6'!DL44</f>
        <v/>
      </c>
      <c r="D1178">
        <f>'KG1-6'!DL43</f>
        <v/>
      </c>
      <c r="E1178">
        <f>'KG1-6'!DL40</f>
        <v/>
      </c>
      <c r="F1178">
        <f>'KG1-6'!DL41</f>
        <v/>
      </c>
      <c r="G1178">
        <f>'KG1-6'!DL42</f>
        <v/>
      </c>
    </row>
    <row r="1179">
      <c r="A1179">
        <f>'KG1-6'!$B$2</f>
        <v/>
      </c>
      <c r="B1179" s="126" t="n">
        <v>46386</v>
      </c>
      <c r="C1179">
        <f>'KG1-6'!DM44</f>
        <v/>
      </c>
      <c r="D1179">
        <f>'KG1-6'!DM43</f>
        <v/>
      </c>
      <c r="E1179">
        <f>'KG1-6'!DM40</f>
        <v/>
      </c>
      <c r="F1179">
        <f>'KG1-6'!DM41</f>
        <v/>
      </c>
      <c r="G1179">
        <f>'KG1-6'!DM42</f>
        <v/>
      </c>
    </row>
    <row r="1180">
      <c r="A1180">
        <f>'KG1-6'!$B$2</f>
        <v/>
      </c>
      <c r="B1180" s="126" t="n">
        <v>46387</v>
      </c>
      <c r="C1180">
        <f>'KG1-6'!DN44</f>
        <v/>
      </c>
      <c r="D1180">
        <f>'KG1-6'!DN43</f>
        <v/>
      </c>
      <c r="E1180">
        <f>'KG1-6'!DN40</f>
        <v/>
      </c>
      <c r="F1180">
        <f>'KG1-6'!DN41</f>
        <v/>
      </c>
      <c r="G1180">
        <f>'KG1-6'!DN42</f>
        <v/>
      </c>
    </row>
    <row r="1181">
      <c r="A1181">
        <f>'KG1-6'!$B$2</f>
        <v/>
      </c>
      <c r="B1181" s="126" t="n">
        <v>46388</v>
      </c>
      <c r="C1181">
        <f>'KG1-6'!DO44</f>
        <v/>
      </c>
      <c r="D1181">
        <f>'KG1-6'!DO43</f>
        <v/>
      </c>
      <c r="E1181">
        <f>'KG1-6'!DO40</f>
        <v/>
      </c>
      <c r="F1181">
        <f>'KG1-6'!DO41</f>
        <v/>
      </c>
      <c r="G1181">
        <f>'KG1-6'!DO42</f>
        <v/>
      </c>
    </row>
    <row r="1182">
      <c r="A1182">
        <f>'KG1-6'!$B$2</f>
        <v/>
      </c>
      <c r="B1182" s="126" t="n">
        <v>46391</v>
      </c>
      <c r="C1182">
        <f>'KG1-6'!DP44</f>
        <v/>
      </c>
      <c r="D1182">
        <f>'KG1-6'!DP43</f>
        <v/>
      </c>
      <c r="E1182">
        <f>'KG1-6'!DP40</f>
        <v/>
      </c>
      <c r="F1182">
        <f>'KG1-6'!DP41</f>
        <v/>
      </c>
      <c r="G1182">
        <f>'KG1-6'!DP42</f>
        <v/>
      </c>
    </row>
    <row r="1183">
      <c r="A1183">
        <f>'KG1-6'!$B$2</f>
        <v/>
      </c>
      <c r="B1183" s="126" t="n">
        <v>46392</v>
      </c>
      <c r="C1183">
        <f>'KG1-6'!DQ44</f>
        <v/>
      </c>
      <c r="D1183">
        <f>'KG1-6'!DQ43</f>
        <v/>
      </c>
      <c r="E1183">
        <f>'KG1-6'!DQ40</f>
        <v/>
      </c>
      <c r="F1183">
        <f>'KG1-6'!DQ41</f>
        <v/>
      </c>
      <c r="G1183">
        <f>'KG1-6'!DQ42</f>
        <v/>
      </c>
    </row>
    <row r="1184">
      <c r="A1184">
        <f>'KG1-6'!$B$2</f>
        <v/>
      </c>
      <c r="B1184" s="126" t="n">
        <v>46393</v>
      </c>
      <c r="C1184">
        <f>'KG1-6'!DR44</f>
        <v/>
      </c>
      <c r="D1184">
        <f>'KG1-6'!DR43</f>
        <v/>
      </c>
      <c r="E1184">
        <f>'KG1-6'!DR40</f>
        <v/>
      </c>
      <c r="F1184">
        <f>'KG1-6'!DR41</f>
        <v/>
      </c>
      <c r="G1184">
        <f>'KG1-6'!DR42</f>
        <v/>
      </c>
    </row>
    <row r="1185">
      <c r="A1185">
        <f>'KG1-6'!$B$2</f>
        <v/>
      </c>
      <c r="B1185" s="126" t="n">
        <v>46394</v>
      </c>
      <c r="C1185">
        <f>'KG1-6'!DS44</f>
        <v/>
      </c>
      <c r="D1185">
        <f>'KG1-6'!DS43</f>
        <v/>
      </c>
      <c r="E1185">
        <f>'KG1-6'!DS40</f>
        <v/>
      </c>
      <c r="F1185">
        <f>'KG1-6'!DS41</f>
        <v/>
      </c>
      <c r="G1185">
        <f>'KG1-6'!DS42</f>
        <v/>
      </c>
    </row>
    <row r="1186">
      <c r="A1186">
        <f>'KG1-6'!$B$2</f>
        <v/>
      </c>
      <c r="B1186" s="126" t="n">
        <v>46395</v>
      </c>
      <c r="C1186">
        <f>'KG1-6'!DT44</f>
        <v/>
      </c>
      <c r="D1186">
        <f>'KG1-6'!DT43</f>
        <v/>
      </c>
      <c r="E1186">
        <f>'KG1-6'!DT40</f>
        <v/>
      </c>
      <c r="F1186">
        <f>'KG1-6'!DT41</f>
        <v/>
      </c>
      <c r="G1186">
        <f>'KG1-6'!DT42</f>
        <v/>
      </c>
    </row>
    <row r="1187">
      <c r="A1187">
        <f>'KG1-6'!$B$2</f>
        <v/>
      </c>
      <c r="B1187" s="126" t="n">
        <v>46398</v>
      </c>
      <c r="C1187">
        <f>'KG1-6'!DU44</f>
        <v/>
      </c>
      <c r="D1187">
        <f>'KG1-6'!DU43</f>
        <v/>
      </c>
      <c r="E1187">
        <f>'KG1-6'!DU40</f>
        <v/>
      </c>
      <c r="F1187">
        <f>'KG1-6'!DU41</f>
        <v/>
      </c>
      <c r="G1187">
        <f>'KG1-6'!DU42</f>
        <v/>
      </c>
    </row>
    <row r="1188">
      <c r="A1188">
        <f>'KG1-6'!$B$2</f>
        <v/>
      </c>
      <c r="B1188" s="126" t="n">
        <v>46399</v>
      </c>
      <c r="C1188">
        <f>'KG1-6'!DV44</f>
        <v/>
      </c>
      <c r="D1188">
        <f>'KG1-6'!DV43</f>
        <v/>
      </c>
      <c r="E1188">
        <f>'KG1-6'!DV40</f>
        <v/>
      </c>
      <c r="F1188">
        <f>'KG1-6'!DV41</f>
        <v/>
      </c>
      <c r="G1188">
        <f>'KG1-6'!DV42</f>
        <v/>
      </c>
    </row>
    <row r="1189">
      <c r="A1189">
        <f>'KG1-6'!$B$2</f>
        <v/>
      </c>
      <c r="B1189" s="126" t="n">
        <v>46400</v>
      </c>
      <c r="C1189">
        <f>'KG1-6'!DW44</f>
        <v/>
      </c>
      <c r="D1189">
        <f>'KG1-6'!DW43</f>
        <v/>
      </c>
      <c r="E1189">
        <f>'KG1-6'!DW40</f>
        <v/>
      </c>
      <c r="F1189">
        <f>'KG1-6'!DW41</f>
        <v/>
      </c>
      <c r="G1189">
        <f>'KG1-6'!DW42</f>
        <v/>
      </c>
    </row>
    <row r="1190">
      <c r="A1190">
        <f>'KG1-6'!$B$2</f>
        <v/>
      </c>
      <c r="B1190" s="126" t="n">
        <v>46401</v>
      </c>
      <c r="C1190">
        <f>'KG1-6'!DX44</f>
        <v/>
      </c>
      <c r="D1190">
        <f>'KG1-6'!DX43</f>
        <v/>
      </c>
      <c r="E1190">
        <f>'KG1-6'!DX40</f>
        <v/>
      </c>
      <c r="F1190">
        <f>'KG1-6'!DX41</f>
        <v/>
      </c>
      <c r="G1190">
        <f>'KG1-6'!DX42</f>
        <v/>
      </c>
    </row>
    <row r="1191">
      <c r="A1191">
        <f>'KG1-6'!$B$2</f>
        <v/>
      </c>
      <c r="B1191" s="126" t="n">
        <v>46402</v>
      </c>
      <c r="C1191">
        <f>'KG1-6'!DY44</f>
        <v/>
      </c>
      <c r="D1191">
        <f>'KG1-6'!DY43</f>
        <v/>
      </c>
      <c r="E1191">
        <f>'KG1-6'!DY40</f>
        <v/>
      </c>
      <c r="F1191">
        <f>'KG1-6'!DY41</f>
        <v/>
      </c>
      <c r="G1191">
        <f>'KG1-6'!DY42</f>
        <v/>
      </c>
    </row>
    <row r="1192">
      <c r="A1192">
        <f>'KG1-6'!$B$2</f>
        <v/>
      </c>
      <c r="B1192" s="126" t="n">
        <v>46405</v>
      </c>
      <c r="C1192">
        <f>'KG1-6'!DZ44</f>
        <v/>
      </c>
      <c r="D1192">
        <f>'KG1-6'!DZ43</f>
        <v/>
      </c>
      <c r="E1192">
        <f>'KG1-6'!DZ40</f>
        <v/>
      </c>
      <c r="F1192">
        <f>'KG1-6'!DZ41</f>
        <v/>
      </c>
      <c r="G1192">
        <f>'KG1-6'!DZ42</f>
        <v/>
      </c>
    </row>
    <row r="1193">
      <c r="A1193">
        <f>'KG1-6'!$B$2</f>
        <v/>
      </c>
      <c r="B1193" s="126" t="n">
        <v>46406</v>
      </c>
      <c r="C1193">
        <f>'KG1-6'!EA44</f>
        <v/>
      </c>
      <c r="D1193">
        <f>'KG1-6'!EA43</f>
        <v/>
      </c>
      <c r="E1193">
        <f>'KG1-6'!EA40</f>
        <v/>
      </c>
      <c r="F1193">
        <f>'KG1-6'!EA41</f>
        <v/>
      </c>
      <c r="G1193">
        <f>'KG1-6'!EA42</f>
        <v/>
      </c>
    </row>
    <row r="1194">
      <c r="A1194">
        <f>'KG1-6'!$B$2</f>
        <v/>
      </c>
      <c r="B1194" s="126" t="n">
        <v>46407</v>
      </c>
      <c r="C1194">
        <f>'KG1-6'!EB44</f>
        <v/>
      </c>
      <c r="D1194">
        <f>'KG1-6'!EB43</f>
        <v/>
      </c>
      <c r="E1194">
        <f>'KG1-6'!EB40</f>
        <v/>
      </c>
      <c r="F1194">
        <f>'KG1-6'!EB41</f>
        <v/>
      </c>
      <c r="G1194">
        <f>'KG1-6'!EB42</f>
        <v/>
      </c>
    </row>
    <row r="1195">
      <c r="A1195">
        <f>'KG1-6'!$B$2</f>
        <v/>
      </c>
      <c r="B1195" s="126" t="n">
        <v>46408</v>
      </c>
      <c r="C1195">
        <f>'KG1-6'!EC44</f>
        <v/>
      </c>
      <c r="D1195">
        <f>'KG1-6'!EC43</f>
        <v/>
      </c>
      <c r="E1195">
        <f>'KG1-6'!EC40</f>
        <v/>
      </c>
      <c r="F1195">
        <f>'KG1-6'!EC41</f>
        <v/>
      </c>
      <c r="G1195">
        <f>'KG1-6'!EC42</f>
        <v/>
      </c>
    </row>
    <row r="1196">
      <c r="A1196">
        <f>'KG1-6'!$B$2</f>
        <v/>
      </c>
      <c r="B1196" s="126" t="n">
        <v>46409</v>
      </c>
      <c r="C1196">
        <f>'KG1-6'!ED44</f>
        <v/>
      </c>
      <c r="D1196">
        <f>'KG1-6'!ED43</f>
        <v/>
      </c>
      <c r="E1196">
        <f>'KG1-6'!ED40</f>
        <v/>
      </c>
      <c r="F1196">
        <f>'KG1-6'!ED41</f>
        <v/>
      </c>
      <c r="G1196">
        <f>'KG1-6'!ED42</f>
        <v/>
      </c>
    </row>
    <row r="1197">
      <c r="A1197">
        <f>'KG1-6'!$B$2</f>
        <v/>
      </c>
      <c r="B1197" s="126" t="n">
        <v>46412</v>
      </c>
      <c r="C1197">
        <f>'KG1-6'!EE44</f>
        <v/>
      </c>
      <c r="D1197">
        <f>'KG1-6'!EE43</f>
        <v/>
      </c>
      <c r="E1197">
        <f>'KG1-6'!EE40</f>
        <v/>
      </c>
      <c r="F1197">
        <f>'KG1-6'!EE41</f>
        <v/>
      </c>
      <c r="G1197">
        <f>'KG1-6'!EE42</f>
        <v/>
      </c>
    </row>
    <row r="1198">
      <c r="A1198">
        <f>'KG1-6'!$B$2</f>
        <v/>
      </c>
      <c r="B1198" s="126" t="n">
        <v>46413</v>
      </c>
      <c r="C1198">
        <f>'KG1-6'!EF44</f>
        <v/>
      </c>
      <c r="D1198">
        <f>'KG1-6'!EF43</f>
        <v/>
      </c>
      <c r="E1198">
        <f>'KG1-6'!EF40</f>
        <v/>
      </c>
      <c r="F1198">
        <f>'KG1-6'!EF41</f>
        <v/>
      </c>
      <c r="G1198">
        <f>'KG1-6'!EF42</f>
        <v/>
      </c>
    </row>
    <row r="1199">
      <c r="A1199">
        <f>'KG1-6'!$B$2</f>
        <v/>
      </c>
      <c r="B1199" s="126" t="n">
        <v>46414</v>
      </c>
      <c r="C1199">
        <f>'KG1-6'!EG44</f>
        <v/>
      </c>
      <c r="D1199">
        <f>'KG1-6'!EG43</f>
        <v/>
      </c>
      <c r="E1199">
        <f>'KG1-6'!EG40</f>
        <v/>
      </c>
      <c r="F1199">
        <f>'KG1-6'!EG41</f>
        <v/>
      </c>
      <c r="G1199">
        <f>'KG1-6'!EG42</f>
        <v/>
      </c>
    </row>
    <row r="1200">
      <c r="A1200">
        <f>'KG1-6'!$B$2</f>
        <v/>
      </c>
      <c r="B1200" s="126" t="n">
        <v>46415</v>
      </c>
      <c r="C1200">
        <f>'KG1-6'!EH44</f>
        <v/>
      </c>
      <c r="D1200">
        <f>'KG1-6'!EH43</f>
        <v/>
      </c>
      <c r="E1200">
        <f>'KG1-6'!EH40</f>
        <v/>
      </c>
      <c r="F1200">
        <f>'KG1-6'!EH41</f>
        <v/>
      </c>
      <c r="G1200">
        <f>'KG1-6'!EH42</f>
        <v/>
      </c>
    </row>
    <row r="1201">
      <c r="A1201">
        <f>'KG1-6'!$B$2</f>
        <v/>
      </c>
      <c r="B1201" s="126" t="n">
        <v>46416</v>
      </c>
      <c r="C1201">
        <f>'KG1-6'!EI44</f>
        <v/>
      </c>
      <c r="D1201">
        <f>'KG1-6'!EI43</f>
        <v/>
      </c>
      <c r="E1201">
        <f>'KG1-6'!EI40</f>
        <v/>
      </c>
      <c r="F1201">
        <f>'KG1-6'!EI41</f>
        <v/>
      </c>
      <c r="G1201">
        <f>'KG1-6'!EI42</f>
        <v/>
      </c>
    </row>
    <row r="1202">
      <c r="A1202">
        <f>'KG1-6'!$B$2</f>
        <v/>
      </c>
      <c r="B1202" s="126" t="n">
        <v>46419</v>
      </c>
      <c r="C1202">
        <f>'KG1-6'!EJ44</f>
        <v/>
      </c>
      <c r="D1202">
        <f>'KG1-6'!EJ43</f>
        <v/>
      </c>
      <c r="E1202">
        <f>'KG1-6'!EJ40</f>
        <v/>
      </c>
      <c r="F1202">
        <f>'KG1-6'!EJ41</f>
        <v/>
      </c>
      <c r="G1202">
        <f>'KG1-6'!EJ42</f>
        <v/>
      </c>
    </row>
    <row r="1203">
      <c r="A1203">
        <f>'KG1-6'!$B$2</f>
        <v/>
      </c>
      <c r="B1203" s="126" t="n">
        <v>46420</v>
      </c>
      <c r="C1203">
        <f>'KG1-6'!EK44</f>
        <v/>
      </c>
      <c r="D1203">
        <f>'KG1-6'!EK43</f>
        <v/>
      </c>
      <c r="E1203">
        <f>'KG1-6'!EK40</f>
        <v/>
      </c>
      <c r="F1203">
        <f>'KG1-6'!EK41</f>
        <v/>
      </c>
      <c r="G1203">
        <f>'KG1-6'!EK42</f>
        <v/>
      </c>
    </row>
    <row r="1204">
      <c r="A1204">
        <f>'KG1-6'!$B$2</f>
        <v/>
      </c>
      <c r="B1204" s="126" t="n">
        <v>46421</v>
      </c>
      <c r="C1204">
        <f>'KG1-6'!EL44</f>
        <v/>
      </c>
      <c r="D1204">
        <f>'KG1-6'!EL43</f>
        <v/>
      </c>
      <c r="E1204">
        <f>'KG1-6'!EL40</f>
        <v/>
      </c>
      <c r="F1204">
        <f>'KG1-6'!EL41</f>
        <v/>
      </c>
      <c r="G1204">
        <f>'KG1-6'!EL42</f>
        <v/>
      </c>
    </row>
    <row r="1205">
      <c r="A1205">
        <f>'KG1-6'!$B$2</f>
        <v/>
      </c>
      <c r="B1205" s="126" t="n">
        <v>46422</v>
      </c>
      <c r="C1205">
        <f>'KG1-6'!EM44</f>
        <v/>
      </c>
      <c r="D1205">
        <f>'KG1-6'!EM43</f>
        <v/>
      </c>
      <c r="E1205">
        <f>'KG1-6'!EM40</f>
        <v/>
      </c>
      <c r="F1205">
        <f>'KG1-6'!EM41</f>
        <v/>
      </c>
      <c r="G1205">
        <f>'KG1-6'!EM42</f>
        <v/>
      </c>
    </row>
    <row r="1206">
      <c r="A1206">
        <f>'KG1-6'!$B$2</f>
        <v/>
      </c>
      <c r="B1206" s="126" t="n">
        <v>46423</v>
      </c>
      <c r="C1206">
        <f>'KG1-6'!EN44</f>
        <v/>
      </c>
      <c r="D1206">
        <f>'KG1-6'!EN43</f>
        <v/>
      </c>
      <c r="E1206">
        <f>'KG1-6'!EN40</f>
        <v/>
      </c>
      <c r="F1206">
        <f>'KG1-6'!EN41</f>
        <v/>
      </c>
      <c r="G1206">
        <f>'KG1-6'!EN42</f>
        <v/>
      </c>
    </row>
    <row r="1207">
      <c r="A1207">
        <f>'KG1-6'!$B$2</f>
        <v/>
      </c>
      <c r="B1207" s="126" t="n">
        <v>46426</v>
      </c>
      <c r="C1207">
        <f>'KG1-6'!EO44</f>
        <v/>
      </c>
      <c r="D1207">
        <f>'KG1-6'!EO43</f>
        <v/>
      </c>
      <c r="E1207">
        <f>'KG1-6'!EO40</f>
        <v/>
      </c>
      <c r="F1207">
        <f>'KG1-6'!EO41</f>
        <v/>
      </c>
      <c r="G1207">
        <f>'KG1-6'!EO42</f>
        <v/>
      </c>
    </row>
    <row r="1208">
      <c r="A1208">
        <f>'KG1-6'!$B$2</f>
        <v/>
      </c>
      <c r="B1208" s="126" t="n">
        <v>46427</v>
      </c>
      <c r="C1208">
        <f>'KG1-6'!EP44</f>
        <v/>
      </c>
      <c r="D1208">
        <f>'KG1-6'!EP43</f>
        <v/>
      </c>
      <c r="E1208">
        <f>'KG1-6'!EP40</f>
        <v/>
      </c>
      <c r="F1208">
        <f>'KG1-6'!EP41</f>
        <v/>
      </c>
      <c r="G1208">
        <f>'KG1-6'!EP42</f>
        <v/>
      </c>
    </row>
    <row r="1209">
      <c r="A1209">
        <f>'KG1-6'!$B$2</f>
        <v/>
      </c>
      <c r="B1209" s="126" t="n">
        <v>46428</v>
      </c>
      <c r="C1209">
        <f>'KG1-6'!EQ44</f>
        <v/>
      </c>
      <c r="D1209">
        <f>'KG1-6'!EQ43</f>
        <v/>
      </c>
      <c r="E1209">
        <f>'KG1-6'!EQ40</f>
        <v/>
      </c>
      <c r="F1209">
        <f>'KG1-6'!EQ41</f>
        <v/>
      </c>
      <c r="G1209">
        <f>'KG1-6'!EQ42</f>
        <v/>
      </c>
    </row>
    <row r="1210">
      <c r="A1210">
        <f>'KG1-6'!$B$2</f>
        <v/>
      </c>
      <c r="B1210" s="126" t="n">
        <v>46429</v>
      </c>
      <c r="C1210">
        <f>'KG1-6'!ER44</f>
        <v/>
      </c>
      <c r="D1210">
        <f>'KG1-6'!ER43</f>
        <v/>
      </c>
      <c r="E1210">
        <f>'KG1-6'!ER40</f>
        <v/>
      </c>
      <c r="F1210">
        <f>'KG1-6'!ER41</f>
        <v/>
      </c>
      <c r="G1210">
        <f>'KG1-6'!ER42</f>
        <v/>
      </c>
    </row>
    <row r="1211">
      <c r="A1211">
        <f>'KG1-6'!$B$2</f>
        <v/>
      </c>
      <c r="B1211" s="126" t="n">
        <v>46430</v>
      </c>
      <c r="C1211">
        <f>'KG1-6'!ES44</f>
        <v/>
      </c>
      <c r="D1211">
        <f>'KG1-6'!ES43</f>
        <v/>
      </c>
      <c r="E1211">
        <f>'KG1-6'!ES40</f>
        <v/>
      </c>
      <c r="F1211">
        <f>'KG1-6'!ES41</f>
        <v/>
      </c>
      <c r="G1211">
        <f>'KG1-6'!ES42</f>
        <v/>
      </c>
    </row>
    <row r="1212">
      <c r="A1212">
        <f>'KG1-6'!$B$2</f>
        <v/>
      </c>
      <c r="B1212" s="126" t="n">
        <v>46433</v>
      </c>
      <c r="C1212">
        <f>'KG1-6'!ET44</f>
        <v/>
      </c>
      <c r="D1212">
        <f>'KG1-6'!ET43</f>
        <v/>
      </c>
      <c r="E1212">
        <f>'KG1-6'!ET40</f>
        <v/>
      </c>
      <c r="F1212">
        <f>'KG1-6'!ET41</f>
        <v/>
      </c>
      <c r="G1212">
        <f>'KG1-6'!ET42</f>
        <v/>
      </c>
    </row>
    <row r="1213">
      <c r="A1213">
        <f>'KG1-6'!$B$2</f>
        <v/>
      </c>
      <c r="B1213" s="126" t="n">
        <v>46434</v>
      </c>
      <c r="C1213">
        <f>'KG1-6'!EU44</f>
        <v/>
      </c>
      <c r="D1213">
        <f>'KG1-6'!EU43</f>
        <v/>
      </c>
      <c r="E1213">
        <f>'KG1-6'!EU40</f>
        <v/>
      </c>
      <c r="F1213">
        <f>'KG1-6'!EU41</f>
        <v/>
      </c>
      <c r="G1213">
        <f>'KG1-6'!EU42</f>
        <v/>
      </c>
    </row>
    <row r="1214">
      <c r="A1214">
        <f>'KG1-6'!$B$2</f>
        <v/>
      </c>
      <c r="B1214" s="126" t="n">
        <v>46435</v>
      </c>
      <c r="C1214">
        <f>'KG1-6'!EV44</f>
        <v/>
      </c>
      <c r="D1214">
        <f>'KG1-6'!EV43</f>
        <v/>
      </c>
      <c r="E1214">
        <f>'KG1-6'!EV40</f>
        <v/>
      </c>
      <c r="F1214">
        <f>'KG1-6'!EV41</f>
        <v/>
      </c>
      <c r="G1214">
        <f>'KG1-6'!EV42</f>
        <v/>
      </c>
    </row>
    <row r="1215">
      <c r="A1215">
        <f>'KG1-6'!$B$2</f>
        <v/>
      </c>
      <c r="B1215" s="126" t="n">
        <v>46436</v>
      </c>
      <c r="C1215">
        <f>'KG1-6'!EW44</f>
        <v/>
      </c>
      <c r="D1215">
        <f>'KG1-6'!EW43</f>
        <v/>
      </c>
      <c r="E1215">
        <f>'KG1-6'!EW40</f>
        <v/>
      </c>
      <c r="F1215">
        <f>'KG1-6'!EW41</f>
        <v/>
      </c>
      <c r="G1215">
        <f>'KG1-6'!EW42</f>
        <v/>
      </c>
    </row>
    <row r="1216">
      <c r="A1216">
        <f>'KG1-6'!$B$2</f>
        <v/>
      </c>
      <c r="B1216" s="126" t="n">
        <v>46437</v>
      </c>
      <c r="C1216">
        <f>'KG1-6'!EX44</f>
        <v/>
      </c>
      <c r="D1216">
        <f>'KG1-6'!EX43</f>
        <v/>
      </c>
      <c r="E1216">
        <f>'KG1-6'!EX40</f>
        <v/>
      </c>
      <c r="F1216">
        <f>'KG1-6'!EX41</f>
        <v/>
      </c>
      <c r="G1216">
        <f>'KG1-6'!EX42</f>
        <v/>
      </c>
    </row>
    <row r="1217">
      <c r="A1217">
        <f>'KG1-6'!$B$2</f>
        <v/>
      </c>
      <c r="B1217" s="126" t="n">
        <v>46440</v>
      </c>
      <c r="C1217">
        <f>'KG1-6'!EY44</f>
        <v/>
      </c>
      <c r="D1217">
        <f>'KG1-6'!EY43</f>
        <v/>
      </c>
      <c r="E1217">
        <f>'KG1-6'!EY40</f>
        <v/>
      </c>
      <c r="F1217">
        <f>'KG1-6'!EY41</f>
        <v/>
      </c>
      <c r="G1217">
        <f>'KG1-6'!EY42</f>
        <v/>
      </c>
    </row>
    <row r="1218">
      <c r="A1218">
        <f>'KG1-6'!$B$2</f>
        <v/>
      </c>
      <c r="B1218" s="126" t="n">
        <v>46441</v>
      </c>
      <c r="C1218">
        <f>'KG1-6'!EZ44</f>
        <v/>
      </c>
      <c r="D1218">
        <f>'KG1-6'!EZ43</f>
        <v/>
      </c>
      <c r="E1218">
        <f>'KG1-6'!EZ40</f>
        <v/>
      </c>
      <c r="F1218">
        <f>'KG1-6'!EZ41</f>
        <v/>
      </c>
      <c r="G1218">
        <f>'KG1-6'!EZ42</f>
        <v/>
      </c>
    </row>
    <row r="1219">
      <c r="A1219">
        <f>'KG1-6'!$B$2</f>
        <v/>
      </c>
      <c r="B1219" s="126" t="n">
        <v>46442</v>
      </c>
      <c r="C1219">
        <f>'KG1-6'!FA44</f>
        <v/>
      </c>
      <c r="D1219">
        <f>'KG1-6'!FA43</f>
        <v/>
      </c>
      <c r="E1219">
        <f>'KG1-6'!FA40</f>
        <v/>
      </c>
      <c r="F1219">
        <f>'KG1-6'!FA41</f>
        <v/>
      </c>
      <c r="G1219">
        <f>'KG1-6'!FA42</f>
        <v/>
      </c>
    </row>
    <row r="1220">
      <c r="A1220">
        <f>'KG1-6'!$B$2</f>
        <v/>
      </c>
      <c r="B1220" s="126" t="n">
        <v>46443</v>
      </c>
      <c r="C1220">
        <f>'KG1-6'!FB44</f>
        <v/>
      </c>
      <c r="D1220">
        <f>'KG1-6'!FB43</f>
        <v/>
      </c>
      <c r="E1220">
        <f>'KG1-6'!FB40</f>
        <v/>
      </c>
      <c r="F1220">
        <f>'KG1-6'!FB41</f>
        <v/>
      </c>
      <c r="G1220">
        <f>'KG1-6'!FB42</f>
        <v/>
      </c>
    </row>
    <row r="1221">
      <c r="A1221">
        <f>'KG1-6'!$B$2</f>
        <v/>
      </c>
      <c r="B1221" s="126" t="n">
        <v>46444</v>
      </c>
      <c r="C1221">
        <f>'KG1-6'!FC44</f>
        <v/>
      </c>
      <c r="D1221">
        <f>'KG1-6'!FC43</f>
        <v/>
      </c>
      <c r="E1221">
        <f>'KG1-6'!FC40</f>
        <v/>
      </c>
      <c r="F1221">
        <f>'KG1-6'!FC41</f>
        <v/>
      </c>
      <c r="G1221">
        <f>'KG1-6'!FC42</f>
        <v/>
      </c>
    </row>
    <row r="1222">
      <c r="A1222">
        <f>'KG1-6'!$B$2</f>
        <v/>
      </c>
      <c r="B1222" s="126" t="n">
        <v>46447</v>
      </c>
      <c r="C1222">
        <f>'KG1-6'!FD44</f>
        <v/>
      </c>
      <c r="D1222">
        <f>'KG1-6'!FD43</f>
        <v/>
      </c>
      <c r="E1222">
        <f>'KG1-6'!FD40</f>
        <v/>
      </c>
      <c r="F1222">
        <f>'KG1-6'!FD41</f>
        <v/>
      </c>
      <c r="G1222">
        <f>'KG1-6'!FD42</f>
        <v/>
      </c>
    </row>
    <row r="1223">
      <c r="A1223">
        <f>'KG1-6'!$B$2</f>
        <v/>
      </c>
      <c r="B1223" s="126" t="n">
        <v>46448</v>
      </c>
      <c r="C1223">
        <f>'KG1-6'!FE44</f>
        <v/>
      </c>
      <c r="D1223">
        <f>'KG1-6'!FE43</f>
        <v/>
      </c>
      <c r="E1223">
        <f>'KG1-6'!FE40</f>
        <v/>
      </c>
      <c r="F1223">
        <f>'KG1-6'!FE41</f>
        <v/>
      </c>
      <c r="G1223">
        <f>'KG1-6'!FE42</f>
        <v/>
      </c>
    </row>
    <row r="1224">
      <c r="A1224">
        <f>'KG1-6'!$B$2</f>
        <v/>
      </c>
      <c r="B1224" s="126" t="n">
        <v>46449</v>
      </c>
      <c r="C1224">
        <f>'KG1-6'!FF44</f>
        <v/>
      </c>
      <c r="D1224">
        <f>'KG1-6'!FF43</f>
        <v/>
      </c>
      <c r="E1224">
        <f>'KG1-6'!FF40</f>
        <v/>
      </c>
      <c r="F1224">
        <f>'KG1-6'!FF41</f>
        <v/>
      </c>
      <c r="G1224">
        <f>'KG1-6'!FF42</f>
        <v/>
      </c>
    </row>
    <row r="1225">
      <c r="A1225">
        <f>'KG1-6'!$B$2</f>
        <v/>
      </c>
      <c r="B1225" s="126" t="n">
        <v>46450</v>
      </c>
      <c r="C1225">
        <f>'KG1-6'!FG44</f>
        <v/>
      </c>
      <c r="D1225">
        <f>'KG1-6'!FG43</f>
        <v/>
      </c>
      <c r="E1225">
        <f>'KG1-6'!FG40</f>
        <v/>
      </c>
      <c r="F1225">
        <f>'KG1-6'!FG41</f>
        <v/>
      </c>
      <c r="G1225">
        <f>'KG1-6'!FG42</f>
        <v/>
      </c>
    </row>
    <row r="1226">
      <c r="A1226">
        <f>'KG1-6'!$B$2</f>
        <v/>
      </c>
      <c r="B1226" s="126" t="n">
        <v>46451</v>
      </c>
      <c r="C1226">
        <f>'KG1-6'!FH44</f>
        <v/>
      </c>
      <c r="D1226">
        <f>'KG1-6'!FH43</f>
        <v/>
      </c>
      <c r="E1226">
        <f>'KG1-6'!FH40</f>
        <v/>
      </c>
      <c r="F1226">
        <f>'KG1-6'!FH41</f>
        <v/>
      </c>
      <c r="G1226">
        <f>'KG1-6'!FH42</f>
        <v/>
      </c>
    </row>
    <row r="1227">
      <c r="A1227">
        <f>'KG1-6'!$B$2</f>
        <v/>
      </c>
      <c r="B1227" s="126" t="n">
        <v>46454</v>
      </c>
      <c r="C1227">
        <f>'KG1-6'!FI44</f>
        <v/>
      </c>
      <c r="D1227">
        <f>'KG1-6'!FI43</f>
        <v/>
      </c>
      <c r="E1227">
        <f>'KG1-6'!FI40</f>
        <v/>
      </c>
      <c r="F1227">
        <f>'KG1-6'!FI41</f>
        <v/>
      </c>
      <c r="G1227">
        <f>'KG1-6'!FI42</f>
        <v/>
      </c>
    </row>
    <row r="1228">
      <c r="A1228">
        <f>'KG1-6'!$B$2</f>
        <v/>
      </c>
      <c r="B1228" s="126" t="n">
        <v>46455</v>
      </c>
      <c r="C1228">
        <f>'KG1-6'!FJ44</f>
        <v/>
      </c>
      <c r="D1228">
        <f>'KG1-6'!FJ43</f>
        <v/>
      </c>
      <c r="E1228">
        <f>'KG1-6'!FJ40</f>
        <v/>
      </c>
      <c r="F1228">
        <f>'KG1-6'!FJ41</f>
        <v/>
      </c>
      <c r="G1228">
        <f>'KG1-6'!FJ42</f>
        <v/>
      </c>
    </row>
    <row r="1229">
      <c r="A1229">
        <f>'KG1-6'!$B$2</f>
        <v/>
      </c>
      <c r="B1229" s="126" t="n">
        <v>46456</v>
      </c>
      <c r="C1229">
        <f>'KG1-6'!FK44</f>
        <v/>
      </c>
      <c r="D1229">
        <f>'KG1-6'!FK43</f>
        <v/>
      </c>
      <c r="E1229">
        <f>'KG1-6'!FK40</f>
        <v/>
      </c>
      <c r="F1229">
        <f>'KG1-6'!FK41</f>
        <v/>
      </c>
      <c r="G1229">
        <f>'KG1-6'!FK42</f>
        <v/>
      </c>
    </row>
    <row r="1230">
      <c r="A1230">
        <f>'KG1-6'!$B$2</f>
        <v/>
      </c>
      <c r="B1230" s="126" t="n">
        <v>46457</v>
      </c>
      <c r="C1230">
        <f>'KG1-6'!FL44</f>
        <v/>
      </c>
      <c r="D1230">
        <f>'KG1-6'!FL43</f>
        <v/>
      </c>
      <c r="E1230">
        <f>'KG1-6'!FL40</f>
        <v/>
      </c>
      <c r="F1230">
        <f>'KG1-6'!FL41</f>
        <v/>
      </c>
      <c r="G1230">
        <f>'KG1-6'!FL42</f>
        <v/>
      </c>
    </row>
    <row r="1231">
      <c r="A1231">
        <f>'KG1-6'!$B$2</f>
        <v/>
      </c>
      <c r="B1231" s="126" t="n">
        <v>46458</v>
      </c>
      <c r="C1231">
        <f>'KG1-6'!FM44</f>
        <v/>
      </c>
      <c r="D1231">
        <f>'KG1-6'!FM43</f>
        <v/>
      </c>
      <c r="E1231">
        <f>'KG1-6'!FM40</f>
        <v/>
      </c>
      <c r="F1231">
        <f>'KG1-6'!FM41</f>
        <v/>
      </c>
      <c r="G1231">
        <f>'KG1-6'!FM42</f>
        <v/>
      </c>
    </row>
    <row r="1232">
      <c r="A1232">
        <f>'KG1-6'!$B$2</f>
        <v/>
      </c>
      <c r="B1232" s="126" t="n">
        <v>46461</v>
      </c>
      <c r="C1232">
        <f>'KG1-6'!FN44</f>
        <v/>
      </c>
      <c r="D1232">
        <f>'KG1-6'!FN43</f>
        <v/>
      </c>
      <c r="E1232">
        <f>'KG1-6'!FN40</f>
        <v/>
      </c>
      <c r="F1232">
        <f>'KG1-6'!FN41</f>
        <v/>
      </c>
      <c r="G1232">
        <f>'KG1-6'!FN42</f>
        <v/>
      </c>
    </row>
    <row r="1233">
      <c r="A1233">
        <f>'KG1-6'!$B$2</f>
        <v/>
      </c>
      <c r="B1233" s="126" t="n">
        <v>46462</v>
      </c>
      <c r="C1233">
        <f>'KG1-6'!FO44</f>
        <v/>
      </c>
      <c r="D1233">
        <f>'KG1-6'!FO43</f>
        <v/>
      </c>
      <c r="E1233">
        <f>'KG1-6'!FO40</f>
        <v/>
      </c>
      <c r="F1233">
        <f>'KG1-6'!FO41</f>
        <v/>
      </c>
      <c r="G1233">
        <f>'KG1-6'!FO42</f>
        <v/>
      </c>
    </row>
    <row r="1234">
      <c r="A1234">
        <f>'KG1-6'!$B$2</f>
        <v/>
      </c>
      <c r="B1234" s="126" t="n">
        <v>46463</v>
      </c>
      <c r="C1234">
        <f>'KG1-6'!FP44</f>
        <v/>
      </c>
      <c r="D1234">
        <f>'KG1-6'!FP43</f>
        <v/>
      </c>
      <c r="E1234">
        <f>'KG1-6'!FP40</f>
        <v/>
      </c>
      <c r="F1234">
        <f>'KG1-6'!FP41</f>
        <v/>
      </c>
      <c r="G1234">
        <f>'KG1-6'!FP42</f>
        <v/>
      </c>
    </row>
    <row r="1235">
      <c r="A1235">
        <f>'KG1-6'!$B$2</f>
        <v/>
      </c>
      <c r="B1235" s="126" t="n">
        <v>46464</v>
      </c>
      <c r="C1235">
        <f>'KG1-6'!FQ44</f>
        <v/>
      </c>
      <c r="D1235">
        <f>'KG1-6'!FQ43</f>
        <v/>
      </c>
      <c r="E1235">
        <f>'KG1-6'!FQ40</f>
        <v/>
      </c>
      <c r="F1235">
        <f>'KG1-6'!FQ41</f>
        <v/>
      </c>
      <c r="G1235">
        <f>'KG1-6'!FQ42</f>
        <v/>
      </c>
    </row>
    <row r="1236">
      <c r="A1236">
        <f>'KG1-6'!$B$2</f>
        <v/>
      </c>
      <c r="B1236" s="126" t="n">
        <v>46465</v>
      </c>
      <c r="C1236">
        <f>'KG1-6'!FR44</f>
        <v/>
      </c>
      <c r="D1236">
        <f>'KG1-6'!FR43</f>
        <v/>
      </c>
      <c r="E1236">
        <f>'KG1-6'!FR40</f>
        <v/>
      </c>
      <c r="F1236">
        <f>'KG1-6'!FR41</f>
        <v/>
      </c>
      <c r="G1236">
        <f>'KG1-6'!FR42</f>
        <v/>
      </c>
    </row>
    <row r="1237">
      <c r="A1237">
        <f>'KG1-6'!$B$2</f>
        <v/>
      </c>
      <c r="B1237" s="126" t="n">
        <v>46468</v>
      </c>
      <c r="C1237">
        <f>'KG1-6'!FS44</f>
        <v/>
      </c>
      <c r="D1237">
        <f>'KG1-6'!FS43</f>
        <v/>
      </c>
      <c r="E1237">
        <f>'KG1-6'!FS40</f>
        <v/>
      </c>
      <c r="F1237">
        <f>'KG1-6'!FS41</f>
        <v/>
      </c>
      <c r="G1237">
        <f>'KG1-6'!FS42</f>
        <v/>
      </c>
    </row>
    <row r="1238">
      <c r="A1238">
        <f>'KG1-6'!$B$2</f>
        <v/>
      </c>
      <c r="B1238" s="126" t="n">
        <v>46469</v>
      </c>
      <c r="C1238">
        <f>'KG1-6'!FT44</f>
        <v/>
      </c>
      <c r="D1238">
        <f>'KG1-6'!FT43</f>
        <v/>
      </c>
      <c r="E1238">
        <f>'KG1-6'!FT40</f>
        <v/>
      </c>
      <c r="F1238">
        <f>'KG1-6'!FT41</f>
        <v/>
      </c>
      <c r="G1238">
        <f>'KG1-6'!FT42</f>
        <v/>
      </c>
    </row>
    <row r="1239">
      <c r="A1239">
        <f>'KG1-6'!$B$2</f>
        <v/>
      </c>
      <c r="B1239" s="126" t="n">
        <v>46470</v>
      </c>
      <c r="C1239">
        <f>'KG1-6'!FU44</f>
        <v/>
      </c>
      <c r="D1239">
        <f>'KG1-6'!FU43</f>
        <v/>
      </c>
      <c r="E1239">
        <f>'KG1-6'!FU40</f>
        <v/>
      </c>
      <c r="F1239">
        <f>'KG1-6'!FU41</f>
        <v/>
      </c>
      <c r="G1239">
        <f>'KG1-6'!FU42</f>
        <v/>
      </c>
    </row>
    <row r="1240">
      <c r="A1240">
        <f>'KG1-6'!$B$2</f>
        <v/>
      </c>
      <c r="B1240" s="126" t="n">
        <v>46471</v>
      </c>
      <c r="C1240">
        <f>'KG1-6'!FV44</f>
        <v/>
      </c>
      <c r="D1240">
        <f>'KG1-6'!FV43</f>
        <v/>
      </c>
      <c r="E1240">
        <f>'KG1-6'!FV40</f>
        <v/>
      </c>
      <c r="F1240">
        <f>'KG1-6'!FV41</f>
        <v/>
      </c>
      <c r="G1240">
        <f>'KG1-6'!FV42</f>
        <v/>
      </c>
    </row>
    <row r="1241">
      <c r="A1241">
        <f>'KG1-6'!$B$2</f>
        <v/>
      </c>
      <c r="B1241" s="126" t="n">
        <v>46472</v>
      </c>
      <c r="C1241">
        <f>'KG1-6'!FW44</f>
        <v/>
      </c>
      <c r="D1241">
        <f>'KG1-6'!FW43</f>
        <v/>
      </c>
      <c r="E1241">
        <f>'KG1-6'!FW40</f>
        <v/>
      </c>
      <c r="F1241">
        <f>'KG1-6'!FW41</f>
        <v/>
      </c>
      <c r="G1241">
        <f>'KG1-6'!FW42</f>
        <v/>
      </c>
    </row>
    <row r="1242">
      <c r="A1242">
        <f>'KG1-6'!$B$2</f>
        <v/>
      </c>
      <c r="B1242" s="126" t="n">
        <v>46475</v>
      </c>
      <c r="C1242">
        <f>'KG1-6'!FX44</f>
        <v/>
      </c>
      <c r="D1242">
        <f>'KG1-6'!FX43</f>
        <v/>
      </c>
      <c r="E1242">
        <f>'KG1-6'!FX40</f>
        <v/>
      </c>
      <c r="F1242">
        <f>'KG1-6'!FX41</f>
        <v/>
      </c>
      <c r="G1242">
        <f>'KG1-6'!FX42</f>
        <v/>
      </c>
    </row>
    <row r="1243">
      <c r="A1243">
        <f>'KG1-6'!$B$2</f>
        <v/>
      </c>
      <c r="B1243" s="126" t="n">
        <v>46476</v>
      </c>
      <c r="C1243">
        <f>'KG1-6'!FY44</f>
        <v/>
      </c>
      <c r="D1243">
        <f>'KG1-6'!FY43</f>
        <v/>
      </c>
      <c r="E1243">
        <f>'KG1-6'!FY40</f>
        <v/>
      </c>
      <c r="F1243">
        <f>'KG1-6'!FY41</f>
        <v/>
      </c>
      <c r="G1243">
        <f>'KG1-6'!FY42</f>
        <v/>
      </c>
    </row>
    <row r="1244">
      <c r="A1244">
        <f>'KG1-6'!$B$2</f>
        <v/>
      </c>
      <c r="B1244" s="126" t="n">
        <v>46477</v>
      </c>
      <c r="C1244">
        <f>'KG1-6'!FZ44</f>
        <v/>
      </c>
      <c r="D1244">
        <f>'KG1-6'!FZ43</f>
        <v/>
      </c>
      <c r="E1244">
        <f>'KG1-6'!FZ40</f>
        <v/>
      </c>
      <c r="F1244">
        <f>'KG1-6'!FZ41</f>
        <v/>
      </c>
      <c r="G1244">
        <f>'KG1-6'!FZ42</f>
        <v/>
      </c>
    </row>
    <row r="1245">
      <c r="A1245">
        <f>'KG1-6'!$B$2</f>
        <v/>
      </c>
      <c r="B1245" s="126" t="n">
        <v>46478</v>
      </c>
      <c r="C1245">
        <f>'KG1-6'!GA44</f>
        <v/>
      </c>
      <c r="D1245">
        <f>'KG1-6'!GA43</f>
        <v/>
      </c>
      <c r="E1245">
        <f>'KG1-6'!GA40</f>
        <v/>
      </c>
      <c r="F1245">
        <f>'KG1-6'!GA41</f>
        <v/>
      </c>
      <c r="G1245">
        <f>'KG1-6'!GA42</f>
        <v/>
      </c>
    </row>
    <row r="1246">
      <c r="A1246">
        <f>'KG1-6'!$B$2</f>
        <v/>
      </c>
      <c r="B1246" s="126" t="n">
        <v>46479</v>
      </c>
      <c r="C1246">
        <f>'KG1-6'!GB44</f>
        <v/>
      </c>
      <c r="D1246">
        <f>'KG1-6'!GB43</f>
        <v/>
      </c>
      <c r="E1246">
        <f>'KG1-6'!GB40</f>
        <v/>
      </c>
      <c r="F1246">
        <f>'KG1-6'!GB41</f>
        <v/>
      </c>
      <c r="G1246">
        <f>'KG1-6'!GB42</f>
        <v/>
      </c>
    </row>
    <row r="1247">
      <c r="A1247">
        <f>'KG1-6'!$B$2</f>
        <v/>
      </c>
      <c r="B1247" s="126" t="n">
        <v>46482</v>
      </c>
      <c r="C1247">
        <f>'KG1-6'!GC44</f>
        <v/>
      </c>
      <c r="D1247">
        <f>'KG1-6'!GC43</f>
        <v/>
      </c>
      <c r="E1247">
        <f>'KG1-6'!GC40</f>
        <v/>
      </c>
      <c r="F1247">
        <f>'KG1-6'!GC41</f>
        <v/>
      </c>
      <c r="G1247">
        <f>'KG1-6'!GC42</f>
        <v/>
      </c>
    </row>
    <row r="1248">
      <c r="A1248">
        <f>'KG1-6'!$B$2</f>
        <v/>
      </c>
      <c r="B1248" s="126" t="n">
        <v>46483</v>
      </c>
      <c r="C1248">
        <f>'KG1-6'!GD44</f>
        <v/>
      </c>
      <c r="D1248">
        <f>'KG1-6'!GD43</f>
        <v/>
      </c>
      <c r="E1248">
        <f>'KG1-6'!GD40</f>
        <v/>
      </c>
      <c r="F1248">
        <f>'KG1-6'!GD41</f>
        <v/>
      </c>
      <c r="G1248">
        <f>'KG1-6'!GD42</f>
        <v/>
      </c>
    </row>
    <row r="1249">
      <c r="A1249">
        <f>'KG1-6'!$B$2</f>
        <v/>
      </c>
      <c r="B1249" s="126" t="n">
        <v>46484</v>
      </c>
      <c r="C1249">
        <f>'KG1-6'!GE44</f>
        <v/>
      </c>
      <c r="D1249">
        <f>'KG1-6'!GE43</f>
        <v/>
      </c>
      <c r="E1249">
        <f>'KG1-6'!GE40</f>
        <v/>
      </c>
      <c r="F1249">
        <f>'KG1-6'!GE41</f>
        <v/>
      </c>
      <c r="G1249">
        <f>'KG1-6'!GE42</f>
        <v/>
      </c>
    </row>
    <row r="1250">
      <c r="A1250">
        <f>'KG1-6'!$B$2</f>
        <v/>
      </c>
      <c r="B1250" s="126" t="n">
        <v>46485</v>
      </c>
      <c r="C1250">
        <f>'KG1-6'!GF44</f>
        <v/>
      </c>
      <c r="D1250">
        <f>'KG1-6'!GF43</f>
        <v/>
      </c>
      <c r="E1250">
        <f>'KG1-6'!GF40</f>
        <v/>
      </c>
      <c r="F1250">
        <f>'KG1-6'!GF41</f>
        <v/>
      </c>
      <c r="G1250">
        <f>'KG1-6'!GF42</f>
        <v/>
      </c>
    </row>
    <row r="1251">
      <c r="A1251">
        <f>'KG1-6'!$B$2</f>
        <v/>
      </c>
      <c r="B1251" s="126" t="n">
        <v>46486</v>
      </c>
      <c r="C1251">
        <f>'KG1-6'!GG44</f>
        <v/>
      </c>
      <c r="D1251">
        <f>'KG1-6'!GG43</f>
        <v/>
      </c>
      <c r="E1251">
        <f>'KG1-6'!GG40</f>
        <v/>
      </c>
      <c r="F1251">
        <f>'KG1-6'!GG41</f>
        <v/>
      </c>
      <c r="G1251">
        <f>'KG1-6'!GG42</f>
        <v/>
      </c>
    </row>
    <row r="1252">
      <c r="A1252">
        <f>'KG1-6'!$B$2</f>
        <v/>
      </c>
      <c r="B1252" s="126" t="n">
        <v>46489</v>
      </c>
      <c r="C1252">
        <f>'KG1-6'!GH44</f>
        <v/>
      </c>
      <c r="D1252">
        <f>'KG1-6'!GH43</f>
        <v/>
      </c>
      <c r="E1252">
        <f>'KG1-6'!GH40</f>
        <v/>
      </c>
      <c r="F1252">
        <f>'KG1-6'!GH41</f>
        <v/>
      </c>
      <c r="G1252">
        <f>'KG1-6'!GH42</f>
        <v/>
      </c>
    </row>
    <row r="1253">
      <c r="A1253">
        <f>'KG1-6'!$B$2</f>
        <v/>
      </c>
      <c r="B1253" s="126" t="n">
        <v>46490</v>
      </c>
      <c r="C1253">
        <f>'KG1-6'!GI44</f>
        <v/>
      </c>
      <c r="D1253">
        <f>'KG1-6'!GI43</f>
        <v/>
      </c>
      <c r="E1253">
        <f>'KG1-6'!GI40</f>
        <v/>
      </c>
      <c r="F1253">
        <f>'KG1-6'!GI41</f>
        <v/>
      </c>
      <c r="G1253">
        <f>'KG1-6'!GI42</f>
        <v/>
      </c>
    </row>
    <row r="1254">
      <c r="A1254">
        <f>'KG1-6'!$B$2</f>
        <v/>
      </c>
      <c r="B1254" s="126" t="n">
        <v>46491</v>
      </c>
      <c r="C1254">
        <f>'KG1-6'!GJ44</f>
        <v/>
      </c>
      <c r="D1254">
        <f>'KG1-6'!GJ43</f>
        <v/>
      </c>
      <c r="E1254">
        <f>'KG1-6'!GJ40</f>
        <v/>
      </c>
      <c r="F1254">
        <f>'KG1-6'!GJ41</f>
        <v/>
      </c>
      <c r="G1254">
        <f>'KG1-6'!GJ42</f>
        <v/>
      </c>
    </row>
    <row r="1255">
      <c r="A1255">
        <f>'KG1-6'!$B$2</f>
        <v/>
      </c>
      <c r="B1255" s="126" t="n">
        <v>46492</v>
      </c>
      <c r="C1255">
        <f>'KG1-6'!GK44</f>
        <v/>
      </c>
      <c r="D1255">
        <f>'KG1-6'!GK43</f>
        <v/>
      </c>
      <c r="E1255">
        <f>'KG1-6'!GK40</f>
        <v/>
      </c>
      <c r="F1255">
        <f>'KG1-6'!GK41</f>
        <v/>
      </c>
      <c r="G1255">
        <f>'KG1-6'!GK42</f>
        <v/>
      </c>
    </row>
    <row r="1256">
      <c r="A1256">
        <f>'KG1-6'!$B$2</f>
        <v/>
      </c>
      <c r="B1256" s="126" t="n">
        <v>46493</v>
      </c>
      <c r="C1256">
        <f>'KG1-6'!GL44</f>
        <v/>
      </c>
      <c r="D1256">
        <f>'KG1-6'!GL43</f>
        <v/>
      </c>
      <c r="E1256">
        <f>'KG1-6'!GL40</f>
        <v/>
      </c>
      <c r="F1256">
        <f>'KG1-6'!GL41</f>
        <v/>
      </c>
      <c r="G1256">
        <f>'KG1-6'!GL42</f>
        <v/>
      </c>
    </row>
    <row r="1257">
      <c r="A1257">
        <f>'KG1-6'!$B$2</f>
        <v/>
      </c>
      <c r="B1257" s="126" t="n">
        <v>46496</v>
      </c>
      <c r="C1257">
        <f>'KG1-6'!GM44</f>
        <v/>
      </c>
      <c r="D1257">
        <f>'KG1-6'!GM43</f>
        <v/>
      </c>
      <c r="E1257">
        <f>'KG1-6'!GM40</f>
        <v/>
      </c>
      <c r="F1257">
        <f>'KG1-6'!GM41</f>
        <v/>
      </c>
      <c r="G1257">
        <f>'KG1-6'!GM42</f>
        <v/>
      </c>
    </row>
    <row r="1258">
      <c r="A1258">
        <f>'KG1-6'!$B$2</f>
        <v/>
      </c>
      <c r="B1258" s="126" t="n">
        <v>46497</v>
      </c>
      <c r="C1258">
        <f>'KG1-6'!GN44</f>
        <v/>
      </c>
      <c r="D1258">
        <f>'KG1-6'!GN43</f>
        <v/>
      </c>
      <c r="E1258">
        <f>'KG1-6'!GN40</f>
        <v/>
      </c>
      <c r="F1258">
        <f>'KG1-6'!GN41</f>
        <v/>
      </c>
      <c r="G1258">
        <f>'KG1-6'!GN42</f>
        <v/>
      </c>
    </row>
    <row r="1259">
      <c r="A1259">
        <f>'KG1-6'!$B$2</f>
        <v/>
      </c>
      <c r="B1259" s="126" t="n">
        <v>46498</v>
      </c>
      <c r="C1259">
        <f>'KG1-6'!GO44</f>
        <v/>
      </c>
      <c r="D1259">
        <f>'KG1-6'!GO43</f>
        <v/>
      </c>
      <c r="E1259">
        <f>'KG1-6'!GO40</f>
        <v/>
      </c>
      <c r="F1259">
        <f>'KG1-6'!GO41</f>
        <v/>
      </c>
      <c r="G1259">
        <f>'KG1-6'!GO42</f>
        <v/>
      </c>
    </row>
    <row r="1260">
      <c r="A1260">
        <f>'KG1-6'!$B$2</f>
        <v/>
      </c>
      <c r="B1260" s="126" t="n">
        <v>46499</v>
      </c>
      <c r="C1260">
        <f>'KG1-6'!GP44</f>
        <v/>
      </c>
      <c r="D1260">
        <f>'KG1-6'!GP43</f>
        <v/>
      </c>
      <c r="E1260">
        <f>'KG1-6'!GP40</f>
        <v/>
      </c>
      <c r="F1260">
        <f>'KG1-6'!GP41</f>
        <v/>
      </c>
      <c r="G1260">
        <f>'KG1-6'!GP42</f>
        <v/>
      </c>
    </row>
    <row r="1261">
      <c r="A1261">
        <f>'KG1-6'!$B$2</f>
        <v/>
      </c>
      <c r="B1261" s="126" t="n">
        <v>46500</v>
      </c>
      <c r="C1261">
        <f>'KG1-6'!GQ44</f>
        <v/>
      </c>
      <c r="D1261">
        <f>'KG1-6'!GQ43</f>
        <v/>
      </c>
      <c r="E1261">
        <f>'KG1-6'!GQ40</f>
        <v/>
      </c>
      <c r="F1261">
        <f>'KG1-6'!GQ41</f>
        <v/>
      </c>
      <c r="G1261">
        <f>'KG1-6'!GQ42</f>
        <v/>
      </c>
    </row>
    <row r="1262">
      <c r="A1262">
        <f>'KG1-6'!$B$2</f>
        <v/>
      </c>
      <c r="B1262" s="126" t="n">
        <v>46503</v>
      </c>
      <c r="C1262">
        <f>'KG1-6'!GR44</f>
        <v/>
      </c>
      <c r="D1262">
        <f>'KG1-6'!GR43</f>
        <v/>
      </c>
      <c r="E1262">
        <f>'KG1-6'!GR40</f>
        <v/>
      </c>
      <c r="F1262">
        <f>'KG1-6'!GR41</f>
        <v/>
      </c>
      <c r="G1262">
        <f>'KG1-6'!GR42</f>
        <v/>
      </c>
    </row>
    <row r="1263">
      <c r="A1263">
        <f>'KG1-6'!$B$2</f>
        <v/>
      </c>
      <c r="B1263" s="126" t="n">
        <v>46504</v>
      </c>
      <c r="C1263">
        <f>'KG1-6'!GS44</f>
        <v/>
      </c>
      <c r="D1263">
        <f>'KG1-6'!GS43</f>
        <v/>
      </c>
      <c r="E1263">
        <f>'KG1-6'!GS40</f>
        <v/>
      </c>
      <c r="F1263">
        <f>'KG1-6'!GS41</f>
        <v/>
      </c>
      <c r="G1263">
        <f>'KG1-6'!GS42</f>
        <v/>
      </c>
    </row>
    <row r="1264">
      <c r="A1264">
        <f>'KG1-6'!$B$2</f>
        <v/>
      </c>
      <c r="B1264" s="126" t="n">
        <v>46505</v>
      </c>
      <c r="C1264">
        <f>'KG1-6'!GT44</f>
        <v/>
      </c>
      <c r="D1264">
        <f>'KG1-6'!GT43</f>
        <v/>
      </c>
      <c r="E1264">
        <f>'KG1-6'!GT40</f>
        <v/>
      </c>
      <c r="F1264">
        <f>'KG1-6'!GT41</f>
        <v/>
      </c>
      <c r="G1264">
        <f>'KG1-6'!GT42</f>
        <v/>
      </c>
    </row>
    <row r="1265">
      <c r="A1265">
        <f>'KG1-6'!$B$2</f>
        <v/>
      </c>
      <c r="B1265" s="126" t="n">
        <v>46506</v>
      </c>
      <c r="C1265">
        <f>'KG1-6'!GU44</f>
        <v/>
      </c>
      <c r="D1265">
        <f>'KG1-6'!GU43</f>
        <v/>
      </c>
      <c r="E1265">
        <f>'KG1-6'!GU40</f>
        <v/>
      </c>
      <c r="F1265">
        <f>'KG1-6'!GU41</f>
        <v/>
      </c>
      <c r="G1265">
        <f>'KG1-6'!GU42</f>
        <v/>
      </c>
    </row>
    <row r="1266">
      <c r="A1266">
        <f>'KG1-6'!$B$2</f>
        <v/>
      </c>
      <c r="B1266" s="126" t="n">
        <v>46507</v>
      </c>
      <c r="C1266">
        <f>'KG1-6'!GV44</f>
        <v/>
      </c>
      <c r="D1266">
        <f>'KG1-6'!GV43</f>
        <v/>
      </c>
      <c r="E1266">
        <f>'KG1-6'!GV40</f>
        <v/>
      </c>
      <c r="F1266">
        <f>'KG1-6'!GV41</f>
        <v/>
      </c>
      <c r="G1266">
        <f>'KG1-6'!GV42</f>
        <v/>
      </c>
    </row>
    <row r="1267">
      <c r="A1267">
        <f>'KG1-6'!$B$2</f>
        <v/>
      </c>
      <c r="B1267" s="126" t="n">
        <v>46510</v>
      </c>
      <c r="C1267">
        <f>'KG1-6'!GW44</f>
        <v/>
      </c>
      <c r="D1267">
        <f>'KG1-6'!GW43</f>
        <v/>
      </c>
      <c r="E1267">
        <f>'KG1-6'!GW40</f>
        <v/>
      </c>
      <c r="F1267">
        <f>'KG1-6'!GW41</f>
        <v/>
      </c>
      <c r="G1267">
        <f>'KG1-6'!GW42</f>
        <v/>
      </c>
    </row>
    <row r="1268">
      <c r="A1268">
        <f>'KG1-6'!$B$2</f>
        <v/>
      </c>
      <c r="B1268" s="126" t="n">
        <v>46511</v>
      </c>
      <c r="C1268">
        <f>'KG1-6'!GX44</f>
        <v/>
      </c>
      <c r="D1268">
        <f>'KG1-6'!GX43</f>
        <v/>
      </c>
      <c r="E1268">
        <f>'KG1-6'!GX40</f>
        <v/>
      </c>
      <c r="F1268">
        <f>'KG1-6'!GX41</f>
        <v/>
      </c>
      <c r="G1268">
        <f>'KG1-6'!GX42</f>
        <v/>
      </c>
    </row>
    <row r="1269">
      <c r="A1269">
        <f>'KG1-6'!$B$2</f>
        <v/>
      </c>
      <c r="B1269" s="126" t="n">
        <v>46512</v>
      </c>
      <c r="C1269">
        <f>'KG1-6'!GY44</f>
        <v/>
      </c>
      <c r="D1269">
        <f>'KG1-6'!GY43</f>
        <v/>
      </c>
      <c r="E1269">
        <f>'KG1-6'!GY40</f>
        <v/>
      </c>
      <c r="F1269">
        <f>'KG1-6'!GY41</f>
        <v/>
      </c>
      <c r="G1269">
        <f>'KG1-6'!GY42</f>
        <v/>
      </c>
    </row>
    <row r="1270">
      <c r="A1270">
        <f>'KG1-6'!$B$2</f>
        <v/>
      </c>
      <c r="B1270" s="126" t="n">
        <v>46513</v>
      </c>
      <c r="C1270">
        <f>'KG1-6'!GZ44</f>
        <v/>
      </c>
      <c r="D1270">
        <f>'KG1-6'!GZ43</f>
        <v/>
      </c>
      <c r="E1270">
        <f>'KG1-6'!GZ40</f>
        <v/>
      </c>
      <c r="F1270">
        <f>'KG1-6'!GZ41</f>
        <v/>
      </c>
      <c r="G1270">
        <f>'KG1-6'!GZ42</f>
        <v/>
      </c>
    </row>
    <row r="1271">
      <c r="A1271">
        <f>'KG1-6'!$B$2</f>
        <v/>
      </c>
      <c r="B1271" s="126" t="n">
        <v>46514</v>
      </c>
      <c r="C1271">
        <f>'KG1-6'!HA44</f>
        <v/>
      </c>
      <c r="D1271">
        <f>'KG1-6'!HA43</f>
        <v/>
      </c>
      <c r="E1271">
        <f>'KG1-6'!HA40</f>
        <v/>
      </c>
      <c r="F1271">
        <f>'KG1-6'!HA41</f>
        <v/>
      </c>
      <c r="G1271">
        <f>'KG1-6'!HA42</f>
        <v/>
      </c>
    </row>
    <row r="1272">
      <c r="A1272">
        <f>'KG1-6'!$B$2</f>
        <v/>
      </c>
      <c r="B1272" s="126" t="n">
        <v>46517</v>
      </c>
      <c r="C1272">
        <f>'KG1-6'!HB44</f>
        <v/>
      </c>
      <c r="D1272">
        <f>'KG1-6'!HB43</f>
        <v/>
      </c>
      <c r="E1272">
        <f>'KG1-6'!HB40</f>
        <v/>
      </c>
      <c r="F1272">
        <f>'KG1-6'!HB41</f>
        <v/>
      </c>
      <c r="G1272">
        <f>'KG1-6'!HB42</f>
        <v/>
      </c>
    </row>
    <row r="1273">
      <c r="A1273">
        <f>'KG1-6'!$B$2</f>
        <v/>
      </c>
      <c r="B1273" s="126" t="n">
        <v>46518</v>
      </c>
      <c r="C1273">
        <f>'KG1-6'!HC44</f>
        <v/>
      </c>
      <c r="D1273">
        <f>'KG1-6'!HC43</f>
        <v/>
      </c>
      <c r="E1273">
        <f>'KG1-6'!HC40</f>
        <v/>
      </c>
      <c r="F1273">
        <f>'KG1-6'!HC41</f>
        <v/>
      </c>
      <c r="G1273">
        <f>'KG1-6'!HC42</f>
        <v/>
      </c>
    </row>
    <row r="1274">
      <c r="A1274">
        <f>'KG1-6'!$B$2</f>
        <v/>
      </c>
      <c r="B1274" s="126" t="n">
        <v>46519</v>
      </c>
      <c r="C1274">
        <f>'KG1-6'!HD44</f>
        <v/>
      </c>
      <c r="D1274">
        <f>'KG1-6'!HD43</f>
        <v/>
      </c>
      <c r="E1274">
        <f>'KG1-6'!HD40</f>
        <v/>
      </c>
      <c r="F1274">
        <f>'KG1-6'!HD41</f>
        <v/>
      </c>
      <c r="G1274">
        <f>'KG1-6'!HD42</f>
        <v/>
      </c>
    </row>
    <row r="1275">
      <c r="A1275">
        <f>'KG1-6'!$B$2</f>
        <v/>
      </c>
      <c r="B1275" s="126" t="n">
        <v>46520</v>
      </c>
      <c r="C1275">
        <f>'KG1-6'!HE44</f>
        <v/>
      </c>
      <c r="D1275">
        <f>'KG1-6'!HE43</f>
        <v/>
      </c>
      <c r="E1275">
        <f>'KG1-6'!HE40</f>
        <v/>
      </c>
      <c r="F1275">
        <f>'KG1-6'!HE41</f>
        <v/>
      </c>
      <c r="G1275">
        <f>'KG1-6'!HE42</f>
        <v/>
      </c>
    </row>
    <row r="1276">
      <c r="A1276">
        <f>'KG1-6'!$B$2</f>
        <v/>
      </c>
      <c r="B1276" s="126" t="n">
        <v>46521</v>
      </c>
      <c r="C1276">
        <f>'KG1-6'!HF44</f>
        <v/>
      </c>
      <c r="D1276">
        <f>'KG1-6'!HF43</f>
        <v/>
      </c>
      <c r="E1276">
        <f>'KG1-6'!HF40</f>
        <v/>
      </c>
      <c r="F1276">
        <f>'KG1-6'!HF41</f>
        <v/>
      </c>
      <c r="G1276">
        <f>'KG1-6'!HF42</f>
        <v/>
      </c>
    </row>
    <row r="1277">
      <c r="A1277">
        <f>'KG1-6'!$B$2</f>
        <v/>
      </c>
      <c r="B1277" s="126" t="n">
        <v>46524</v>
      </c>
      <c r="C1277">
        <f>'KG1-6'!HG44</f>
        <v/>
      </c>
      <c r="D1277">
        <f>'KG1-6'!HG43</f>
        <v/>
      </c>
      <c r="E1277">
        <f>'KG1-6'!HG40</f>
        <v/>
      </c>
      <c r="F1277">
        <f>'KG1-6'!HG41</f>
        <v/>
      </c>
      <c r="G1277">
        <f>'KG1-6'!HG42</f>
        <v/>
      </c>
    </row>
    <row r="1278">
      <c r="A1278">
        <f>'KG1-6'!$B$2</f>
        <v/>
      </c>
      <c r="B1278" s="126" t="n">
        <v>46525</v>
      </c>
      <c r="C1278">
        <f>'KG1-6'!HH44</f>
        <v/>
      </c>
      <c r="D1278">
        <f>'KG1-6'!HH43</f>
        <v/>
      </c>
      <c r="E1278">
        <f>'KG1-6'!HH40</f>
        <v/>
      </c>
      <c r="F1278">
        <f>'KG1-6'!HH41</f>
        <v/>
      </c>
      <c r="G1278">
        <f>'KG1-6'!HH42</f>
        <v/>
      </c>
    </row>
    <row r="1279">
      <c r="A1279">
        <f>'KG1-6'!$B$2</f>
        <v/>
      </c>
      <c r="B1279" s="126" t="n">
        <v>46526</v>
      </c>
      <c r="C1279">
        <f>'KG1-6'!HI44</f>
        <v/>
      </c>
      <c r="D1279">
        <f>'KG1-6'!HI43</f>
        <v/>
      </c>
      <c r="E1279">
        <f>'KG1-6'!HI40</f>
        <v/>
      </c>
      <c r="F1279">
        <f>'KG1-6'!HI41</f>
        <v/>
      </c>
      <c r="G1279">
        <f>'KG1-6'!HI42</f>
        <v/>
      </c>
    </row>
    <row r="1280">
      <c r="A1280">
        <f>'KG1-6'!$B$2</f>
        <v/>
      </c>
      <c r="B1280" s="126" t="n">
        <v>46527</v>
      </c>
      <c r="C1280">
        <f>'KG1-6'!HJ44</f>
        <v/>
      </c>
      <c r="D1280">
        <f>'KG1-6'!HJ43</f>
        <v/>
      </c>
      <c r="E1280">
        <f>'KG1-6'!HJ40</f>
        <v/>
      </c>
      <c r="F1280">
        <f>'KG1-6'!HJ41</f>
        <v/>
      </c>
      <c r="G1280">
        <f>'KG1-6'!HJ42</f>
        <v/>
      </c>
    </row>
    <row r="1281">
      <c r="A1281">
        <f>'KG1-6'!$B$2</f>
        <v/>
      </c>
      <c r="B1281" s="126" t="n">
        <v>46528</v>
      </c>
      <c r="C1281">
        <f>'KG1-6'!HK44</f>
        <v/>
      </c>
      <c r="D1281">
        <f>'KG1-6'!HK43</f>
        <v/>
      </c>
      <c r="E1281">
        <f>'KG1-6'!HK40</f>
        <v/>
      </c>
      <c r="F1281">
        <f>'KG1-6'!HK41</f>
        <v/>
      </c>
      <c r="G1281">
        <f>'KG1-6'!HK42</f>
        <v/>
      </c>
    </row>
    <row r="1282">
      <c r="A1282">
        <f>'KG1-6'!$B$2</f>
        <v/>
      </c>
      <c r="B1282" s="126" t="n">
        <v>46531</v>
      </c>
      <c r="C1282">
        <f>'KG1-6'!HL44</f>
        <v/>
      </c>
      <c r="D1282">
        <f>'KG1-6'!HL43</f>
        <v/>
      </c>
      <c r="E1282">
        <f>'KG1-6'!HL40</f>
        <v/>
      </c>
      <c r="F1282">
        <f>'KG1-6'!HL41</f>
        <v/>
      </c>
      <c r="G1282">
        <f>'KG1-6'!HL42</f>
        <v/>
      </c>
    </row>
    <row r="1283">
      <c r="A1283">
        <f>'KG1-6'!$B$2</f>
        <v/>
      </c>
      <c r="B1283" s="126" t="n">
        <v>46532</v>
      </c>
      <c r="C1283">
        <f>'KG1-6'!HM44</f>
        <v/>
      </c>
      <c r="D1283">
        <f>'KG1-6'!HM43</f>
        <v/>
      </c>
      <c r="E1283">
        <f>'KG1-6'!HM40</f>
        <v/>
      </c>
      <c r="F1283">
        <f>'KG1-6'!HM41</f>
        <v/>
      </c>
      <c r="G1283">
        <f>'KG1-6'!HM42</f>
        <v/>
      </c>
    </row>
    <row r="1284">
      <c r="A1284">
        <f>'KG1-6'!$B$2</f>
        <v/>
      </c>
      <c r="B1284" s="126" t="n">
        <v>46533</v>
      </c>
      <c r="C1284">
        <f>'KG1-6'!HN44</f>
        <v/>
      </c>
      <c r="D1284">
        <f>'KG1-6'!HN43</f>
        <v/>
      </c>
      <c r="E1284">
        <f>'KG1-6'!HN40</f>
        <v/>
      </c>
      <c r="F1284">
        <f>'KG1-6'!HN41</f>
        <v/>
      </c>
      <c r="G1284">
        <f>'KG1-6'!HN42</f>
        <v/>
      </c>
    </row>
    <row r="1285">
      <c r="A1285">
        <f>'KG1-6'!$B$2</f>
        <v/>
      </c>
      <c r="B1285" s="126" t="n">
        <v>46534</v>
      </c>
      <c r="C1285">
        <f>'KG1-6'!HO44</f>
        <v/>
      </c>
      <c r="D1285">
        <f>'KG1-6'!HO43</f>
        <v/>
      </c>
      <c r="E1285">
        <f>'KG1-6'!HO40</f>
        <v/>
      </c>
      <c r="F1285">
        <f>'KG1-6'!HO41</f>
        <v/>
      </c>
      <c r="G1285">
        <f>'KG1-6'!HO42</f>
        <v/>
      </c>
    </row>
    <row r="1286">
      <c r="A1286">
        <f>'KG1-6'!$B$2</f>
        <v/>
      </c>
      <c r="B1286" s="126" t="n">
        <v>46535</v>
      </c>
      <c r="C1286">
        <f>'KG1-6'!HP44</f>
        <v/>
      </c>
      <c r="D1286">
        <f>'KG1-6'!HP43</f>
        <v/>
      </c>
      <c r="E1286">
        <f>'KG1-6'!HP40</f>
        <v/>
      </c>
      <c r="F1286">
        <f>'KG1-6'!HP41</f>
        <v/>
      </c>
      <c r="G1286">
        <f>'KG1-6'!HP42</f>
        <v/>
      </c>
    </row>
    <row r="1287">
      <c r="A1287">
        <f>'KG1-6'!$B$2</f>
        <v/>
      </c>
      <c r="B1287" s="126" t="n">
        <v>46538</v>
      </c>
      <c r="C1287">
        <f>'KG1-6'!HQ44</f>
        <v/>
      </c>
      <c r="D1287">
        <f>'KG1-6'!HQ43</f>
        <v/>
      </c>
      <c r="E1287">
        <f>'KG1-6'!HQ40</f>
        <v/>
      </c>
      <c r="F1287">
        <f>'KG1-6'!HQ41</f>
        <v/>
      </c>
      <c r="G1287">
        <f>'KG1-6'!HQ42</f>
        <v/>
      </c>
    </row>
    <row r="1288">
      <c r="A1288">
        <f>'KG1-6'!$B$2</f>
        <v/>
      </c>
      <c r="B1288" s="126" t="n">
        <v>46539</v>
      </c>
      <c r="C1288">
        <f>'KG1-6'!HR44</f>
        <v/>
      </c>
      <c r="D1288">
        <f>'KG1-6'!HR43</f>
        <v/>
      </c>
      <c r="E1288">
        <f>'KG1-6'!HR40</f>
        <v/>
      </c>
      <c r="F1288">
        <f>'KG1-6'!HR41</f>
        <v/>
      </c>
      <c r="G1288">
        <f>'KG1-6'!HR42</f>
        <v/>
      </c>
    </row>
    <row r="1289">
      <c r="A1289">
        <f>'KG1-6'!$B$2</f>
        <v/>
      </c>
      <c r="B1289" s="126" t="n">
        <v>46540</v>
      </c>
      <c r="C1289">
        <f>'KG1-6'!HS44</f>
        <v/>
      </c>
      <c r="D1289">
        <f>'KG1-6'!HS43</f>
        <v/>
      </c>
      <c r="E1289">
        <f>'KG1-6'!HS40</f>
        <v/>
      </c>
      <c r="F1289">
        <f>'KG1-6'!HS41</f>
        <v/>
      </c>
      <c r="G1289">
        <f>'KG1-6'!HS42</f>
        <v/>
      </c>
    </row>
    <row r="1290">
      <c r="A1290">
        <f>'KG1-6'!$B$2</f>
        <v/>
      </c>
      <c r="B1290" s="126" t="n">
        <v>46541</v>
      </c>
      <c r="C1290">
        <f>'KG1-6'!HT44</f>
        <v/>
      </c>
      <c r="D1290">
        <f>'KG1-6'!HT43</f>
        <v/>
      </c>
      <c r="E1290">
        <f>'KG1-6'!HT40</f>
        <v/>
      </c>
      <c r="F1290">
        <f>'KG1-6'!HT41</f>
        <v/>
      </c>
      <c r="G1290">
        <f>'KG1-6'!HT42</f>
        <v/>
      </c>
    </row>
    <row r="1291">
      <c r="A1291">
        <f>'KG1-6'!$B$2</f>
        <v/>
      </c>
      <c r="B1291" s="126" t="n">
        <v>46542</v>
      </c>
      <c r="C1291">
        <f>'KG1-6'!HU44</f>
        <v/>
      </c>
      <c r="D1291">
        <f>'KG1-6'!HU43</f>
        <v/>
      </c>
      <c r="E1291">
        <f>'KG1-6'!HU40</f>
        <v/>
      </c>
      <c r="F1291">
        <f>'KG1-6'!HU41</f>
        <v/>
      </c>
      <c r="G1291">
        <f>'KG1-6'!HU42</f>
        <v/>
      </c>
    </row>
    <row r="1292">
      <c r="A1292">
        <f>'KG1-6'!$B$2</f>
        <v/>
      </c>
      <c r="B1292" s="126" t="n">
        <v>46545</v>
      </c>
      <c r="C1292">
        <f>'KG1-6'!HV44</f>
        <v/>
      </c>
      <c r="D1292">
        <f>'KG1-6'!HV43</f>
        <v/>
      </c>
      <c r="E1292">
        <f>'KG1-6'!HV40</f>
        <v/>
      </c>
      <c r="F1292">
        <f>'KG1-6'!HV41</f>
        <v/>
      </c>
      <c r="G1292">
        <f>'KG1-6'!HV42</f>
        <v/>
      </c>
    </row>
    <row r="1293">
      <c r="A1293">
        <f>'KG1-6'!$B$2</f>
        <v/>
      </c>
      <c r="B1293" s="126" t="n">
        <v>46546</v>
      </c>
      <c r="C1293">
        <f>'KG1-6'!HW44</f>
        <v/>
      </c>
      <c r="D1293">
        <f>'KG1-6'!HW43</f>
        <v/>
      </c>
      <c r="E1293">
        <f>'KG1-6'!HW40</f>
        <v/>
      </c>
      <c r="F1293">
        <f>'KG1-6'!HW41</f>
        <v/>
      </c>
      <c r="G1293">
        <f>'KG1-6'!HW42</f>
        <v/>
      </c>
    </row>
    <row r="1294">
      <c r="A1294">
        <f>'KG1-6'!$B$2</f>
        <v/>
      </c>
      <c r="B1294" s="126" t="n">
        <v>46547</v>
      </c>
      <c r="C1294">
        <f>'KG1-6'!HX44</f>
        <v/>
      </c>
      <c r="D1294">
        <f>'KG1-6'!HX43</f>
        <v/>
      </c>
      <c r="E1294">
        <f>'KG1-6'!HX40</f>
        <v/>
      </c>
      <c r="F1294">
        <f>'KG1-6'!HX41</f>
        <v/>
      </c>
      <c r="G1294">
        <f>'KG1-6'!HX42</f>
        <v/>
      </c>
    </row>
    <row r="1295">
      <c r="A1295">
        <f>'KG1-6'!$B$2</f>
        <v/>
      </c>
      <c r="B1295" s="126" t="n">
        <v>46548</v>
      </c>
      <c r="C1295">
        <f>'KG1-6'!HY44</f>
        <v/>
      </c>
      <c r="D1295">
        <f>'KG1-6'!HY43</f>
        <v/>
      </c>
      <c r="E1295">
        <f>'KG1-6'!HY40</f>
        <v/>
      </c>
      <c r="F1295">
        <f>'KG1-6'!HY41</f>
        <v/>
      </c>
      <c r="G1295">
        <f>'KG1-6'!HY42</f>
        <v/>
      </c>
    </row>
    <row r="1296">
      <c r="A1296">
        <f>'KG1-6'!$B$2</f>
        <v/>
      </c>
      <c r="B1296" s="126" t="n">
        <v>46549</v>
      </c>
      <c r="C1296">
        <f>'KG1-6'!HZ44</f>
        <v/>
      </c>
      <c r="D1296">
        <f>'KG1-6'!HZ43</f>
        <v/>
      </c>
      <c r="E1296">
        <f>'KG1-6'!HZ40</f>
        <v/>
      </c>
      <c r="F1296">
        <f>'KG1-6'!HZ41</f>
        <v/>
      </c>
      <c r="G1296">
        <f>'KG1-6'!HZ42</f>
        <v/>
      </c>
    </row>
    <row r="1297">
      <c r="A1297">
        <f>'KG1-6'!$B$2</f>
        <v/>
      </c>
      <c r="B1297" s="126" t="n">
        <v>46552</v>
      </c>
      <c r="C1297">
        <f>'KG1-6'!IA44</f>
        <v/>
      </c>
      <c r="D1297">
        <f>'KG1-6'!IA43</f>
        <v/>
      </c>
      <c r="E1297">
        <f>'KG1-6'!IA40</f>
        <v/>
      </c>
      <c r="F1297">
        <f>'KG1-6'!IA41</f>
        <v/>
      </c>
      <c r="G1297">
        <f>'KG1-6'!IA42</f>
        <v/>
      </c>
    </row>
    <row r="1298">
      <c r="A1298">
        <f>'KG1-6'!$B$2</f>
        <v/>
      </c>
      <c r="B1298" s="126" t="n">
        <v>46553</v>
      </c>
      <c r="C1298">
        <f>'KG1-6'!IB44</f>
        <v/>
      </c>
      <c r="D1298">
        <f>'KG1-6'!IB43</f>
        <v/>
      </c>
      <c r="E1298">
        <f>'KG1-6'!IB40</f>
        <v/>
      </c>
      <c r="F1298">
        <f>'KG1-6'!IB41</f>
        <v/>
      </c>
      <c r="G1298">
        <f>'KG1-6'!IB42</f>
        <v/>
      </c>
    </row>
    <row r="1299">
      <c r="A1299">
        <f>'KG1-6'!$B$2</f>
        <v/>
      </c>
      <c r="B1299" s="126" t="n">
        <v>46554</v>
      </c>
      <c r="C1299">
        <f>'KG1-6'!IC44</f>
        <v/>
      </c>
      <c r="D1299">
        <f>'KG1-6'!IC43</f>
        <v/>
      </c>
      <c r="E1299">
        <f>'KG1-6'!IC40</f>
        <v/>
      </c>
      <c r="F1299">
        <f>'KG1-6'!IC41</f>
        <v/>
      </c>
      <c r="G1299">
        <f>'KG1-6'!IC42</f>
        <v/>
      </c>
    </row>
    <row r="1300">
      <c r="A1300">
        <f>'KG1-6'!$B$2</f>
        <v/>
      </c>
      <c r="B1300" s="126" t="n">
        <v>46555</v>
      </c>
      <c r="C1300">
        <f>'KG1-6'!ID44</f>
        <v/>
      </c>
      <c r="D1300">
        <f>'KG1-6'!ID43</f>
        <v/>
      </c>
      <c r="E1300">
        <f>'KG1-6'!ID40</f>
        <v/>
      </c>
      <c r="F1300">
        <f>'KG1-6'!ID41</f>
        <v/>
      </c>
      <c r="G1300">
        <f>'KG1-6'!ID42</f>
        <v/>
      </c>
    </row>
    <row r="1301">
      <c r="A1301">
        <f>'KG1-6'!$B$2</f>
        <v/>
      </c>
      <c r="B1301" s="126" t="n">
        <v>46556</v>
      </c>
      <c r="C1301">
        <f>'KG1-6'!IE44</f>
        <v/>
      </c>
      <c r="D1301">
        <f>'KG1-6'!IE43</f>
        <v/>
      </c>
      <c r="E1301">
        <f>'KG1-6'!IE40</f>
        <v/>
      </c>
      <c r="F1301">
        <f>'KG1-6'!IE41</f>
        <v/>
      </c>
      <c r="G1301">
        <f>'KG1-6'!IE42</f>
        <v/>
      </c>
    </row>
    <row r="1302">
      <c r="A1302">
        <f>'KG1-6'!$B$2</f>
        <v/>
      </c>
      <c r="B1302" s="126" t="n">
        <v>46559</v>
      </c>
      <c r="C1302">
        <f>'KG1-6'!IF44</f>
        <v/>
      </c>
      <c r="D1302">
        <f>'KG1-6'!IF43</f>
        <v/>
      </c>
      <c r="E1302">
        <f>'KG1-6'!IF40</f>
        <v/>
      </c>
      <c r="F1302">
        <f>'KG1-6'!IF41</f>
        <v/>
      </c>
      <c r="G1302">
        <f>'KG1-6'!IF42</f>
        <v/>
      </c>
    </row>
    <row r="1303">
      <c r="A1303">
        <f>'KG1-6'!$B$2</f>
        <v/>
      </c>
      <c r="B1303" s="126" t="n">
        <v>46560</v>
      </c>
      <c r="C1303">
        <f>'KG1-6'!IG44</f>
        <v/>
      </c>
      <c r="D1303">
        <f>'KG1-6'!IG43</f>
        <v/>
      </c>
      <c r="E1303">
        <f>'KG1-6'!IG40</f>
        <v/>
      </c>
      <c r="F1303">
        <f>'KG1-6'!IG41</f>
        <v/>
      </c>
      <c r="G1303">
        <f>'KG1-6'!IG42</f>
        <v/>
      </c>
    </row>
    <row r="1304">
      <c r="A1304">
        <f>'KG1-6'!$B$2</f>
        <v/>
      </c>
      <c r="B1304" s="126" t="n">
        <v>46561</v>
      </c>
      <c r="C1304">
        <f>'KG1-6'!IH44</f>
        <v/>
      </c>
      <c r="D1304">
        <f>'KG1-6'!IH43</f>
        <v/>
      </c>
      <c r="E1304">
        <f>'KG1-6'!IH40</f>
        <v/>
      </c>
      <c r="F1304">
        <f>'KG1-6'!IH41</f>
        <v/>
      </c>
      <c r="G1304">
        <f>'KG1-6'!IH42</f>
        <v/>
      </c>
    </row>
    <row r="1305">
      <c r="A1305">
        <f>'KG1-6'!$B$2</f>
        <v/>
      </c>
      <c r="B1305" s="126" t="n">
        <v>46562</v>
      </c>
      <c r="C1305">
        <f>'KG1-6'!II44</f>
        <v/>
      </c>
      <c r="D1305">
        <f>'KG1-6'!II43</f>
        <v/>
      </c>
      <c r="E1305">
        <f>'KG1-6'!II40</f>
        <v/>
      </c>
      <c r="F1305">
        <f>'KG1-6'!II41</f>
        <v/>
      </c>
      <c r="G1305">
        <f>'KG1-6'!II42</f>
        <v/>
      </c>
    </row>
    <row r="1306">
      <c r="A1306">
        <f>'KG1-6'!$B$2</f>
        <v/>
      </c>
      <c r="B1306" s="126" t="n">
        <v>46563</v>
      </c>
      <c r="C1306">
        <f>'KG1-6'!IJ44</f>
        <v/>
      </c>
      <c r="D1306">
        <f>'KG1-6'!IJ43</f>
        <v/>
      </c>
      <c r="E1306">
        <f>'KG1-6'!IJ40</f>
        <v/>
      </c>
      <c r="F1306">
        <f>'KG1-6'!IJ41</f>
        <v/>
      </c>
      <c r="G1306">
        <f>'KG1-6'!IJ42</f>
        <v/>
      </c>
    </row>
    <row r="1307">
      <c r="A1307">
        <f>'KG1-6'!$B$2</f>
        <v/>
      </c>
      <c r="B1307" s="126" t="n">
        <v>46566</v>
      </c>
      <c r="C1307">
        <f>'KG1-6'!IK44</f>
        <v/>
      </c>
      <c r="D1307">
        <f>'KG1-6'!IK43</f>
        <v/>
      </c>
      <c r="E1307">
        <f>'KG1-6'!IK40</f>
        <v/>
      </c>
      <c r="F1307">
        <f>'KG1-6'!IK41</f>
        <v/>
      </c>
      <c r="G1307">
        <f>'KG1-6'!IK42</f>
        <v/>
      </c>
    </row>
    <row r="1308">
      <c r="A1308">
        <f>'KG1-6'!$B$2</f>
        <v/>
      </c>
      <c r="B1308" s="126" t="n">
        <v>46567</v>
      </c>
      <c r="C1308">
        <f>'KG1-6'!IL44</f>
        <v/>
      </c>
      <c r="D1308">
        <f>'KG1-6'!IL43</f>
        <v/>
      </c>
      <c r="E1308">
        <f>'KG1-6'!IL40</f>
        <v/>
      </c>
      <c r="F1308">
        <f>'KG1-6'!IL41</f>
        <v/>
      </c>
      <c r="G1308">
        <f>'KG1-6'!IL42</f>
        <v/>
      </c>
    </row>
    <row r="1309">
      <c r="A1309">
        <f>'KG1-6'!$B$2</f>
        <v/>
      </c>
      <c r="B1309" s="126" t="n">
        <v>46568</v>
      </c>
      <c r="C1309">
        <f>'KG1-6'!IM44</f>
        <v/>
      </c>
      <c r="D1309">
        <f>'KG1-6'!IM43</f>
        <v/>
      </c>
      <c r="E1309">
        <f>'KG1-6'!IM40</f>
        <v/>
      </c>
      <c r="F1309">
        <f>'KG1-6'!IM41</f>
        <v/>
      </c>
      <c r="G1309">
        <f>'KG1-6'!IM42</f>
        <v/>
      </c>
    </row>
    <row r="1310">
      <c r="A1310">
        <f>'KG1-7'!$B$2</f>
        <v/>
      </c>
      <c r="B1310" s="126" t="n">
        <v>46265</v>
      </c>
      <c r="C1310">
        <f>'KG1-7'!AD44</f>
        <v/>
      </c>
      <c r="D1310">
        <f>'KG1-7'!AD43</f>
        <v/>
      </c>
      <c r="E1310">
        <f>'KG1-7'!AD40</f>
        <v/>
      </c>
      <c r="F1310">
        <f>'KG1-7'!AD41</f>
        <v/>
      </c>
      <c r="G1310">
        <f>'KG1-7'!AD42</f>
        <v/>
      </c>
    </row>
    <row r="1311">
      <c r="A1311">
        <f>'KG1-7'!$B$2</f>
        <v/>
      </c>
      <c r="B1311" s="126" t="n">
        <v>46266</v>
      </c>
      <c r="C1311">
        <f>'KG1-7'!AE44</f>
        <v/>
      </c>
      <c r="D1311">
        <f>'KG1-7'!AE43</f>
        <v/>
      </c>
      <c r="E1311">
        <f>'KG1-7'!AE40</f>
        <v/>
      </c>
      <c r="F1311">
        <f>'KG1-7'!AE41</f>
        <v/>
      </c>
      <c r="G1311">
        <f>'KG1-7'!AE42</f>
        <v/>
      </c>
    </row>
    <row r="1312">
      <c r="A1312">
        <f>'KG1-7'!$B$2</f>
        <v/>
      </c>
      <c r="B1312" s="126" t="n">
        <v>46267</v>
      </c>
      <c r="C1312">
        <f>'KG1-7'!AF44</f>
        <v/>
      </c>
      <c r="D1312">
        <f>'KG1-7'!AF43</f>
        <v/>
      </c>
      <c r="E1312">
        <f>'KG1-7'!AF40</f>
        <v/>
      </c>
      <c r="F1312">
        <f>'KG1-7'!AF41</f>
        <v/>
      </c>
      <c r="G1312">
        <f>'KG1-7'!AF42</f>
        <v/>
      </c>
    </row>
    <row r="1313">
      <c r="A1313">
        <f>'KG1-7'!$B$2</f>
        <v/>
      </c>
      <c r="B1313" s="126" t="n">
        <v>46268</v>
      </c>
      <c r="C1313">
        <f>'KG1-7'!AG44</f>
        <v/>
      </c>
      <c r="D1313">
        <f>'KG1-7'!AG43</f>
        <v/>
      </c>
      <c r="E1313">
        <f>'KG1-7'!AG40</f>
        <v/>
      </c>
      <c r="F1313">
        <f>'KG1-7'!AG41</f>
        <v/>
      </c>
      <c r="G1313">
        <f>'KG1-7'!AG42</f>
        <v/>
      </c>
    </row>
    <row r="1314">
      <c r="A1314">
        <f>'KG1-7'!$B$2</f>
        <v/>
      </c>
      <c r="B1314" s="126" t="n">
        <v>46269</v>
      </c>
      <c r="C1314">
        <f>'KG1-7'!AH44</f>
        <v/>
      </c>
      <c r="D1314">
        <f>'KG1-7'!AH43</f>
        <v/>
      </c>
      <c r="E1314">
        <f>'KG1-7'!AH40</f>
        <v/>
      </c>
      <c r="F1314">
        <f>'KG1-7'!AH41</f>
        <v/>
      </c>
      <c r="G1314">
        <f>'KG1-7'!AH42</f>
        <v/>
      </c>
    </row>
    <row r="1315">
      <c r="A1315">
        <f>'KG1-7'!$B$2</f>
        <v/>
      </c>
      <c r="B1315" s="126" t="n">
        <v>46272</v>
      </c>
      <c r="C1315">
        <f>'KG1-7'!AI44</f>
        <v/>
      </c>
      <c r="D1315">
        <f>'KG1-7'!AI43</f>
        <v/>
      </c>
      <c r="E1315">
        <f>'KG1-7'!AI40</f>
        <v/>
      </c>
      <c r="F1315">
        <f>'KG1-7'!AI41</f>
        <v/>
      </c>
      <c r="G1315">
        <f>'KG1-7'!AI42</f>
        <v/>
      </c>
    </row>
    <row r="1316">
      <c r="A1316">
        <f>'KG1-7'!$B$2</f>
        <v/>
      </c>
      <c r="B1316" s="126" t="n">
        <v>46273</v>
      </c>
      <c r="C1316">
        <f>'KG1-7'!AJ44</f>
        <v/>
      </c>
      <c r="D1316">
        <f>'KG1-7'!AJ43</f>
        <v/>
      </c>
      <c r="E1316">
        <f>'KG1-7'!AJ40</f>
        <v/>
      </c>
      <c r="F1316">
        <f>'KG1-7'!AJ41</f>
        <v/>
      </c>
      <c r="G1316">
        <f>'KG1-7'!AJ42</f>
        <v/>
      </c>
    </row>
    <row r="1317">
      <c r="A1317">
        <f>'KG1-7'!$B$2</f>
        <v/>
      </c>
      <c r="B1317" s="126" t="n">
        <v>46274</v>
      </c>
      <c r="C1317">
        <f>'KG1-7'!AK44</f>
        <v/>
      </c>
      <c r="D1317">
        <f>'KG1-7'!AK43</f>
        <v/>
      </c>
      <c r="E1317">
        <f>'KG1-7'!AK40</f>
        <v/>
      </c>
      <c r="F1317">
        <f>'KG1-7'!AK41</f>
        <v/>
      </c>
      <c r="G1317">
        <f>'KG1-7'!AK42</f>
        <v/>
      </c>
    </row>
    <row r="1318">
      <c r="A1318">
        <f>'KG1-7'!$B$2</f>
        <v/>
      </c>
      <c r="B1318" s="126" t="n">
        <v>46275</v>
      </c>
      <c r="C1318">
        <f>'KG1-7'!AL44</f>
        <v/>
      </c>
      <c r="D1318">
        <f>'KG1-7'!AL43</f>
        <v/>
      </c>
      <c r="E1318">
        <f>'KG1-7'!AL40</f>
        <v/>
      </c>
      <c r="F1318">
        <f>'KG1-7'!AL41</f>
        <v/>
      </c>
      <c r="G1318">
        <f>'KG1-7'!AL42</f>
        <v/>
      </c>
    </row>
    <row r="1319">
      <c r="A1319">
        <f>'KG1-7'!$B$2</f>
        <v/>
      </c>
      <c r="B1319" s="126" t="n">
        <v>46276</v>
      </c>
      <c r="C1319">
        <f>'KG1-7'!AM44</f>
        <v/>
      </c>
      <c r="D1319">
        <f>'KG1-7'!AM43</f>
        <v/>
      </c>
      <c r="E1319">
        <f>'KG1-7'!AM40</f>
        <v/>
      </c>
      <c r="F1319">
        <f>'KG1-7'!AM41</f>
        <v/>
      </c>
      <c r="G1319">
        <f>'KG1-7'!AM42</f>
        <v/>
      </c>
    </row>
    <row r="1320">
      <c r="A1320">
        <f>'KG1-7'!$B$2</f>
        <v/>
      </c>
      <c r="B1320" s="126" t="n">
        <v>46279</v>
      </c>
      <c r="C1320">
        <f>'KG1-7'!AN44</f>
        <v/>
      </c>
      <c r="D1320">
        <f>'KG1-7'!AN43</f>
        <v/>
      </c>
      <c r="E1320">
        <f>'KG1-7'!AN40</f>
        <v/>
      </c>
      <c r="F1320">
        <f>'KG1-7'!AN41</f>
        <v/>
      </c>
      <c r="G1320">
        <f>'KG1-7'!AN42</f>
        <v/>
      </c>
    </row>
    <row r="1321">
      <c r="A1321">
        <f>'KG1-7'!$B$2</f>
        <v/>
      </c>
      <c r="B1321" s="126" t="n">
        <v>46280</v>
      </c>
      <c r="C1321">
        <f>'KG1-7'!AO44</f>
        <v/>
      </c>
      <c r="D1321">
        <f>'KG1-7'!AO43</f>
        <v/>
      </c>
      <c r="E1321">
        <f>'KG1-7'!AO40</f>
        <v/>
      </c>
      <c r="F1321">
        <f>'KG1-7'!AO41</f>
        <v/>
      </c>
      <c r="G1321">
        <f>'KG1-7'!AO42</f>
        <v/>
      </c>
    </row>
    <row r="1322">
      <c r="A1322">
        <f>'KG1-7'!$B$2</f>
        <v/>
      </c>
      <c r="B1322" s="126" t="n">
        <v>46281</v>
      </c>
      <c r="C1322">
        <f>'KG1-7'!AP44</f>
        <v/>
      </c>
      <c r="D1322">
        <f>'KG1-7'!AP43</f>
        <v/>
      </c>
      <c r="E1322">
        <f>'KG1-7'!AP40</f>
        <v/>
      </c>
      <c r="F1322">
        <f>'KG1-7'!AP41</f>
        <v/>
      </c>
      <c r="G1322">
        <f>'KG1-7'!AP42</f>
        <v/>
      </c>
    </row>
    <row r="1323">
      <c r="A1323">
        <f>'KG1-7'!$B$2</f>
        <v/>
      </c>
      <c r="B1323" s="126" t="n">
        <v>46282</v>
      </c>
      <c r="C1323">
        <f>'KG1-7'!AQ44</f>
        <v/>
      </c>
      <c r="D1323">
        <f>'KG1-7'!AQ43</f>
        <v/>
      </c>
      <c r="E1323">
        <f>'KG1-7'!AQ40</f>
        <v/>
      </c>
      <c r="F1323">
        <f>'KG1-7'!AQ41</f>
        <v/>
      </c>
      <c r="G1323">
        <f>'KG1-7'!AQ42</f>
        <v/>
      </c>
    </row>
    <row r="1324">
      <c r="A1324">
        <f>'KG1-7'!$B$2</f>
        <v/>
      </c>
      <c r="B1324" s="126" t="n">
        <v>46283</v>
      </c>
      <c r="C1324">
        <f>'KG1-7'!AR44</f>
        <v/>
      </c>
      <c r="D1324">
        <f>'KG1-7'!AR43</f>
        <v/>
      </c>
      <c r="E1324">
        <f>'KG1-7'!AR40</f>
        <v/>
      </c>
      <c r="F1324">
        <f>'KG1-7'!AR41</f>
        <v/>
      </c>
      <c r="G1324">
        <f>'KG1-7'!AR42</f>
        <v/>
      </c>
    </row>
    <row r="1325">
      <c r="A1325">
        <f>'KG1-7'!$B$2</f>
        <v/>
      </c>
      <c r="B1325" s="126" t="n">
        <v>46286</v>
      </c>
      <c r="C1325">
        <f>'KG1-7'!AS44</f>
        <v/>
      </c>
      <c r="D1325">
        <f>'KG1-7'!AS43</f>
        <v/>
      </c>
      <c r="E1325">
        <f>'KG1-7'!AS40</f>
        <v/>
      </c>
      <c r="F1325">
        <f>'KG1-7'!AS41</f>
        <v/>
      </c>
      <c r="G1325">
        <f>'KG1-7'!AS42</f>
        <v/>
      </c>
    </row>
    <row r="1326">
      <c r="A1326">
        <f>'KG1-7'!$B$2</f>
        <v/>
      </c>
      <c r="B1326" s="126" t="n">
        <v>46287</v>
      </c>
      <c r="C1326">
        <f>'KG1-7'!AT44</f>
        <v/>
      </c>
      <c r="D1326">
        <f>'KG1-7'!AT43</f>
        <v/>
      </c>
      <c r="E1326">
        <f>'KG1-7'!AT40</f>
        <v/>
      </c>
      <c r="F1326">
        <f>'KG1-7'!AT41</f>
        <v/>
      </c>
      <c r="G1326">
        <f>'KG1-7'!AT42</f>
        <v/>
      </c>
    </row>
    <row r="1327">
      <c r="A1327">
        <f>'KG1-7'!$B$2</f>
        <v/>
      </c>
      <c r="B1327" s="126" t="n">
        <v>46288</v>
      </c>
      <c r="C1327">
        <f>'KG1-7'!AU44</f>
        <v/>
      </c>
      <c r="D1327">
        <f>'KG1-7'!AU43</f>
        <v/>
      </c>
      <c r="E1327">
        <f>'KG1-7'!AU40</f>
        <v/>
      </c>
      <c r="F1327">
        <f>'KG1-7'!AU41</f>
        <v/>
      </c>
      <c r="G1327">
        <f>'KG1-7'!AU42</f>
        <v/>
      </c>
    </row>
    <row r="1328">
      <c r="A1328">
        <f>'KG1-7'!$B$2</f>
        <v/>
      </c>
      <c r="B1328" s="126" t="n">
        <v>46289</v>
      </c>
      <c r="C1328">
        <f>'KG1-7'!AV44</f>
        <v/>
      </c>
      <c r="D1328">
        <f>'KG1-7'!AV43</f>
        <v/>
      </c>
      <c r="E1328">
        <f>'KG1-7'!AV40</f>
        <v/>
      </c>
      <c r="F1328">
        <f>'KG1-7'!AV41</f>
        <v/>
      </c>
      <c r="G1328">
        <f>'KG1-7'!AV42</f>
        <v/>
      </c>
    </row>
    <row r="1329">
      <c r="A1329">
        <f>'KG1-7'!$B$2</f>
        <v/>
      </c>
      <c r="B1329" s="126" t="n">
        <v>46290</v>
      </c>
      <c r="C1329">
        <f>'KG1-7'!AW44</f>
        <v/>
      </c>
      <c r="D1329">
        <f>'KG1-7'!AW43</f>
        <v/>
      </c>
      <c r="E1329">
        <f>'KG1-7'!AW40</f>
        <v/>
      </c>
      <c r="F1329">
        <f>'KG1-7'!AW41</f>
        <v/>
      </c>
      <c r="G1329">
        <f>'KG1-7'!AW42</f>
        <v/>
      </c>
    </row>
    <row r="1330">
      <c r="A1330">
        <f>'KG1-7'!$B$2</f>
        <v/>
      </c>
      <c r="B1330" s="126" t="n">
        <v>46293</v>
      </c>
      <c r="C1330">
        <f>'KG1-7'!AX44</f>
        <v/>
      </c>
      <c r="D1330">
        <f>'KG1-7'!AX43</f>
        <v/>
      </c>
      <c r="E1330">
        <f>'KG1-7'!AX40</f>
        <v/>
      </c>
      <c r="F1330">
        <f>'KG1-7'!AX41</f>
        <v/>
      </c>
      <c r="G1330">
        <f>'KG1-7'!AX42</f>
        <v/>
      </c>
    </row>
    <row r="1331">
      <c r="A1331">
        <f>'KG1-7'!$B$2</f>
        <v/>
      </c>
      <c r="B1331" s="126" t="n">
        <v>46294</v>
      </c>
      <c r="C1331">
        <f>'KG1-7'!AY44</f>
        <v/>
      </c>
      <c r="D1331">
        <f>'KG1-7'!AY43</f>
        <v/>
      </c>
      <c r="E1331">
        <f>'KG1-7'!AY40</f>
        <v/>
      </c>
      <c r="F1331">
        <f>'KG1-7'!AY41</f>
        <v/>
      </c>
      <c r="G1331">
        <f>'KG1-7'!AY42</f>
        <v/>
      </c>
    </row>
    <row r="1332">
      <c r="A1332">
        <f>'KG1-7'!$B$2</f>
        <v/>
      </c>
      <c r="B1332" s="126" t="n">
        <v>46295</v>
      </c>
      <c r="C1332">
        <f>'KG1-7'!AZ44</f>
        <v/>
      </c>
      <c r="D1332">
        <f>'KG1-7'!AZ43</f>
        <v/>
      </c>
      <c r="E1332">
        <f>'KG1-7'!AZ40</f>
        <v/>
      </c>
      <c r="F1332">
        <f>'KG1-7'!AZ41</f>
        <v/>
      </c>
      <c r="G1332">
        <f>'KG1-7'!AZ42</f>
        <v/>
      </c>
    </row>
    <row r="1333">
      <c r="A1333">
        <f>'KG1-7'!$B$2</f>
        <v/>
      </c>
      <c r="B1333" s="126" t="n">
        <v>46296</v>
      </c>
      <c r="C1333">
        <f>'KG1-7'!BA44</f>
        <v/>
      </c>
      <c r="D1333">
        <f>'KG1-7'!BA43</f>
        <v/>
      </c>
      <c r="E1333">
        <f>'KG1-7'!BA40</f>
        <v/>
      </c>
      <c r="F1333">
        <f>'KG1-7'!BA41</f>
        <v/>
      </c>
      <c r="G1333">
        <f>'KG1-7'!BA42</f>
        <v/>
      </c>
    </row>
    <row r="1334">
      <c r="A1334">
        <f>'KG1-7'!$B$2</f>
        <v/>
      </c>
      <c r="B1334" s="126" t="n">
        <v>46297</v>
      </c>
      <c r="C1334">
        <f>'KG1-7'!BB44</f>
        <v/>
      </c>
      <c r="D1334">
        <f>'KG1-7'!BB43</f>
        <v/>
      </c>
      <c r="E1334">
        <f>'KG1-7'!BB40</f>
        <v/>
      </c>
      <c r="F1334">
        <f>'KG1-7'!BB41</f>
        <v/>
      </c>
      <c r="G1334">
        <f>'KG1-7'!BB42</f>
        <v/>
      </c>
    </row>
    <row r="1335">
      <c r="A1335">
        <f>'KG1-7'!$B$2</f>
        <v/>
      </c>
      <c r="B1335" s="126" t="n">
        <v>46300</v>
      </c>
      <c r="C1335">
        <f>'KG1-7'!BC44</f>
        <v/>
      </c>
      <c r="D1335">
        <f>'KG1-7'!BC43</f>
        <v/>
      </c>
      <c r="E1335">
        <f>'KG1-7'!BC40</f>
        <v/>
      </c>
      <c r="F1335">
        <f>'KG1-7'!BC41</f>
        <v/>
      </c>
      <c r="G1335">
        <f>'KG1-7'!BC42</f>
        <v/>
      </c>
    </row>
    <row r="1336">
      <c r="A1336">
        <f>'KG1-7'!$B$2</f>
        <v/>
      </c>
      <c r="B1336" s="126" t="n">
        <v>46301</v>
      </c>
      <c r="C1336">
        <f>'KG1-7'!BD44</f>
        <v/>
      </c>
      <c r="D1336">
        <f>'KG1-7'!BD43</f>
        <v/>
      </c>
      <c r="E1336">
        <f>'KG1-7'!BD40</f>
        <v/>
      </c>
      <c r="F1336">
        <f>'KG1-7'!BD41</f>
        <v/>
      </c>
      <c r="G1336">
        <f>'KG1-7'!BD42</f>
        <v/>
      </c>
    </row>
    <row r="1337">
      <c r="A1337">
        <f>'KG1-7'!$B$2</f>
        <v/>
      </c>
      <c r="B1337" s="126" t="n">
        <v>46302</v>
      </c>
      <c r="C1337">
        <f>'KG1-7'!BE44</f>
        <v/>
      </c>
      <c r="D1337">
        <f>'KG1-7'!BE43</f>
        <v/>
      </c>
      <c r="E1337">
        <f>'KG1-7'!BE40</f>
        <v/>
      </c>
      <c r="F1337">
        <f>'KG1-7'!BE41</f>
        <v/>
      </c>
      <c r="G1337">
        <f>'KG1-7'!BE42</f>
        <v/>
      </c>
    </row>
    <row r="1338">
      <c r="A1338">
        <f>'KG1-7'!$B$2</f>
        <v/>
      </c>
      <c r="B1338" s="126" t="n">
        <v>46303</v>
      </c>
      <c r="C1338">
        <f>'KG1-7'!BF44</f>
        <v/>
      </c>
      <c r="D1338">
        <f>'KG1-7'!BF43</f>
        <v/>
      </c>
      <c r="E1338">
        <f>'KG1-7'!BF40</f>
        <v/>
      </c>
      <c r="F1338">
        <f>'KG1-7'!BF41</f>
        <v/>
      </c>
      <c r="G1338">
        <f>'KG1-7'!BF42</f>
        <v/>
      </c>
    </row>
    <row r="1339">
      <c r="A1339">
        <f>'KG1-7'!$B$2</f>
        <v/>
      </c>
      <c r="B1339" s="126" t="n">
        <v>46304</v>
      </c>
      <c r="C1339">
        <f>'KG1-7'!BG44</f>
        <v/>
      </c>
      <c r="D1339">
        <f>'KG1-7'!BG43</f>
        <v/>
      </c>
      <c r="E1339">
        <f>'KG1-7'!BG40</f>
        <v/>
      </c>
      <c r="F1339">
        <f>'KG1-7'!BG41</f>
        <v/>
      </c>
      <c r="G1339">
        <f>'KG1-7'!BG42</f>
        <v/>
      </c>
    </row>
    <row r="1340">
      <c r="A1340">
        <f>'KG1-7'!$B$2</f>
        <v/>
      </c>
      <c r="B1340" s="126" t="n">
        <v>46307</v>
      </c>
      <c r="C1340">
        <f>'KG1-7'!BH44</f>
        <v/>
      </c>
      <c r="D1340">
        <f>'KG1-7'!BH43</f>
        <v/>
      </c>
      <c r="E1340">
        <f>'KG1-7'!BH40</f>
        <v/>
      </c>
      <c r="F1340">
        <f>'KG1-7'!BH41</f>
        <v/>
      </c>
      <c r="G1340">
        <f>'KG1-7'!BH42</f>
        <v/>
      </c>
    </row>
    <row r="1341">
      <c r="A1341">
        <f>'KG1-7'!$B$2</f>
        <v/>
      </c>
      <c r="B1341" s="126" t="n">
        <v>46308</v>
      </c>
      <c r="C1341">
        <f>'KG1-7'!BI44</f>
        <v/>
      </c>
      <c r="D1341">
        <f>'KG1-7'!BI43</f>
        <v/>
      </c>
      <c r="E1341">
        <f>'KG1-7'!BI40</f>
        <v/>
      </c>
      <c r="F1341">
        <f>'KG1-7'!BI41</f>
        <v/>
      </c>
      <c r="G1341">
        <f>'KG1-7'!BI42</f>
        <v/>
      </c>
    </row>
    <row r="1342">
      <c r="A1342">
        <f>'KG1-7'!$B$2</f>
        <v/>
      </c>
      <c r="B1342" s="126" t="n">
        <v>46309</v>
      </c>
      <c r="C1342">
        <f>'KG1-7'!BJ44</f>
        <v/>
      </c>
      <c r="D1342">
        <f>'KG1-7'!BJ43</f>
        <v/>
      </c>
      <c r="E1342">
        <f>'KG1-7'!BJ40</f>
        <v/>
      </c>
      <c r="F1342">
        <f>'KG1-7'!BJ41</f>
        <v/>
      </c>
      <c r="G1342">
        <f>'KG1-7'!BJ42</f>
        <v/>
      </c>
    </row>
    <row r="1343">
      <c r="A1343">
        <f>'KG1-7'!$B$2</f>
        <v/>
      </c>
      <c r="B1343" s="126" t="n">
        <v>46310</v>
      </c>
      <c r="C1343">
        <f>'KG1-7'!BK44</f>
        <v/>
      </c>
      <c r="D1343">
        <f>'KG1-7'!BK43</f>
        <v/>
      </c>
      <c r="E1343">
        <f>'KG1-7'!BK40</f>
        <v/>
      </c>
      <c r="F1343">
        <f>'KG1-7'!BK41</f>
        <v/>
      </c>
      <c r="G1343">
        <f>'KG1-7'!BK42</f>
        <v/>
      </c>
    </row>
    <row r="1344">
      <c r="A1344">
        <f>'KG1-7'!$B$2</f>
        <v/>
      </c>
      <c r="B1344" s="126" t="n">
        <v>46311</v>
      </c>
      <c r="C1344">
        <f>'KG1-7'!BL44</f>
        <v/>
      </c>
      <c r="D1344">
        <f>'KG1-7'!BL43</f>
        <v/>
      </c>
      <c r="E1344">
        <f>'KG1-7'!BL40</f>
        <v/>
      </c>
      <c r="F1344">
        <f>'KG1-7'!BL41</f>
        <v/>
      </c>
      <c r="G1344">
        <f>'KG1-7'!BL42</f>
        <v/>
      </c>
    </row>
    <row r="1345">
      <c r="A1345">
        <f>'KG1-7'!$B$2</f>
        <v/>
      </c>
      <c r="B1345" s="126" t="n">
        <v>46314</v>
      </c>
      <c r="C1345">
        <f>'KG1-7'!BM44</f>
        <v/>
      </c>
      <c r="D1345">
        <f>'KG1-7'!BM43</f>
        <v/>
      </c>
      <c r="E1345">
        <f>'KG1-7'!BM40</f>
        <v/>
      </c>
      <c r="F1345">
        <f>'KG1-7'!BM41</f>
        <v/>
      </c>
      <c r="G1345">
        <f>'KG1-7'!BM42</f>
        <v/>
      </c>
    </row>
    <row r="1346">
      <c r="A1346">
        <f>'KG1-7'!$B$2</f>
        <v/>
      </c>
      <c r="B1346" s="126" t="n">
        <v>46315</v>
      </c>
      <c r="C1346">
        <f>'KG1-7'!BN44</f>
        <v/>
      </c>
      <c r="D1346">
        <f>'KG1-7'!BN43</f>
        <v/>
      </c>
      <c r="E1346">
        <f>'KG1-7'!BN40</f>
        <v/>
      </c>
      <c r="F1346">
        <f>'KG1-7'!BN41</f>
        <v/>
      </c>
      <c r="G1346">
        <f>'KG1-7'!BN42</f>
        <v/>
      </c>
    </row>
    <row r="1347">
      <c r="A1347">
        <f>'KG1-7'!$B$2</f>
        <v/>
      </c>
      <c r="B1347" s="126" t="n">
        <v>46316</v>
      </c>
      <c r="C1347">
        <f>'KG1-7'!BO44</f>
        <v/>
      </c>
      <c r="D1347">
        <f>'KG1-7'!BO43</f>
        <v/>
      </c>
      <c r="E1347">
        <f>'KG1-7'!BO40</f>
        <v/>
      </c>
      <c r="F1347">
        <f>'KG1-7'!BO41</f>
        <v/>
      </c>
      <c r="G1347">
        <f>'KG1-7'!BO42</f>
        <v/>
      </c>
    </row>
    <row r="1348">
      <c r="A1348">
        <f>'KG1-7'!$B$2</f>
        <v/>
      </c>
      <c r="B1348" s="126" t="n">
        <v>46317</v>
      </c>
      <c r="C1348">
        <f>'KG1-7'!BP44</f>
        <v/>
      </c>
      <c r="D1348">
        <f>'KG1-7'!BP43</f>
        <v/>
      </c>
      <c r="E1348">
        <f>'KG1-7'!BP40</f>
        <v/>
      </c>
      <c r="F1348">
        <f>'KG1-7'!BP41</f>
        <v/>
      </c>
      <c r="G1348">
        <f>'KG1-7'!BP42</f>
        <v/>
      </c>
    </row>
    <row r="1349">
      <c r="A1349">
        <f>'KG1-7'!$B$2</f>
        <v/>
      </c>
      <c r="B1349" s="126" t="n">
        <v>46318</v>
      </c>
      <c r="C1349">
        <f>'KG1-7'!BQ44</f>
        <v/>
      </c>
      <c r="D1349">
        <f>'KG1-7'!BQ43</f>
        <v/>
      </c>
      <c r="E1349">
        <f>'KG1-7'!BQ40</f>
        <v/>
      </c>
      <c r="F1349">
        <f>'KG1-7'!BQ41</f>
        <v/>
      </c>
      <c r="G1349">
        <f>'KG1-7'!BQ42</f>
        <v/>
      </c>
    </row>
    <row r="1350">
      <c r="A1350">
        <f>'KG1-7'!$B$2</f>
        <v/>
      </c>
      <c r="B1350" s="126" t="n">
        <v>46321</v>
      </c>
      <c r="C1350">
        <f>'KG1-7'!BR44</f>
        <v/>
      </c>
      <c r="D1350">
        <f>'KG1-7'!BR43</f>
        <v/>
      </c>
      <c r="E1350">
        <f>'KG1-7'!BR40</f>
        <v/>
      </c>
      <c r="F1350">
        <f>'KG1-7'!BR41</f>
        <v/>
      </c>
      <c r="G1350">
        <f>'KG1-7'!BR42</f>
        <v/>
      </c>
    </row>
    <row r="1351">
      <c r="A1351">
        <f>'KG1-7'!$B$2</f>
        <v/>
      </c>
      <c r="B1351" s="126" t="n">
        <v>46322</v>
      </c>
      <c r="C1351">
        <f>'KG1-7'!BS44</f>
        <v/>
      </c>
      <c r="D1351">
        <f>'KG1-7'!BS43</f>
        <v/>
      </c>
      <c r="E1351">
        <f>'KG1-7'!BS40</f>
        <v/>
      </c>
      <c r="F1351">
        <f>'KG1-7'!BS41</f>
        <v/>
      </c>
      <c r="G1351">
        <f>'KG1-7'!BS42</f>
        <v/>
      </c>
    </row>
    <row r="1352">
      <c r="A1352">
        <f>'KG1-7'!$B$2</f>
        <v/>
      </c>
      <c r="B1352" s="126" t="n">
        <v>46323</v>
      </c>
      <c r="C1352">
        <f>'KG1-7'!BT44</f>
        <v/>
      </c>
      <c r="D1352">
        <f>'KG1-7'!BT43</f>
        <v/>
      </c>
      <c r="E1352">
        <f>'KG1-7'!BT40</f>
        <v/>
      </c>
      <c r="F1352">
        <f>'KG1-7'!BT41</f>
        <v/>
      </c>
      <c r="G1352">
        <f>'KG1-7'!BT42</f>
        <v/>
      </c>
    </row>
    <row r="1353">
      <c r="A1353">
        <f>'KG1-7'!$B$2</f>
        <v/>
      </c>
      <c r="B1353" s="126" t="n">
        <v>46324</v>
      </c>
      <c r="C1353">
        <f>'KG1-7'!BU44</f>
        <v/>
      </c>
      <c r="D1353">
        <f>'KG1-7'!BU43</f>
        <v/>
      </c>
      <c r="E1353">
        <f>'KG1-7'!BU40</f>
        <v/>
      </c>
      <c r="F1353">
        <f>'KG1-7'!BU41</f>
        <v/>
      </c>
      <c r="G1353">
        <f>'KG1-7'!BU42</f>
        <v/>
      </c>
    </row>
    <row r="1354">
      <c r="A1354">
        <f>'KG1-7'!$B$2</f>
        <v/>
      </c>
      <c r="B1354" s="126" t="n">
        <v>46325</v>
      </c>
      <c r="C1354">
        <f>'KG1-7'!BV44</f>
        <v/>
      </c>
      <c r="D1354">
        <f>'KG1-7'!BV43</f>
        <v/>
      </c>
      <c r="E1354">
        <f>'KG1-7'!BV40</f>
        <v/>
      </c>
      <c r="F1354">
        <f>'KG1-7'!BV41</f>
        <v/>
      </c>
      <c r="G1354">
        <f>'KG1-7'!BV42</f>
        <v/>
      </c>
    </row>
    <row r="1355">
      <c r="A1355">
        <f>'KG1-7'!$B$2</f>
        <v/>
      </c>
      <c r="B1355" s="126" t="n">
        <v>46328</v>
      </c>
      <c r="C1355">
        <f>'KG1-7'!BW44</f>
        <v/>
      </c>
      <c r="D1355">
        <f>'KG1-7'!BW43</f>
        <v/>
      </c>
      <c r="E1355">
        <f>'KG1-7'!BW40</f>
        <v/>
      </c>
      <c r="F1355">
        <f>'KG1-7'!BW41</f>
        <v/>
      </c>
      <c r="G1355">
        <f>'KG1-7'!BW42</f>
        <v/>
      </c>
    </row>
    <row r="1356">
      <c r="A1356">
        <f>'KG1-7'!$B$2</f>
        <v/>
      </c>
      <c r="B1356" s="126" t="n">
        <v>46329</v>
      </c>
      <c r="C1356">
        <f>'KG1-7'!BX44</f>
        <v/>
      </c>
      <c r="D1356">
        <f>'KG1-7'!BX43</f>
        <v/>
      </c>
      <c r="E1356">
        <f>'KG1-7'!BX40</f>
        <v/>
      </c>
      <c r="F1356">
        <f>'KG1-7'!BX41</f>
        <v/>
      </c>
      <c r="G1356">
        <f>'KG1-7'!BX42</f>
        <v/>
      </c>
    </row>
    <row r="1357">
      <c r="A1357">
        <f>'KG1-7'!$B$2</f>
        <v/>
      </c>
      <c r="B1357" s="126" t="n">
        <v>46330</v>
      </c>
      <c r="C1357">
        <f>'KG1-7'!BY44</f>
        <v/>
      </c>
      <c r="D1357">
        <f>'KG1-7'!BY43</f>
        <v/>
      </c>
      <c r="E1357">
        <f>'KG1-7'!BY40</f>
        <v/>
      </c>
      <c r="F1357">
        <f>'KG1-7'!BY41</f>
        <v/>
      </c>
      <c r="G1357">
        <f>'KG1-7'!BY42</f>
        <v/>
      </c>
    </row>
    <row r="1358">
      <c r="A1358">
        <f>'KG1-7'!$B$2</f>
        <v/>
      </c>
      <c r="B1358" s="126" t="n">
        <v>46331</v>
      </c>
      <c r="C1358">
        <f>'KG1-7'!BZ44</f>
        <v/>
      </c>
      <c r="D1358">
        <f>'KG1-7'!BZ43</f>
        <v/>
      </c>
      <c r="E1358">
        <f>'KG1-7'!BZ40</f>
        <v/>
      </c>
      <c r="F1358">
        <f>'KG1-7'!BZ41</f>
        <v/>
      </c>
      <c r="G1358">
        <f>'KG1-7'!BZ42</f>
        <v/>
      </c>
    </row>
    <row r="1359">
      <c r="A1359">
        <f>'KG1-7'!$B$2</f>
        <v/>
      </c>
      <c r="B1359" s="126" t="n">
        <v>46332</v>
      </c>
      <c r="C1359">
        <f>'KG1-7'!CA44</f>
        <v/>
      </c>
      <c r="D1359">
        <f>'KG1-7'!CA43</f>
        <v/>
      </c>
      <c r="E1359">
        <f>'KG1-7'!CA40</f>
        <v/>
      </c>
      <c r="F1359">
        <f>'KG1-7'!CA41</f>
        <v/>
      </c>
      <c r="G1359">
        <f>'KG1-7'!CA42</f>
        <v/>
      </c>
    </row>
    <row r="1360">
      <c r="A1360">
        <f>'KG1-7'!$B$2</f>
        <v/>
      </c>
      <c r="B1360" s="126" t="n">
        <v>46335</v>
      </c>
      <c r="C1360">
        <f>'KG1-7'!CB44</f>
        <v/>
      </c>
      <c r="D1360">
        <f>'KG1-7'!CB43</f>
        <v/>
      </c>
      <c r="E1360">
        <f>'KG1-7'!CB40</f>
        <v/>
      </c>
      <c r="F1360">
        <f>'KG1-7'!CB41</f>
        <v/>
      </c>
      <c r="G1360">
        <f>'KG1-7'!CB42</f>
        <v/>
      </c>
    </row>
    <row r="1361">
      <c r="A1361">
        <f>'KG1-7'!$B$2</f>
        <v/>
      </c>
      <c r="B1361" s="126" t="n">
        <v>46336</v>
      </c>
      <c r="C1361">
        <f>'KG1-7'!CC44</f>
        <v/>
      </c>
      <c r="D1361">
        <f>'KG1-7'!CC43</f>
        <v/>
      </c>
      <c r="E1361">
        <f>'KG1-7'!CC40</f>
        <v/>
      </c>
      <c r="F1361">
        <f>'KG1-7'!CC41</f>
        <v/>
      </c>
      <c r="G1361">
        <f>'KG1-7'!CC42</f>
        <v/>
      </c>
    </row>
    <row r="1362">
      <c r="A1362">
        <f>'KG1-7'!$B$2</f>
        <v/>
      </c>
      <c r="B1362" s="126" t="n">
        <v>46337</v>
      </c>
      <c r="C1362">
        <f>'KG1-7'!CD44</f>
        <v/>
      </c>
      <c r="D1362">
        <f>'KG1-7'!CD43</f>
        <v/>
      </c>
      <c r="E1362">
        <f>'KG1-7'!CD40</f>
        <v/>
      </c>
      <c r="F1362">
        <f>'KG1-7'!CD41</f>
        <v/>
      </c>
      <c r="G1362">
        <f>'KG1-7'!CD42</f>
        <v/>
      </c>
    </row>
    <row r="1363">
      <c r="A1363">
        <f>'KG1-7'!$B$2</f>
        <v/>
      </c>
      <c r="B1363" s="126" t="n">
        <v>46338</v>
      </c>
      <c r="C1363">
        <f>'KG1-7'!CE44</f>
        <v/>
      </c>
      <c r="D1363">
        <f>'KG1-7'!CE43</f>
        <v/>
      </c>
      <c r="E1363">
        <f>'KG1-7'!CE40</f>
        <v/>
      </c>
      <c r="F1363">
        <f>'KG1-7'!CE41</f>
        <v/>
      </c>
      <c r="G1363">
        <f>'KG1-7'!CE42</f>
        <v/>
      </c>
    </row>
    <row r="1364">
      <c r="A1364">
        <f>'KG1-7'!$B$2</f>
        <v/>
      </c>
      <c r="B1364" s="126" t="n">
        <v>46339</v>
      </c>
      <c r="C1364">
        <f>'KG1-7'!CF44</f>
        <v/>
      </c>
      <c r="D1364">
        <f>'KG1-7'!CF43</f>
        <v/>
      </c>
      <c r="E1364">
        <f>'KG1-7'!CF40</f>
        <v/>
      </c>
      <c r="F1364">
        <f>'KG1-7'!CF41</f>
        <v/>
      </c>
      <c r="G1364">
        <f>'KG1-7'!CF42</f>
        <v/>
      </c>
    </row>
    <row r="1365">
      <c r="A1365">
        <f>'KG1-7'!$B$2</f>
        <v/>
      </c>
      <c r="B1365" s="126" t="n">
        <v>46342</v>
      </c>
      <c r="C1365">
        <f>'KG1-7'!CG44</f>
        <v/>
      </c>
      <c r="D1365">
        <f>'KG1-7'!CG43</f>
        <v/>
      </c>
      <c r="E1365">
        <f>'KG1-7'!CG40</f>
        <v/>
      </c>
      <c r="F1365">
        <f>'KG1-7'!CG41</f>
        <v/>
      </c>
      <c r="G1365">
        <f>'KG1-7'!CG42</f>
        <v/>
      </c>
    </row>
    <row r="1366">
      <c r="A1366">
        <f>'KG1-7'!$B$2</f>
        <v/>
      </c>
      <c r="B1366" s="126" t="n">
        <v>46343</v>
      </c>
      <c r="C1366">
        <f>'KG1-7'!CH44</f>
        <v/>
      </c>
      <c r="D1366">
        <f>'KG1-7'!CH43</f>
        <v/>
      </c>
      <c r="E1366">
        <f>'KG1-7'!CH40</f>
        <v/>
      </c>
      <c r="F1366">
        <f>'KG1-7'!CH41</f>
        <v/>
      </c>
      <c r="G1366">
        <f>'KG1-7'!CH42</f>
        <v/>
      </c>
    </row>
    <row r="1367">
      <c r="A1367">
        <f>'KG1-7'!$B$2</f>
        <v/>
      </c>
      <c r="B1367" s="126" t="n">
        <v>46344</v>
      </c>
      <c r="C1367">
        <f>'KG1-7'!CI44</f>
        <v/>
      </c>
      <c r="D1367">
        <f>'KG1-7'!CI43</f>
        <v/>
      </c>
      <c r="E1367">
        <f>'KG1-7'!CI40</f>
        <v/>
      </c>
      <c r="F1367">
        <f>'KG1-7'!CI41</f>
        <v/>
      </c>
      <c r="G1367">
        <f>'KG1-7'!CI42</f>
        <v/>
      </c>
    </row>
    <row r="1368">
      <c r="A1368">
        <f>'KG1-7'!$B$2</f>
        <v/>
      </c>
      <c r="B1368" s="126" t="n">
        <v>46345</v>
      </c>
      <c r="C1368">
        <f>'KG1-7'!CJ44</f>
        <v/>
      </c>
      <c r="D1368">
        <f>'KG1-7'!CJ43</f>
        <v/>
      </c>
      <c r="E1368">
        <f>'KG1-7'!CJ40</f>
        <v/>
      </c>
      <c r="F1368">
        <f>'KG1-7'!CJ41</f>
        <v/>
      </c>
      <c r="G1368">
        <f>'KG1-7'!CJ42</f>
        <v/>
      </c>
    </row>
    <row r="1369">
      <c r="A1369">
        <f>'KG1-7'!$B$2</f>
        <v/>
      </c>
      <c r="B1369" s="126" t="n">
        <v>46346</v>
      </c>
      <c r="C1369">
        <f>'KG1-7'!CK44</f>
        <v/>
      </c>
      <c r="D1369">
        <f>'KG1-7'!CK43</f>
        <v/>
      </c>
      <c r="E1369">
        <f>'KG1-7'!CK40</f>
        <v/>
      </c>
      <c r="F1369">
        <f>'KG1-7'!CK41</f>
        <v/>
      </c>
      <c r="G1369">
        <f>'KG1-7'!CK42</f>
        <v/>
      </c>
    </row>
    <row r="1370">
      <c r="A1370">
        <f>'KG1-7'!$B$2</f>
        <v/>
      </c>
      <c r="B1370" s="126" t="n">
        <v>46349</v>
      </c>
      <c r="C1370">
        <f>'KG1-7'!CL44</f>
        <v/>
      </c>
      <c r="D1370">
        <f>'KG1-7'!CL43</f>
        <v/>
      </c>
      <c r="E1370">
        <f>'KG1-7'!CL40</f>
        <v/>
      </c>
      <c r="F1370">
        <f>'KG1-7'!CL41</f>
        <v/>
      </c>
      <c r="G1370">
        <f>'KG1-7'!CL42</f>
        <v/>
      </c>
    </row>
    <row r="1371">
      <c r="A1371">
        <f>'KG1-7'!$B$2</f>
        <v/>
      </c>
      <c r="B1371" s="126" t="n">
        <v>46350</v>
      </c>
      <c r="C1371">
        <f>'KG1-7'!CM44</f>
        <v/>
      </c>
      <c r="D1371">
        <f>'KG1-7'!CM43</f>
        <v/>
      </c>
      <c r="E1371">
        <f>'KG1-7'!CM40</f>
        <v/>
      </c>
      <c r="F1371">
        <f>'KG1-7'!CM41</f>
        <v/>
      </c>
      <c r="G1371">
        <f>'KG1-7'!CM42</f>
        <v/>
      </c>
    </row>
    <row r="1372">
      <c r="A1372">
        <f>'KG1-7'!$B$2</f>
        <v/>
      </c>
      <c r="B1372" s="126" t="n">
        <v>46351</v>
      </c>
      <c r="C1372">
        <f>'KG1-7'!CN44</f>
        <v/>
      </c>
      <c r="D1372">
        <f>'KG1-7'!CN43</f>
        <v/>
      </c>
      <c r="E1372">
        <f>'KG1-7'!CN40</f>
        <v/>
      </c>
      <c r="F1372">
        <f>'KG1-7'!CN41</f>
        <v/>
      </c>
      <c r="G1372">
        <f>'KG1-7'!CN42</f>
        <v/>
      </c>
    </row>
    <row r="1373">
      <c r="A1373">
        <f>'KG1-7'!$B$2</f>
        <v/>
      </c>
      <c r="B1373" s="126" t="n">
        <v>46352</v>
      </c>
      <c r="C1373">
        <f>'KG1-7'!CO44</f>
        <v/>
      </c>
      <c r="D1373">
        <f>'KG1-7'!CO43</f>
        <v/>
      </c>
      <c r="E1373">
        <f>'KG1-7'!CO40</f>
        <v/>
      </c>
      <c r="F1373">
        <f>'KG1-7'!CO41</f>
        <v/>
      </c>
      <c r="G1373">
        <f>'KG1-7'!CO42</f>
        <v/>
      </c>
    </row>
    <row r="1374">
      <c r="A1374">
        <f>'KG1-7'!$B$2</f>
        <v/>
      </c>
      <c r="B1374" s="126" t="n">
        <v>46353</v>
      </c>
      <c r="C1374">
        <f>'KG1-7'!CP44</f>
        <v/>
      </c>
      <c r="D1374">
        <f>'KG1-7'!CP43</f>
        <v/>
      </c>
      <c r="E1374">
        <f>'KG1-7'!CP40</f>
        <v/>
      </c>
      <c r="F1374">
        <f>'KG1-7'!CP41</f>
        <v/>
      </c>
      <c r="G1374">
        <f>'KG1-7'!CP42</f>
        <v/>
      </c>
    </row>
    <row r="1375">
      <c r="A1375">
        <f>'KG1-7'!$B$2</f>
        <v/>
      </c>
      <c r="B1375" s="126" t="n">
        <v>46356</v>
      </c>
      <c r="C1375">
        <f>'KG1-7'!CQ44</f>
        <v/>
      </c>
      <c r="D1375">
        <f>'KG1-7'!CQ43</f>
        <v/>
      </c>
      <c r="E1375">
        <f>'KG1-7'!CQ40</f>
        <v/>
      </c>
      <c r="F1375">
        <f>'KG1-7'!CQ41</f>
        <v/>
      </c>
      <c r="G1375">
        <f>'KG1-7'!CQ42</f>
        <v/>
      </c>
    </row>
    <row r="1376">
      <c r="A1376">
        <f>'KG1-7'!$B$2</f>
        <v/>
      </c>
      <c r="B1376" s="126" t="n">
        <v>46357</v>
      </c>
      <c r="C1376">
        <f>'KG1-7'!CR44</f>
        <v/>
      </c>
      <c r="D1376">
        <f>'KG1-7'!CR43</f>
        <v/>
      </c>
      <c r="E1376">
        <f>'KG1-7'!CR40</f>
        <v/>
      </c>
      <c r="F1376">
        <f>'KG1-7'!CR41</f>
        <v/>
      </c>
      <c r="G1376">
        <f>'KG1-7'!CR42</f>
        <v/>
      </c>
    </row>
    <row r="1377">
      <c r="A1377">
        <f>'KG1-7'!$B$2</f>
        <v/>
      </c>
      <c r="B1377" s="126" t="n">
        <v>46358</v>
      </c>
      <c r="C1377">
        <f>'KG1-7'!CS44</f>
        <v/>
      </c>
      <c r="D1377">
        <f>'KG1-7'!CS43</f>
        <v/>
      </c>
      <c r="E1377">
        <f>'KG1-7'!CS40</f>
        <v/>
      </c>
      <c r="F1377">
        <f>'KG1-7'!CS41</f>
        <v/>
      </c>
      <c r="G1377">
        <f>'KG1-7'!CS42</f>
        <v/>
      </c>
    </row>
    <row r="1378">
      <c r="A1378">
        <f>'KG1-7'!$B$2</f>
        <v/>
      </c>
      <c r="B1378" s="126" t="n">
        <v>46359</v>
      </c>
      <c r="C1378">
        <f>'KG1-7'!CT44</f>
        <v/>
      </c>
      <c r="D1378">
        <f>'KG1-7'!CT43</f>
        <v/>
      </c>
      <c r="E1378">
        <f>'KG1-7'!CT40</f>
        <v/>
      </c>
      <c r="F1378">
        <f>'KG1-7'!CT41</f>
        <v/>
      </c>
      <c r="G1378">
        <f>'KG1-7'!CT42</f>
        <v/>
      </c>
    </row>
    <row r="1379">
      <c r="A1379">
        <f>'KG1-7'!$B$2</f>
        <v/>
      </c>
      <c r="B1379" s="126" t="n">
        <v>46360</v>
      </c>
      <c r="C1379">
        <f>'KG1-7'!CU44</f>
        <v/>
      </c>
      <c r="D1379">
        <f>'KG1-7'!CU43</f>
        <v/>
      </c>
      <c r="E1379">
        <f>'KG1-7'!CU40</f>
        <v/>
      </c>
      <c r="F1379">
        <f>'KG1-7'!CU41</f>
        <v/>
      </c>
      <c r="G1379">
        <f>'KG1-7'!CU42</f>
        <v/>
      </c>
    </row>
    <row r="1380">
      <c r="A1380">
        <f>'KG1-7'!$B$2</f>
        <v/>
      </c>
      <c r="B1380" s="126" t="n">
        <v>46363</v>
      </c>
      <c r="C1380">
        <f>'KG1-7'!CV44</f>
        <v/>
      </c>
      <c r="D1380">
        <f>'KG1-7'!CV43</f>
        <v/>
      </c>
      <c r="E1380">
        <f>'KG1-7'!CV40</f>
        <v/>
      </c>
      <c r="F1380">
        <f>'KG1-7'!CV41</f>
        <v/>
      </c>
      <c r="G1380">
        <f>'KG1-7'!CV42</f>
        <v/>
      </c>
    </row>
    <row r="1381">
      <c r="A1381">
        <f>'KG1-7'!$B$2</f>
        <v/>
      </c>
      <c r="B1381" s="126" t="n">
        <v>46364</v>
      </c>
      <c r="C1381">
        <f>'KG1-7'!CW44</f>
        <v/>
      </c>
      <c r="D1381">
        <f>'KG1-7'!CW43</f>
        <v/>
      </c>
      <c r="E1381">
        <f>'KG1-7'!CW40</f>
        <v/>
      </c>
      <c r="F1381">
        <f>'KG1-7'!CW41</f>
        <v/>
      </c>
      <c r="G1381">
        <f>'KG1-7'!CW42</f>
        <v/>
      </c>
    </row>
    <row r="1382">
      <c r="A1382">
        <f>'KG1-7'!$B$2</f>
        <v/>
      </c>
      <c r="B1382" s="126" t="n">
        <v>46365</v>
      </c>
      <c r="C1382">
        <f>'KG1-7'!CX44</f>
        <v/>
      </c>
      <c r="D1382">
        <f>'KG1-7'!CX43</f>
        <v/>
      </c>
      <c r="E1382">
        <f>'KG1-7'!CX40</f>
        <v/>
      </c>
      <c r="F1382">
        <f>'KG1-7'!CX41</f>
        <v/>
      </c>
      <c r="G1382">
        <f>'KG1-7'!CX42</f>
        <v/>
      </c>
    </row>
    <row r="1383">
      <c r="A1383">
        <f>'KG1-7'!$B$2</f>
        <v/>
      </c>
      <c r="B1383" s="126" t="n">
        <v>46366</v>
      </c>
      <c r="C1383">
        <f>'KG1-7'!CY44</f>
        <v/>
      </c>
      <c r="D1383">
        <f>'KG1-7'!CY43</f>
        <v/>
      </c>
      <c r="E1383">
        <f>'KG1-7'!CY40</f>
        <v/>
      </c>
      <c r="F1383">
        <f>'KG1-7'!CY41</f>
        <v/>
      </c>
      <c r="G1383">
        <f>'KG1-7'!CY42</f>
        <v/>
      </c>
    </row>
    <row r="1384">
      <c r="A1384">
        <f>'KG1-7'!$B$2</f>
        <v/>
      </c>
      <c r="B1384" s="126" t="n">
        <v>46367</v>
      </c>
      <c r="C1384">
        <f>'KG1-7'!CZ44</f>
        <v/>
      </c>
      <c r="D1384">
        <f>'KG1-7'!CZ43</f>
        <v/>
      </c>
      <c r="E1384">
        <f>'KG1-7'!CZ40</f>
        <v/>
      </c>
      <c r="F1384">
        <f>'KG1-7'!CZ41</f>
        <v/>
      </c>
      <c r="G1384">
        <f>'KG1-7'!CZ42</f>
        <v/>
      </c>
    </row>
    <row r="1385">
      <c r="A1385">
        <f>'KG1-7'!$B$2</f>
        <v/>
      </c>
      <c r="B1385" s="126" t="n">
        <v>46370</v>
      </c>
      <c r="C1385">
        <f>'KG1-7'!DA44</f>
        <v/>
      </c>
      <c r="D1385">
        <f>'KG1-7'!DA43</f>
        <v/>
      </c>
      <c r="E1385">
        <f>'KG1-7'!DA40</f>
        <v/>
      </c>
      <c r="F1385">
        <f>'KG1-7'!DA41</f>
        <v/>
      </c>
      <c r="G1385">
        <f>'KG1-7'!DA42</f>
        <v/>
      </c>
    </row>
    <row r="1386">
      <c r="A1386">
        <f>'KG1-7'!$B$2</f>
        <v/>
      </c>
      <c r="B1386" s="126" t="n">
        <v>46371</v>
      </c>
      <c r="C1386">
        <f>'KG1-7'!DB44</f>
        <v/>
      </c>
      <c r="D1386">
        <f>'KG1-7'!DB43</f>
        <v/>
      </c>
      <c r="E1386">
        <f>'KG1-7'!DB40</f>
        <v/>
      </c>
      <c r="F1386">
        <f>'KG1-7'!DB41</f>
        <v/>
      </c>
      <c r="G1386">
        <f>'KG1-7'!DB42</f>
        <v/>
      </c>
    </row>
    <row r="1387">
      <c r="A1387">
        <f>'KG1-7'!$B$2</f>
        <v/>
      </c>
      <c r="B1387" s="126" t="n">
        <v>46372</v>
      </c>
      <c r="C1387">
        <f>'KG1-7'!DC44</f>
        <v/>
      </c>
      <c r="D1387">
        <f>'KG1-7'!DC43</f>
        <v/>
      </c>
      <c r="E1387">
        <f>'KG1-7'!DC40</f>
        <v/>
      </c>
      <c r="F1387">
        <f>'KG1-7'!DC41</f>
        <v/>
      </c>
      <c r="G1387">
        <f>'KG1-7'!DC42</f>
        <v/>
      </c>
    </row>
    <row r="1388">
      <c r="A1388">
        <f>'KG1-7'!$B$2</f>
        <v/>
      </c>
      <c r="B1388" s="126" t="n">
        <v>46373</v>
      </c>
      <c r="C1388">
        <f>'KG1-7'!DD44</f>
        <v/>
      </c>
      <c r="D1388">
        <f>'KG1-7'!DD43</f>
        <v/>
      </c>
      <c r="E1388">
        <f>'KG1-7'!DD40</f>
        <v/>
      </c>
      <c r="F1388">
        <f>'KG1-7'!DD41</f>
        <v/>
      </c>
      <c r="G1388">
        <f>'KG1-7'!DD42</f>
        <v/>
      </c>
    </row>
    <row r="1389">
      <c r="A1389">
        <f>'KG1-7'!$B$2</f>
        <v/>
      </c>
      <c r="B1389" s="126" t="n">
        <v>46374</v>
      </c>
      <c r="C1389">
        <f>'KG1-7'!DE44</f>
        <v/>
      </c>
      <c r="D1389">
        <f>'KG1-7'!DE43</f>
        <v/>
      </c>
      <c r="E1389">
        <f>'KG1-7'!DE40</f>
        <v/>
      </c>
      <c r="F1389">
        <f>'KG1-7'!DE41</f>
        <v/>
      </c>
      <c r="G1389">
        <f>'KG1-7'!DE42</f>
        <v/>
      </c>
    </row>
    <row r="1390">
      <c r="A1390">
        <f>'KG1-7'!$B$2</f>
        <v/>
      </c>
      <c r="B1390" s="126" t="n">
        <v>46377</v>
      </c>
      <c r="C1390">
        <f>'KG1-7'!DF44</f>
        <v/>
      </c>
      <c r="D1390">
        <f>'KG1-7'!DF43</f>
        <v/>
      </c>
      <c r="E1390">
        <f>'KG1-7'!DF40</f>
        <v/>
      </c>
      <c r="F1390">
        <f>'KG1-7'!DF41</f>
        <v/>
      </c>
      <c r="G1390">
        <f>'KG1-7'!DF42</f>
        <v/>
      </c>
    </row>
    <row r="1391">
      <c r="A1391">
        <f>'KG1-7'!$B$2</f>
        <v/>
      </c>
      <c r="B1391" s="126" t="n">
        <v>46378</v>
      </c>
      <c r="C1391">
        <f>'KG1-7'!DG44</f>
        <v/>
      </c>
      <c r="D1391">
        <f>'KG1-7'!DG43</f>
        <v/>
      </c>
      <c r="E1391">
        <f>'KG1-7'!DG40</f>
        <v/>
      </c>
      <c r="F1391">
        <f>'KG1-7'!DG41</f>
        <v/>
      </c>
      <c r="G1391">
        <f>'KG1-7'!DG42</f>
        <v/>
      </c>
    </row>
    <row r="1392">
      <c r="A1392">
        <f>'KG1-7'!$B$2</f>
        <v/>
      </c>
      <c r="B1392" s="126" t="n">
        <v>46379</v>
      </c>
      <c r="C1392">
        <f>'KG1-7'!DH44</f>
        <v/>
      </c>
      <c r="D1392">
        <f>'KG1-7'!DH43</f>
        <v/>
      </c>
      <c r="E1392">
        <f>'KG1-7'!DH40</f>
        <v/>
      </c>
      <c r="F1392">
        <f>'KG1-7'!DH41</f>
        <v/>
      </c>
      <c r="G1392">
        <f>'KG1-7'!DH42</f>
        <v/>
      </c>
    </row>
    <row r="1393">
      <c r="A1393">
        <f>'KG1-7'!$B$2</f>
        <v/>
      </c>
      <c r="B1393" s="126" t="n">
        <v>46380</v>
      </c>
      <c r="C1393">
        <f>'KG1-7'!DI44</f>
        <v/>
      </c>
      <c r="D1393">
        <f>'KG1-7'!DI43</f>
        <v/>
      </c>
      <c r="E1393">
        <f>'KG1-7'!DI40</f>
        <v/>
      </c>
      <c r="F1393">
        <f>'KG1-7'!DI41</f>
        <v/>
      </c>
      <c r="G1393">
        <f>'KG1-7'!DI42</f>
        <v/>
      </c>
    </row>
    <row r="1394">
      <c r="A1394">
        <f>'KG1-7'!$B$2</f>
        <v/>
      </c>
      <c r="B1394" s="126" t="n">
        <v>46381</v>
      </c>
      <c r="C1394">
        <f>'KG1-7'!DJ44</f>
        <v/>
      </c>
      <c r="D1394">
        <f>'KG1-7'!DJ43</f>
        <v/>
      </c>
      <c r="E1394">
        <f>'KG1-7'!DJ40</f>
        <v/>
      </c>
      <c r="F1394">
        <f>'KG1-7'!DJ41</f>
        <v/>
      </c>
      <c r="G1394">
        <f>'KG1-7'!DJ42</f>
        <v/>
      </c>
    </row>
    <row r="1395">
      <c r="A1395">
        <f>'KG1-7'!$B$2</f>
        <v/>
      </c>
      <c r="B1395" s="126" t="n">
        <v>46384</v>
      </c>
      <c r="C1395">
        <f>'KG1-7'!DK44</f>
        <v/>
      </c>
      <c r="D1395">
        <f>'KG1-7'!DK43</f>
        <v/>
      </c>
      <c r="E1395">
        <f>'KG1-7'!DK40</f>
        <v/>
      </c>
      <c r="F1395">
        <f>'KG1-7'!DK41</f>
        <v/>
      </c>
      <c r="G1395">
        <f>'KG1-7'!DK42</f>
        <v/>
      </c>
    </row>
    <row r="1396">
      <c r="A1396">
        <f>'KG1-7'!$B$2</f>
        <v/>
      </c>
      <c r="B1396" s="126" t="n">
        <v>46385</v>
      </c>
      <c r="C1396">
        <f>'KG1-7'!DL44</f>
        <v/>
      </c>
      <c r="D1396">
        <f>'KG1-7'!DL43</f>
        <v/>
      </c>
      <c r="E1396">
        <f>'KG1-7'!DL40</f>
        <v/>
      </c>
      <c r="F1396">
        <f>'KG1-7'!DL41</f>
        <v/>
      </c>
      <c r="G1396">
        <f>'KG1-7'!DL42</f>
        <v/>
      </c>
    </row>
    <row r="1397">
      <c r="A1397">
        <f>'KG1-7'!$B$2</f>
        <v/>
      </c>
      <c r="B1397" s="126" t="n">
        <v>46386</v>
      </c>
      <c r="C1397">
        <f>'KG1-7'!DM44</f>
        <v/>
      </c>
      <c r="D1397">
        <f>'KG1-7'!DM43</f>
        <v/>
      </c>
      <c r="E1397">
        <f>'KG1-7'!DM40</f>
        <v/>
      </c>
      <c r="F1397">
        <f>'KG1-7'!DM41</f>
        <v/>
      </c>
      <c r="G1397">
        <f>'KG1-7'!DM42</f>
        <v/>
      </c>
    </row>
    <row r="1398">
      <c r="A1398">
        <f>'KG1-7'!$B$2</f>
        <v/>
      </c>
      <c r="B1398" s="126" t="n">
        <v>46387</v>
      </c>
      <c r="C1398">
        <f>'KG1-7'!DN44</f>
        <v/>
      </c>
      <c r="D1398">
        <f>'KG1-7'!DN43</f>
        <v/>
      </c>
      <c r="E1398">
        <f>'KG1-7'!DN40</f>
        <v/>
      </c>
      <c r="F1398">
        <f>'KG1-7'!DN41</f>
        <v/>
      </c>
      <c r="G1398">
        <f>'KG1-7'!DN42</f>
        <v/>
      </c>
    </row>
    <row r="1399">
      <c r="A1399">
        <f>'KG1-7'!$B$2</f>
        <v/>
      </c>
      <c r="B1399" s="126" t="n">
        <v>46388</v>
      </c>
      <c r="C1399">
        <f>'KG1-7'!DO44</f>
        <v/>
      </c>
      <c r="D1399">
        <f>'KG1-7'!DO43</f>
        <v/>
      </c>
      <c r="E1399">
        <f>'KG1-7'!DO40</f>
        <v/>
      </c>
      <c r="F1399">
        <f>'KG1-7'!DO41</f>
        <v/>
      </c>
      <c r="G1399">
        <f>'KG1-7'!DO42</f>
        <v/>
      </c>
    </row>
    <row r="1400">
      <c r="A1400">
        <f>'KG1-7'!$B$2</f>
        <v/>
      </c>
      <c r="B1400" s="126" t="n">
        <v>46391</v>
      </c>
      <c r="C1400">
        <f>'KG1-7'!DP44</f>
        <v/>
      </c>
      <c r="D1400">
        <f>'KG1-7'!DP43</f>
        <v/>
      </c>
      <c r="E1400">
        <f>'KG1-7'!DP40</f>
        <v/>
      </c>
      <c r="F1400">
        <f>'KG1-7'!DP41</f>
        <v/>
      </c>
      <c r="G1400">
        <f>'KG1-7'!DP42</f>
        <v/>
      </c>
    </row>
    <row r="1401">
      <c r="A1401">
        <f>'KG1-7'!$B$2</f>
        <v/>
      </c>
      <c r="B1401" s="126" t="n">
        <v>46392</v>
      </c>
      <c r="C1401">
        <f>'KG1-7'!DQ44</f>
        <v/>
      </c>
      <c r="D1401">
        <f>'KG1-7'!DQ43</f>
        <v/>
      </c>
      <c r="E1401">
        <f>'KG1-7'!DQ40</f>
        <v/>
      </c>
      <c r="F1401">
        <f>'KG1-7'!DQ41</f>
        <v/>
      </c>
      <c r="G1401">
        <f>'KG1-7'!DQ42</f>
        <v/>
      </c>
    </row>
    <row r="1402">
      <c r="A1402">
        <f>'KG1-7'!$B$2</f>
        <v/>
      </c>
      <c r="B1402" s="126" t="n">
        <v>46393</v>
      </c>
      <c r="C1402">
        <f>'KG1-7'!DR44</f>
        <v/>
      </c>
      <c r="D1402">
        <f>'KG1-7'!DR43</f>
        <v/>
      </c>
      <c r="E1402">
        <f>'KG1-7'!DR40</f>
        <v/>
      </c>
      <c r="F1402">
        <f>'KG1-7'!DR41</f>
        <v/>
      </c>
      <c r="G1402">
        <f>'KG1-7'!DR42</f>
        <v/>
      </c>
    </row>
    <row r="1403">
      <c r="A1403">
        <f>'KG1-7'!$B$2</f>
        <v/>
      </c>
      <c r="B1403" s="126" t="n">
        <v>46394</v>
      </c>
      <c r="C1403">
        <f>'KG1-7'!DS44</f>
        <v/>
      </c>
      <c r="D1403">
        <f>'KG1-7'!DS43</f>
        <v/>
      </c>
      <c r="E1403">
        <f>'KG1-7'!DS40</f>
        <v/>
      </c>
      <c r="F1403">
        <f>'KG1-7'!DS41</f>
        <v/>
      </c>
      <c r="G1403">
        <f>'KG1-7'!DS42</f>
        <v/>
      </c>
    </row>
    <row r="1404">
      <c r="A1404">
        <f>'KG1-7'!$B$2</f>
        <v/>
      </c>
      <c r="B1404" s="126" t="n">
        <v>46395</v>
      </c>
      <c r="C1404">
        <f>'KG1-7'!DT44</f>
        <v/>
      </c>
      <c r="D1404">
        <f>'KG1-7'!DT43</f>
        <v/>
      </c>
      <c r="E1404">
        <f>'KG1-7'!DT40</f>
        <v/>
      </c>
      <c r="F1404">
        <f>'KG1-7'!DT41</f>
        <v/>
      </c>
      <c r="G1404">
        <f>'KG1-7'!DT42</f>
        <v/>
      </c>
    </row>
    <row r="1405">
      <c r="A1405">
        <f>'KG1-7'!$B$2</f>
        <v/>
      </c>
      <c r="B1405" s="126" t="n">
        <v>46398</v>
      </c>
      <c r="C1405">
        <f>'KG1-7'!DU44</f>
        <v/>
      </c>
      <c r="D1405">
        <f>'KG1-7'!DU43</f>
        <v/>
      </c>
      <c r="E1405">
        <f>'KG1-7'!DU40</f>
        <v/>
      </c>
      <c r="F1405">
        <f>'KG1-7'!DU41</f>
        <v/>
      </c>
      <c r="G1405">
        <f>'KG1-7'!DU42</f>
        <v/>
      </c>
    </row>
    <row r="1406">
      <c r="A1406">
        <f>'KG1-7'!$B$2</f>
        <v/>
      </c>
      <c r="B1406" s="126" t="n">
        <v>46399</v>
      </c>
      <c r="C1406">
        <f>'KG1-7'!DV44</f>
        <v/>
      </c>
      <c r="D1406">
        <f>'KG1-7'!DV43</f>
        <v/>
      </c>
      <c r="E1406">
        <f>'KG1-7'!DV40</f>
        <v/>
      </c>
      <c r="F1406">
        <f>'KG1-7'!DV41</f>
        <v/>
      </c>
      <c r="G1406">
        <f>'KG1-7'!DV42</f>
        <v/>
      </c>
    </row>
    <row r="1407">
      <c r="A1407">
        <f>'KG1-7'!$B$2</f>
        <v/>
      </c>
      <c r="B1407" s="126" t="n">
        <v>46400</v>
      </c>
      <c r="C1407">
        <f>'KG1-7'!DW44</f>
        <v/>
      </c>
      <c r="D1407">
        <f>'KG1-7'!DW43</f>
        <v/>
      </c>
      <c r="E1407">
        <f>'KG1-7'!DW40</f>
        <v/>
      </c>
      <c r="F1407">
        <f>'KG1-7'!DW41</f>
        <v/>
      </c>
      <c r="G1407">
        <f>'KG1-7'!DW42</f>
        <v/>
      </c>
    </row>
    <row r="1408">
      <c r="A1408">
        <f>'KG1-7'!$B$2</f>
        <v/>
      </c>
      <c r="B1408" s="126" t="n">
        <v>46401</v>
      </c>
      <c r="C1408">
        <f>'KG1-7'!DX44</f>
        <v/>
      </c>
      <c r="D1408">
        <f>'KG1-7'!DX43</f>
        <v/>
      </c>
      <c r="E1408">
        <f>'KG1-7'!DX40</f>
        <v/>
      </c>
      <c r="F1408">
        <f>'KG1-7'!DX41</f>
        <v/>
      </c>
      <c r="G1408">
        <f>'KG1-7'!DX42</f>
        <v/>
      </c>
    </row>
    <row r="1409">
      <c r="A1409">
        <f>'KG1-7'!$B$2</f>
        <v/>
      </c>
      <c r="B1409" s="126" t="n">
        <v>46402</v>
      </c>
      <c r="C1409">
        <f>'KG1-7'!DY44</f>
        <v/>
      </c>
      <c r="D1409">
        <f>'KG1-7'!DY43</f>
        <v/>
      </c>
      <c r="E1409">
        <f>'KG1-7'!DY40</f>
        <v/>
      </c>
      <c r="F1409">
        <f>'KG1-7'!DY41</f>
        <v/>
      </c>
      <c r="G1409">
        <f>'KG1-7'!DY42</f>
        <v/>
      </c>
    </row>
    <row r="1410">
      <c r="A1410">
        <f>'KG1-7'!$B$2</f>
        <v/>
      </c>
      <c r="B1410" s="126" t="n">
        <v>46405</v>
      </c>
      <c r="C1410">
        <f>'KG1-7'!DZ44</f>
        <v/>
      </c>
      <c r="D1410">
        <f>'KG1-7'!DZ43</f>
        <v/>
      </c>
      <c r="E1410">
        <f>'KG1-7'!DZ40</f>
        <v/>
      </c>
      <c r="F1410">
        <f>'KG1-7'!DZ41</f>
        <v/>
      </c>
      <c r="G1410">
        <f>'KG1-7'!DZ42</f>
        <v/>
      </c>
    </row>
    <row r="1411">
      <c r="A1411">
        <f>'KG1-7'!$B$2</f>
        <v/>
      </c>
      <c r="B1411" s="126" t="n">
        <v>46406</v>
      </c>
      <c r="C1411">
        <f>'KG1-7'!EA44</f>
        <v/>
      </c>
      <c r="D1411">
        <f>'KG1-7'!EA43</f>
        <v/>
      </c>
      <c r="E1411">
        <f>'KG1-7'!EA40</f>
        <v/>
      </c>
      <c r="F1411">
        <f>'KG1-7'!EA41</f>
        <v/>
      </c>
      <c r="G1411">
        <f>'KG1-7'!EA42</f>
        <v/>
      </c>
    </row>
    <row r="1412">
      <c r="A1412">
        <f>'KG1-7'!$B$2</f>
        <v/>
      </c>
      <c r="B1412" s="126" t="n">
        <v>46407</v>
      </c>
      <c r="C1412">
        <f>'KG1-7'!EB44</f>
        <v/>
      </c>
      <c r="D1412">
        <f>'KG1-7'!EB43</f>
        <v/>
      </c>
      <c r="E1412">
        <f>'KG1-7'!EB40</f>
        <v/>
      </c>
      <c r="F1412">
        <f>'KG1-7'!EB41</f>
        <v/>
      </c>
      <c r="G1412">
        <f>'KG1-7'!EB42</f>
        <v/>
      </c>
    </row>
    <row r="1413">
      <c r="A1413">
        <f>'KG1-7'!$B$2</f>
        <v/>
      </c>
      <c r="B1413" s="126" t="n">
        <v>46408</v>
      </c>
      <c r="C1413">
        <f>'KG1-7'!EC44</f>
        <v/>
      </c>
      <c r="D1413">
        <f>'KG1-7'!EC43</f>
        <v/>
      </c>
      <c r="E1413">
        <f>'KG1-7'!EC40</f>
        <v/>
      </c>
      <c r="F1413">
        <f>'KG1-7'!EC41</f>
        <v/>
      </c>
      <c r="G1413">
        <f>'KG1-7'!EC42</f>
        <v/>
      </c>
    </row>
    <row r="1414">
      <c r="A1414">
        <f>'KG1-7'!$B$2</f>
        <v/>
      </c>
      <c r="B1414" s="126" t="n">
        <v>46409</v>
      </c>
      <c r="C1414">
        <f>'KG1-7'!ED44</f>
        <v/>
      </c>
      <c r="D1414">
        <f>'KG1-7'!ED43</f>
        <v/>
      </c>
      <c r="E1414">
        <f>'KG1-7'!ED40</f>
        <v/>
      </c>
      <c r="F1414">
        <f>'KG1-7'!ED41</f>
        <v/>
      </c>
      <c r="G1414">
        <f>'KG1-7'!ED42</f>
        <v/>
      </c>
    </row>
    <row r="1415">
      <c r="A1415">
        <f>'KG1-7'!$B$2</f>
        <v/>
      </c>
      <c r="B1415" s="126" t="n">
        <v>46412</v>
      </c>
      <c r="C1415">
        <f>'KG1-7'!EE44</f>
        <v/>
      </c>
      <c r="D1415">
        <f>'KG1-7'!EE43</f>
        <v/>
      </c>
      <c r="E1415">
        <f>'KG1-7'!EE40</f>
        <v/>
      </c>
      <c r="F1415">
        <f>'KG1-7'!EE41</f>
        <v/>
      </c>
      <c r="G1415">
        <f>'KG1-7'!EE42</f>
        <v/>
      </c>
    </row>
    <row r="1416">
      <c r="A1416">
        <f>'KG1-7'!$B$2</f>
        <v/>
      </c>
      <c r="B1416" s="126" t="n">
        <v>46413</v>
      </c>
      <c r="C1416">
        <f>'KG1-7'!EF44</f>
        <v/>
      </c>
      <c r="D1416">
        <f>'KG1-7'!EF43</f>
        <v/>
      </c>
      <c r="E1416">
        <f>'KG1-7'!EF40</f>
        <v/>
      </c>
      <c r="F1416">
        <f>'KG1-7'!EF41</f>
        <v/>
      </c>
      <c r="G1416">
        <f>'KG1-7'!EF42</f>
        <v/>
      </c>
    </row>
    <row r="1417">
      <c r="A1417">
        <f>'KG1-7'!$B$2</f>
        <v/>
      </c>
      <c r="B1417" s="126" t="n">
        <v>46414</v>
      </c>
      <c r="C1417">
        <f>'KG1-7'!EG44</f>
        <v/>
      </c>
      <c r="D1417">
        <f>'KG1-7'!EG43</f>
        <v/>
      </c>
      <c r="E1417">
        <f>'KG1-7'!EG40</f>
        <v/>
      </c>
      <c r="F1417">
        <f>'KG1-7'!EG41</f>
        <v/>
      </c>
      <c r="G1417">
        <f>'KG1-7'!EG42</f>
        <v/>
      </c>
    </row>
    <row r="1418">
      <c r="A1418">
        <f>'KG1-7'!$B$2</f>
        <v/>
      </c>
      <c r="B1418" s="126" t="n">
        <v>46415</v>
      </c>
      <c r="C1418">
        <f>'KG1-7'!EH44</f>
        <v/>
      </c>
      <c r="D1418">
        <f>'KG1-7'!EH43</f>
        <v/>
      </c>
      <c r="E1418">
        <f>'KG1-7'!EH40</f>
        <v/>
      </c>
      <c r="F1418">
        <f>'KG1-7'!EH41</f>
        <v/>
      </c>
      <c r="G1418">
        <f>'KG1-7'!EH42</f>
        <v/>
      </c>
    </row>
    <row r="1419">
      <c r="A1419">
        <f>'KG1-7'!$B$2</f>
        <v/>
      </c>
      <c r="B1419" s="126" t="n">
        <v>46416</v>
      </c>
      <c r="C1419">
        <f>'KG1-7'!EI44</f>
        <v/>
      </c>
      <c r="D1419">
        <f>'KG1-7'!EI43</f>
        <v/>
      </c>
      <c r="E1419">
        <f>'KG1-7'!EI40</f>
        <v/>
      </c>
      <c r="F1419">
        <f>'KG1-7'!EI41</f>
        <v/>
      </c>
      <c r="G1419">
        <f>'KG1-7'!EI42</f>
        <v/>
      </c>
    </row>
    <row r="1420">
      <c r="A1420">
        <f>'KG1-7'!$B$2</f>
        <v/>
      </c>
      <c r="B1420" s="126" t="n">
        <v>46419</v>
      </c>
      <c r="C1420">
        <f>'KG1-7'!EJ44</f>
        <v/>
      </c>
      <c r="D1420">
        <f>'KG1-7'!EJ43</f>
        <v/>
      </c>
      <c r="E1420">
        <f>'KG1-7'!EJ40</f>
        <v/>
      </c>
      <c r="F1420">
        <f>'KG1-7'!EJ41</f>
        <v/>
      </c>
      <c r="G1420">
        <f>'KG1-7'!EJ42</f>
        <v/>
      </c>
    </row>
    <row r="1421">
      <c r="A1421">
        <f>'KG1-7'!$B$2</f>
        <v/>
      </c>
      <c r="B1421" s="126" t="n">
        <v>46420</v>
      </c>
      <c r="C1421">
        <f>'KG1-7'!EK44</f>
        <v/>
      </c>
      <c r="D1421">
        <f>'KG1-7'!EK43</f>
        <v/>
      </c>
      <c r="E1421">
        <f>'KG1-7'!EK40</f>
        <v/>
      </c>
      <c r="F1421">
        <f>'KG1-7'!EK41</f>
        <v/>
      </c>
      <c r="G1421">
        <f>'KG1-7'!EK42</f>
        <v/>
      </c>
    </row>
    <row r="1422">
      <c r="A1422">
        <f>'KG1-7'!$B$2</f>
        <v/>
      </c>
      <c r="B1422" s="126" t="n">
        <v>46421</v>
      </c>
      <c r="C1422">
        <f>'KG1-7'!EL44</f>
        <v/>
      </c>
      <c r="D1422">
        <f>'KG1-7'!EL43</f>
        <v/>
      </c>
      <c r="E1422">
        <f>'KG1-7'!EL40</f>
        <v/>
      </c>
      <c r="F1422">
        <f>'KG1-7'!EL41</f>
        <v/>
      </c>
      <c r="G1422">
        <f>'KG1-7'!EL42</f>
        <v/>
      </c>
    </row>
    <row r="1423">
      <c r="A1423">
        <f>'KG1-7'!$B$2</f>
        <v/>
      </c>
      <c r="B1423" s="126" t="n">
        <v>46422</v>
      </c>
      <c r="C1423">
        <f>'KG1-7'!EM44</f>
        <v/>
      </c>
      <c r="D1423">
        <f>'KG1-7'!EM43</f>
        <v/>
      </c>
      <c r="E1423">
        <f>'KG1-7'!EM40</f>
        <v/>
      </c>
      <c r="F1423">
        <f>'KG1-7'!EM41</f>
        <v/>
      </c>
      <c r="G1423">
        <f>'KG1-7'!EM42</f>
        <v/>
      </c>
    </row>
    <row r="1424">
      <c r="A1424">
        <f>'KG1-7'!$B$2</f>
        <v/>
      </c>
      <c r="B1424" s="126" t="n">
        <v>46423</v>
      </c>
      <c r="C1424">
        <f>'KG1-7'!EN44</f>
        <v/>
      </c>
      <c r="D1424">
        <f>'KG1-7'!EN43</f>
        <v/>
      </c>
      <c r="E1424">
        <f>'KG1-7'!EN40</f>
        <v/>
      </c>
      <c r="F1424">
        <f>'KG1-7'!EN41</f>
        <v/>
      </c>
      <c r="G1424">
        <f>'KG1-7'!EN42</f>
        <v/>
      </c>
    </row>
    <row r="1425">
      <c r="A1425">
        <f>'KG1-7'!$B$2</f>
        <v/>
      </c>
      <c r="B1425" s="126" t="n">
        <v>46426</v>
      </c>
      <c r="C1425">
        <f>'KG1-7'!EO44</f>
        <v/>
      </c>
      <c r="D1425">
        <f>'KG1-7'!EO43</f>
        <v/>
      </c>
      <c r="E1425">
        <f>'KG1-7'!EO40</f>
        <v/>
      </c>
      <c r="F1425">
        <f>'KG1-7'!EO41</f>
        <v/>
      </c>
      <c r="G1425">
        <f>'KG1-7'!EO42</f>
        <v/>
      </c>
    </row>
    <row r="1426">
      <c r="A1426">
        <f>'KG1-7'!$B$2</f>
        <v/>
      </c>
      <c r="B1426" s="126" t="n">
        <v>46427</v>
      </c>
      <c r="C1426">
        <f>'KG1-7'!EP44</f>
        <v/>
      </c>
      <c r="D1426">
        <f>'KG1-7'!EP43</f>
        <v/>
      </c>
      <c r="E1426">
        <f>'KG1-7'!EP40</f>
        <v/>
      </c>
      <c r="F1426">
        <f>'KG1-7'!EP41</f>
        <v/>
      </c>
      <c r="G1426">
        <f>'KG1-7'!EP42</f>
        <v/>
      </c>
    </row>
    <row r="1427">
      <c r="A1427">
        <f>'KG1-7'!$B$2</f>
        <v/>
      </c>
      <c r="B1427" s="126" t="n">
        <v>46428</v>
      </c>
      <c r="C1427">
        <f>'KG1-7'!EQ44</f>
        <v/>
      </c>
      <c r="D1427">
        <f>'KG1-7'!EQ43</f>
        <v/>
      </c>
      <c r="E1427">
        <f>'KG1-7'!EQ40</f>
        <v/>
      </c>
      <c r="F1427">
        <f>'KG1-7'!EQ41</f>
        <v/>
      </c>
      <c r="G1427">
        <f>'KG1-7'!EQ42</f>
        <v/>
      </c>
    </row>
    <row r="1428">
      <c r="A1428">
        <f>'KG1-7'!$B$2</f>
        <v/>
      </c>
      <c r="B1428" s="126" t="n">
        <v>46429</v>
      </c>
      <c r="C1428">
        <f>'KG1-7'!ER44</f>
        <v/>
      </c>
      <c r="D1428">
        <f>'KG1-7'!ER43</f>
        <v/>
      </c>
      <c r="E1428">
        <f>'KG1-7'!ER40</f>
        <v/>
      </c>
      <c r="F1428">
        <f>'KG1-7'!ER41</f>
        <v/>
      </c>
      <c r="G1428">
        <f>'KG1-7'!ER42</f>
        <v/>
      </c>
    </row>
    <row r="1429">
      <c r="A1429">
        <f>'KG1-7'!$B$2</f>
        <v/>
      </c>
      <c r="B1429" s="126" t="n">
        <v>46430</v>
      </c>
      <c r="C1429">
        <f>'KG1-7'!ES44</f>
        <v/>
      </c>
      <c r="D1429">
        <f>'KG1-7'!ES43</f>
        <v/>
      </c>
      <c r="E1429">
        <f>'KG1-7'!ES40</f>
        <v/>
      </c>
      <c r="F1429">
        <f>'KG1-7'!ES41</f>
        <v/>
      </c>
      <c r="G1429">
        <f>'KG1-7'!ES42</f>
        <v/>
      </c>
    </row>
    <row r="1430">
      <c r="A1430">
        <f>'KG1-7'!$B$2</f>
        <v/>
      </c>
      <c r="B1430" s="126" t="n">
        <v>46433</v>
      </c>
      <c r="C1430">
        <f>'KG1-7'!ET44</f>
        <v/>
      </c>
      <c r="D1430">
        <f>'KG1-7'!ET43</f>
        <v/>
      </c>
      <c r="E1430">
        <f>'KG1-7'!ET40</f>
        <v/>
      </c>
      <c r="F1430">
        <f>'KG1-7'!ET41</f>
        <v/>
      </c>
      <c r="G1430">
        <f>'KG1-7'!ET42</f>
        <v/>
      </c>
    </row>
    <row r="1431">
      <c r="A1431">
        <f>'KG1-7'!$B$2</f>
        <v/>
      </c>
      <c r="B1431" s="126" t="n">
        <v>46434</v>
      </c>
      <c r="C1431">
        <f>'KG1-7'!EU44</f>
        <v/>
      </c>
      <c r="D1431">
        <f>'KG1-7'!EU43</f>
        <v/>
      </c>
      <c r="E1431">
        <f>'KG1-7'!EU40</f>
        <v/>
      </c>
      <c r="F1431">
        <f>'KG1-7'!EU41</f>
        <v/>
      </c>
      <c r="G1431">
        <f>'KG1-7'!EU42</f>
        <v/>
      </c>
    </row>
    <row r="1432">
      <c r="A1432">
        <f>'KG1-7'!$B$2</f>
        <v/>
      </c>
      <c r="B1432" s="126" t="n">
        <v>46435</v>
      </c>
      <c r="C1432">
        <f>'KG1-7'!EV44</f>
        <v/>
      </c>
      <c r="D1432">
        <f>'KG1-7'!EV43</f>
        <v/>
      </c>
      <c r="E1432">
        <f>'KG1-7'!EV40</f>
        <v/>
      </c>
      <c r="F1432">
        <f>'KG1-7'!EV41</f>
        <v/>
      </c>
      <c r="G1432">
        <f>'KG1-7'!EV42</f>
        <v/>
      </c>
    </row>
    <row r="1433">
      <c r="A1433">
        <f>'KG1-7'!$B$2</f>
        <v/>
      </c>
      <c r="B1433" s="126" t="n">
        <v>46436</v>
      </c>
      <c r="C1433">
        <f>'KG1-7'!EW44</f>
        <v/>
      </c>
      <c r="D1433">
        <f>'KG1-7'!EW43</f>
        <v/>
      </c>
      <c r="E1433">
        <f>'KG1-7'!EW40</f>
        <v/>
      </c>
      <c r="F1433">
        <f>'KG1-7'!EW41</f>
        <v/>
      </c>
      <c r="G1433">
        <f>'KG1-7'!EW42</f>
        <v/>
      </c>
    </row>
    <row r="1434">
      <c r="A1434">
        <f>'KG1-7'!$B$2</f>
        <v/>
      </c>
      <c r="B1434" s="126" t="n">
        <v>46437</v>
      </c>
      <c r="C1434">
        <f>'KG1-7'!EX44</f>
        <v/>
      </c>
      <c r="D1434">
        <f>'KG1-7'!EX43</f>
        <v/>
      </c>
      <c r="E1434">
        <f>'KG1-7'!EX40</f>
        <v/>
      </c>
      <c r="F1434">
        <f>'KG1-7'!EX41</f>
        <v/>
      </c>
      <c r="G1434">
        <f>'KG1-7'!EX42</f>
        <v/>
      </c>
    </row>
    <row r="1435">
      <c r="A1435">
        <f>'KG1-7'!$B$2</f>
        <v/>
      </c>
      <c r="B1435" s="126" t="n">
        <v>46440</v>
      </c>
      <c r="C1435">
        <f>'KG1-7'!EY44</f>
        <v/>
      </c>
      <c r="D1435">
        <f>'KG1-7'!EY43</f>
        <v/>
      </c>
      <c r="E1435">
        <f>'KG1-7'!EY40</f>
        <v/>
      </c>
      <c r="F1435">
        <f>'KG1-7'!EY41</f>
        <v/>
      </c>
      <c r="G1435">
        <f>'KG1-7'!EY42</f>
        <v/>
      </c>
    </row>
    <row r="1436">
      <c r="A1436">
        <f>'KG1-7'!$B$2</f>
        <v/>
      </c>
      <c r="B1436" s="126" t="n">
        <v>46441</v>
      </c>
      <c r="C1436">
        <f>'KG1-7'!EZ44</f>
        <v/>
      </c>
      <c r="D1436">
        <f>'KG1-7'!EZ43</f>
        <v/>
      </c>
      <c r="E1436">
        <f>'KG1-7'!EZ40</f>
        <v/>
      </c>
      <c r="F1436">
        <f>'KG1-7'!EZ41</f>
        <v/>
      </c>
      <c r="G1436">
        <f>'KG1-7'!EZ42</f>
        <v/>
      </c>
    </row>
    <row r="1437">
      <c r="A1437">
        <f>'KG1-7'!$B$2</f>
        <v/>
      </c>
      <c r="B1437" s="126" t="n">
        <v>46442</v>
      </c>
      <c r="C1437">
        <f>'KG1-7'!FA44</f>
        <v/>
      </c>
      <c r="D1437">
        <f>'KG1-7'!FA43</f>
        <v/>
      </c>
      <c r="E1437">
        <f>'KG1-7'!FA40</f>
        <v/>
      </c>
      <c r="F1437">
        <f>'KG1-7'!FA41</f>
        <v/>
      </c>
      <c r="G1437">
        <f>'KG1-7'!FA42</f>
        <v/>
      </c>
    </row>
    <row r="1438">
      <c r="A1438">
        <f>'KG1-7'!$B$2</f>
        <v/>
      </c>
      <c r="B1438" s="126" t="n">
        <v>46443</v>
      </c>
      <c r="C1438">
        <f>'KG1-7'!FB44</f>
        <v/>
      </c>
      <c r="D1438">
        <f>'KG1-7'!FB43</f>
        <v/>
      </c>
      <c r="E1438">
        <f>'KG1-7'!FB40</f>
        <v/>
      </c>
      <c r="F1438">
        <f>'KG1-7'!FB41</f>
        <v/>
      </c>
      <c r="G1438">
        <f>'KG1-7'!FB42</f>
        <v/>
      </c>
    </row>
    <row r="1439">
      <c r="A1439">
        <f>'KG1-7'!$B$2</f>
        <v/>
      </c>
      <c r="B1439" s="126" t="n">
        <v>46444</v>
      </c>
      <c r="C1439">
        <f>'KG1-7'!FC44</f>
        <v/>
      </c>
      <c r="D1439">
        <f>'KG1-7'!FC43</f>
        <v/>
      </c>
      <c r="E1439">
        <f>'KG1-7'!FC40</f>
        <v/>
      </c>
      <c r="F1439">
        <f>'KG1-7'!FC41</f>
        <v/>
      </c>
      <c r="G1439">
        <f>'KG1-7'!FC42</f>
        <v/>
      </c>
    </row>
    <row r="1440">
      <c r="A1440">
        <f>'KG1-7'!$B$2</f>
        <v/>
      </c>
      <c r="B1440" s="126" t="n">
        <v>46447</v>
      </c>
      <c r="C1440">
        <f>'KG1-7'!FD44</f>
        <v/>
      </c>
      <c r="D1440">
        <f>'KG1-7'!FD43</f>
        <v/>
      </c>
      <c r="E1440">
        <f>'KG1-7'!FD40</f>
        <v/>
      </c>
      <c r="F1440">
        <f>'KG1-7'!FD41</f>
        <v/>
      </c>
      <c r="G1440">
        <f>'KG1-7'!FD42</f>
        <v/>
      </c>
    </row>
    <row r="1441">
      <c r="A1441">
        <f>'KG1-7'!$B$2</f>
        <v/>
      </c>
      <c r="B1441" s="126" t="n">
        <v>46448</v>
      </c>
      <c r="C1441">
        <f>'KG1-7'!FE44</f>
        <v/>
      </c>
      <c r="D1441">
        <f>'KG1-7'!FE43</f>
        <v/>
      </c>
      <c r="E1441">
        <f>'KG1-7'!FE40</f>
        <v/>
      </c>
      <c r="F1441">
        <f>'KG1-7'!FE41</f>
        <v/>
      </c>
      <c r="G1441">
        <f>'KG1-7'!FE42</f>
        <v/>
      </c>
    </row>
    <row r="1442">
      <c r="A1442">
        <f>'KG1-7'!$B$2</f>
        <v/>
      </c>
      <c r="B1442" s="126" t="n">
        <v>46449</v>
      </c>
      <c r="C1442">
        <f>'KG1-7'!FF44</f>
        <v/>
      </c>
      <c r="D1442">
        <f>'KG1-7'!FF43</f>
        <v/>
      </c>
      <c r="E1442">
        <f>'KG1-7'!FF40</f>
        <v/>
      </c>
      <c r="F1442">
        <f>'KG1-7'!FF41</f>
        <v/>
      </c>
      <c r="G1442">
        <f>'KG1-7'!FF42</f>
        <v/>
      </c>
    </row>
    <row r="1443">
      <c r="A1443">
        <f>'KG1-7'!$B$2</f>
        <v/>
      </c>
      <c r="B1443" s="126" t="n">
        <v>46450</v>
      </c>
      <c r="C1443">
        <f>'KG1-7'!FG44</f>
        <v/>
      </c>
      <c r="D1443">
        <f>'KG1-7'!FG43</f>
        <v/>
      </c>
      <c r="E1443">
        <f>'KG1-7'!FG40</f>
        <v/>
      </c>
      <c r="F1443">
        <f>'KG1-7'!FG41</f>
        <v/>
      </c>
      <c r="G1443">
        <f>'KG1-7'!FG42</f>
        <v/>
      </c>
    </row>
    <row r="1444">
      <c r="A1444">
        <f>'KG1-7'!$B$2</f>
        <v/>
      </c>
      <c r="B1444" s="126" t="n">
        <v>46451</v>
      </c>
      <c r="C1444">
        <f>'KG1-7'!FH44</f>
        <v/>
      </c>
      <c r="D1444">
        <f>'KG1-7'!FH43</f>
        <v/>
      </c>
      <c r="E1444">
        <f>'KG1-7'!FH40</f>
        <v/>
      </c>
      <c r="F1444">
        <f>'KG1-7'!FH41</f>
        <v/>
      </c>
      <c r="G1444">
        <f>'KG1-7'!FH42</f>
        <v/>
      </c>
    </row>
    <row r="1445">
      <c r="A1445">
        <f>'KG1-7'!$B$2</f>
        <v/>
      </c>
      <c r="B1445" s="126" t="n">
        <v>46454</v>
      </c>
      <c r="C1445">
        <f>'KG1-7'!FI44</f>
        <v/>
      </c>
      <c r="D1445">
        <f>'KG1-7'!FI43</f>
        <v/>
      </c>
      <c r="E1445">
        <f>'KG1-7'!FI40</f>
        <v/>
      </c>
      <c r="F1445">
        <f>'KG1-7'!FI41</f>
        <v/>
      </c>
      <c r="G1445">
        <f>'KG1-7'!FI42</f>
        <v/>
      </c>
    </row>
    <row r="1446">
      <c r="A1446">
        <f>'KG1-7'!$B$2</f>
        <v/>
      </c>
      <c r="B1446" s="126" t="n">
        <v>46455</v>
      </c>
      <c r="C1446">
        <f>'KG1-7'!FJ44</f>
        <v/>
      </c>
      <c r="D1446">
        <f>'KG1-7'!FJ43</f>
        <v/>
      </c>
      <c r="E1446">
        <f>'KG1-7'!FJ40</f>
        <v/>
      </c>
      <c r="F1446">
        <f>'KG1-7'!FJ41</f>
        <v/>
      </c>
      <c r="G1446">
        <f>'KG1-7'!FJ42</f>
        <v/>
      </c>
    </row>
    <row r="1447">
      <c r="A1447">
        <f>'KG1-7'!$B$2</f>
        <v/>
      </c>
      <c r="B1447" s="126" t="n">
        <v>46456</v>
      </c>
      <c r="C1447">
        <f>'KG1-7'!FK44</f>
        <v/>
      </c>
      <c r="D1447">
        <f>'KG1-7'!FK43</f>
        <v/>
      </c>
      <c r="E1447">
        <f>'KG1-7'!FK40</f>
        <v/>
      </c>
      <c r="F1447">
        <f>'KG1-7'!FK41</f>
        <v/>
      </c>
      <c r="G1447">
        <f>'KG1-7'!FK42</f>
        <v/>
      </c>
    </row>
    <row r="1448">
      <c r="A1448">
        <f>'KG1-7'!$B$2</f>
        <v/>
      </c>
      <c r="B1448" s="126" t="n">
        <v>46457</v>
      </c>
      <c r="C1448">
        <f>'KG1-7'!FL44</f>
        <v/>
      </c>
      <c r="D1448">
        <f>'KG1-7'!FL43</f>
        <v/>
      </c>
      <c r="E1448">
        <f>'KG1-7'!FL40</f>
        <v/>
      </c>
      <c r="F1448">
        <f>'KG1-7'!FL41</f>
        <v/>
      </c>
      <c r="G1448">
        <f>'KG1-7'!FL42</f>
        <v/>
      </c>
    </row>
    <row r="1449">
      <c r="A1449">
        <f>'KG1-7'!$B$2</f>
        <v/>
      </c>
      <c r="B1449" s="126" t="n">
        <v>46458</v>
      </c>
      <c r="C1449">
        <f>'KG1-7'!FM44</f>
        <v/>
      </c>
      <c r="D1449">
        <f>'KG1-7'!FM43</f>
        <v/>
      </c>
      <c r="E1449">
        <f>'KG1-7'!FM40</f>
        <v/>
      </c>
      <c r="F1449">
        <f>'KG1-7'!FM41</f>
        <v/>
      </c>
      <c r="G1449">
        <f>'KG1-7'!FM42</f>
        <v/>
      </c>
    </row>
    <row r="1450">
      <c r="A1450">
        <f>'KG1-7'!$B$2</f>
        <v/>
      </c>
      <c r="B1450" s="126" t="n">
        <v>46461</v>
      </c>
      <c r="C1450">
        <f>'KG1-7'!FN44</f>
        <v/>
      </c>
      <c r="D1450">
        <f>'KG1-7'!FN43</f>
        <v/>
      </c>
      <c r="E1450">
        <f>'KG1-7'!FN40</f>
        <v/>
      </c>
      <c r="F1450">
        <f>'KG1-7'!FN41</f>
        <v/>
      </c>
      <c r="G1450">
        <f>'KG1-7'!FN42</f>
        <v/>
      </c>
    </row>
    <row r="1451">
      <c r="A1451">
        <f>'KG1-7'!$B$2</f>
        <v/>
      </c>
      <c r="B1451" s="126" t="n">
        <v>46462</v>
      </c>
      <c r="C1451">
        <f>'KG1-7'!FO44</f>
        <v/>
      </c>
      <c r="D1451">
        <f>'KG1-7'!FO43</f>
        <v/>
      </c>
      <c r="E1451">
        <f>'KG1-7'!FO40</f>
        <v/>
      </c>
      <c r="F1451">
        <f>'KG1-7'!FO41</f>
        <v/>
      </c>
      <c r="G1451">
        <f>'KG1-7'!FO42</f>
        <v/>
      </c>
    </row>
    <row r="1452">
      <c r="A1452">
        <f>'KG1-7'!$B$2</f>
        <v/>
      </c>
      <c r="B1452" s="126" t="n">
        <v>46463</v>
      </c>
      <c r="C1452">
        <f>'KG1-7'!FP44</f>
        <v/>
      </c>
      <c r="D1452">
        <f>'KG1-7'!FP43</f>
        <v/>
      </c>
      <c r="E1452">
        <f>'KG1-7'!FP40</f>
        <v/>
      </c>
      <c r="F1452">
        <f>'KG1-7'!FP41</f>
        <v/>
      </c>
      <c r="G1452">
        <f>'KG1-7'!FP42</f>
        <v/>
      </c>
    </row>
    <row r="1453">
      <c r="A1453">
        <f>'KG1-7'!$B$2</f>
        <v/>
      </c>
      <c r="B1453" s="126" t="n">
        <v>46464</v>
      </c>
      <c r="C1453">
        <f>'KG1-7'!FQ44</f>
        <v/>
      </c>
      <c r="D1453">
        <f>'KG1-7'!FQ43</f>
        <v/>
      </c>
      <c r="E1453">
        <f>'KG1-7'!FQ40</f>
        <v/>
      </c>
      <c r="F1453">
        <f>'KG1-7'!FQ41</f>
        <v/>
      </c>
      <c r="G1453">
        <f>'KG1-7'!FQ42</f>
        <v/>
      </c>
    </row>
    <row r="1454">
      <c r="A1454">
        <f>'KG1-7'!$B$2</f>
        <v/>
      </c>
      <c r="B1454" s="126" t="n">
        <v>46465</v>
      </c>
      <c r="C1454">
        <f>'KG1-7'!FR44</f>
        <v/>
      </c>
      <c r="D1454">
        <f>'KG1-7'!FR43</f>
        <v/>
      </c>
      <c r="E1454">
        <f>'KG1-7'!FR40</f>
        <v/>
      </c>
      <c r="F1454">
        <f>'KG1-7'!FR41</f>
        <v/>
      </c>
      <c r="G1454">
        <f>'KG1-7'!FR42</f>
        <v/>
      </c>
    </row>
    <row r="1455">
      <c r="A1455">
        <f>'KG1-7'!$B$2</f>
        <v/>
      </c>
      <c r="B1455" s="126" t="n">
        <v>46468</v>
      </c>
      <c r="C1455">
        <f>'KG1-7'!FS44</f>
        <v/>
      </c>
      <c r="D1455">
        <f>'KG1-7'!FS43</f>
        <v/>
      </c>
      <c r="E1455">
        <f>'KG1-7'!FS40</f>
        <v/>
      </c>
      <c r="F1455">
        <f>'KG1-7'!FS41</f>
        <v/>
      </c>
      <c r="G1455">
        <f>'KG1-7'!FS42</f>
        <v/>
      </c>
    </row>
    <row r="1456">
      <c r="A1456">
        <f>'KG1-7'!$B$2</f>
        <v/>
      </c>
      <c r="B1456" s="126" t="n">
        <v>46469</v>
      </c>
      <c r="C1456">
        <f>'KG1-7'!FT44</f>
        <v/>
      </c>
      <c r="D1456">
        <f>'KG1-7'!FT43</f>
        <v/>
      </c>
      <c r="E1456">
        <f>'KG1-7'!FT40</f>
        <v/>
      </c>
      <c r="F1456">
        <f>'KG1-7'!FT41</f>
        <v/>
      </c>
      <c r="G1456">
        <f>'KG1-7'!FT42</f>
        <v/>
      </c>
    </row>
    <row r="1457">
      <c r="A1457">
        <f>'KG1-7'!$B$2</f>
        <v/>
      </c>
      <c r="B1457" s="126" t="n">
        <v>46470</v>
      </c>
      <c r="C1457">
        <f>'KG1-7'!FU44</f>
        <v/>
      </c>
      <c r="D1457">
        <f>'KG1-7'!FU43</f>
        <v/>
      </c>
      <c r="E1457">
        <f>'KG1-7'!FU40</f>
        <v/>
      </c>
      <c r="F1457">
        <f>'KG1-7'!FU41</f>
        <v/>
      </c>
      <c r="G1457">
        <f>'KG1-7'!FU42</f>
        <v/>
      </c>
    </row>
    <row r="1458">
      <c r="A1458">
        <f>'KG1-7'!$B$2</f>
        <v/>
      </c>
      <c r="B1458" s="126" t="n">
        <v>46471</v>
      </c>
      <c r="C1458">
        <f>'KG1-7'!FV44</f>
        <v/>
      </c>
      <c r="D1458">
        <f>'KG1-7'!FV43</f>
        <v/>
      </c>
      <c r="E1458">
        <f>'KG1-7'!FV40</f>
        <v/>
      </c>
      <c r="F1458">
        <f>'KG1-7'!FV41</f>
        <v/>
      </c>
      <c r="G1458">
        <f>'KG1-7'!FV42</f>
        <v/>
      </c>
    </row>
    <row r="1459">
      <c r="A1459">
        <f>'KG1-7'!$B$2</f>
        <v/>
      </c>
      <c r="B1459" s="126" t="n">
        <v>46472</v>
      </c>
      <c r="C1459">
        <f>'KG1-7'!FW44</f>
        <v/>
      </c>
      <c r="D1459">
        <f>'KG1-7'!FW43</f>
        <v/>
      </c>
      <c r="E1459">
        <f>'KG1-7'!FW40</f>
        <v/>
      </c>
      <c r="F1459">
        <f>'KG1-7'!FW41</f>
        <v/>
      </c>
      <c r="G1459">
        <f>'KG1-7'!FW42</f>
        <v/>
      </c>
    </row>
    <row r="1460">
      <c r="A1460">
        <f>'KG1-7'!$B$2</f>
        <v/>
      </c>
      <c r="B1460" s="126" t="n">
        <v>46475</v>
      </c>
      <c r="C1460">
        <f>'KG1-7'!FX44</f>
        <v/>
      </c>
      <c r="D1460">
        <f>'KG1-7'!FX43</f>
        <v/>
      </c>
      <c r="E1460">
        <f>'KG1-7'!FX40</f>
        <v/>
      </c>
      <c r="F1460">
        <f>'KG1-7'!FX41</f>
        <v/>
      </c>
      <c r="G1460">
        <f>'KG1-7'!FX42</f>
        <v/>
      </c>
    </row>
    <row r="1461">
      <c r="A1461">
        <f>'KG1-7'!$B$2</f>
        <v/>
      </c>
      <c r="B1461" s="126" t="n">
        <v>46476</v>
      </c>
      <c r="C1461">
        <f>'KG1-7'!FY44</f>
        <v/>
      </c>
      <c r="D1461">
        <f>'KG1-7'!FY43</f>
        <v/>
      </c>
      <c r="E1461">
        <f>'KG1-7'!FY40</f>
        <v/>
      </c>
      <c r="F1461">
        <f>'KG1-7'!FY41</f>
        <v/>
      </c>
      <c r="G1461">
        <f>'KG1-7'!FY42</f>
        <v/>
      </c>
    </row>
    <row r="1462">
      <c r="A1462">
        <f>'KG1-7'!$B$2</f>
        <v/>
      </c>
      <c r="B1462" s="126" t="n">
        <v>46477</v>
      </c>
      <c r="C1462">
        <f>'KG1-7'!FZ44</f>
        <v/>
      </c>
      <c r="D1462">
        <f>'KG1-7'!FZ43</f>
        <v/>
      </c>
      <c r="E1462">
        <f>'KG1-7'!FZ40</f>
        <v/>
      </c>
      <c r="F1462">
        <f>'KG1-7'!FZ41</f>
        <v/>
      </c>
      <c r="G1462">
        <f>'KG1-7'!FZ42</f>
        <v/>
      </c>
    </row>
    <row r="1463">
      <c r="A1463">
        <f>'KG1-7'!$B$2</f>
        <v/>
      </c>
      <c r="B1463" s="126" t="n">
        <v>46478</v>
      </c>
      <c r="C1463">
        <f>'KG1-7'!GA44</f>
        <v/>
      </c>
      <c r="D1463">
        <f>'KG1-7'!GA43</f>
        <v/>
      </c>
      <c r="E1463">
        <f>'KG1-7'!GA40</f>
        <v/>
      </c>
      <c r="F1463">
        <f>'KG1-7'!GA41</f>
        <v/>
      </c>
      <c r="G1463">
        <f>'KG1-7'!GA42</f>
        <v/>
      </c>
    </row>
    <row r="1464">
      <c r="A1464">
        <f>'KG1-7'!$B$2</f>
        <v/>
      </c>
      <c r="B1464" s="126" t="n">
        <v>46479</v>
      </c>
      <c r="C1464">
        <f>'KG1-7'!GB44</f>
        <v/>
      </c>
      <c r="D1464">
        <f>'KG1-7'!GB43</f>
        <v/>
      </c>
      <c r="E1464">
        <f>'KG1-7'!GB40</f>
        <v/>
      </c>
      <c r="F1464">
        <f>'KG1-7'!GB41</f>
        <v/>
      </c>
      <c r="G1464">
        <f>'KG1-7'!GB42</f>
        <v/>
      </c>
    </row>
    <row r="1465">
      <c r="A1465">
        <f>'KG1-7'!$B$2</f>
        <v/>
      </c>
      <c r="B1465" s="126" t="n">
        <v>46482</v>
      </c>
      <c r="C1465">
        <f>'KG1-7'!GC44</f>
        <v/>
      </c>
      <c r="D1465">
        <f>'KG1-7'!GC43</f>
        <v/>
      </c>
      <c r="E1465">
        <f>'KG1-7'!GC40</f>
        <v/>
      </c>
      <c r="F1465">
        <f>'KG1-7'!GC41</f>
        <v/>
      </c>
      <c r="G1465">
        <f>'KG1-7'!GC42</f>
        <v/>
      </c>
    </row>
    <row r="1466">
      <c r="A1466">
        <f>'KG1-7'!$B$2</f>
        <v/>
      </c>
      <c r="B1466" s="126" t="n">
        <v>46483</v>
      </c>
      <c r="C1466">
        <f>'KG1-7'!GD44</f>
        <v/>
      </c>
      <c r="D1466">
        <f>'KG1-7'!GD43</f>
        <v/>
      </c>
      <c r="E1466">
        <f>'KG1-7'!GD40</f>
        <v/>
      </c>
      <c r="F1466">
        <f>'KG1-7'!GD41</f>
        <v/>
      </c>
      <c r="G1466">
        <f>'KG1-7'!GD42</f>
        <v/>
      </c>
    </row>
    <row r="1467">
      <c r="A1467">
        <f>'KG1-7'!$B$2</f>
        <v/>
      </c>
      <c r="B1467" s="126" t="n">
        <v>46484</v>
      </c>
      <c r="C1467">
        <f>'KG1-7'!GE44</f>
        <v/>
      </c>
      <c r="D1467">
        <f>'KG1-7'!GE43</f>
        <v/>
      </c>
      <c r="E1467">
        <f>'KG1-7'!GE40</f>
        <v/>
      </c>
      <c r="F1467">
        <f>'KG1-7'!GE41</f>
        <v/>
      </c>
      <c r="G1467">
        <f>'KG1-7'!GE42</f>
        <v/>
      </c>
    </row>
    <row r="1468">
      <c r="A1468">
        <f>'KG1-7'!$B$2</f>
        <v/>
      </c>
      <c r="B1468" s="126" t="n">
        <v>46485</v>
      </c>
      <c r="C1468">
        <f>'KG1-7'!GF44</f>
        <v/>
      </c>
      <c r="D1468">
        <f>'KG1-7'!GF43</f>
        <v/>
      </c>
      <c r="E1468">
        <f>'KG1-7'!GF40</f>
        <v/>
      </c>
      <c r="F1468">
        <f>'KG1-7'!GF41</f>
        <v/>
      </c>
      <c r="G1468">
        <f>'KG1-7'!GF42</f>
        <v/>
      </c>
    </row>
    <row r="1469">
      <c r="A1469">
        <f>'KG1-7'!$B$2</f>
        <v/>
      </c>
      <c r="B1469" s="126" t="n">
        <v>46486</v>
      </c>
      <c r="C1469">
        <f>'KG1-7'!GG44</f>
        <v/>
      </c>
      <c r="D1469">
        <f>'KG1-7'!GG43</f>
        <v/>
      </c>
      <c r="E1469">
        <f>'KG1-7'!GG40</f>
        <v/>
      </c>
      <c r="F1469">
        <f>'KG1-7'!GG41</f>
        <v/>
      </c>
      <c r="G1469">
        <f>'KG1-7'!GG42</f>
        <v/>
      </c>
    </row>
    <row r="1470">
      <c r="A1470">
        <f>'KG1-7'!$B$2</f>
        <v/>
      </c>
      <c r="B1470" s="126" t="n">
        <v>46489</v>
      </c>
      <c r="C1470">
        <f>'KG1-7'!GH44</f>
        <v/>
      </c>
      <c r="D1470">
        <f>'KG1-7'!GH43</f>
        <v/>
      </c>
      <c r="E1470">
        <f>'KG1-7'!GH40</f>
        <v/>
      </c>
      <c r="F1470">
        <f>'KG1-7'!GH41</f>
        <v/>
      </c>
      <c r="G1470">
        <f>'KG1-7'!GH42</f>
        <v/>
      </c>
    </row>
    <row r="1471">
      <c r="A1471">
        <f>'KG1-7'!$B$2</f>
        <v/>
      </c>
      <c r="B1471" s="126" t="n">
        <v>46490</v>
      </c>
      <c r="C1471">
        <f>'KG1-7'!GI44</f>
        <v/>
      </c>
      <c r="D1471">
        <f>'KG1-7'!GI43</f>
        <v/>
      </c>
      <c r="E1471">
        <f>'KG1-7'!GI40</f>
        <v/>
      </c>
      <c r="F1471">
        <f>'KG1-7'!GI41</f>
        <v/>
      </c>
      <c r="G1471">
        <f>'KG1-7'!GI42</f>
        <v/>
      </c>
    </row>
    <row r="1472">
      <c r="A1472">
        <f>'KG1-7'!$B$2</f>
        <v/>
      </c>
      <c r="B1472" s="126" t="n">
        <v>46491</v>
      </c>
      <c r="C1472">
        <f>'KG1-7'!GJ44</f>
        <v/>
      </c>
      <c r="D1472">
        <f>'KG1-7'!GJ43</f>
        <v/>
      </c>
      <c r="E1472">
        <f>'KG1-7'!GJ40</f>
        <v/>
      </c>
      <c r="F1472">
        <f>'KG1-7'!GJ41</f>
        <v/>
      </c>
      <c r="G1472">
        <f>'KG1-7'!GJ42</f>
        <v/>
      </c>
    </row>
    <row r="1473">
      <c r="A1473">
        <f>'KG1-7'!$B$2</f>
        <v/>
      </c>
      <c r="B1473" s="126" t="n">
        <v>46492</v>
      </c>
      <c r="C1473">
        <f>'KG1-7'!GK44</f>
        <v/>
      </c>
      <c r="D1473">
        <f>'KG1-7'!GK43</f>
        <v/>
      </c>
      <c r="E1473">
        <f>'KG1-7'!GK40</f>
        <v/>
      </c>
      <c r="F1473">
        <f>'KG1-7'!GK41</f>
        <v/>
      </c>
      <c r="G1473">
        <f>'KG1-7'!GK42</f>
        <v/>
      </c>
    </row>
    <row r="1474">
      <c r="A1474">
        <f>'KG1-7'!$B$2</f>
        <v/>
      </c>
      <c r="B1474" s="126" t="n">
        <v>46493</v>
      </c>
      <c r="C1474">
        <f>'KG1-7'!GL44</f>
        <v/>
      </c>
      <c r="D1474">
        <f>'KG1-7'!GL43</f>
        <v/>
      </c>
      <c r="E1474">
        <f>'KG1-7'!GL40</f>
        <v/>
      </c>
      <c r="F1474">
        <f>'KG1-7'!GL41</f>
        <v/>
      </c>
      <c r="G1474">
        <f>'KG1-7'!GL42</f>
        <v/>
      </c>
    </row>
    <row r="1475">
      <c r="A1475">
        <f>'KG1-7'!$B$2</f>
        <v/>
      </c>
      <c r="B1475" s="126" t="n">
        <v>46496</v>
      </c>
      <c r="C1475">
        <f>'KG1-7'!GM44</f>
        <v/>
      </c>
      <c r="D1475">
        <f>'KG1-7'!GM43</f>
        <v/>
      </c>
      <c r="E1475">
        <f>'KG1-7'!GM40</f>
        <v/>
      </c>
      <c r="F1475">
        <f>'KG1-7'!GM41</f>
        <v/>
      </c>
      <c r="G1475">
        <f>'KG1-7'!GM42</f>
        <v/>
      </c>
    </row>
    <row r="1476">
      <c r="A1476">
        <f>'KG1-7'!$B$2</f>
        <v/>
      </c>
      <c r="B1476" s="126" t="n">
        <v>46497</v>
      </c>
      <c r="C1476">
        <f>'KG1-7'!GN44</f>
        <v/>
      </c>
      <c r="D1476">
        <f>'KG1-7'!GN43</f>
        <v/>
      </c>
      <c r="E1476">
        <f>'KG1-7'!GN40</f>
        <v/>
      </c>
      <c r="F1476">
        <f>'KG1-7'!GN41</f>
        <v/>
      </c>
      <c r="G1476">
        <f>'KG1-7'!GN42</f>
        <v/>
      </c>
    </row>
    <row r="1477">
      <c r="A1477">
        <f>'KG1-7'!$B$2</f>
        <v/>
      </c>
      <c r="B1477" s="126" t="n">
        <v>46498</v>
      </c>
      <c r="C1477">
        <f>'KG1-7'!GO44</f>
        <v/>
      </c>
      <c r="D1477">
        <f>'KG1-7'!GO43</f>
        <v/>
      </c>
      <c r="E1477">
        <f>'KG1-7'!GO40</f>
        <v/>
      </c>
      <c r="F1477">
        <f>'KG1-7'!GO41</f>
        <v/>
      </c>
      <c r="G1477">
        <f>'KG1-7'!GO42</f>
        <v/>
      </c>
    </row>
    <row r="1478">
      <c r="A1478">
        <f>'KG1-7'!$B$2</f>
        <v/>
      </c>
      <c r="B1478" s="126" t="n">
        <v>46499</v>
      </c>
      <c r="C1478">
        <f>'KG1-7'!GP44</f>
        <v/>
      </c>
      <c r="D1478">
        <f>'KG1-7'!GP43</f>
        <v/>
      </c>
      <c r="E1478">
        <f>'KG1-7'!GP40</f>
        <v/>
      </c>
      <c r="F1478">
        <f>'KG1-7'!GP41</f>
        <v/>
      </c>
      <c r="G1478">
        <f>'KG1-7'!GP42</f>
        <v/>
      </c>
    </row>
    <row r="1479">
      <c r="A1479">
        <f>'KG1-7'!$B$2</f>
        <v/>
      </c>
      <c r="B1479" s="126" t="n">
        <v>46500</v>
      </c>
      <c r="C1479">
        <f>'KG1-7'!GQ44</f>
        <v/>
      </c>
      <c r="D1479">
        <f>'KG1-7'!GQ43</f>
        <v/>
      </c>
      <c r="E1479">
        <f>'KG1-7'!GQ40</f>
        <v/>
      </c>
      <c r="F1479">
        <f>'KG1-7'!GQ41</f>
        <v/>
      </c>
      <c r="G1479">
        <f>'KG1-7'!GQ42</f>
        <v/>
      </c>
    </row>
    <row r="1480">
      <c r="A1480">
        <f>'KG1-7'!$B$2</f>
        <v/>
      </c>
      <c r="B1480" s="126" t="n">
        <v>46503</v>
      </c>
      <c r="C1480">
        <f>'KG1-7'!GR44</f>
        <v/>
      </c>
      <c r="D1480">
        <f>'KG1-7'!GR43</f>
        <v/>
      </c>
      <c r="E1480">
        <f>'KG1-7'!GR40</f>
        <v/>
      </c>
      <c r="F1480">
        <f>'KG1-7'!GR41</f>
        <v/>
      </c>
      <c r="G1480">
        <f>'KG1-7'!GR42</f>
        <v/>
      </c>
    </row>
    <row r="1481">
      <c r="A1481">
        <f>'KG1-7'!$B$2</f>
        <v/>
      </c>
      <c r="B1481" s="126" t="n">
        <v>46504</v>
      </c>
      <c r="C1481">
        <f>'KG1-7'!GS44</f>
        <v/>
      </c>
      <c r="D1481">
        <f>'KG1-7'!GS43</f>
        <v/>
      </c>
      <c r="E1481">
        <f>'KG1-7'!GS40</f>
        <v/>
      </c>
      <c r="F1481">
        <f>'KG1-7'!GS41</f>
        <v/>
      </c>
      <c r="G1481">
        <f>'KG1-7'!GS42</f>
        <v/>
      </c>
    </row>
    <row r="1482">
      <c r="A1482">
        <f>'KG1-7'!$B$2</f>
        <v/>
      </c>
      <c r="B1482" s="126" t="n">
        <v>46505</v>
      </c>
      <c r="C1482">
        <f>'KG1-7'!GT44</f>
        <v/>
      </c>
      <c r="D1482">
        <f>'KG1-7'!GT43</f>
        <v/>
      </c>
      <c r="E1482">
        <f>'KG1-7'!GT40</f>
        <v/>
      </c>
      <c r="F1482">
        <f>'KG1-7'!GT41</f>
        <v/>
      </c>
      <c r="G1482">
        <f>'KG1-7'!GT42</f>
        <v/>
      </c>
    </row>
    <row r="1483">
      <c r="A1483">
        <f>'KG1-7'!$B$2</f>
        <v/>
      </c>
      <c r="B1483" s="126" t="n">
        <v>46506</v>
      </c>
      <c r="C1483">
        <f>'KG1-7'!GU44</f>
        <v/>
      </c>
      <c r="D1483">
        <f>'KG1-7'!GU43</f>
        <v/>
      </c>
      <c r="E1483">
        <f>'KG1-7'!GU40</f>
        <v/>
      </c>
      <c r="F1483">
        <f>'KG1-7'!GU41</f>
        <v/>
      </c>
      <c r="G1483">
        <f>'KG1-7'!GU42</f>
        <v/>
      </c>
    </row>
    <row r="1484">
      <c r="A1484">
        <f>'KG1-7'!$B$2</f>
        <v/>
      </c>
      <c r="B1484" s="126" t="n">
        <v>46507</v>
      </c>
      <c r="C1484">
        <f>'KG1-7'!GV44</f>
        <v/>
      </c>
      <c r="D1484">
        <f>'KG1-7'!GV43</f>
        <v/>
      </c>
      <c r="E1484">
        <f>'KG1-7'!GV40</f>
        <v/>
      </c>
      <c r="F1484">
        <f>'KG1-7'!GV41</f>
        <v/>
      </c>
      <c r="G1484">
        <f>'KG1-7'!GV42</f>
        <v/>
      </c>
    </row>
    <row r="1485">
      <c r="A1485">
        <f>'KG1-7'!$B$2</f>
        <v/>
      </c>
      <c r="B1485" s="126" t="n">
        <v>46510</v>
      </c>
      <c r="C1485">
        <f>'KG1-7'!GW44</f>
        <v/>
      </c>
      <c r="D1485">
        <f>'KG1-7'!GW43</f>
        <v/>
      </c>
      <c r="E1485">
        <f>'KG1-7'!GW40</f>
        <v/>
      </c>
      <c r="F1485">
        <f>'KG1-7'!GW41</f>
        <v/>
      </c>
      <c r="G1485">
        <f>'KG1-7'!GW42</f>
        <v/>
      </c>
    </row>
    <row r="1486">
      <c r="A1486">
        <f>'KG1-7'!$B$2</f>
        <v/>
      </c>
      <c r="B1486" s="126" t="n">
        <v>46511</v>
      </c>
      <c r="C1486">
        <f>'KG1-7'!GX44</f>
        <v/>
      </c>
      <c r="D1486">
        <f>'KG1-7'!GX43</f>
        <v/>
      </c>
      <c r="E1486">
        <f>'KG1-7'!GX40</f>
        <v/>
      </c>
      <c r="F1486">
        <f>'KG1-7'!GX41</f>
        <v/>
      </c>
      <c r="G1486">
        <f>'KG1-7'!GX42</f>
        <v/>
      </c>
    </row>
    <row r="1487">
      <c r="A1487">
        <f>'KG1-7'!$B$2</f>
        <v/>
      </c>
      <c r="B1487" s="126" t="n">
        <v>46512</v>
      </c>
      <c r="C1487">
        <f>'KG1-7'!GY44</f>
        <v/>
      </c>
      <c r="D1487">
        <f>'KG1-7'!GY43</f>
        <v/>
      </c>
      <c r="E1487">
        <f>'KG1-7'!GY40</f>
        <v/>
      </c>
      <c r="F1487">
        <f>'KG1-7'!GY41</f>
        <v/>
      </c>
      <c r="G1487">
        <f>'KG1-7'!GY42</f>
        <v/>
      </c>
    </row>
    <row r="1488">
      <c r="A1488">
        <f>'KG1-7'!$B$2</f>
        <v/>
      </c>
      <c r="B1488" s="126" t="n">
        <v>46513</v>
      </c>
      <c r="C1488">
        <f>'KG1-7'!GZ44</f>
        <v/>
      </c>
      <c r="D1488">
        <f>'KG1-7'!GZ43</f>
        <v/>
      </c>
      <c r="E1488">
        <f>'KG1-7'!GZ40</f>
        <v/>
      </c>
      <c r="F1488">
        <f>'KG1-7'!GZ41</f>
        <v/>
      </c>
      <c r="G1488">
        <f>'KG1-7'!GZ42</f>
        <v/>
      </c>
    </row>
    <row r="1489">
      <c r="A1489">
        <f>'KG1-7'!$B$2</f>
        <v/>
      </c>
      <c r="B1489" s="126" t="n">
        <v>46514</v>
      </c>
      <c r="C1489">
        <f>'KG1-7'!HA44</f>
        <v/>
      </c>
      <c r="D1489">
        <f>'KG1-7'!HA43</f>
        <v/>
      </c>
      <c r="E1489">
        <f>'KG1-7'!HA40</f>
        <v/>
      </c>
      <c r="F1489">
        <f>'KG1-7'!HA41</f>
        <v/>
      </c>
      <c r="G1489">
        <f>'KG1-7'!HA42</f>
        <v/>
      </c>
    </row>
    <row r="1490">
      <c r="A1490">
        <f>'KG1-7'!$B$2</f>
        <v/>
      </c>
      <c r="B1490" s="126" t="n">
        <v>46517</v>
      </c>
      <c r="C1490">
        <f>'KG1-7'!HB44</f>
        <v/>
      </c>
      <c r="D1490">
        <f>'KG1-7'!HB43</f>
        <v/>
      </c>
      <c r="E1490">
        <f>'KG1-7'!HB40</f>
        <v/>
      </c>
      <c r="F1490">
        <f>'KG1-7'!HB41</f>
        <v/>
      </c>
      <c r="G1490">
        <f>'KG1-7'!HB42</f>
        <v/>
      </c>
    </row>
    <row r="1491">
      <c r="A1491">
        <f>'KG1-7'!$B$2</f>
        <v/>
      </c>
      <c r="B1491" s="126" t="n">
        <v>46518</v>
      </c>
      <c r="C1491">
        <f>'KG1-7'!HC44</f>
        <v/>
      </c>
      <c r="D1491">
        <f>'KG1-7'!HC43</f>
        <v/>
      </c>
      <c r="E1491">
        <f>'KG1-7'!HC40</f>
        <v/>
      </c>
      <c r="F1491">
        <f>'KG1-7'!HC41</f>
        <v/>
      </c>
      <c r="G1491">
        <f>'KG1-7'!HC42</f>
        <v/>
      </c>
    </row>
    <row r="1492">
      <c r="A1492">
        <f>'KG1-7'!$B$2</f>
        <v/>
      </c>
      <c r="B1492" s="126" t="n">
        <v>46519</v>
      </c>
      <c r="C1492">
        <f>'KG1-7'!HD44</f>
        <v/>
      </c>
      <c r="D1492">
        <f>'KG1-7'!HD43</f>
        <v/>
      </c>
      <c r="E1492">
        <f>'KG1-7'!HD40</f>
        <v/>
      </c>
      <c r="F1492">
        <f>'KG1-7'!HD41</f>
        <v/>
      </c>
      <c r="G1492">
        <f>'KG1-7'!HD42</f>
        <v/>
      </c>
    </row>
    <row r="1493">
      <c r="A1493">
        <f>'KG1-7'!$B$2</f>
        <v/>
      </c>
      <c r="B1493" s="126" t="n">
        <v>46520</v>
      </c>
      <c r="C1493">
        <f>'KG1-7'!HE44</f>
        <v/>
      </c>
      <c r="D1493">
        <f>'KG1-7'!HE43</f>
        <v/>
      </c>
      <c r="E1493">
        <f>'KG1-7'!HE40</f>
        <v/>
      </c>
      <c r="F1493">
        <f>'KG1-7'!HE41</f>
        <v/>
      </c>
      <c r="G1493">
        <f>'KG1-7'!HE42</f>
        <v/>
      </c>
    </row>
    <row r="1494">
      <c r="A1494">
        <f>'KG1-7'!$B$2</f>
        <v/>
      </c>
      <c r="B1494" s="126" t="n">
        <v>46521</v>
      </c>
      <c r="C1494">
        <f>'KG1-7'!HF44</f>
        <v/>
      </c>
      <c r="D1494">
        <f>'KG1-7'!HF43</f>
        <v/>
      </c>
      <c r="E1494">
        <f>'KG1-7'!HF40</f>
        <v/>
      </c>
      <c r="F1494">
        <f>'KG1-7'!HF41</f>
        <v/>
      </c>
      <c r="G1494">
        <f>'KG1-7'!HF42</f>
        <v/>
      </c>
    </row>
    <row r="1495">
      <c r="A1495">
        <f>'KG1-7'!$B$2</f>
        <v/>
      </c>
      <c r="B1495" s="126" t="n">
        <v>46524</v>
      </c>
      <c r="C1495">
        <f>'KG1-7'!HG44</f>
        <v/>
      </c>
      <c r="D1495">
        <f>'KG1-7'!HG43</f>
        <v/>
      </c>
      <c r="E1495">
        <f>'KG1-7'!HG40</f>
        <v/>
      </c>
      <c r="F1495">
        <f>'KG1-7'!HG41</f>
        <v/>
      </c>
      <c r="G1495">
        <f>'KG1-7'!HG42</f>
        <v/>
      </c>
    </row>
    <row r="1496">
      <c r="A1496">
        <f>'KG1-7'!$B$2</f>
        <v/>
      </c>
      <c r="B1496" s="126" t="n">
        <v>46525</v>
      </c>
      <c r="C1496">
        <f>'KG1-7'!HH44</f>
        <v/>
      </c>
      <c r="D1496">
        <f>'KG1-7'!HH43</f>
        <v/>
      </c>
      <c r="E1496">
        <f>'KG1-7'!HH40</f>
        <v/>
      </c>
      <c r="F1496">
        <f>'KG1-7'!HH41</f>
        <v/>
      </c>
      <c r="G1496">
        <f>'KG1-7'!HH42</f>
        <v/>
      </c>
    </row>
    <row r="1497">
      <c r="A1497">
        <f>'KG1-7'!$B$2</f>
        <v/>
      </c>
      <c r="B1497" s="126" t="n">
        <v>46526</v>
      </c>
      <c r="C1497">
        <f>'KG1-7'!HI44</f>
        <v/>
      </c>
      <c r="D1497">
        <f>'KG1-7'!HI43</f>
        <v/>
      </c>
      <c r="E1497">
        <f>'KG1-7'!HI40</f>
        <v/>
      </c>
      <c r="F1497">
        <f>'KG1-7'!HI41</f>
        <v/>
      </c>
      <c r="G1497">
        <f>'KG1-7'!HI42</f>
        <v/>
      </c>
    </row>
    <row r="1498">
      <c r="A1498">
        <f>'KG1-7'!$B$2</f>
        <v/>
      </c>
      <c r="B1498" s="126" t="n">
        <v>46527</v>
      </c>
      <c r="C1498">
        <f>'KG1-7'!HJ44</f>
        <v/>
      </c>
      <c r="D1498">
        <f>'KG1-7'!HJ43</f>
        <v/>
      </c>
      <c r="E1498">
        <f>'KG1-7'!HJ40</f>
        <v/>
      </c>
      <c r="F1498">
        <f>'KG1-7'!HJ41</f>
        <v/>
      </c>
      <c r="G1498">
        <f>'KG1-7'!HJ42</f>
        <v/>
      </c>
    </row>
    <row r="1499">
      <c r="A1499">
        <f>'KG1-7'!$B$2</f>
        <v/>
      </c>
      <c r="B1499" s="126" t="n">
        <v>46528</v>
      </c>
      <c r="C1499">
        <f>'KG1-7'!HK44</f>
        <v/>
      </c>
      <c r="D1499">
        <f>'KG1-7'!HK43</f>
        <v/>
      </c>
      <c r="E1499">
        <f>'KG1-7'!HK40</f>
        <v/>
      </c>
      <c r="F1499">
        <f>'KG1-7'!HK41</f>
        <v/>
      </c>
      <c r="G1499">
        <f>'KG1-7'!HK42</f>
        <v/>
      </c>
    </row>
    <row r="1500">
      <c r="A1500">
        <f>'KG1-7'!$B$2</f>
        <v/>
      </c>
      <c r="B1500" s="126" t="n">
        <v>46531</v>
      </c>
      <c r="C1500">
        <f>'KG1-7'!HL44</f>
        <v/>
      </c>
      <c r="D1500">
        <f>'KG1-7'!HL43</f>
        <v/>
      </c>
      <c r="E1500">
        <f>'KG1-7'!HL40</f>
        <v/>
      </c>
      <c r="F1500">
        <f>'KG1-7'!HL41</f>
        <v/>
      </c>
      <c r="G1500">
        <f>'KG1-7'!HL42</f>
        <v/>
      </c>
    </row>
    <row r="1501">
      <c r="A1501">
        <f>'KG1-7'!$B$2</f>
        <v/>
      </c>
      <c r="B1501" s="126" t="n">
        <v>46532</v>
      </c>
      <c r="C1501">
        <f>'KG1-7'!HM44</f>
        <v/>
      </c>
      <c r="D1501">
        <f>'KG1-7'!HM43</f>
        <v/>
      </c>
      <c r="E1501">
        <f>'KG1-7'!HM40</f>
        <v/>
      </c>
      <c r="F1501">
        <f>'KG1-7'!HM41</f>
        <v/>
      </c>
      <c r="G1501">
        <f>'KG1-7'!HM42</f>
        <v/>
      </c>
    </row>
    <row r="1502">
      <c r="A1502">
        <f>'KG1-7'!$B$2</f>
        <v/>
      </c>
      <c r="B1502" s="126" t="n">
        <v>46533</v>
      </c>
      <c r="C1502">
        <f>'KG1-7'!HN44</f>
        <v/>
      </c>
      <c r="D1502">
        <f>'KG1-7'!HN43</f>
        <v/>
      </c>
      <c r="E1502">
        <f>'KG1-7'!HN40</f>
        <v/>
      </c>
      <c r="F1502">
        <f>'KG1-7'!HN41</f>
        <v/>
      </c>
      <c r="G1502">
        <f>'KG1-7'!HN42</f>
        <v/>
      </c>
    </row>
    <row r="1503">
      <c r="A1503">
        <f>'KG1-7'!$B$2</f>
        <v/>
      </c>
      <c r="B1503" s="126" t="n">
        <v>46534</v>
      </c>
      <c r="C1503">
        <f>'KG1-7'!HO44</f>
        <v/>
      </c>
      <c r="D1503">
        <f>'KG1-7'!HO43</f>
        <v/>
      </c>
      <c r="E1503">
        <f>'KG1-7'!HO40</f>
        <v/>
      </c>
      <c r="F1503">
        <f>'KG1-7'!HO41</f>
        <v/>
      </c>
      <c r="G1503">
        <f>'KG1-7'!HO42</f>
        <v/>
      </c>
    </row>
    <row r="1504">
      <c r="A1504">
        <f>'KG1-7'!$B$2</f>
        <v/>
      </c>
      <c r="B1504" s="126" t="n">
        <v>46535</v>
      </c>
      <c r="C1504">
        <f>'KG1-7'!HP44</f>
        <v/>
      </c>
      <c r="D1504">
        <f>'KG1-7'!HP43</f>
        <v/>
      </c>
      <c r="E1504">
        <f>'KG1-7'!HP40</f>
        <v/>
      </c>
      <c r="F1504">
        <f>'KG1-7'!HP41</f>
        <v/>
      </c>
      <c r="G1504">
        <f>'KG1-7'!HP42</f>
        <v/>
      </c>
    </row>
    <row r="1505">
      <c r="A1505">
        <f>'KG1-7'!$B$2</f>
        <v/>
      </c>
      <c r="B1505" s="126" t="n">
        <v>46538</v>
      </c>
      <c r="C1505">
        <f>'KG1-7'!HQ44</f>
        <v/>
      </c>
      <c r="D1505">
        <f>'KG1-7'!HQ43</f>
        <v/>
      </c>
      <c r="E1505">
        <f>'KG1-7'!HQ40</f>
        <v/>
      </c>
      <c r="F1505">
        <f>'KG1-7'!HQ41</f>
        <v/>
      </c>
      <c r="G1505">
        <f>'KG1-7'!HQ42</f>
        <v/>
      </c>
    </row>
    <row r="1506">
      <c r="A1506">
        <f>'KG1-7'!$B$2</f>
        <v/>
      </c>
      <c r="B1506" s="126" t="n">
        <v>46539</v>
      </c>
      <c r="C1506">
        <f>'KG1-7'!HR44</f>
        <v/>
      </c>
      <c r="D1506">
        <f>'KG1-7'!HR43</f>
        <v/>
      </c>
      <c r="E1506">
        <f>'KG1-7'!HR40</f>
        <v/>
      </c>
      <c r="F1506">
        <f>'KG1-7'!HR41</f>
        <v/>
      </c>
      <c r="G1506">
        <f>'KG1-7'!HR42</f>
        <v/>
      </c>
    </row>
    <row r="1507">
      <c r="A1507">
        <f>'KG1-7'!$B$2</f>
        <v/>
      </c>
      <c r="B1507" s="126" t="n">
        <v>46540</v>
      </c>
      <c r="C1507">
        <f>'KG1-7'!HS44</f>
        <v/>
      </c>
      <c r="D1507">
        <f>'KG1-7'!HS43</f>
        <v/>
      </c>
      <c r="E1507">
        <f>'KG1-7'!HS40</f>
        <v/>
      </c>
      <c r="F1507">
        <f>'KG1-7'!HS41</f>
        <v/>
      </c>
      <c r="G1507">
        <f>'KG1-7'!HS42</f>
        <v/>
      </c>
    </row>
    <row r="1508">
      <c r="A1508">
        <f>'KG1-7'!$B$2</f>
        <v/>
      </c>
      <c r="B1508" s="126" t="n">
        <v>46541</v>
      </c>
      <c r="C1508">
        <f>'KG1-7'!HT44</f>
        <v/>
      </c>
      <c r="D1508">
        <f>'KG1-7'!HT43</f>
        <v/>
      </c>
      <c r="E1508">
        <f>'KG1-7'!HT40</f>
        <v/>
      </c>
      <c r="F1508">
        <f>'KG1-7'!HT41</f>
        <v/>
      </c>
      <c r="G1508">
        <f>'KG1-7'!HT42</f>
        <v/>
      </c>
    </row>
    <row r="1509">
      <c r="A1509">
        <f>'KG1-7'!$B$2</f>
        <v/>
      </c>
      <c r="B1509" s="126" t="n">
        <v>46542</v>
      </c>
      <c r="C1509">
        <f>'KG1-7'!HU44</f>
        <v/>
      </c>
      <c r="D1509">
        <f>'KG1-7'!HU43</f>
        <v/>
      </c>
      <c r="E1509">
        <f>'KG1-7'!HU40</f>
        <v/>
      </c>
      <c r="F1509">
        <f>'KG1-7'!HU41</f>
        <v/>
      </c>
      <c r="G1509">
        <f>'KG1-7'!HU42</f>
        <v/>
      </c>
    </row>
    <row r="1510">
      <c r="A1510">
        <f>'KG1-7'!$B$2</f>
        <v/>
      </c>
      <c r="B1510" s="126" t="n">
        <v>46545</v>
      </c>
      <c r="C1510">
        <f>'KG1-7'!HV44</f>
        <v/>
      </c>
      <c r="D1510">
        <f>'KG1-7'!HV43</f>
        <v/>
      </c>
      <c r="E1510">
        <f>'KG1-7'!HV40</f>
        <v/>
      </c>
      <c r="F1510">
        <f>'KG1-7'!HV41</f>
        <v/>
      </c>
      <c r="G1510">
        <f>'KG1-7'!HV42</f>
        <v/>
      </c>
    </row>
    <row r="1511">
      <c r="A1511">
        <f>'KG1-7'!$B$2</f>
        <v/>
      </c>
      <c r="B1511" s="126" t="n">
        <v>46546</v>
      </c>
      <c r="C1511">
        <f>'KG1-7'!HW44</f>
        <v/>
      </c>
      <c r="D1511">
        <f>'KG1-7'!HW43</f>
        <v/>
      </c>
      <c r="E1511">
        <f>'KG1-7'!HW40</f>
        <v/>
      </c>
      <c r="F1511">
        <f>'KG1-7'!HW41</f>
        <v/>
      </c>
      <c r="G1511">
        <f>'KG1-7'!HW42</f>
        <v/>
      </c>
    </row>
    <row r="1512">
      <c r="A1512">
        <f>'KG1-7'!$B$2</f>
        <v/>
      </c>
      <c r="B1512" s="126" t="n">
        <v>46547</v>
      </c>
      <c r="C1512">
        <f>'KG1-7'!HX44</f>
        <v/>
      </c>
      <c r="D1512">
        <f>'KG1-7'!HX43</f>
        <v/>
      </c>
      <c r="E1512">
        <f>'KG1-7'!HX40</f>
        <v/>
      </c>
      <c r="F1512">
        <f>'KG1-7'!HX41</f>
        <v/>
      </c>
      <c r="G1512">
        <f>'KG1-7'!HX42</f>
        <v/>
      </c>
    </row>
    <row r="1513">
      <c r="A1513">
        <f>'KG1-7'!$B$2</f>
        <v/>
      </c>
      <c r="B1513" s="126" t="n">
        <v>46548</v>
      </c>
      <c r="C1513">
        <f>'KG1-7'!HY44</f>
        <v/>
      </c>
      <c r="D1513">
        <f>'KG1-7'!HY43</f>
        <v/>
      </c>
      <c r="E1513">
        <f>'KG1-7'!HY40</f>
        <v/>
      </c>
      <c r="F1513">
        <f>'KG1-7'!HY41</f>
        <v/>
      </c>
      <c r="G1513">
        <f>'KG1-7'!HY42</f>
        <v/>
      </c>
    </row>
    <row r="1514">
      <c r="A1514">
        <f>'KG1-7'!$B$2</f>
        <v/>
      </c>
      <c r="B1514" s="126" t="n">
        <v>46549</v>
      </c>
      <c r="C1514">
        <f>'KG1-7'!HZ44</f>
        <v/>
      </c>
      <c r="D1514">
        <f>'KG1-7'!HZ43</f>
        <v/>
      </c>
      <c r="E1514">
        <f>'KG1-7'!HZ40</f>
        <v/>
      </c>
      <c r="F1514">
        <f>'KG1-7'!HZ41</f>
        <v/>
      </c>
      <c r="G1514">
        <f>'KG1-7'!HZ42</f>
        <v/>
      </c>
    </row>
    <row r="1515">
      <c r="A1515">
        <f>'KG1-7'!$B$2</f>
        <v/>
      </c>
      <c r="B1515" s="126" t="n">
        <v>46552</v>
      </c>
      <c r="C1515">
        <f>'KG1-7'!IA44</f>
        <v/>
      </c>
      <c r="D1515">
        <f>'KG1-7'!IA43</f>
        <v/>
      </c>
      <c r="E1515">
        <f>'KG1-7'!IA40</f>
        <v/>
      </c>
      <c r="F1515">
        <f>'KG1-7'!IA41</f>
        <v/>
      </c>
      <c r="G1515">
        <f>'KG1-7'!IA42</f>
        <v/>
      </c>
    </row>
    <row r="1516">
      <c r="A1516">
        <f>'KG1-7'!$B$2</f>
        <v/>
      </c>
      <c r="B1516" s="126" t="n">
        <v>46553</v>
      </c>
      <c r="C1516">
        <f>'KG1-7'!IB44</f>
        <v/>
      </c>
      <c r="D1516">
        <f>'KG1-7'!IB43</f>
        <v/>
      </c>
      <c r="E1516">
        <f>'KG1-7'!IB40</f>
        <v/>
      </c>
      <c r="F1516">
        <f>'KG1-7'!IB41</f>
        <v/>
      </c>
      <c r="G1516">
        <f>'KG1-7'!IB42</f>
        <v/>
      </c>
    </row>
    <row r="1517">
      <c r="A1517">
        <f>'KG1-7'!$B$2</f>
        <v/>
      </c>
      <c r="B1517" s="126" t="n">
        <v>46554</v>
      </c>
      <c r="C1517">
        <f>'KG1-7'!IC44</f>
        <v/>
      </c>
      <c r="D1517">
        <f>'KG1-7'!IC43</f>
        <v/>
      </c>
      <c r="E1517">
        <f>'KG1-7'!IC40</f>
        <v/>
      </c>
      <c r="F1517">
        <f>'KG1-7'!IC41</f>
        <v/>
      </c>
      <c r="G1517">
        <f>'KG1-7'!IC42</f>
        <v/>
      </c>
    </row>
    <row r="1518">
      <c r="A1518">
        <f>'KG1-7'!$B$2</f>
        <v/>
      </c>
      <c r="B1518" s="126" t="n">
        <v>46555</v>
      </c>
      <c r="C1518">
        <f>'KG1-7'!ID44</f>
        <v/>
      </c>
      <c r="D1518">
        <f>'KG1-7'!ID43</f>
        <v/>
      </c>
      <c r="E1518">
        <f>'KG1-7'!ID40</f>
        <v/>
      </c>
      <c r="F1518">
        <f>'KG1-7'!ID41</f>
        <v/>
      </c>
      <c r="G1518">
        <f>'KG1-7'!ID42</f>
        <v/>
      </c>
    </row>
    <row r="1519">
      <c r="A1519">
        <f>'KG1-7'!$B$2</f>
        <v/>
      </c>
      <c r="B1519" s="126" t="n">
        <v>46556</v>
      </c>
      <c r="C1519">
        <f>'KG1-7'!IE44</f>
        <v/>
      </c>
      <c r="D1519">
        <f>'KG1-7'!IE43</f>
        <v/>
      </c>
      <c r="E1519">
        <f>'KG1-7'!IE40</f>
        <v/>
      </c>
      <c r="F1519">
        <f>'KG1-7'!IE41</f>
        <v/>
      </c>
      <c r="G1519">
        <f>'KG1-7'!IE42</f>
        <v/>
      </c>
    </row>
    <row r="1520">
      <c r="A1520">
        <f>'KG1-7'!$B$2</f>
        <v/>
      </c>
      <c r="B1520" s="126" t="n">
        <v>46559</v>
      </c>
      <c r="C1520">
        <f>'KG1-7'!IF44</f>
        <v/>
      </c>
      <c r="D1520">
        <f>'KG1-7'!IF43</f>
        <v/>
      </c>
      <c r="E1520">
        <f>'KG1-7'!IF40</f>
        <v/>
      </c>
      <c r="F1520">
        <f>'KG1-7'!IF41</f>
        <v/>
      </c>
      <c r="G1520">
        <f>'KG1-7'!IF42</f>
        <v/>
      </c>
    </row>
    <row r="1521">
      <c r="A1521">
        <f>'KG1-7'!$B$2</f>
        <v/>
      </c>
      <c r="B1521" s="126" t="n">
        <v>46560</v>
      </c>
      <c r="C1521">
        <f>'KG1-7'!IG44</f>
        <v/>
      </c>
      <c r="D1521">
        <f>'KG1-7'!IG43</f>
        <v/>
      </c>
      <c r="E1521">
        <f>'KG1-7'!IG40</f>
        <v/>
      </c>
      <c r="F1521">
        <f>'KG1-7'!IG41</f>
        <v/>
      </c>
      <c r="G1521">
        <f>'KG1-7'!IG42</f>
        <v/>
      </c>
    </row>
    <row r="1522">
      <c r="A1522">
        <f>'KG1-7'!$B$2</f>
        <v/>
      </c>
      <c r="B1522" s="126" t="n">
        <v>46561</v>
      </c>
      <c r="C1522">
        <f>'KG1-7'!IH44</f>
        <v/>
      </c>
      <c r="D1522">
        <f>'KG1-7'!IH43</f>
        <v/>
      </c>
      <c r="E1522">
        <f>'KG1-7'!IH40</f>
        <v/>
      </c>
      <c r="F1522">
        <f>'KG1-7'!IH41</f>
        <v/>
      </c>
      <c r="G1522">
        <f>'KG1-7'!IH42</f>
        <v/>
      </c>
    </row>
    <row r="1523">
      <c r="A1523">
        <f>'KG1-7'!$B$2</f>
        <v/>
      </c>
      <c r="B1523" s="126" t="n">
        <v>46562</v>
      </c>
      <c r="C1523">
        <f>'KG1-7'!II44</f>
        <v/>
      </c>
      <c r="D1523">
        <f>'KG1-7'!II43</f>
        <v/>
      </c>
      <c r="E1523">
        <f>'KG1-7'!II40</f>
        <v/>
      </c>
      <c r="F1523">
        <f>'KG1-7'!II41</f>
        <v/>
      </c>
      <c r="G1523">
        <f>'KG1-7'!II42</f>
        <v/>
      </c>
    </row>
    <row r="1524">
      <c r="A1524">
        <f>'KG1-7'!$B$2</f>
        <v/>
      </c>
      <c r="B1524" s="126" t="n">
        <v>46563</v>
      </c>
      <c r="C1524">
        <f>'KG1-7'!IJ44</f>
        <v/>
      </c>
      <c r="D1524">
        <f>'KG1-7'!IJ43</f>
        <v/>
      </c>
      <c r="E1524">
        <f>'KG1-7'!IJ40</f>
        <v/>
      </c>
      <c r="F1524">
        <f>'KG1-7'!IJ41</f>
        <v/>
      </c>
      <c r="G1524">
        <f>'KG1-7'!IJ42</f>
        <v/>
      </c>
    </row>
    <row r="1525">
      <c r="A1525">
        <f>'KG1-7'!$B$2</f>
        <v/>
      </c>
      <c r="B1525" s="126" t="n">
        <v>46566</v>
      </c>
      <c r="C1525">
        <f>'KG1-7'!IK44</f>
        <v/>
      </c>
      <c r="D1525">
        <f>'KG1-7'!IK43</f>
        <v/>
      </c>
      <c r="E1525">
        <f>'KG1-7'!IK40</f>
        <v/>
      </c>
      <c r="F1525">
        <f>'KG1-7'!IK41</f>
        <v/>
      </c>
      <c r="G1525">
        <f>'KG1-7'!IK42</f>
        <v/>
      </c>
    </row>
    <row r="1526">
      <c r="A1526">
        <f>'KG1-7'!$B$2</f>
        <v/>
      </c>
      <c r="B1526" s="126" t="n">
        <v>46567</v>
      </c>
      <c r="C1526">
        <f>'KG1-7'!IL44</f>
        <v/>
      </c>
      <c r="D1526">
        <f>'KG1-7'!IL43</f>
        <v/>
      </c>
      <c r="E1526">
        <f>'KG1-7'!IL40</f>
        <v/>
      </c>
      <c r="F1526">
        <f>'KG1-7'!IL41</f>
        <v/>
      </c>
      <c r="G1526">
        <f>'KG1-7'!IL42</f>
        <v/>
      </c>
    </row>
    <row r="1527">
      <c r="A1527">
        <f>'KG1-7'!$B$2</f>
        <v/>
      </c>
      <c r="B1527" s="126" t="n">
        <v>46568</v>
      </c>
      <c r="C1527">
        <f>'KG1-7'!IM44</f>
        <v/>
      </c>
      <c r="D1527">
        <f>'KG1-7'!IM43</f>
        <v/>
      </c>
      <c r="E1527">
        <f>'KG1-7'!IM40</f>
        <v/>
      </c>
      <c r="F1527">
        <f>'KG1-7'!IM41</f>
        <v/>
      </c>
      <c r="G1527">
        <f>'KG1-7'!IM42</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G4201"/>
  <sheetViews>
    <sheetView showGridLines="1" rightToLeft="1" zoomScale="100" workbookViewId="0">
      <selection activeCell="A1" sqref="A1"/>
    </sheetView>
  </sheetViews>
  <sheetFormatPr baseColWidth="8" defaultRowHeight="15"/>
  <cols>
    <col width="12" customWidth="1" min="1" max="1"/>
    <col width="22" customWidth="1" min="2" max="2"/>
    <col width="9" customWidth="1" min="3" max="3"/>
    <col width="12" customWidth="1" min="4" max="4"/>
    <col width="12" customWidth="1" min="5" max="5"/>
    <col width="8" customWidth="1" min="6" max="6"/>
    <col width="8" customWidth="1" min="7" max="7"/>
  </cols>
  <sheetData>
    <row r="1" ht="24" customHeight="1">
      <c r="A1" s="85" t="inlineStr">
        <is>
          <t>الرقم الطلابي</t>
        </is>
      </c>
      <c r="B1" s="85" t="inlineStr">
        <is>
          <t>اسم الطفل</t>
        </is>
      </c>
      <c r="C1" s="85" t="inlineStr">
        <is>
          <t>الصف</t>
        </is>
      </c>
      <c r="D1" s="85" t="inlineStr">
        <is>
          <t>التاريخ</t>
        </is>
      </c>
      <c r="E1" s="85" t="inlineStr">
        <is>
          <t>النوع</t>
        </is>
      </c>
      <c r="F1" s="85" t="inlineStr">
        <is>
          <t>الغياب التراكمي</t>
        </is>
      </c>
      <c r="G1" s="85" t="inlineStr">
        <is>
          <t>تسلسل</t>
        </is>
      </c>
    </row>
    <row r="2">
      <c r="A2">
        <f>IF('KG1-1'!$B9="","",'KG1-1'!$B9)</f>
        <v/>
      </c>
      <c r="B2">
        <f>IF(A2="","",'KG1-1'!$C9)</f>
        <v/>
      </c>
      <c r="C2">
        <f>IF(A2="","",'KG1-1'!$B$2)</f>
        <v/>
      </c>
      <c r="D2" s="126">
        <f t="array" ref="D2">IF(A2="","",IFERROR(SMALL(IF((('KG1-1'!$AD9:$IM9="غياب بدون عذر")+('KG1-1'!$AD9:$IM9="غياب بعذر"))*('KG1-1'!$AD$7:$IM$7="✓"),'KG1-1'!$AD$5:$IM$5),1),""))</f>
        <v/>
      </c>
      <c r="E2">
        <f>IF(D2="","",INDEX('KG1-1'!$AD9:$IM9,MATCH(D2,'KG1-1'!$AD$5:$IM$5,0)))</f>
        <v/>
      </c>
      <c r="F2">
        <f>IF(D2="","",COUNTIFS('KG1-1'!$AD9:$IM9,"غياب بدون عذر",'KG1-1'!$AD$7:$IM$7,"✓",'KG1-1'!$AD$5:$IM$5,"&lt;="&amp;D2))</f>
        <v/>
      </c>
      <c r="G2">
        <f>IF(D2="",0,1)</f>
        <v/>
      </c>
    </row>
    <row r="3">
      <c r="A3">
        <f>IF('KG1-1'!$B9="","",'KG1-1'!$B9)</f>
        <v/>
      </c>
      <c r="B3">
        <f>IF(A3="","",'KG1-1'!$C9)</f>
        <v/>
      </c>
      <c r="C3">
        <f>IF(A3="","",'KG1-1'!$B$2)</f>
        <v/>
      </c>
      <c r="D3" s="126">
        <f t="array" ref="D3">IF(A3="","",IFERROR(SMALL(IF((('KG1-1'!$AD9:$IM9="غياب بدون عذر")+('KG1-1'!$AD9:$IM9="غياب بعذر"))*('KG1-1'!$AD$7:$IM$7="✓"),'KG1-1'!$AD$5:$IM$5),2),""))</f>
        <v/>
      </c>
      <c r="E3">
        <f>IF(D3="","",INDEX('KG1-1'!$AD9:$IM9,MATCH(D3,'KG1-1'!$AD$5:$IM$5,0)))</f>
        <v/>
      </c>
      <c r="F3">
        <f>IF(D3="","",COUNTIFS('KG1-1'!$AD9:$IM9,"غياب بدون عذر",'KG1-1'!$AD$7:$IM$7,"✓",'KG1-1'!$AD$5:$IM$5,"&lt;="&amp;D3))</f>
        <v/>
      </c>
      <c r="G3">
        <f>G2+IF(D3="",0,1)</f>
        <v/>
      </c>
    </row>
    <row r="4">
      <c r="A4">
        <f>IF('KG1-1'!$B9="","",'KG1-1'!$B9)</f>
        <v/>
      </c>
      <c r="B4">
        <f>IF(A4="","",'KG1-1'!$C9)</f>
        <v/>
      </c>
      <c r="C4">
        <f>IF(A4="","",'KG1-1'!$B$2)</f>
        <v/>
      </c>
      <c r="D4" s="126">
        <f t="array" ref="D4">IF(A4="","",IFERROR(SMALL(IF((('KG1-1'!$AD9:$IM9="غياب بدون عذر")+('KG1-1'!$AD9:$IM9="غياب بعذر"))*('KG1-1'!$AD$7:$IM$7="✓"),'KG1-1'!$AD$5:$IM$5),3),""))</f>
        <v/>
      </c>
      <c r="E4">
        <f>IF(D4="","",INDEX('KG1-1'!$AD9:$IM9,MATCH(D4,'KG1-1'!$AD$5:$IM$5,0)))</f>
        <v/>
      </c>
      <c r="F4">
        <f>IF(D4="","",COUNTIFS('KG1-1'!$AD9:$IM9,"غياب بدون عذر",'KG1-1'!$AD$7:$IM$7,"✓",'KG1-1'!$AD$5:$IM$5,"&lt;="&amp;D4))</f>
        <v/>
      </c>
      <c r="G4">
        <f>G3+IF(D4="",0,1)</f>
        <v/>
      </c>
    </row>
    <row r="5">
      <c r="A5">
        <f>IF('KG1-1'!$B9="","",'KG1-1'!$B9)</f>
        <v/>
      </c>
      <c r="B5">
        <f>IF(A5="","",'KG1-1'!$C9)</f>
        <v/>
      </c>
      <c r="C5">
        <f>IF(A5="","",'KG1-1'!$B$2)</f>
        <v/>
      </c>
      <c r="D5" s="126">
        <f t="array" ref="D5">IF(A5="","",IFERROR(SMALL(IF((('KG1-1'!$AD9:$IM9="غياب بدون عذر")+('KG1-1'!$AD9:$IM9="غياب بعذر"))*('KG1-1'!$AD$7:$IM$7="✓"),'KG1-1'!$AD$5:$IM$5),4),""))</f>
        <v/>
      </c>
      <c r="E5">
        <f>IF(D5="","",INDEX('KG1-1'!$AD9:$IM9,MATCH(D5,'KG1-1'!$AD$5:$IM$5,0)))</f>
        <v/>
      </c>
      <c r="F5">
        <f>IF(D5="","",COUNTIFS('KG1-1'!$AD9:$IM9,"غياب بدون عذر",'KG1-1'!$AD$7:$IM$7,"✓",'KG1-1'!$AD$5:$IM$5,"&lt;="&amp;D5))</f>
        <v/>
      </c>
      <c r="G5">
        <f>G4+IF(D5="",0,1)</f>
        <v/>
      </c>
    </row>
    <row r="6">
      <c r="A6">
        <f>IF('KG1-1'!$B9="","",'KG1-1'!$B9)</f>
        <v/>
      </c>
      <c r="B6">
        <f>IF(A6="","",'KG1-1'!$C9)</f>
        <v/>
      </c>
      <c r="C6">
        <f>IF(A6="","",'KG1-1'!$B$2)</f>
        <v/>
      </c>
      <c r="D6" s="126">
        <f t="array" ref="D6">IF(A6="","",IFERROR(SMALL(IF((('KG1-1'!$AD9:$IM9="غياب بدون عذر")+('KG1-1'!$AD9:$IM9="غياب بعذر"))*('KG1-1'!$AD$7:$IM$7="✓"),'KG1-1'!$AD$5:$IM$5),5),""))</f>
        <v/>
      </c>
      <c r="E6">
        <f>IF(D6="","",INDEX('KG1-1'!$AD9:$IM9,MATCH(D6,'KG1-1'!$AD$5:$IM$5,0)))</f>
        <v/>
      </c>
      <c r="F6">
        <f>IF(D6="","",COUNTIFS('KG1-1'!$AD9:$IM9,"غياب بدون عذر",'KG1-1'!$AD$7:$IM$7,"✓",'KG1-1'!$AD$5:$IM$5,"&lt;="&amp;D6))</f>
        <v/>
      </c>
      <c r="G6">
        <f>G5+IF(D6="",0,1)</f>
        <v/>
      </c>
    </row>
    <row r="7">
      <c r="A7">
        <f>IF('KG1-1'!$B9="","",'KG1-1'!$B9)</f>
        <v/>
      </c>
      <c r="B7">
        <f>IF(A7="","",'KG1-1'!$C9)</f>
        <v/>
      </c>
      <c r="C7">
        <f>IF(A7="","",'KG1-1'!$B$2)</f>
        <v/>
      </c>
      <c r="D7" s="126">
        <f t="array" ref="D7">IF(A7="","",IFERROR(SMALL(IF((('KG1-1'!$AD9:$IM9="غياب بدون عذر")+('KG1-1'!$AD9:$IM9="غياب بعذر"))*('KG1-1'!$AD$7:$IM$7="✓"),'KG1-1'!$AD$5:$IM$5),6),""))</f>
        <v/>
      </c>
      <c r="E7">
        <f>IF(D7="","",INDEX('KG1-1'!$AD9:$IM9,MATCH(D7,'KG1-1'!$AD$5:$IM$5,0)))</f>
        <v/>
      </c>
      <c r="F7">
        <f>IF(D7="","",COUNTIFS('KG1-1'!$AD9:$IM9,"غياب بدون عذر",'KG1-1'!$AD$7:$IM$7,"✓",'KG1-1'!$AD$5:$IM$5,"&lt;="&amp;D7))</f>
        <v/>
      </c>
      <c r="G7">
        <f>G6+IF(D7="",0,1)</f>
        <v/>
      </c>
    </row>
    <row r="8">
      <c r="A8">
        <f>IF('KG1-1'!$B9="","",'KG1-1'!$B9)</f>
        <v/>
      </c>
      <c r="B8">
        <f>IF(A8="","",'KG1-1'!$C9)</f>
        <v/>
      </c>
      <c r="C8">
        <f>IF(A8="","",'KG1-1'!$B$2)</f>
        <v/>
      </c>
      <c r="D8" s="126">
        <f t="array" ref="D8">IF(A8="","",IFERROR(SMALL(IF((('KG1-1'!$AD9:$IM9="غياب بدون عذر")+('KG1-1'!$AD9:$IM9="غياب بعذر"))*('KG1-1'!$AD$7:$IM$7="✓"),'KG1-1'!$AD$5:$IM$5),7),""))</f>
        <v/>
      </c>
      <c r="E8">
        <f>IF(D8="","",INDEX('KG1-1'!$AD9:$IM9,MATCH(D8,'KG1-1'!$AD$5:$IM$5,0)))</f>
        <v/>
      </c>
      <c r="F8">
        <f>IF(D8="","",COUNTIFS('KG1-1'!$AD9:$IM9,"غياب بدون عذر",'KG1-1'!$AD$7:$IM$7,"✓",'KG1-1'!$AD$5:$IM$5,"&lt;="&amp;D8))</f>
        <v/>
      </c>
      <c r="G8">
        <f>G7+IF(D8="",0,1)</f>
        <v/>
      </c>
    </row>
    <row r="9">
      <c r="A9">
        <f>IF('KG1-1'!$B9="","",'KG1-1'!$B9)</f>
        <v/>
      </c>
      <c r="B9">
        <f>IF(A9="","",'KG1-1'!$C9)</f>
        <v/>
      </c>
      <c r="C9">
        <f>IF(A9="","",'KG1-1'!$B$2)</f>
        <v/>
      </c>
      <c r="D9" s="126">
        <f t="array" ref="D9">IF(A9="","",IFERROR(SMALL(IF((('KG1-1'!$AD9:$IM9="غياب بدون عذر")+('KG1-1'!$AD9:$IM9="غياب بعذر"))*('KG1-1'!$AD$7:$IM$7="✓"),'KG1-1'!$AD$5:$IM$5),8),""))</f>
        <v/>
      </c>
      <c r="E9">
        <f>IF(D9="","",INDEX('KG1-1'!$AD9:$IM9,MATCH(D9,'KG1-1'!$AD$5:$IM$5,0)))</f>
        <v/>
      </c>
      <c r="F9">
        <f>IF(D9="","",COUNTIFS('KG1-1'!$AD9:$IM9,"غياب بدون عذر",'KG1-1'!$AD$7:$IM$7,"✓",'KG1-1'!$AD$5:$IM$5,"&lt;="&amp;D9))</f>
        <v/>
      </c>
      <c r="G9">
        <f>G8+IF(D9="",0,1)</f>
        <v/>
      </c>
    </row>
    <row r="10">
      <c r="A10">
        <f>IF('KG1-1'!$B9="","",'KG1-1'!$B9)</f>
        <v/>
      </c>
      <c r="B10">
        <f>IF(A10="","",'KG1-1'!$C9)</f>
        <v/>
      </c>
      <c r="C10">
        <f>IF(A10="","",'KG1-1'!$B$2)</f>
        <v/>
      </c>
      <c r="D10" s="126">
        <f t="array" ref="D10">IF(A10="","",IFERROR(SMALL(IF((('KG1-1'!$AD9:$IM9="غياب بدون عذر")+('KG1-1'!$AD9:$IM9="غياب بعذر"))*('KG1-1'!$AD$7:$IM$7="✓"),'KG1-1'!$AD$5:$IM$5),9),""))</f>
        <v/>
      </c>
      <c r="E10">
        <f>IF(D10="","",INDEX('KG1-1'!$AD9:$IM9,MATCH(D10,'KG1-1'!$AD$5:$IM$5,0)))</f>
        <v/>
      </c>
      <c r="F10">
        <f>IF(D10="","",COUNTIFS('KG1-1'!$AD9:$IM9,"غياب بدون عذر",'KG1-1'!$AD$7:$IM$7,"✓",'KG1-1'!$AD$5:$IM$5,"&lt;="&amp;D10))</f>
        <v/>
      </c>
      <c r="G10">
        <f>G9+IF(D10="",0,1)</f>
        <v/>
      </c>
    </row>
    <row r="11">
      <c r="A11">
        <f>IF('KG1-1'!$B9="","",'KG1-1'!$B9)</f>
        <v/>
      </c>
      <c r="B11">
        <f>IF(A11="","",'KG1-1'!$C9)</f>
        <v/>
      </c>
      <c r="C11">
        <f>IF(A11="","",'KG1-1'!$B$2)</f>
        <v/>
      </c>
      <c r="D11" s="126">
        <f t="array" ref="D11">IF(A11="","",IFERROR(SMALL(IF((('KG1-1'!$AD9:$IM9="غياب بدون عذر")+('KG1-1'!$AD9:$IM9="غياب بعذر"))*('KG1-1'!$AD$7:$IM$7="✓"),'KG1-1'!$AD$5:$IM$5),10),""))</f>
        <v/>
      </c>
      <c r="E11">
        <f>IF(D11="","",INDEX('KG1-1'!$AD9:$IM9,MATCH(D11,'KG1-1'!$AD$5:$IM$5,0)))</f>
        <v/>
      </c>
      <c r="F11">
        <f>IF(D11="","",COUNTIFS('KG1-1'!$AD9:$IM9,"غياب بدون عذر",'KG1-1'!$AD$7:$IM$7,"✓",'KG1-1'!$AD$5:$IM$5,"&lt;="&amp;D11))</f>
        <v/>
      </c>
      <c r="G11">
        <f>G10+IF(D11="",0,1)</f>
        <v/>
      </c>
    </row>
    <row r="12">
      <c r="A12">
        <f>IF('KG1-1'!$B9="","",'KG1-1'!$B9)</f>
        <v/>
      </c>
      <c r="B12">
        <f>IF(A12="","",'KG1-1'!$C9)</f>
        <v/>
      </c>
      <c r="C12">
        <f>IF(A12="","",'KG1-1'!$B$2)</f>
        <v/>
      </c>
      <c r="D12" s="126">
        <f t="array" ref="D12">IF(A12="","",IFERROR(SMALL(IF((('KG1-1'!$AD9:$IM9="غياب بدون عذر")+('KG1-1'!$AD9:$IM9="غياب بعذر"))*('KG1-1'!$AD$7:$IM$7="✓"),'KG1-1'!$AD$5:$IM$5),11),""))</f>
        <v/>
      </c>
      <c r="E12">
        <f>IF(D12="","",INDEX('KG1-1'!$AD9:$IM9,MATCH(D12,'KG1-1'!$AD$5:$IM$5,0)))</f>
        <v/>
      </c>
      <c r="F12">
        <f>IF(D12="","",COUNTIFS('KG1-1'!$AD9:$IM9,"غياب بدون عذر",'KG1-1'!$AD$7:$IM$7,"✓",'KG1-1'!$AD$5:$IM$5,"&lt;="&amp;D12))</f>
        <v/>
      </c>
      <c r="G12">
        <f>G11+IF(D12="",0,1)</f>
        <v/>
      </c>
    </row>
    <row r="13">
      <c r="A13">
        <f>IF('KG1-1'!$B9="","",'KG1-1'!$B9)</f>
        <v/>
      </c>
      <c r="B13">
        <f>IF(A13="","",'KG1-1'!$C9)</f>
        <v/>
      </c>
      <c r="C13">
        <f>IF(A13="","",'KG1-1'!$B$2)</f>
        <v/>
      </c>
      <c r="D13" s="126">
        <f t="array" ref="D13">IF(A13="","",IFERROR(SMALL(IF((('KG1-1'!$AD9:$IM9="غياب بدون عذر")+('KG1-1'!$AD9:$IM9="غياب بعذر"))*('KG1-1'!$AD$7:$IM$7="✓"),'KG1-1'!$AD$5:$IM$5),12),""))</f>
        <v/>
      </c>
      <c r="E13">
        <f>IF(D13="","",INDEX('KG1-1'!$AD9:$IM9,MATCH(D13,'KG1-1'!$AD$5:$IM$5,0)))</f>
        <v/>
      </c>
      <c r="F13">
        <f>IF(D13="","",COUNTIFS('KG1-1'!$AD9:$IM9,"غياب بدون عذر",'KG1-1'!$AD$7:$IM$7,"✓",'KG1-1'!$AD$5:$IM$5,"&lt;="&amp;D13))</f>
        <v/>
      </c>
      <c r="G13">
        <f>G12+IF(D13="",0,1)</f>
        <v/>
      </c>
    </row>
    <row r="14">
      <c r="A14">
        <f>IF('KG1-1'!$B9="","",'KG1-1'!$B9)</f>
        <v/>
      </c>
      <c r="B14">
        <f>IF(A14="","",'KG1-1'!$C9)</f>
        <v/>
      </c>
      <c r="C14">
        <f>IF(A14="","",'KG1-1'!$B$2)</f>
        <v/>
      </c>
      <c r="D14" s="126">
        <f t="array" ref="D14">IF(A14="","",IFERROR(SMALL(IF((('KG1-1'!$AD9:$IM9="غياب بدون عذر")+('KG1-1'!$AD9:$IM9="غياب بعذر"))*('KG1-1'!$AD$7:$IM$7="✓"),'KG1-1'!$AD$5:$IM$5),13),""))</f>
        <v/>
      </c>
      <c r="E14">
        <f>IF(D14="","",INDEX('KG1-1'!$AD9:$IM9,MATCH(D14,'KG1-1'!$AD$5:$IM$5,0)))</f>
        <v/>
      </c>
      <c r="F14">
        <f>IF(D14="","",COUNTIFS('KG1-1'!$AD9:$IM9,"غياب بدون عذر",'KG1-1'!$AD$7:$IM$7,"✓",'KG1-1'!$AD$5:$IM$5,"&lt;="&amp;D14))</f>
        <v/>
      </c>
      <c r="G14">
        <f>G13+IF(D14="",0,1)</f>
        <v/>
      </c>
    </row>
    <row r="15">
      <c r="A15">
        <f>IF('KG1-1'!$B9="","",'KG1-1'!$B9)</f>
        <v/>
      </c>
      <c r="B15">
        <f>IF(A15="","",'KG1-1'!$C9)</f>
        <v/>
      </c>
      <c r="C15">
        <f>IF(A15="","",'KG1-1'!$B$2)</f>
        <v/>
      </c>
      <c r="D15" s="126">
        <f t="array" ref="D15">IF(A15="","",IFERROR(SMALL(IF((('KG1-1'!$AD9:$IM9="غياب بدون عذر")+('KG1-1'!$AD9:$IM9="غياب بعذر"))*('KG1-1'!$AD$7:$IM$7="✓"),'KG1-1'!$AD$5:$IM$5),14),""))</f>
        <v/>
      </c>
      <c r="E15">
        <f>IF(D15="","",INDEX('KG1-1'!$AD9:$IM9,MATCH(D15,'KG1-1'!$AD$5:$IM$5,0)))</f>
        <v/>
      </c>
      <c r="F15">
        <f>IF(D15="","",COUNTIFS('KG1-1'!$AD9:$IM9,"غياب بدون عذر",'KG1-1'!$AD$7:$IM$7,"✓",'KG1-1'!$AD$5:$IM$5,"&lt;="&amp;D15))</f>
        <v/>
      </c>
      <c r="G15">
        <f>G14+IF(D15="",0,1)</f>
        <v/>
      </c>
    </row>
    <row r="16">
      <c r="A16">
        <f>IF('KG1-1'!$B9="","",'KG1-1'!$B9)</f>
        <v/>
      </c>
      <c r="B16">
        <f>IF(A16="","",'KG1-1'!$C9)</f>
        <v/>
      </c>
      <c r="C16">
        <f>IF(A16="","",'KG1-1'!$B$2)</f>
        <v/>
      </c>
      <c r="D16" s="126">
        <f t="array" ref="D16">IF(A16="","",IFERROR(SMALL(IF((('KG1-1'!$AD9:$IM9="غياب بدون عذر")+('KG1-1'!$AD9:$IM9="غياب بعذر"))*('KG1-1'!$AD$7:$IM$7="✓"),'KG1-1'!$AD$5:$IM$5),15),""))</f>
        <v/>
      </c>
      <c r="E16">
        <f>IF(D16="","",INDEX('KG1-1'!$AD9:$IM9,MATCH(D16,'KG1-1'!$AD$5:$IM$5,0)))</f>
        <v/>
      </c>
      <c r="F16">
        <f>IF(D16="","",COUNTIFS('KG1-1'!$AD9:$IM9,"غياب بدون عذر",'KG1-1'!$AD$7:$IM$7,"✓",'KG1-1'!$AD$5:$IM$5,"&lt;="&amp;D16))</f>
        <v/>
      </c>
      <c r="G16">
        <f>G15+IF(D16="",0,1)</f>
        <v/>
      </c>
    </row>
    <row r="17">
      <c r="A17">
        <f>IF('KG1-1'!$B9="","",'KG1-1'!$B9)</f>
        <v/>
      </c>
      <c r="B17">
        <f>IF(A17="","",'KG1-1'!$C9)</f>
        <v/>
      </c>
      <c r="C17">
        <f>IF(A17="","",'KG1-1'!$B$2)</f>
        <v/>
      </c>
      <c r="D17" s="126">
        <f t="array" ref="D17">IF(A17="","",IFERROR(SMALL(IF((('KG1-1'!$AD9:$IM9="غياب بدون عذر")+('KG1-1'!$AD9:$IM9="غياب بعذر"))*('KG1-1'!$AD$7:$IM$7="✓"),'KG1-1'!$AD$5:$IM$5),16),""))</f>
        <v/>
      </c>
      <c r="E17">
        <f>IF(D17="","",INDEX('KG1-1'!$AD9:$IM9,MATCH(D17,'KG1-1'!$AD$5:$IM$5,0)))</f>
        <v/>
      </c>
      <c r="F17">
        <f>IF(D17="","",COUNTIFS('KG1-1'!$AD9:$IM9,"غياب بدون عذر",'KG1-1'!$AD$7:$IM$7,"✓",'KG1-1'!$AD$5:$IM$5,"&lt;="&amp;D17))</f>
        <v/>
      </c>
      <c r="G17">
        <f>G16+IF(D17="",0,1)</f>
        <v/>
      </c>
    </row>
    <row r="18">
      <c r="A18">
        <f>IF('KG1-1'!$B9="","",'KG1-1'!$B9)</f>
        <v/>
      </c>
      <c r="B18">
        <f>IF(A18="","",'KG1-1'!$C9)</f>
        <v/>
      </c>
      <c r="C18">
        <f>IF(A18="","",'KG1-1'!$B$2)</f>
        <v/>
      </c>
      <c r="D18" s="126">
        <f t="array" ref="D18">IF(A18="","",IFERROR(SMALL(IF((('KG1-1'!$AD9:$IM9="غياب بدون عذر")+('KG1-1'!$AD9:$IM9="غياب بعذر"))*('KG1-1'!$AD$7:$IM$7="✓"),'KG1-1'!$AD$5:$IM$5),17),""))</f>
        <v/>
      </c>
      <c r="E18">
        <f>IF(D18="","",INDEX('KG1-1'!$AD9:$IM9,MATCH(D18,'KG1-1'!$AD$5:$IM$5,0)))</f>
        <v/>
      </c>
      <c r="F18">
        <f>IF(D18="","",COUNTIFS('KG1-1'!$AD9:$IM9,"غياب بدون عذر",'KG1-1'!$AD$7:$IM$7,"✓",'KG1-1'!$AD$5:$IM$5,"&lt;="&amp;D18))</f>
        <v/>
      </c>
      <c r="G18">
        <f>G17+IF(D18="",0,1)</f>
        <v/>
      </c>
    </row>
    <row r="19">
      <c r="A19">
        <f>IF('KG1-1'!$B9="","",'KG1-1'!$B9)</f>
        <v/>
      </c>
      <c r="B19">
        <f>IF(A19="","",'KG1-1'!$C9)</f>
        <v/>
      </c>
      <c r="C19">
        <f>IF(A19="","",'KG1-1'!$B$2)</f>
        <v/>
      </c>
      <c r="D19" s="126">
        <f t="array" ref="D19">IF(A19="","",IFERROR(SMALL(IF((('KG1-1'!$AD9:$IM9="غياب بدون عذر")+('KG1-1'!$AD9:$IM9="غياب بعذر"))*('KG1-1'!$AD$7:$IM$7="✓"),'KG1-1'!$AD$5:$IM$5),18),""))</f>
        <v/>
      </c>
      <c r="E19">
        <f>IF(D19="","",INDEX('KG1-1'!$AD9:$IM9,MATCH(D19,'KG1-1'!$AD$5:$IM$5,0)))</f>
        <v/>
      </c>
      <c r="F19">
        <f>IF(D19="","",COUNTIFS('KG1-1'!$AD9:$IM9,"غياب بدون عذر",'KG1-1'!$AD$7:$IM$7,"✓",'KG1-1'!$AD$5:$IM$5,"&lt;="&amp;D19))</f>
        <v/>
      </c>
      <c r="G19">
        <f>G18+IF(D19="",0,1)</f>
        <v/>
      </c>
    </row>
    <row r="20">
      <c r="A20">
        <f>IF('KG1-1'!$B9="","",'KG1-1'!$B9)</f>
        <v/>
      </c>
      <c r="B20">
        <f>IF(A20="","",'KG1-1'!$C9)</f>
        <v/>
      </c>
      <c r="C20">
        <f>IF(A20="","",'KG1-1'!$B$2)</f>
        <v/>
      </c>
      <c r="D20" s="126">
        <f t="array" ref="D20">IF(A20="","",IFERROR(SMALL(IF((('KG1-1'!$AD9:$IM9="غياب بدون عذر")+('KG1-1'!$AD9:$IM9="غياب بعذر"))*('KG1-1'!$AD$7:$IM$7="✓"),'KG1-1'!$AD$5:$IM$5),19),""))</f>
        <v/>
      </c>
      <c r="E20">
        <f>IF(D20="","",INDEX('KG1-1'!$AD9:$IM9,MATCH(D20,'KG1-1'!$AD$5:$IM$5,0)))</f>
        <v/>
      </c>
      <c r="F20">
        <f>IF(D20="","",COUNTIFS('KG1-1'!$AD9:$IM9,"غياب بدون عذر",'KG1-1'!$AD$7:$IM$7,"✓",'KG1-1'!$AD$5:$IM$5,"&lt;="&amp;D20))</f>
        <v/>
      </c>
      <c r="G20">
        <f>G19+IF(D20="",0,1)</f>
        <v/>
      </c>
    </row>
    <row r="21">
      <c r="A21">
        <f>IF('KG1-1'!$B9="","",'KG1-1'!$B9)</f>
        <v/>
      </c>
      <c r="B21">
        <f>IF(A21="","",'KG1-1'!$C9)</f>
        <v/>
      </c>
      <c r="C21">
        <f>IF(A21="","",'KG1-1'!$B$2)</f>
        <v/>
      </c>
      <c r="D21" s="126">
        <f t="array" ref="D21">IF(A21="","",IFERROR(SMALL(IF((('KG1-1'!$AD9:$IM9="غياب بدون عذر")+('KG1-1'!$AD9:$IM9="غياب بعذر"))*('KG1-1'!$AD$7:$IM$7="✓"),'KG1-1'!$AD$5:$IM$5),20),""))</f>
        <v/>
      </c>
      <c r="E21">
        <f>IF(D21="","",INDEX('KG1-1'!$AD9:$IM9,MATCH(D21,'KG1-1'!$AD$5:$IM$5,0)))</f>
        <v/>
      </c>
      <c r="F21">
        <f>IF(D21="","",COUNTIFS('KG1-1'!$AD9:$IM9,"غياب بدون عذر",'KG1-1'!$AD$7:$IM$7,"✓",'KG1-1'!$AD$5:$IM$5,"&lt;="&amp;D21))</f>
        <v/>
      </c>
      <c r="G21">
        <f>G20+IF(D21="",0,1)</f>
        <v/>
      </c>
    </row>
    <row r="22">
      <c r="A22">
        <f>IF('KG1-1'!$B10="","",'KG1-1'!$B10)</f>
        <v/>
      </c>
      <c r="B22">
        <f>IF(A22="","",'KG1-1'!$C10)</f>
        <v/>
      </c>
      <c r="C22">
        <f>IF(A22="","",'KG1-1'!$B$2)</f>
        <v/>
      </c>
      <c r="D22" s="126">
        <f t="array" ref="D22">IF(A22="","",IFERROR(SMALL(IF((('KG1-1'!$AD10:$IM10="غياب بدون عذر")+('KG1-1'!$AD10:$IM10="غياب بعذر"))*('KG1-1'!$AD$7:$IM$7="✓"),'KG1-1'!$AD$5:$IM$5),1),""))</f>
        <v/>
      </c>
      <c r="E22">
        <f>IF(D22="","",INDEX('KG1-1'!$AD10:$IM10,MATCH(D22,'KG1-1'!$AD$5:$IM$5,0)))</f>
        <v/>
      </c>
      <c r="F22">
        <f>IF(D22="","",COUNTIFS('KG1-1'!$AD10:$IM10,"غياب بدون عذر",'KG1-1'!$AD$7:$IM$7,"✓",'KG1-1'!$AD$5:$IM$5,"&lt;="&amp;D22))</f>
        <v/>
      </c>
      <c r="G22">
        <f>G21+IF(D22="",0,1)</f>
        <v/>
      </c>
    </row>
    <row r="23">
      <c r="A23">
        <f>IF('KG1-1'!$B10="","",'KG1-1'!$B10)</f>
        <v/>
      </c>
      <c r="B23">
        <f>IF(A23="","",'KG1-1'!$C10)</f>
        <v/>
      </c>
      <c r="C23">
        <f>IF(A23="","",'KG1-1'!$B$2)</f>
        <v/>
      </c>
      <c r="D23" s="126">
        <f t="array" ref="D23">IF(A23="","",IFERROR(SMALL(IF((('KG1-1'!$AD10:$IM10="غياب بدون عذر")+('KG1-1'!$AD10:$IM10="غياب بعذر"))*('KG1-1'!$AD$7:$IM$7="✓"),'KG1-1'!$AD$5:$IM$5),2),""))</f>
        <v/>
      </c>
      <c r="E23">
        <f>IF(D23="","",INDEX('KG1-1'!$AD10:$IM10,MATCH(D23,'KG1-1'!$AD$5:$IM$5,0)))</f>
        <v/>
      </c>
      <c r="F23">
        <f>IF(D23="","",COUNTIFS('KG1-1'!$AD10:$IM10,"غياب بدون عذر",'KG1-1'!$AD$7:$IM$7,"✓",'KG1-1'!$AD$5:$IM$5,"&lt;="&amp;D23))</f>
        <v/>
      </c>
      <c r="G23">
        <f>G22+IF(D23="",0,1)</f>
        <v/>
      </c>
    </row>
    <row r="24">
      <c r="A24">
        <f>IF('KG1-1'!$B10="","",'KG1-1'!$B10)</f>
        <v/>
      </c>
      <c r="B24">
        <f>IF(A24="","",'KG1-1'!$C10)</f>
        <v/>
      </c>
      <c r="C24">
        <f>IF(A24="","",'KG1-1'!$B$2)</f>
        <v/>
      </c>
      <c r="D24" s="126">
        <f t="array" ref="D24">IF(A24="","",IFERROR(SMALL(IF((('KG1-1'!$AD10:$IM10="غياب بدون عذر")+('KG1-1'!$AD10:$IM10="غياب بعذر"))*('KG1-1'!$AD$7:$IM$7="✓"),'KG1-1'!$AD$5:$IM$5),3),""))</f>
        <v/>
      </c>
      <c r="E24">
        <f>IF(D24="","",INDEX('KG1-1'!$AD10:$IM10,MATCH(D24,'KG1-1'!$AD$5:$IM$5,0)))</f>
        <v/>
      </c>
      <c r="F24">
        <f>IF(D24="","",COUNTIFS('KG1-1'!$AD10:$IM10,"غياب بدون عذر",'KG1-1'!$AD$7:$IM$7,"✓",'KG1-1'!$AD$5:$IM$5,"&lt;="&amp;D24))</f>
        <v/>
      </c>
      <c r="G24">
        <f>G23+IF(D24="",0,1)</f>
        <v/>
      </c>
    </row>
    <row r="25">
      <c r="A25">
        <f>IF('KG1-1'!$B10="","",'KG1-1'!$B10)</f>
        <v/>
      </c>
      <c r="B25">
        <f>IF(A25="","",'KG1-1'!$C10)</f>
        <v/>
      </c>
      <c r="C25">
        <f>IF(A25="","",'KG1-1'!$B$2)</f>
        <v/>
      </c>
      <c r="D25" s="126">
        <f t="array" ref="D25">IF(A25="","",IFERROR(SMALL(IF((('KG1-1'!$AD10:$IM10="غياب بدون عذر")+('KG1-1'!$AD10:$IM10="غياب بعذر"))*('KG1-1'!$AD$7:$IM$7="✓"),'KG1-1'!$AD$5:$IM$5),4),""))</f>
        <v/>
      </c>
      <c r="E25">
        <f>IF(D25="","",INDEX('KG1-1'!$AD10:$IM10,MATCH(D25,'KG1-1'!$AD$5:$IM$5,0)))</f>
        <v/>
      </c>
      <c r="F25">
        <f>IF(D25="","",COUNTIFS('KG1-1'!$AD10:$IM10,"غياب بدون عذر",'KG1-1'!$AD$7:$IM$7,"✓",'KG1-1'!$AD$5:$IM$5,"&lt;="&amp;D25))</f>
        <v/>
      </c>
      <c r="G25">
        <f>G24+IF(D25="",0,1)</f>
        <v/>
      </c>
    </row>
    <row r="26">
      <c r="A26">
        <f>IF('KG1-1'!$B10="","",'KG1-1'!$B10)</f>
        <v/>
      </c>
      <c r="B26">
        <f>IF(A26="","",'KG1-1'!$C10)</f>
        <v/>
      </c>
      <c r="C26">
        <f>IF(A26="","",'KG1-1'!$B$2)</f>
        <v/>
      </c>
      <c r="D26" s="126">
        <f t="array" ref="D26">IF(A26="","",IFERROR(SMALL(IF((('KG1-1'!$AD10:$IM10="غياب بدون عذر")+('KG1-1'!$AD10:$IM10="غياب بعذر"))*('KG1-1'!$AD$7:$IM$7="✓"),'KG1-1'!$AD$5:$IM$5),5),""))</f>
        <v/>
      </c>
      <c r="E26">
        <f>IF(D26="","",INDEX('KG1-1'!$AD10:$IM10,MATCH(D26,'KG1-1'!$AD$5:$IM$5,0)))</f>
        <v/>
      </c>
      <c r="F26">
        <f>IF(D26="","",COUNTIFS('KG1-1'!$AD10:$IM10,"غياب بدون عذر",'KG1-1'!$AD$7:$IM$7,"✓",'KG1-1'!$AD$5:$IM$5,"&lt;="&amp;D26))</f>
        <v/>
      </c>
      <c r="G26">
        <f>G25+IF(D26="",0,1)</f>
        <v/>
      </c>
    </row>
    <row r="27">
      <c r="A27">
        <f>IF('KG1-1'!$B10="","",'KG1-1'!$B10)</f>
        <v/>
      </c>
      <c r="B27">
        <f>IF(A27="","",'KG1-1'!$C10)</f>
        <v/>
      </c>
      <c r="C27">
        <f>IF(A27="","",'KG1-1'!$B$2)</f>
        <v/>
      </c>
      <c r="D27" s="126">
        <f t="array" ref="D27">IF(A27="","",IFERROR(SMALL(IF((('KG1-1'!$AD10:$IM10="غياب بدون عذر")+('KG1-1'!$AD10:$IM10="غياب بعذر"))*('KG1-1'!$AD$7:$IM$7="✓"),'KG1-1'!$AD$5:$IM$5),6),""))</f>
        <v/>
      </c>
      <c r="E27">
        <f>IF(D27="","",INDEX('KG1-1'!$AD10:$IM10,MATCH(D27,'KG1-1'!$AD$5:$IM$5,0)))</f>
        <v/>
      </c>
      <c r="F27">
        <f>IF(D27="","",COUNTIFS('KG1-1'!$AD10:$IM10,"غياب بدون عذر",'KG1-1'!$AD$7:$IM$7,"✓",'KG1-1'!$AD$5:$IM$5,"&lt;="&amp;D27))</f>
        <v/>
      </c>
      <c r="G27">
        <f>G26+IF(D27="",0,1)</f>
        <v/>
      </c>
    </row>
    <row r="28">
      <c r="A28">
        <f>IF('KG1-1'!$B10="","",'KG1-1'!$B10)</f>
        <v/>
      </c>
      <c r="B28">
        <f>IF(A28="","",'KG1-1'!$C10)</f>
        <v/>
      </c>
      <c r="C28">
        <f>IF(A28="","",'KG1-1'!$B$2)</f>
        <v/>
      </c>
      <c r="D28" s="126">
        <f t="array" ref="D28">IF(A28="","",IFERROR(SMALL(IF((('KG1-1'!$AD10:$IM10="غياب بدون عذر")+('KG1-1'!$AD10:$IM10="غياب بعذر"))*('KG1-1'!$AD$7:$IM$7="✓"),'KG1-1'!$AD$5:$IM$5),7),""))</f>
        <v/>
      </c>
      <c r="E28">
        <f>IF(D28="","",INDEX('KG1-1'!$AD10:$IM10,MATCH(D28,'KG1-1'!$AD$5:$IM$5,0)))</f>
        <v/>
      </c>
      <c r="F28">
        <f>IF(D28="","",COUNTIFS('KG1-1'!$AD10:$IM10,"غياب بدون عذر",'KG1-1'!$AD$7:$IM$7,"✓",'KG1-1'!$AD$5:$IM$5,"&lt;="&amp;D28))</f>
        <v/>
      </c>
      <c r="G28">
        <f>G27+IF(D28="",0,1)</f>
        <v/>
      </c>
    </row>
    <row r="29">
      <c r="A29">
        <f>IF('KG1-1'!$B10="","",'KG1-1'!$B10)</f>
        <v/>
      </c>
      <c r="B29">
        <f>IF(A29="","",'KG1-1'!$C10)</f>
        <v/>
      </c>
      <c r="C29">
        <f>IF(A29="","",'KG1-1'!$B$2)</f>
        <v/>
      </c>
      <c r="D29" s="126">
        <f t="array" ref="D29">IF(A29="","",IFERROR(SMALL(IF((('KG1-1'!$AD10:$IM10="غياب بدون عذر")+('KG1-1'!$AD10:$IM10="غياب بعذر"))*('KG1-1'!$AD$7:$IM$7="✓"),'KG1-1'!$AD$5:$IM$5),8),""))</f>
        <v/>
      </c>
      <c r="E29">
        <f>IF(D29="","",INDEX('KG1-1'!$AD10:$IM10,MATCH(D29,'KG1-1'!$AD$5:$IM$5,0)))</f>
        <v/>
      </c>
      <c r="F29">
        <f>IF(D29="","",COUNTIFS('KG1-1'!$AD10:$IM10,"غياب بدون عذر",'KG1-1'!$AD$7:$IM$7,"✓",'KG1-1'!$AD$5:$IM$5,"&lt;="&amp;D29))</f>
        <v/>
      </c>
      <c r="G29">
        <f>G28+IF(D29="",0,1)</f>
        <v/>
      </c>
    </row>
    <row r="30">
      <c r="A30">
        <f>IF('KG1-1'!$B10="","",'KG1-1'!$B10)</f>
        <v/>
      </c>
      <c r="B30">
        <f>IF(A30="","",'KG1-1'!$C10)</f>
        <v/>
      </c>
      <c r="C30">
        <f>IF(A30="","",'KG1-1'!$B$2)</f>
        <v/>
      </c>
      <c r="D30" s="126">
        <f t="array" ref="D30">IF(A30="","",IFERROR(SMALL(IF((('KG1-1'!$AD10:$IM10="غياب بدون عذر")+('KG1-1'!$AD10:$IM10="غياب بعذر"))*('KG1-1'!$AD$7:$IM$7="✓"),'KG1-1'!$AD$5:$IM$5),9),""))</f>
        <v/>
      </c>
      <c r="E30">
        <f>IF(D30="","",INDEX('KG1-1'!$AD10:$IM10,MATCH(D30,'KG1-1'!$AD$5:$IM$5,0)))</f>
        <v/>
      </c>
      <c r="F30">
        <f>IF(D30="","",COUNTIFS('KG1-1'!$AD10:$IM10,"غياب بدون عذر",'KG1-1'!$AD$7:$IM$7,"✓",'KG1-1'!$AD$5:$IM$5,"&lt;="&amp;D30))</f>
        <v/>
      </c>
      <c r="G30">
        <f>G29+IF(D30="",0,1)</f>
        <v/>
      </c>
    </row>
    <row r="31">
      <c r="A31">
        <f>IF('KG1-1'!$B10="","",'KG1-1'!$B10)</f>
        <v/>
      </c>
      <c r="B31">
        <f>IF(A31="","",'KG1-1'!$C10)</f>
        <v/>
      </c>
      <c r="C31">
        <f>IF(A31="","",'KG1-1'!$B$2)</f>
        <v/>
      </c>
      <c r="D31" s="126">
        <f t="array" ref="D31">IF(A31="","",IFERROR(SMALL(IF((('KG1-1'!$AD10:$IM10="غياب بدون عذر")+('KG1-1'!$AD10:$IM10="غياب بعذر"))*('KG1-1'!$AD$7:$IM$7="✓"),'KG1-1'!$AD$5:$IM$5),10),""))</f>
        <v/>
      </c>
      <c r="E31">
        <f>IF(D31="","",INDEX('KG1-1'!$AD10:$IM10,MATCH(D31,'KG1-1'!$AD$5:$IM$5,0)))</f>
        <v/>
      </c>
      <c r="F31">
        <f>IF(D31="","",COUNTIFS('KG1-1'!$AD10:$IM10,"غياب بدون عذر",'KG1-1'!$AD$7:$IM$7,"✓",'KG1-1'!$AD$5:$IM$5,"&lt;="&amp;D31))</f>
        <v/>
      </c>
      <c r="G31">
        <f>G30+IF(D31="",0,1)</f>
        <v/>
      </c>
    </row>
    <row r="32">
      <c r="A32">
        <f>IF('KG1-1'!$B10="","",'KG1-1'!$B10)</f>
        <v/>
      </c>
      <c r="B32">
        <f>IF(A32="","",'KG1-1'!$C10)</f>
        <v/>
      </c>
      <c r="C32">
        <f>IF(A32="","",'KG1-1'!$B$2)</f>
        <v/>
      </c>
      <c r="D32" s="126">
        <f t="array" ref="D32">IF(A32="","",IFERROR(SMALL(IF((('KG1-1'!$AD10:$IM10="غياب بدون عذر")+('KG1-1'!$AD10:$IM10="غياب بعذر"))*('KG1-1'!$AD$7:$IM$7="✓"),'KG1-1'!$AD$5:$IM$5),11),""))</f>
        <v/>
      </c>
      <c r="E32">
        <f>IF(D32="","",INDEX('KG1-1'!$AD10:$IM10,MATCH(D32,'KG1-1'!$AD$5:$IM$5,0)))</f>
        <v/>
      </c>
      <c r="F32">
        <f>IF(D32="","",COUNTIFS('KG1-1'!$AD10:$IM10,"غياب بدون عذر",'KG1-1'!$AD$7:$IM$7,"✓",'KG1-1'!$AD$5:$IM$5,"&lt;="&amp;D32))</f>
        <v/>
      </c>
      <c r="G32">
        <f>G31+IF(D32="",0,1)</f>
        <v/>
      </c>
    </row>
    <row r="33">
      <c r="A33">
        <f>IF('KG1-1'!$B10="","",'KG1-1'!$B10)</f>
        <v/>
      </c>
      <c r="B33">
        <f>IF(A33="","",'KG1-1'!$C10)</f>
        <v/>
      </c>
      <c r="C33">
        <f>IF(A33="","",'KG1-1'!$B$2)</f>
        <v/>
      </c>
      <c r="D33" s="126">
        <f t="array" ref="D33">IF(A33="","",IFERROR(SMALL(IF((('KG1-1'!$AD10:$IM10="غياب بدون عذر")+('KG1-1'!$AD10:$IM10="غياب بعذر"))*('KG1-1'!$AD$7:$IM$7="✓"),'KG1-1'!$AD$5:$IM$5),12),""))</f>
        <v/>
      </c>
      <c r="E33">
        <f>IF(D33="","",INDEX('KG1-1'!$AD10:$IM10,MATCH(D33,'KG1-1'!$AD$5:$IM$5,0)))</f>
        <v/>
      </c>
      <c r="F33">
        <f>IF(D33="","",COUNTIFS('KG1-1'!$AD10:$IM10,"غياب بدون عذر",'KG1-1'!$AD$7:$IM$7,"✓",'KG1-1'!$AD$5:$IM$5,"&lt;="&amp;D33))</f>
        <v/>
      </c>
      <c r="G33">
        <f>G32+IF(D33="",0,1)</f>
        <v/>
      </c>
    </row>
    <row r="34">
      <c r="A34">
        <f>IF('KG1-1'!$B10="","",'KG1-1'!$B10)</f>
        <v/>
      </c>
      <c r="B34">
        <f>IF(A34="","",'KG1-1'!$C10)</f>
        <v/>
      </c>
      <c r="C34">
        <f>IF(A34="","",'KG1-1'!$B$2)</f>
        <v/>
      </c>
      <c r="D34" s="126">
        <f t="array" ref="D34">IF(A34="","",IFERROR(SMALL(IF((('KG1-1'!$AD10:$IM10="غياب بدون عذر")+('KG1-1'!$AD10:$IM10="غياب بعذر"))*('KG1-1'!$AD$7:$IM$7="✓"),'KG1-1'!$AD$5:$IM$5),13),""))</f>
        <v/>
      </c>
      <c r="E34">
        <f>IF(D34="","",INDEX('KG1-1'!$AD10:$IM10,MATCH(D34,'KG1-1'!$AD$5:$IM$5,0)))</f>
        <v/>
      </c>
      <c r="F34">
        <f>IF(D34="","",COUNTIFS('KG1-1'!$AD10:$IM10,"غياب بدون عذر",'KG1-1'!$AD$7:$IM$7,"✓",'KG1-1'!$AD$5:$IM$5,"&lt;="&amp;D34))</f>
        <v/>
      </c>
      <c r="G34">
        <f>G33+IF(D34="",0,1)</f>
        <v/>
      </c>
    </row>
    <row r="35">
      <c r="A35">
        <f>IF('KG1-1'!$B10="","",'KG1-1'!$B10)</f>
        <v/>
      </c>
      <c r="B35">
        <f>IF(A35="","",'KG1-1'!$C10)</f>
        <v/>
      </c>
      <c r="C35">
        <f>IF(A35="","",'KG1-1'!$B$2)</f>
        <v/>
      </c>
      <c r="D35" s="126">
        <f t="array" ref="D35">IF(A35="","",IFERROR(SMALL(IF((('KG1-1'!$AD10:$IM10="غياب بدون عذر")+('KG1-1'!$AD10:$IM10="غياب بعذر"))*('KG1-1'!$AD$7:$IM$7="✓"),'KG1-1'!$AD$5:$IM$5),14),""))</f>
        <v/>
      </c>
      <c r="E35">
        <f>IF(D35="","",INDEX('KG1-1'!$AD10:$IM10,MATCH(D35,'KG1-1'!$AD$5:$IM$5,0)))</f>
        <v/>
      </c>
      <c r="F35">
        <f>IF(D35="","",COUNTIFS('KG1-1'!$AD10:$IM10,"غياب بدون عذر",'KG1-1'!$AD$7:$IM$7,"✓",'KG1-1'!$AD$5:$IM$5,"&lt;="&amp;D35))</f>
        <v/>
      </c>
      <c r="G35">
        <f>G34+IF(D35="",0,1)</f>
        <v/>
      </c>
    </row>
    <row r="36">
      <c r="A36">
        <f>IF('KG1-1'!$B10="","",'KG1-1'!$B10)</f>
        <v/>
      </c>
      <c r="B36">
        <f>IF(A36="","",'KG1-1'!$C10)</f>
        <v/>
      </c>
      <c r="C36">
        <f>IF(A36="","",'KG1-1'!$B$2)</f>
        <v/>
      </c>
      <c r="D36" s="126">
        <f t="array" ref="D36">IF(A36="","",IFERROR(SMALL(IF((('KG1-1'!$AD10:$IM10="غياب بدون عذر")+('KG1-1'!$AD10:$IM10="غياب بعذر"))*('KG1-1'!$AD$7:$IM$7="✓"),'KG1-1'!$AD$5:$IM$5),15),""))</f>
        <v/>
      </c>
      <c r="E36">
        <f>IF(D36="","",INDEX('KG1-1'!$AD10:$IM10,MATCH(D36,'KG1-1'!$AD$5:$IM$5,0)))</f>
        <v/>
      </c>
      <c r="F36">
        <f>IF(D36="","",COUNTIFS('KG1-1'!$AD10:$IM10,"غياب بدون عذر",'KG1-1'!$AD$7:$IM$7,"✓",'KG1-1'!$AD$5:$IM$5,"&lt;="&amp;D36))</f>
        <v/>
      </c>
      <c r="G36">
        <f>G35+IF(D36="",0,1)</f>
        <v/>
      </c>
    </row>
    <row r="37">
      <c r="A37">
        <f>IF('KG1-1'!$B10="","",'KG1-1'!$B10)</f>
        <v/>
      </c>
      <c r="B37">
        <f>IF(A37="","",'KG1-1'!$C10)</f>
        <v/>
      </c>
      <c r="C37">
        <f>IF(A37="","",'KG1-1'!$B$2)</f>
        <v/>
      </c>
      <c r="D37" s="126">
        <f t="array" ref="D37">IF(A37="","",IFERROR(SMALL(IF((('KG1-1'!$AD10:$IM10="غياب بدون عذر")+('KG1-1'!$AD10:$IM10="غياب بعذر"))*('KG1-1'!$AD$7:$IM$7="✓"),'KG1-1'!$AD$5:$IM$5),16),""))</f>
        <v/>
      </c>
      <c r="E37">
        <f>IF(D37="","",INDEX('KG1-1'!$AD10:$IM10,MATCH(D37,'KG1-1'!$AD$5:$IM$5,0)))</f>
        <v/>
      </c>
      <c r="F37">
        <f>IF(D37="","",COUNTIFS('KG1-1'!$AD10:$IM10,"غياب بدون عذر",'KG1-1'!$AD$7:$IM$7,"✓",'KG1-1'!$AD$5:$IM$5,"&lt;="&amp;D37))</f>
        <v/>
      </c>
      <c r="G37">
        <f>G36+IF(D37="",0,1)</f>
        <v/>
      </c>
    </row>
    <row r="38">
      <c r="A38">
        <f>IF('KG1-1'!$B10="","",'KG1-1'!$B10)</f>
        <v/>
      </c>
      <c r="B38">
        <f>IF(A38="","",'KG1-1'!$C10)</f>
        <v/>
      </c>
      <c r="C38">
        <f>IF(A38="","",'KG1-1'!$B$2)</f>
        <v/>
      </c>
      <c r="D38" s="126">
        <f t="array" ref="D38">IF(A38="","",IFERROR(SMALL(IF((('KG1-1'!$AD10:$IM10="غياب بدون عذر")+('KG1-1'!$AD10:$IM10="غياب بعذر"))*('KG1-1'!$AD$7:$IM$7="✓"),'KG1-1'!$AD$5:$IM$5),17),""))</f>
        <v/>
      </c>
      <c r="E38">
        <f>IF(D38="","",INDEX('KG1-1'!$AD10:$IM10,MATCH(D38,'KG1-1'!$AD$5:$IM$5,0)))</f>
        <v/>
      </c>
      <c r="F38">
        <f>IF(D38="","",COUNTIFS('KG1-1'!$AD10:$IM10,"غياب بدون عذر",'KG1-1'!$AD$7:$IM$7,"✓",'KG1-1'!$AD$5:$IM$5,"&lt;="&amp;D38))</f>
        <v/>
      </c>
      <c r="G38">
        <f>G37+IF(D38="",0,1)</f>
        <v/>
      </c>
    </row>
    <row r="39">
      <c r="A39">
        <f>IF('KG1-1'!$B10="","",'KG1-1'!$B10)</f>
        <v/>
      </c>
      <c r="B39">
        <f>IF(A39="","",'KG1-1'!$C10)</f>
        <v/>
      </c>
      <c r="C39">
        <f>IF(A39="","",'KG1-1'!$B$2)</f>
        <v/>
      </c>
      <c r="D39" s="126">
        <f t="array" ref="D39">IF(A39="","",IFERROR(SMALL(IF((('KG1-1'!$AD10:$IM10="غياب بدون عذر")+('KG1-1'!$AD10:$IM10="غياب بعذر"))*('KG1-1'!$AD$7:$IM$7="✓"),'KG1-1'!$AD$5:$IM$5),18),""))</f>
        <v/>
      </c>
      <c r="E39">
        <f>IF(D39="","",INDEX('KG1-1'!$AD10:$IM10,MATCH(D39,'KG1-1'!$AD$5:$IM$5,0)))</f>
        <v/>
      </c>
      <c r="F39">
        <f>IF(D39="","",COUNTIFS('KG1-1'!$AD10:$IM10,"غياب بدون عذر",'KG1-1'!$AD$7:$IM$7,"✓",'KG1-1'!$AD$5:$IM$5,"&lt;="&amp;D39))</f>
        <v/>
      </c>
      <c r="G39">
        <f>G38+IF(D39="",0,1)</f>
        <v/>
      </c>
    </row>
    <row r="40">
      <c r="A40">
        <f>IF('KG1-1'!$B10="","",'KG1-1'!$B10)</f>
        <v/>
      </c>
      <c r="B40">
        <f>IF(A40="","",'KG1-1'!$C10)</f>
        <v/>
      </c>
      <c r="C40">
        <f>IF(A40="","",'KG1-1'!$B$2)</f>
        <v/>
      </c>
      <c r="D40" s="126">
        <f t="array" ref="D40">IF(A40="","",IFERROR(SMALL(IF((('KG1-1'!$AD10:$IM10="غياب بدون عذر")+('KG1-1'!$AD10:$IM10="غياب بعذر"))*('KG1-1'!$AD$7:$IM$7="✓"),'KG1-1'!$AD$5:$IM$5),19),""))</f>
        <v/>
      </c>
      <c r="E40">
        <f>IF(D40="","",INDEX('KG1-1'!$AD10:$IM10,MATCH(D40,'KG1-1'!$AD$5:$IM$5,0)))</f>
        <v/>
      </c>
      <c r="F40">
        <f>IF(D40="","",COUNTIFS('KG1-1'!$AD10:$IM10,"غياب بدون عذر",'KG1-1'!$AD$7:$IM$7,"✓",'KG1-1'!$AD$5:$IM$5,"&lt;="&amp;D40))</f>
        <v/>
      </c>
      <c r="G40">
        <f>G39+IF(D40="",0,1)</f>
        <v/>
      </c>
    </row>
    <row r="41">
      <c r="A41">
        <f>IF('KG1-1'!$B10="","",'KG1-1'!$B10)</f>
        <v/>
      </c>
      <c r="B41">
        <f>IF(A41="","",'KG1-1'!$C10)</f>
        <v/>
      </c>
      <c r="C41">
        <f>IF(A41="","",'KG1-1'!$B$2)</f>
        <v/>
      </c>
      <c r="D41" s="126">
        <f t="array" ref="D41">IF(A41="","",IFERROR(SMALL(IF((('KG1-1'!$AD10:$IM10="غياب بدون عذر")+('KG1-1'!$AD10:$IM10="غياب بعذر"))*('KG1-1'!$AD$7:$IM$7="✓"),'KG1-1'!$AD$5:$IM$5),20),""))</f>
        <v/>
      </c>
      <c r="E41">
        <f>IF(D41="","",INDEX('KG1-1'!$AD10:$IM10,MATCH(D41,'KG1-1'!$AD$5:$IM$5,0)))</f>
        <v/>
      </c>
      <c r="F41">
        <f>IF(D41="","",COUNTIFS('KG1-1'!$AD10:$IM10,"غياب بدون عذر",'KG1-1'!$AD$7:$IM$7,"✓",'KG1-1'!$AD$5:$IM$5,"&lt;="&amp;D41))</f>
        <v/>
      </c>
      <c r="G41">
        <f>G40+IF(D41="",0,1)</f>
        <v/>
      </c>
    </row>
    <row r="42">
      <c r="A42">
        <f>IF('KG1-1'!$B11="","",'KG1-1'!$B11)</f>
        <v/>
      </c>
      <c r="B42">
        <f>IF(A42="","",'KG1-1'!$C11)</f>
        <v/>
      </c>
      <c r="C42">
        <f>IF(A42="","",'KG1-1'!$B$2)</f>
        <v/>
      </c>
      <c r="D42" s="126">
        <f t="array" ref="D42">IF(A42="","",IFERROR(SMALL(IF((('KG1-1'!$AD11:$IM11="غياب بدون عذر")+('KG1-1'!$AD11:$IM11="غياب بعذر"))*('KG1-1'!$AD$7:$IM$7="✓"),'KG1-1'!$AD$5:$IM$5),1),""))</f>
        <v/>
      </c>
      <c r="E42">
        <f>IF(D42="","",INDEX('KG1-1'!$AD11:$IM11,MATCH(D42,'KG1-1'!$AD$5:$IM$5,0)))</f>
        <v/>
      </c>
      <c r="F42">
        <f>IF(D42="","",COUNTIFS('KG1-1'!$AD11:$IM11,"غياب بدون عذر",'KG1-1'!$AD$7:$IM$7,"✓",'KG1-1'!$AD$5:$IM$5,"&lt;="&amp;D42))</f>
        <v/>
      </c>
      <c r="G42">
        <f>G41+IF(D42="",0,1)</f>
        <v/>
      </c>
    </row>
    <row r="43">
      <c r="A43">
        <f>IF('KG1-1'!$B11="","",'KG1-1'!$B11)</f>
        <v/>
      </c>
      <c r="B43">
        <f>IF(A43="","",'KG1-1'!$C11)</f>
        <v/>
      </c>
      <c r="C43">
        <f>IF(A43="","",'KG1-1'!$B$2)</f>
        <v/>
      </c>
      <c r="D43" s="126">
        <f t="array" ref="D43">IF(A43="","",IFERROR(SMALL(IF((('KG1-1'!$AD11:$IM11="غياب بدون عذر")+('KG1-1'!$AD11:$IM11="غياب بعذر"))*('KG1-1'!$AD$7:$IM$7="✓"),'KG1-1'!$AD$5:$IM$5),2),""))</f>
        <v/>
      </c>
      <c r="E43">
        <f>IF(D43="","",INDEX('KG1-1'!$AD11:$IM11,MATCH(D43,'KG1-1'!$AD$5:$IM$5,0)))</f>
        <v/>
      </c>
      <c r="F43">
        <f>IF(D43="","",COUNTIFS('KG1-1'!$AD11:$IM11,"غياب بدون عذر",'KG1-1'!$AD$7:$IM$7,"✓",'KG1-1'!$AD$5:$IM$5,"&lt;="&amp;D43))</f>
        <v/>
      </c>
      <c r="G43">
        <f>G42+IF(D43="",0,1)</f>
        <v/>
      </c>
    </row>
    <row r="44">
      <c r="A44">
        <f>IF('KG1-1'!$B11="","",'KG1-1'!$B11)</f>
        <v/>
      </c>
      <c r="B44">
        <f>IF(A44="","",'KG1-1'!$C11)</f>
        <v/>
      </c>
      <c r="C44">
        <f>IF(A44="","",'KG1-1'!$B$2)</f>
        <v/>
      </c>
      <c r="D44" s="126">
        <f t="array" ref="D44">IF(A44="","",IFERROR(SMALL(IF((('KG1-1'!$AD11:$IM11="غياب بدون عذر")+('KG1-1'!$AD11:$IM11="غياب بعذر"))*('KG1-1'!$AD$7:$IM$7="✓"),'KG1-1'!$AD$5:$IM$5),3),""))</f>
        <v/>
      </c>
      <c r="E44">
        <f>IF(D44="","",INDEX('KG1-1'!$AD11:$IM11,MATCH(D44,'KG1-1'!$AD$5:$IM$5,0)))</f>
        <v/>
      </c>
      <c r="F44">
        <f>IF(D44="","",COUNTIFS('KG1-1'!$AD11:$IM11,"غياب بدون عذر",'KG1-1'!$AD$7:$IM$7,"✓",'KG1-1'!$AD$5:$IM$5,"&lt;="&amp;D44))</f>
        <v/>
      </c>
      <c r="G44">
        <f>G43+IF(D44="",0,1)</f>
        <v/>
      </c>
    </row>
    <row r="45">
      <c r="A45">
        <f>IF('KG1-1'!$B11="","",'KG1-1'!$B11)</f>
        <v/>
      </c>
      <c r="B45">
        <f>IF(A45="","",'KG1-1'!$C11)</f>
        <v/>
      </c>
      <c r="C45">
        <f>IF(A45="","",'KG1-1'!$B$2)</f>
        <v/>
      </c>
      <c r="D45" s="126">
        <f t="array" ref="D45">IF(A45="","",IFERROR(SMALL(IF((('KG1-1'!$AD11:$IM11="غياب بدون عذر")+('KG1-1'!$AD11:$IM11="غياب بعذر"))*('KG1-1'!$AD$7:$IM$7="✓"),'KG1-1'!$AD$5:$IM$5),4),""))</f>
        <v/>
      </c>
      <c r="E45">
        <f>IF(D45="","",INDEX('KG1-1'!$AD11:$IM11,MATCH(D45,'KG1-1'!$AD$5:$IM$5,0)))</f>
        <v/>
      </c>
      <c r="F45">
        <f>IF(D45="","",COUNTIFS('KG1-1'!$AD11:$IM11,"غياب بدون عذر",'KG1-1'!$AD$7:$IM$7,"✓",'KG1-1'!$AD$5:$IM$5,"&lt;="&amp;D45))</f>
        <v/>
      </c>
      <c r="G45">
        <f>G44+IF(D45="",0,1)</f>
        <v/>
      </c>
    </row>
    <row r="46">
      <c r="A46">
        <f>IF('KG1-1'!$B11="","",'KG1-1'!$B11)</f>
        <v/>
      </c>
      <c r="B46">
        <f>IF(A46="","",'KG1-1'!$C11)</f>
        <v/>
      </c>
      <c r="C46">
        <f>IF(A46="","",'KG1-1'!$B$2)</f>
        <v/>
      </c>
      <c r="D46" s="126">
        <f t="array" ref="D46">IF(A46="","",IFERROR(SMALL(IF((('KG1-1'!$AD11:$IM11="غياب بدون عذر")+('KG1-1'!$AD11:$IM11="غياب بعذر"))*('KG1-1'!$AD$7:$IM$7="✓"),'KG1-1'!$AD$5:$IM$5),5),""))</f>
        <v/>
      </c>
      <c r="E46">
        <f>IF(D46="","",INDEX('KG1-1'!$AD11:$IM11,MATCH(D46,'KG1-1'!$AD$5:$IM$5,0)))</f>
        <v/>
      </c>
      <c r="F46">
        <f>IF(D46="","",COUNTIFS('KG1-1'!$AD11:$IM11,"غياب بدون عذر",'KG1-1'!$AD$7:$IM$7,"✓",'KG1-1'!$AD$5:$IM$5,"&lt;="&amp;D46))</f>
        <v/>
      </c>
      <c r="G46">
        <f>G45+IF(D46="",0,1)</f>
        <v/>
      </c>
    </row>
    <row r="47">
      <c r="A47">
        <f>IF('KG1-1'!$B11="","",'KG1-1'!$B11)</f>
        <v/>
      </c>
      <c r="B47">
        <f>IF(A47="","",'KG1-1'!$C11)</f>
        <v/>
      </c>
      <c r="C47">
        <f>IF(A47="","",'KG1-1'!$B$2)</f>
        <v/>
      </c>
      <c r="D47" s="126">
        <f t="array" ref="D47">IF(A47="","",IFERROR(SMALL(IF((('KG1-1'!$AD11:$IM11="غياب بدون عذر")+('KG1-1'!$AD11:$IM11="غياب بعذر"))*('KG1-1'!$AD$7:$IM$7="✓"),'KG1-1'!$AD$5:$IM$5),6),""))</f>
        <v/>
      </c>
      <c r="E47">
        <f>IF(D47="","",INDEX('KG1-1'!$AD11:$IM11,MATCH(D47,'KG1-1'!$AD$5:$IM$5,0)))</f>
        <v/>
      </c>
      <c r="F47">
        <f>IF(D47="","",COUNTIFS('KG1-1'!$AD11:$IM11,"غياب بدون عذر",'KG1-1'!$AD$7:$IM$7,"✓",'KG1-1'!$AD$5:$IM$5,"&lt;="&amp;D47))</f>
        <v/>
      </c>
      <c r="G47">
        <f>G46+IF(D47="",0,1)</f>
        <v/>
      </c>
    </row>
    <row r="48">
      <c r="A48">
        <f>IF('KG1-1'!$B11="","",'KG1-1'!$B11)</f>
        <v/>
      </c>
      <c r="B48">
        <f>IF(A48="","",'KG1-1'!$C11)</f>
        <v/>
      </c>
      <c r="C48">
        <f>IF(A48="","",'KG1-1'!$B$2)</f>
        <v/>
      </c>
      <c r="D48" s="126">
        <f t="array" ref="D48">IF(A48="","",IFERROR(SMALL(IF((('KG1-1'!$AD11:$IM11="غياب بدون عذر")+('KG1-1'!$AD11:$IM11="غياب بعذر"))*('KG1-1'!$AD$7:$IM$7="✓"),'KG1-1'!$AD$5:$IM$5),7),""))</f>
        <v/>
      </c>
      <c r="E48">
        <f>IF(D48="","",INDEX('KG1-1'!$AD11:$IM11,MATCH(D48,'KG1-1'!$AD$5:$IM$5,0)))</f>
        <v/>
      </c>
      <c r="F48">
        <f>IF(D48="","",COUNTIFS('KG1-1'!$AD11:$IM11,"غياب بدون عذر",'KG1-1'!$AD$7:$IM$7,"✓",'KG1-1'!$AD$5:$IM$5,"&lt;="&amp;D48))</f>
        <v/>
      </c>
      <c r="G48">
        <f>G47+IF(D48="",0,1)</f>
        <v/>
      </c>
    </row>
    <row r="49">
      <c r="A49">
        <f>IF('KG1-1'!$B11="","",'KG1-1'!$B11)</f>
        <v/>
      </c>
      <c r="B49">
        <f>IF(A49="","",'KG1-1'!$C11)</f>
        <v/>
      </c>
      <c r="C49">
        <f>IF(A49="","",'KG1-1'!$B$2)</f>
        <v/>
      </c>
      <c r="D49" s="126">
        <f t="array" ref="D49">IF(A49="","",IFERROR(SMALL(IF((('KG1-1'!$AD11:$IM11="غياب بدون عذر")+('KG1-1'!$AD11:$IM11="غياب بعذر"))*('KG1-1'!$AD$7:$IM$7="✓"),'KG1-1'!$AD$5:$IM$5),8),""))</f>
        <v/>
      </c>
      <c r="E49">
        <f>IF(D49="","",INDEX('KG1-1'!$AD11:$IM11,MATCH(D49,'KG1-1'!$AD$5:$IM$5,0)))</f>
        <v/>
      </c>
      <c r="F49">
        <f>IF(D49="","",COUNTIFS('KG1-1'!$AD11:$IM11,"غياب بدون عذر",'KG1-1'!$AD$7:$IM$7,"✓",'KG1-1'!$AD$5:$IM$5,"&lt;="&amp;D49))</f>
        <v/>
      </c>
      <c r="G49">
        <f>G48+IF(D49="",0,1)</f>
        <v/>
      </c>
    </row>
    <row r="50">
      <c r="A50">
        <f>IF('KG1-1'!$B11="","",'KG1-1'!$B11)</f>
        <v/>
      </c>
      <c r="B50">
        <f>IF(A50="","",'KG1-1'!$C11)</f>
        <v/>
      </c>
      <c r="C50">
        <f>IF(A50="","",'KG1-1'!$B$2)</f>
        <v/>
      </c>
      <c r="D50" s="126">
        <f t="array" ref="D50">IF(A50="","",IFERROR(SMALL(IF((('KG1-1'!$AD11:$IM11="غياب بدون عذر")+('KG1-1'!$AD11:$IM11="غياب بعذر"))*('KG1-1'!$AD$7:$IM$7="✓"),'KG1-1'!$AD$5:$IM$5),9),""))</f>
        <v/>
      </c>
      <c r="E50">
        <f>IF(D50="","",INDEX('KG1-1'!$AD11:$IM11,MATCH(D50,'KG1-1'!$AD$5:$IM$5,0)))</f>
        <v/>
      </c>
      <c r="F50">
        <f>IF(D50="","",COUNTIFS('KG1-1'!$AD11:$IM11,"غياب بدون عذر",'KG1-1'!$AD$7:$IM$7,"✓",'KG1-1'!$AD$5:$IM$5,"&lt;="&amp;D50))</f>
        <v/>
      </c>
      <c r="G50">
        <f>G49+IF(D50="",0,1)</f>
        <v/>
      </c>
    </row>
    <row r="51">
      <c r="A51">
        <f>IF('KG1-1'!$B11="","",'KG1-1'!$B11)</f>
        <v/>
      </c>
      <c r="B51">
        <f>IF(A51="","",'KG1-1'!$C11)</f>
        <v/>
      </c>
      <c r="C51">
        <f>IF(A51="","",'KG1-1'!$B$2)</f>
        <v/>
      </c>
      <c r="D51" s="126">
        <f t="array" ref="D51">IF(A51="","",IFERROR(SMALL(IF((('KG1-1'!$AD11:$IM11="غياب بدون عذر")+('KG1-1'!$AD11:$IM11="غياب بعذر"))*('KG1-1'!$AD$7:$IM$7="✓"),'KG1-1'!$AD$5:$IM$5),10),""))</f>
        <v/>
      </c>
      <c r="E51">
        <f>IF(D51="","",INDEX('KG1-1'!$AD11:$IM11,MATCH(D51,'KG1-1'!$AD$5:$IM$5,0)))</f>
        <v/>
      </c>
      <c r="F51">
        <f>IF(D51="","",COUNTIFS('KG1-1'!$AD11:$IM11,"غياب بدون عذر",'KG1-1'!$AD$7:$IM$7,"✓",'KG1-1'!$AD$5:$IM$5,"&lt;="&amp;D51))</f>
        <v/>
      </c>
      <c r="G51">
        <f>G50+IF(D51="",0,1)</f>
        <v/>
      </c>
    </row>
    <row r="52">
      <c r="A52">
        <f>IF('KG1-1'!$B11="","",'KG1-1'!$B11)</f>
        <v/>
      </c>
      <c r="B52">
        <f>IF(A52="","",'KG1-1'!$C11)</f>
        <v/>
      </c>
      <c r="C52">
        <f>IF(A52="","",'KG1-1'!$B$2)</f>
        <v/>
      </c>
      <c r="D52" s="126">
        <f t="array" ref="D52">IF(A52="","",IFERROR(SMALL(IF((('KG1-1'!$AD11:$IM11="غياب بدون عذر")+('KG1-1'!$AD11:$IM11="غياب بعذر"))*('KG1-1'!$AD$7:$IM$7="✓"),'KG1-1'!$AD$5:$IM$5),11),""))</f>
        <v/>
      </c>
      <c r="E52">
        <f>IF(D52="","",INDEX('KG1-1'!$AD11:$IM11,MATCH(D52,'KG1-1'!$AD$5:$IM$5,0)))</f>
        <v/>
      </c>
      <c r="F52">
        <f>IF(D52="","",COUNTIFS('KG1-1'!$AD11:$IM11,"غياب بدون عذر",'KG1-1'!$AD$7:$IM$7,"✓",'KG1-1'!$AD$5:$IM$5,"&lt;="&amp;D52))</f>
        <v/>
      </c>
      <c r="G52">
        <f>G51+IF(D52="",0,1)</f>
        <v/>
      </c>
    </row>
    <row r="53">
      <c r="A53">
        <f>IF('KG1-1'!$B11="","",'KG1-1'!$B11)</f>
        <v/>
      </c>
      <c r="B53">
        <f>IF(A53="","",'KG1-1'!$C11)</f>
        <v/>
      </c>
      <c r="C53">
        <f>IF(A53="","",'KG1-1'!$B$2)</f>
        <v/>
      </c>
      <c r="D53" s="126">
        <f t="array" ref="D53">IF(A53="","",IFERROR(SMALL(IF((('KG1-1'!$AD11:$IM11="غياب بدون عذر")+('KG1-1'!$AD11:$IM11="غياب بعذر"))*('KG1-1'!$AD$7:$IM$7="✓"),'KG1-1'!$AD$5:$IM$5),12),""))</f>
        <v/>
      </c>
      <c r="E53">
        <f>IF(D53="","",INDEX('KG1-1'!$AD11:$IM11,MATCH(D53,'KG1-1'!$AD$5:$IM$5,0)))</f>
        <v/>
      </c>
      <c r="F53">
        <f>IF(D53="","",COUNTIFS('KG1-1'!$AD11:$IM11,"غياب بدون عذر",'KG1-1'!$AD$7:$IM$7,"✓",'KG1-1'!$AD$5:$IM$5,"&lt;="&amp;D53))</f>
        <v/>
      </c>
      <c r="G53">
        <f>G52+IF(D53="",0,1)</f>
        <v/>
      </c>
    </row>
    <row r="54">
      <c r="A54">
        <f>IF('KG1-1'!$B11="","",'KG1-1'!$B11)</f>
        <v/>
      </c>
      <c r="B54">
        <f>IF(A54="","",'KG1-1'!$C11)</f>
        <v/>
      </c>
      <c r="C54">
        <f>IF(A54="","",'KG1-1'!$B$2)</f>
        <v/>
      </c>
      <c r="D54" s="126">
        <f t="array" ref="D54">IF(A54="","",IFERROR(SMALL(IF((('KG1-1'!$AD11:$IM11="غياب بدون عذر")+('KG1-1'!$AD11:$IM11="غياب بعذر"))*('KG1-1'!$AD$7:$IM$7="✓"),'KG1-1'!$AD$5:$IM$5),13),""))</f>
        <v/>
      </c>
      <c r="E54">
        <f>IF(D54="","",INDEX('KG1-1'!$AD11:$IM11,MATCH(D54,'KG1-1'!$AD$5:$IM$5,0)))</f>
        <v/>
      </c>
      <c r="F54">
        <f>IF(D54="","",COUNTIFS('KG1-1'!$AD11:$IM11,"غياب بدون عذر",'KG1-1'!$AD$7:$IM$7,"✓",'KG1-1'!$AD$5:$IM$5,"&lt;="&amp;D54))</f>
        <v/>
      </c>
      <c r="G54">
        <f>G53+IF(D54="",0,1)</f>
        <v/>
      </c>
    </row>
    <row r="55">
      <c r="A55">
        <f>IF('KG1-1'!$B11="","",'KG1-1'!$B11)</f>
        <v/>
      </c>
      <c r="B55">
        <f>IF(A55="","",'KG1-1'!$C11)</f>
        <v/>
      </c>
      <c r="C55">
        <f>IF(A55="","",'KG1-1'!$B$2)</f>
        <v/>
      </c>
      <c r="D55" s="126">
        <f t="array" ref="D55">IF(A55="","",IFERROR(SMALL(IF((('KG1-1'!$AD11:$IM11="غياب بدون عذر")+('KG1-1'!$AD11:$IM11="غياب بعذر"))*('KG1-1'!$AD$7:$IM$7="✓"),'KG1-1'!$AD$5:$IM$5),14),""))</f>
        <v/>
      </c>
      <c r="E55">
        <f>IF(D55="","",INDEX('KG1-1'!$AD11:$IM11,MATCH(D55,'KG1-1'!$AD$5:$IM$5,0)))</f>
        <v/>
      </c>
      <c r="F55">
        <f>IF(D55="","",COUNTIFS('KG1-1'!$AD11:$IM11,"غياب بدون عذر",'KG1-1'!$AD$7:$IM$7,"✓",'KG1-1'!$AD$5:$IM$5,"&lt;="&amp;D55))</f>
        <v/>
      </c>
      <c r="G55">
        <f>G54+IF(D55="",0,1)</f>
        <v/>
      </c>
    </row>
    <row r="56">
      <c r="A56">
        <f>IF('KG1-1'!$B11="","",'KG1-1'!$B11)</f>
        <v/>
      </c>
      <c r="B56">
        <f>IF(A56="","",'KG1-1'!$C11)</f>
        <v/>
      </c>
      <c r="C56">
        <f>IF(A56="","",'KG1-1'!$B$2)</f>
        <v/>
      </c>
      <c r="D56" s="126">
        <f t="array" ref="D56">IF(A56="","",IFERROR(SMALL(IF((('KG1-1'!$AD11:$IM11="غياب بدون عذر")+('KG1-1'!$AD11:$IM11="غياب بعذر"))*('KG1-1'!$AD$7:$IM$7="✓"),'KG1-1'!$AD$5:$IM$5),15),""))</f>
        <v/>
      </c>
      <c r="E56">
        <f>IF(D56="","",INDEX('KG1-1'!$AD11:$IM11,MATCH(D56,'KG1-1'!$AD$5:$IM$5,0)))</f>
        <v/>
      </c>
      <c r="F56">
        <f>IF(D56="","",COUNTIFS('KG1-1'!$AD11:$IM11,"غياب بدون عذر",'KG1-1'!$AD$7:$IM$7,"✓",'KG1-1'!$AD$5:$IM$5,"&lt;="&amp;D56))</f>
        <v/>
      </c>
      <c r="G56">
        <f>G55+IF(D56="",0,1)</f>
        <v/>
      </c>
    </row>
    <row r="57">
      <c r="A57">
        <f>IF('KG1-1'!$B11="","",'KG1-1'!$B11)</f>
        <v/>
      </c>
      <c r="B57">
        <f>IF(A57="","",'KG1-1'!$C11)</f>
        <v/>
      </c>
      <c r="C57">
        <f>IF(A57="","",'KG1-1'!$B$2)</f>
        <v/>
      </c>
      <c r="D57" s="126">
        <f t="array" ref="D57">IF(A57="","",IFERROR(SMALL(IF((('KG1-1'!$AD11:$IM11="غياب بدون عذر")+('KG1-1'!$AD11:$IM11="غياب بعذر"))*('KG1-1'!$AD$7:$IM$7="✓"),'KG1-1'!$AD$5:$IM$5),16),""))</f>
        <v/>
      </c>
      <c r="E57">
        <f>IF(D57="","",INDEX('KG1-1'!$AD11:$IM11,MATCH(D57,'KG1-1'!$AD$5:$IM$5,0)))</f>
        <v/>
      </c>
      <c r="F57">
        <f>IF(D57="","",COUNTIFS('KG1-1'!$AD11:$IM11,"غياب بدون عذر",'KG1-1'!$AD$7:$IM$7,"✓",'KG1-1'!$AD$5:$IM$5,"&lt;="&amp;D57))</f>
        <v/>
      </c>
      <c r="G57">
        <f>G56+IF(D57="",0,1)</f>
        <v/>
      </c>
    </row>
    <row r="58">
      <c r="A58">
        <f>IF('KG1-1'!$B11="","",'KG1-1'!$B11)</f>
        <v/>
      </c>
      <c r="B58">
        <f>IF(A58="","",'KG1-1'!$C11)</f>
        <v/>
      </c>
      <c r="C58">
        <f>IF(A58="","",'KG1-1'!$B$2)</f>
        <v/>
      </c>
      <c r="D58" s="126">
        <f t="array" ref="D58">IF(A58="","",IFERROR(SMALL(IF((('KG1-1'!$AD11:$IM11="غياب بدون عذر")+('KG1-1'!$AD11:$IM11="غياب بعذر"))*('KG1-1'!$AD$7:$IM$7="✓"),'KG1-1'!$AD$5:$IM$5),17),""))</f>
        <v/>
      </c>
      <c r="E58">
        <f>IF(D58="","",INDEX('KG1-1'!$AD11:$IM11,MATCH(D58,'KG1-1'!$AD$5:$IM$5,0)))</f>
        <v/>
      </c>
      <c r="F58">
        <f>IF(D58="","",COUNTIFS('KG1-1'!$AD11:$IM11,"غياب بدون عذر",'KG1-1'!$AD$7:$IM$7,"✓",'KG1-1'!$AD$5:$IM$5,"&lt;="&amp;D58))</f>
        <v/>
      </c>
      <c r="G58">
        <f>G57+IF(D58="",0,1)</f>
        <v/>
      </c>
    </row>
    <row r="59">
      <c r="A59">
        <f>IF('KG1-1'!$B11="","",'KG1-1'!$B11)</f>
        <v/>
      </c>
      <c r="B59">
        <f>IF(A59="","",'KG1-1'!$C11)</f>
        <v/>
      </c>
      <c r="C59">
        <f>IF(A59="","",'KG1-1'!$B$2)</f>
        <v/>
      </c>
      <c r="D59" s="126">
        <f t="array" ref="D59">IF(A59="","",IFERROR(SMALL(IF((('KG1-1'!$AD11:$IM11="غياب بدون عذر")+('KG1-1'!$AD11:$IM11="غياب بعذر"))*('KG1-1'!$AD$7:$IM$7="✓"),'KG1-1'!$AD$5:$IM$5),18),""))</f>
        <v/>
      </c>
      <c r="E59">
        <f>IF(D59="","",INDEX('KG1-1'!$AD11:$IM11,MATCH(D59,'KG1-1'!$AD$5:$IM$5,0)))</f>
        <v/>
      </c>
      <c r="F59">
        <f>IF(D59="","",COUNTIFS('KG1-1'!$AD11:$IM11,"غياب بدون عذر",'KG1-1'!$AD$7:$IM$7,"✓",'KG1-1'!$AD$5:$IM$5,"&lt;="&amp;D59))</f>
        <v/>
      </c>
      <c r="G59">
        <f>G58+IF(D59="",0,1)</f>
        <v/>
      </c>
    </row>
    <row r="60">
      <c r="A60">
        <f>IF('KG1-1'!$B11="","",'KG1-1'!$B11)</f>
        <v/>
      </c>
      <c r="B60">
        <f>IF(A60="","",'KG1-1'!$C11)</f>
        <v/>
      </c>
      <c r="C60">
        <f>IF(A60="","",'KG1-1'!$B$2)</f>
        <v/>
      </c>
      <c r="D60" s="126">
        <f t="array" ref="D60">IF(A60="","",IFERROR(SMALL(IF((('KG1-1'!$AD11:$IM11="غياب بدون عذر")+('KG1-1'!$AD11:$IM11="غياب بعذر"))*('KG1-1'!$AD$7:$IM$7="✓"),'KG1-1'!$AD$5:$IM$5),19),""))</f>
        <v/>
      </c>
      <c r="E60">
        <f>IF(D60="","",INDEX('KG1-1'!$AD11:$IM11,MATCH(D60,'KG1-1'!$AD$5:$IM$5,0)))</f>
        <v/>
      </c>
      <c r="F60">
        <f>IF(D60="","",COUNTIFS('KG1-1'!$AD11:$IM11,"غياب بدون عذر",'KG1-1'!$AD$7:$IM$7,"✓",'KG1-1'!$AD$5:$IM$5,"&lt;="&amp;D60))</f>
        <v/>
      </c>
      <c r="G60">
        <f>G59+IF(D60="",0,1)</f>
        <v/>
      </c>
    </row>
    <row r="61">
      <c r="A61">
        <f>IF('KG1-1'!$B11="","",'KG1-1'!$B11)</f>
        <v/>
      </c>
      <c r="B61">
        <f>IF(A61="","",'KG1-1'!$C11)</f>
        <v/>
      </c>
      <c r="C61">
        <f>IF(A61="","",'KG1-1'!$B$2)</f>
        <v/>
      </c>
      <c r="D61" s="126">
        <f t="array" ref="D61">IF(A61="","",IFERROR(SMALL(IF((('KG1-1'!$AD11:$IM11="غياب بدون عذر")+('KG1-1'!$AD11:$IM11="غياب بعذر"))*('KG1-1'!$AD$7:$IM$7="✓"),'KG1-1'!$AD$5:$IM$5),20),""))</f>
        <v/>
      </c>
      <c r="E61">
        <f>IF(D61="","",INDEX('KG1-1'!$AD11:$IM11,MATCH(D61,'KG1-1'!$AD$5:$IM$5,0)))</f>
        <v/>
      </c>
      <c r="F61">
        <f>IF(D61="","",COUNTIFS('KG1-1'!$AD11:$IM11,"غياب بدون عذر",'KG1-1'!$AD$7:$IM$7,"✓",'KG1-1'!$AD$5:$IM$5,"&lt;="&amp;D61))</f>
        <v/>
      </c>
      <c r="G61">
        <f>G60+IF(D61="",0,1)</f>
        <v/>
      </c>
    </row>
    <row r="62">
      <c r="A62">
        <f>IF('KG1-1'!$B12="","",'KG1-1'!$B12)</f>
        <v/>
      </c>
      <c r="B62">
        <f>IF(A62="","",'KG1-1'!$C12)</f>
        <v/>
      </c>
      <c r="C62">
        <f>IF(A62="","",'KG1-1'!$B$2)</f>
        <v/>
      </c>
      <c r="D62" s="126">
        <f t="array" ref="D62">IF(A62="","",IFERROR(SMALL(IF((('KG1-1'!$AD12:$IM12="غياب بدون عذر")+('KG1-1'!$AD12:$IM12="غياب بعذر"))*('KG1-1'!$AD$7:$IM$7="✓"),'KG1-1'!$AD$5:$IM$5),1),""))</f>
        <v/>
      </c>
      <c r="E62">
        <f>IF(D62="","",INDEX('KG1-1'!$AD12:$IM12,MATCH(D62,'KG1-1'!$AD$5:$IM$5,0)))</f>
        <v/>
      </c>
      <c r="F62">
        <f>IF(D62="","",COUNTIFS('KG1-1'!$AD12:$IM12,"غياب بدون عذر",'KG1-1'!$AD$7:$IM$7,"✓",'KG1-1'!$AD$5:$IM$5,"&lt;="&amp;D62))</f>
        <v/>
      </c>
      <c r="G62">
        <f>G61+IF(D62="",0,1)</f>
        <v/>
      </c>
    </row>
    <row r="63">
      <c r="A63">
        <f>IF('KG1-1'!$B12="","",'KG1-1'!$B12)</f>
        <v/>
      </c>
      <c r="B63">
        <f>IF(A63="","",'KG1-1'!$C12)</f>
        <v/>
      </c>
      <c r="C63">
        <f>IF(A63="","",'KG1-1'!$B$2)</f>
        <v/>
      </c>
      <c r="D63" s="126">
        <f t="array" ref="D63">IF(A63="","",IFERROR(SMALL(IF((('KG1-1'!$AD12:$IM12="غياب بدون عذر")+('KG1-1'!$AD12:$IM12="غياب بعذر"))*('KG1-1'!$AD$7:$IM$7="✓"),'KG1-1'!$AD$5:$IM$5),2),""))</f>
        <v/>
      </c>
      <c r="E63">
        <f>IF(D63="","",INDEX('KG1-1'!$AD12:$IM12,MATCH(D63,'KG1-1'!$AD$5:$IM$5,0)))</f>
        <v/>
      </c>
      <c r="F63">
        <f>IF(D63="","",COUNTIFS('KG1-1'!$AD12:$IM12,"غياب بدون عذر",'KG1-1'!$AD$7:$IM$7,"✓",'KG1-1'!$AD$5:$IM$5,"&lt;="&amp;D63))</f>
        <v/>
      </c>
      <c r="G63">
        <f>G62+IF(D63="",0,1)</f>
        <v/>
      </c>
    </row>
    <row r="64">
      <c r="A64">
        <f>IF('KG1-1'!$B12="","",'KG1-1'!$B12)</f>
        <v/>
      </c>
      <c r="B64">
        <f>IF(A64="","",'KG1-1'!$C12)</f>
        <v/>
      </c>
      <c r="C64">
        <f>IF(A64="","",'KG1-1'!$B$2)</f>
        <v/>
      </c>
      <c r="D64" s="126">
        <f t="array" ref="D64">IF(A64="","",IFERROR(SMALL(IF((('KG1-1'!$AD12:$IM12="غياب بدون عذر")+('KG1-1'!$AD12:$IM12="غياب بعذر"))*('KG1-1'!$AD$7:$IM$7="✓"),'KG1-1'!$AD$5:$IM$5),3),""))</f>
        <v/>
      </c>
      <c r="E64">
        <f>IF(D64="","",INDEX('KG1-1'!$AD12:$IM12,MATCH(D64,'KG1-1'!$AD$5:$IM$5,0)))</f>
        <v/>
      </c>
      <c r="F64">
        <f>IF(D64="","",COUNTIFS('KG1-1'!$AD12:$IM12,"غياب بدون عذر",'KG1-1'!$AD$7:$IM$7,"✓",'KG1-1'!$AD$5:$IM$5,"&lt;="&amp;D64))</f>
        <v/>
      </c>
      <c r="G64">
        <f>G63+IF(D64="",0,1)</f>
        <v/>
      </c>
    </row>
    <row r="65">
      <c r="A65">
        <f>IF('KG1-1'!$B12="","",'KG1-1'!$B12)</f>
        <v/>
      </c>
      <c r="B65">
        <f>IF(A65="","",'KG1-1'!$C12)</f>
        <v/>
      </c>
      <c r="C65">
        <f>IF(A65="","",'KG1-1'!$B$2)</f>
        <v/>
      </c>
      <c r="D65" s="126">
        <f t="array" ref="D65">IF(A65="","",IFERROR(SMALL(IF((('KG1-1'!$AD12:$IM12="غياب بدون عذر")+('KG1-1'!$AD12:$IM12="غياب بعذر"))*('KG1-1'!$AD$7:$IM$7="✓"),'KG1-1'!$AD$5:$IM$5),4),""))</f>
        <v/>
      </c>
      <c r="E65">
        <f>IF(D65="","",INDEX('KG1-1'!$AD12:$IM12,MATCH(D65,'KG1-1'!$AD$5:$IM$5,0)))</f>
        <v/>
      </c>
      <c r="F65">
        <f>IF(D65="","",COUNTIFS('KG1-1'!$AD12:$IM12,"غياب بدون عذر",'KG1-1'!$AD$7:$IM$7,"✓",'KG1-1'!$AD$5:$IM$5,"&lt;="&amp;D65))</f>
        <v/>
      </c>
      <c r="G65">
        <f>G64+IF(D65="",0,1)</f>
        <v/>
      </c>
    </row>
    <row r="66">
      <c r="A66">
        <f>IF('KG1-1'!$B12="","",'KG1-1'!$B12)</f>
        <v/>
      </c>
      <c r="B66">
        <f>IF(A66="","",'KG1-1'!$C12)</f>
        <v/>
      </c>
      <c r="C66">
        <f>IF(A66="","",'KG1-1'!$B$2)</f>
        <v/>
      </c>
      <c r="D66" s="126">
        <f t="array" ref="D66">IF(A66="","",IFERROR(SMALL(IF((('KG1-1'!$AD12:$IM12="غياب بدون عذر")+('KG1-1'!$AD12:$IM12="غياب بعذر"))*('KG1-1'!$AD$7:$IM$7="✓"),'KG1-1'!$AD$5:$IM$5),5),""))</f>
        <v/>
      </c>
      <c r="E66">
        <f>IF(D66="","",INDEX('KG1-1'!$AD12:$IM12,MATCH(D66,'KG1-1'!$AD$5:$IM$5,0)))</f>
        <v/>
      </c>
      <c r="F66">
        <f>IF(D66="","",COUNTIFS('KG1-1'!$AD12:$IM12,"غياب بدون عذر",'KG1-1'!$AD$7:$IM$7,"✓",'KG1-1'!$AD$5:$IM$5,"&lt;="&amp;D66))</f>
        <v/>
      </c>
      <c r="G66">
        <f>G65+IF(D66="",0,1)</f>
        <v/>
      </c>
    </row>
    <row r="67">
      <c r="A67">
        <f>IF('KG1-1'!$B12="","",'KG1-1'!$B12)</f>
        <v/>
      </c>
      <c r="B67">
        <f>IF(A67="","",'KG1-1'!$C12)</f>
        <v/>
      </c>
      <c r="C67">
        <f>IF(A67="","",'KG1-1'!$B$2)</f>
        <v/>
      </c>
      <c r="D67" s="126">
        <f t="array" ref="D67">IF(A67="","",IFERROR(SMALL(IF((('KG1-1'!$AD12:$IM12="غياب بدون عذر")+('KG1-1'!$AD12:$IM12="غياب بعذر"))*('KG1-1'!$AD$7:$IM$7="✓"),'KG1-1'!$AD$5:$IM$5),6),""))</f>
        <v/>
      </c>
      <c r="E67">
        <f>IF(D67="","",INDEX('KG1-1'!$AD12:$IM12,MATCH(D67,'KG1-1'!$AD$5:$IM$5,0)))</f>
        <v/>
      </c>
      <c r="F67">
        <f>IF(D67="","",COUNTIFS('KG1-1'!$AD12:$IM12,"غياب بدون عذر",'KG1-1'!$AD$7:$IM$7,"✓",'KG1-1'!$AD$5:$IM$5,"&lt;="&amp;D67))</f>
        <v/>
      </c>
      <c r="G67">
        <f>G66+IF(D67="",0,1)</f>
        <v/>
      </c>
    </row>
    <row r="68">
      <c r="A68">
        <f>IF('KG1-1'!$B12="","",'KG1-1'!$B12)</f>
        <v/>
      </c>
      <c r="B68">
        <f>IF(A68="","",'KG1-1'!$C12)</f>
        <v/>
      </c>
      <c r="C68">
        <f>IF(A68="","",'KG1-1'!$B$2)</f>
        <v/>
      </c>
      <c r="D68" s="126">
        <f t="array" ref="D68">IF(A68="","",IFERROR(SMALL(IF((('KG1-1'!$AD12:$IM12="غياب بدون عذر")+('KG1-1'!$AD12:$IM12="غياب بعذر"))*('KG1-1'!$AD$7:$IM$7="✓"),'KG1-1'!$AD$5:$IM$5),7),""))</f>
        <v/>
      </c>
      <c r="E68">
        <f>IF(D68="","",INDEX('KG1-1'!$AD12:$IM12,MATCH(D68,'KG1-1'!$AD$5:$IM$5,0)))</f>
        <v/>
      </c>
      <c r="F68">
        <f>IF(D68="","",COUNTIFS('KG1-1'!$AD12:$IM12,"غياب بدون عذر",'KG1-1'!$AD$7:$IM$7,"✓",'KG1-1'!$AD$5:$IM$5,"&lt;="&amp;D68))</f>
        <v/>
      </c>
      <c r="G68">
        <f>G67+IF(D68="",0,1)</f>
        <v/>
      </c>
    </row>
    <row r="69">
      <c r="A69">
        <f>IF('KG1-1'!$B12="","",'KG1-1'!$B12)</f>
        <v/>
      </c>
      <c r="B69">
        <f>IF(A69="","",'KG1-1'!$C12)</f>
        <v/>
      </c>
      <c r="C69">
        <f>IF(A69="","",'KG1-1'!$B$2)</f>
        <v/>
      </c>
      <c r="D69" s="126">
        <f t="array" ref="D69">IF(A69="","",IFERROR(SMALL(IF((('KG1-1'!$AD12:$IM12="غياب بدون عذر")+('KG1-1'!$AD12:$IM12="غياب بعذر"))*('KG1-1'!$AD$7:$IM$7="✓"),'KG1-1'!$AD$5:$IM$5),8),""))</f>
        <v/>
      </c>
      <c r="E69">
        <f>IF(D69="","",INDEX('KG1-1'!$AD12:$IM12,MATCH(D69,'KG1-1'!$AD$5:$IM$5,0)))</f>
        <v/>
      </c>
      <c r="F69">
        <f>IF(D69="","",COUNTIFS('KG1-1'!$AD12:$IM12,"غياب بدون عذر",'KG1-1'!$AD$7:$IM$7,"✓",'KG1-1'!$AD$5:$IM$5,"&lt;="&amp;D69))</f>
        <v/>
      </c>
      <c r="G69">
        <f>G68+IF(D69="",0,1)</f>
        <v/>
      </c>
    </row>
    <row r="70">
      <c r="A70">
        <f>IF('KG1-1'!$B12="","",'KG1-1'!$B12)</f>
        <v/>
      </c>
      <c r="B70">
        <f>IF(A70="","",'KG1-1'!$C12)</f>
        <v/>
      </c>
      <c r="C70">
        <f>IF(A70="","",'KG1-1'!$B$2)</f>
        <v/>
      </c>
      <c r="D70" s="126">
        <f t="array" ref="D70">IF(A70="","",IFERROR(SMALL(IF((('KG1-1'!$AD12:$IM12="غياب بدون عذر")+('KG1-1'!$AD12:$IM12="غياب بعذر"))*('KG1-1'!$AD$7:$IM$7="✓"),'KG1-1'!$AD$5:$IM$5),9),""))</f>
        <v/>
      </c>
      <c r="E70">
        <f>IF(D70="","",INDEX('KG1-1'!$AD12:$IM12,MATCH(D70,'KG1-1'!$AD$5:$IM$5,0)))</f>
        <v/>
      </c>
      <c r="F70">
        <f>IF(D70="","",COUNTIFS('KG1-1'!$AD12:$IM12,"غياب بدون عذر",'KG1-1'!$AD$7:$IM$7,"✓",'KG1-1'!$AD$5:$IM$5,"&lt;="&amp;D70))</f>
        <v/>
      </c>
      <c r="G70">
        <f>G69+IF(D70="",0,1)</f>
        <v/>
      </c>
    </row>
    <row r="71">
      <c r="A71">
        <f>IF('KG1-1'!$B12="","",'KG1-1'!$B12)</f>
        <v/>
      </c>
      <c r="B71">
        <f>IF(A71="","",'KG1-1'!$C12)</f>
        <v/>
      </c>
      <c r="C71">
        <f>IF(A71="","",'KG1-1'!$B$2)</f>
        <v/>
      </c>
      <c r="D71" s="126">
        <f t="array" ref="D71">IF(A71="","",IFERROR(SMALL(IF((('KG1-1'!$AD12:$IM12="غياب بدون عذر")+('KG1-1'!$AD12:$IM12="غياب بعذر"))*('KG1-1'!$AD$7:$IM$7="✓"),'KG1-1'!$AD$5:$IM$5),10),""))</f>
        <v/>
      </c>
      <c r="E71">
        <f>IF(D71="","",INDEX('KG1-1'!$AD12:$IM12,MATCH(D71,'KG1-1'!$AD$5:$IM$5,0)))</f>
        <v/>
      </c>
      <c r="F71">
        <f>IF(D71="","",COUNTIFS('KG1-1'!$AD12:$IM12,"غياب بدون عذر",'KG1-1'!$AD$7:$IM$7,"✓",'KG1-1'!$AD$5:$IM$5,"&lt;="&amp;D71))</f>
        <v/>
      </c>
      <c r="G71">
        <f>G70+IF(D71="",0,1)</f>
        <v/>
      </c>
    </row>
    <row r="72">
      <c r="A72">
        <f>IF('KG1-1'!$B12="","",'KG1-1'!$B12)</f>
        <v/>
      </c>
      <c r="B72">
        <f>IF(A72="","",'KG1-1'!$C12)</f>
        <v/>
      </c>
      <c r="C72">
        <f>IF(A72="","",'KG1-1'!$B$2)</f>
        <v/>
      </c>
      <c r="D72" s="126">
        <f t="array" ref="D72">IF(A72="","",IFERROR(SMALL(IF((('KG1-1'!$AD12:$IM12="غياب بدون عذر")+('KG1-1'!$AD12:$IM12="غياب بعذر"))*('KG1-1'!$AD$7:$IM$7="✓"),'KG1-1'!$AD$5:$IM$5),11),""))</f>
        <v/>
      </c>
      <c r="E72">
        <f>IF(D72="","",INDEX('KG1-1'!$AD12:$IM12,MATCH(D72,'KG1-1'!$AD$5:$IM$5,0)))</f>
        <v/>
      </c>
      <c r="F72">
        <f>IF(D72="","",COUNTIFS('KG1-1'!$AD12:$IM12,"غياب بدون عذر",'KG1-1'!$AD$7:$IM$7,"✓",'KG1-1'!$AD$5:$IM$5,"&lt;="&amp;D72))</f>
        <v/>
      </c>
      <c r="G72">
        <f>G71+IF(D72="",0,1)</f>
        <v/>
      </c>
    </row>
    <row r="73">
      <c r="A73">
        <f>IF('KG1-1'!$B12="","",'KG1-1'!$B12)</f>
        <v/>
      </c>
      <c r="B73">
        <f>IF(A73="","",'KG1-1'!$C12)</f>
        <v/>
      </c>
      <c r="C73">
        <f>IF(A73="","",'KG1-1'!$B$2)</f>
        <v/>
      </c>
      <c r="D73" s="126">
        <f t="array" ref="D73">IF(A73="","",IFERROR(SMALL(IF((('KG1-1'!$AD12:$IM12="غياب بدون عذر")+('KG1-1'!$AD12:$IM12="غياب بعذر"))*('KG1-1'!$AD$7:$IM$7="✓"),'KG1-1'!$AD$5:$IM$5),12),""))</f>
        <v/>
      </c>
      <c r="E73">
        <f>IF(D73="","",INDEX('KG1-1'!$AD12:$IM12,MATCH(D73,'KG1-1'!$AD$5:$IM$5,0)))</f>
        <v/>
      </c>
      <c r="F73">
        <f>IF(D73="","",COUNTIFS('KG1-1'!$AD12:$IM12,"غياب بدون عذر",'KG1-1'!$AD$7:$IM$7,"✓",'KG1-1'!$AD$5:$IM$5,"&lt;="&amp;D73))</f>
        <v/>
      </c>
      <c r="G73">
        <f>G72+IF(D73="",0,1)</f>
        <v/>
      </c>
    </row>
    <row r="74">
      <c r="A74">
        <f>IF('KG1-1'!$B12="","",'KG1-1'!$B12)</f>
        <v/>
      </c>
      <c r="B74">
        <f>IF(A74="","",'KG1-1'!$C12)</f>
        <v/>
      </c>
      <c r="C74">
        <f>IF(A74="","",'KG1-1'!$B$2)</f>
        <v/>
      </c>
      <c r="D74" s="126">
        <f t="array" ref="D74">IF(A74="","",IFERROR(SMALL(IF((('KG1-1'!$AD12:$IM12="غياب بدون عذر")+('KG1-1'!$AD12:$IM12="غياب بعذر"))*('KG1-1'!$AD$7:$IM$7="✓"),'KG1-1'!$AD$5:$IM$5),13),""))</f>
        <v/>
      </c>
      <c r="E74">
        <f>IF(D74="","",INDEX('KG1-1'!$AD12:$IM12,MATCH(D74,'KG1-1'!$AD$5:$IM$5,0)))</f>
        <v/>
      </c>
      <c r="F74">
        <f>IF(D74="","",COUNTIFS('KG1-1'!$AD12:$IM12,"غياب بدون عذر",'KG1-1'!$AD$7:$IM$7,"✓",'KG1-1'!$AD$5:$IM$5,"&lt;="&amp;D74))</f>
        <v/>
      </c>
      <c r="G74">
        <f>G73+IF(D74="",0,1)</f>
        <v/>
      </c>
    </row>
    <row r="75">
      <c r="A75">
        <f>IF('KG1-1'!$B12="","",'KG1-1'!$B12)</f>
        <v/>
      </c>
      <c r="B75">
        <f>IF(A75="","",'KG1-1'!$C12)</f>
        <v/>
      </c>
      <c r="C75">
        <f>IF(A75="","",'KG1-1'!$B$2)</f>
        <v/>
      </c>
      <c r="D75" s="126">
        <f t="array" ref="D75">IF(A75="","",IFERROR(SMALL(IF((('KG1-1'!$AD12:$IM12="غياب بدون عذر")+('KG1-1'!$AD12:$IM12="غياب بعذر"))*('KG1-1'!$AD$7:$IM$7="✓"),'KG1-1'!$AD$5:$IM$5),14),""))</f>
        <v/>
      </c>
      <c r="E75">
        <f>IF(D75="","",INDEX('KG1-1'!$AD12:$IM12,MATCH(D75,'KG1-1'!$AD$5:$IM$5,0)))</f>
        <v/>
      </c>
      <c r="F75">
        <f>IF(D75="","",COUNTIFS('KG1-1'!$AD12:$IM12,"غياب بدون عذر",'KG1-1'!$AD$7:$IM$7,"✓",'KG1-1'!$AD$5:$IM$5,"&lt;="&amp;D75))</f>
        <v/>
      </c>
      <c r="G75">
        <f>G74+IF(D75="",0,1)</f>
        <v/>
      </c>
    </row>
    <row r="76">
      <c r="A76">
        <f>IF('KG1-1'!$B12="","",'KG1-1'!$B12)</f>
        <v/>
      </c>
      <c r="B76">
        <f>IF(A76="","",'KG1-1'!$C12)</f>
        <v/>
      </c>
      <c r="C76">
        <f>IF(A76="","",'KG1-1'!$B$2)</f>
        <v/>
      </c>
      <c r="D76" s="126">
        <f t="array" ref="D76">IF(A76="","",IFERROR(SMALL(IF((('KG1-1'!$AD12:$IM12="غياب بدون عذر")+('KG1-1'!$AD12:$IM12="غياب بعذر"))*('KG1-1'!$AD$7:$IM$7="✓"),'KG1-1'!$AD$5:$IM$5),15),""))</f>
        <v/>
      </c>
      <c r="E76">
        <f>IF(D76="","",INDEX('KG1-1'!$AD12:$IM12,MATCH(D76,'KG1-1'!$AD$5:$IM$5,0)))</f>
        <v/>
      </c>
      <c r="F76">
        <f>IF(D76="","",COUNTIFS('KG1-1'!$AD12:$IM12,"غياب بدون عذر",'KG1-1'!$AD$7:$IM$7,"✓",'KG1-1'!$AD$5:$IM$5,"&lt;="&amp;D76))</f>
        <v/>
      </c>
      <c r="G76">
        <f>G75+IF(D76="",0,1)</f>
        <v/>
      </c>
    </row>
    <row r="77">
      <c r="A77">
        <f>IF('KG1-1'!$B12="","",'KG1-1'!$B12)</f>
        <v/>
      </c>
      <c r="B77">
        <f>IF(A77="","",'KG1-1'!$C12)</f>
        <v/>
      </c>
      <c r="C77">
        <f>IF(A77="","",'KG1-1'!$B$2)</f>
        <v/>
      </c>
      <c r="D77" s="126">
        <f t="array" ref="D77">IF(A77="","",IFERROR(SMALL(IF((('KG1-1'!$AD12:$IM12="غياب بدون عذر")+('KG1-1'!$AD12:$IM12="غياب بعذر"))*('KG1-1'!$AD$7:$IM$7="✓"),'KG1-1'!$AD$5:$IM$5),16),""))</f>
        <v/>
      </c>
      <c r="E77">
        <f>IF(D77="","",INDEX('KG1-1'!$AD12:$IM12,MATCH(D77,'KG1-1'!$AD$5:$IM$5,0)))</f>
        <v/>
      </c>
      <c r="F77">
        <f>IF(D77="","",COUNTIFS('KG1-1'!$AD12:$IM12,"غياب بدون عذر",'KG1-1'!$AD$7:$IM$7,"✓",'KG1-1'!$AD$5:$IM$5,"&lt;="&amp;D77))</f>
        <v/>
      </c>
      <c r="G77">
        <f>G76+IF(D77="",0,1)</f>
        <v/>
      </c>
    </row>
    <row r="78">
      <c r="A78">
        <f>IF('KG1-1'!$B12="","",'KG1-1'!$B12)</f>
        <v/>
      </c>
      <c r="B78">
        <f>IF(A78="","",'KG1-1'!$C12)</f>
        <v/>
      </c>
      <c r="C78">
        <f>IF(A78="","",'KG1-1'!$B$2)</f>
        <v/>
      </c>
      <c r="D78" s="126">
        <f t="array" ref="D78">IF(A78="","",IFERROR(SMALL(IF((('KG1-1'!$AD12:$IM12="غياب بدون عذر")+('KG1-1'!$AD12:$IM12="غياب بعذر"))*('KG1-1'!$AD$7:$IM$7="✓"),'KG1-1'!$AD$5:$IM$5),17),""))</f>
        <v/>
      </c>
      <c r="E78">
        <f>IF(D78="","",INDEX('KG1-1'!$AD12:$IM12,MATCH(D78,'KG1-1'!$AD$5:$IM$5,0)))</f>
        <v/>
      </c>
      <c r="F78">
        <f>IF(D78="","",COUNTIFS('KG1-1'!$AD12:$IM12,"غياب بدون عذر",'KG1-1'!$AD$7:$IM$7,"✓",'KG1-1'!$AD$5:$IM$5,"&lt;="&amp;D78))</f>
        <v/>
      </c>
      <c r="G78">
        <f>G77+IF(D78="",0,1)</f>
        <v/>
      </c>
    </row>
    <row r="79">
      <c r="A79">
        <f>IF('KG1-1'!$B12="","",'KG1-1'!$B12)</f>
        <v/>
      </c>
      <c r="B79">
        <f>IF(A79="","",'KG1-1'!$C12)</f>
        <v/>
      </c>
      <c r="C79">
        <f>IF(A79="","",'KG1-1'!$B$2)</f>
        <v/>
      </c>
      <c r="D79" s="126">
        <f t="array" ref="D79">IF(A79="","",IFERROR(SMALL(IF((('KG1-1'!$AD12:$IM12="غياب بدون عذر")+('KG1-1'!$AD12:$IM12="غياب بعذر"))*('KG1-1'!$AD$7:$IM$7="✓"),'KG1-1'!$AD$5:$IM$5),18),""))</f>
        <v/>
      </c>
      <c r="E79">
        <f>IF(D79="","",INDEX('KG1-1'!$AD12:$IM12,MATCH(D79,'KG1-1'!$AD$5:$IM$5,0)))</f>
        <v/>
      </c>
      <c r="F79">
        <f>IF(D79="","",COUNTIFS('KG1-1'!$AD12:$IM12,"غياب بدون عذر",'KG1-1'!$AD$7:$IM$7,"✓",'KG1-1'!$AD$5:$IM$5,"&lt;="&amp;D79))</f>
        <v/>
      </c>
      <c r="G79">
        <f>G78+IF(D79="",0,1)</f>
        <v/>
      </c>
    </row>
    <row r="80">
      <c r="A80">
        <f>IF('KG1-1'!$B12="","",'KG1-1'!$B12)</f>
        <v/>
      </c>
      <c r="B80">
        <f>IF(A80="","",'KG1-1'!$C12)</f>
        <v/>
      </c>
      <c r="C80">
        <f>IF(A80="","",'KG1-1'!$B$2)</f>
        <v/>
      </c>
      <c r="D80" s="126">
        <f t="array" ref="D80">IF(A80="","",IFERROR(SMALL(IF((('KG1-1'!$AD12:$IM12="غياب بدون عذر")+('KG1-1'!$AD12:$IM12="غياب بعذر"))*('KG1-1'!$AD$7:$IM$7="✓"),'KG1-1'!$AD$5:$IM$5),19),""))</f>
        <v/>
      </c>
      <c r="E80">
        <f>IF(D80="","",INDEX('KG1-1'!$AD12:$IM12,MATCH(D80,'KG1-1'!$AD$5:$IM$5,0)))</f>
        <v/>
      </c>
      <c r="F80">
        <f>IF(D80="","",COUNTIFS('KG1-1'!$AD12:$IM12,"غياب بدون عذر",'KG1-1'!$AD$7:$IM$7,"✓",'KG1-1'!$AD$5:$IM$5,"&lt;="&amp;D80))</f>
        <v/>
      </c>
      <c r="G80">
        <f>G79+IF(D80="",0,1)</f>
        <v/>
      </c>
    </row>
    <row r="81">
      <c r="A81">
        <f>IF('KG1-1'!$B12="","",'KG1-1'!$B12)</f>
        <v/>
      </c>
      <c r="B81">
        <f>IF(A81="","",'KG1-1'!$C12)</f>
        <v/>
      </c>
      <c r="C81">
        <f>IF(A81="","",'KG1-1'!$B$2)</f>
        <v/>
      </c>
      <c r="D81" s="126">
        <f t="array" ref="D81">IF(A81="","",IFERROR(SMALL(IF((('KG1-1'!$AD12:$IM12="غياب بدون عذر")+('KG1-1'!$AD12:$IM12="غياب بعذر"))*('KG1-1'!$AD$7:$IM$7="✓"),'KG1-1'!$AD$5:$IM$5),20),""))</f>
        <v/>
      </c>
      <c r="E81">
        <f>IF(D81="","",INDEX('KG1-1'!$AD12:$IM12,MATCH(D81,'KG1-1'!$AD$5:$IM$5,0)))</f>
        <v/>
      </c>
      <c r="F81">
        <f>IF(D81="","",COUNTIFS('KG1-1'!$AD12:$IM12,"غياب بدون عذر",'KG1-1'!$AD$7:$IM$7,"✓",'KG1-1'!$AD$5:$IM$5,"&lt;="&amp;D81))</f>
        <v/>
      </c>
      <c r="G81">
        <f>G80+IF(D81="",0,1)</f>
        <v/>
      </c>
    </row>
    <row r="82">
      <c r="A82">
        <f>IF('KG1-1'!$B13="","",'KG1-1'!$B13)</f>
        <v/>
      </c>
      <c r="B82">
        <f>IF(A82="","",'KG1-1'!$C13)</f>
        <v/>
      </c>
      <c r="C82">
        <f>IF(A82="","",'KG1-1'!$B$2)</f>
        <v/>
      </c>
      <c r="D82" s="126">
        <f t="array" ref="D82">IF(A82="","",IFERROR(SMALL(IF((('KG1-1'!$AD13:$IM13="غياب بدون عذر")+('KG1-1'!$AD13:$IM13="غياب بعذر"))*('KG1-1'!$AD$7:$IM$7="✓"),'KG1-1'!$AD$5:$IM$5),1),""))</f>
        <v/>
      </c>
      <c r="E82">
        <f>IF(D82="","",INDEX('KG1-1'!$AD13:$IM13,MATCH(D82,'KG1-1'!$AD$5:$IM$5,0)))</f>
        <v/>
      </c>
      <c r="F82">
        <f>IF(D82="","",COUNTIFS('KG1-1'!$AD13:$IM13,"غياب بدون عذر",'KG1-1'!$AD$7:$IM$7,"✓",'KG1-1'!$AD$5:$IM$5,"&lt;="&amp;D82))</f>
        <v/>
      </c>
      <c r="G82">
        <f>G81+IF(D82="",0,1)</f>
        <v/>
      </c>
    </row>
    <row r="83">
      <c r="A83">
        <f>IF('KG1-1'!$B13="","",'KG1-1'!$B13)</f>
        <v/>
      </c>
      <c r="B83">
        <f>IF(A83="","",'KG1-1'!$C13)</f>
        <v/>
      </c>
      <c r="C83">
        <f>IF(A83="","",'KG1-1'!$B$2)</f>
        <v/>
      </c>
      <c r="D83" s="126">
        <f t="array" ref="D83">IF(A83="","",IFERROR(SMALL(IF((('KG1-1'!$AD13:$IM13="غياب بدون عذر")+('KG1-1'!$AD13:$IM13="غياب بعذر"))*('KG1-1'!$AD$7:$IM$7="✓"),'KG1-1'!$AD$5:$IM$5),2),""))</f>
        <v/>
      </c>
      <c r="E83">
        <f>IF(D83="","",INDEX('KG1-1'!$AD13:$IM13,MATCH(D83,'KG1-1'!$AD$5:$IM$5,0)))</f>
        <v/>
      </c>
      <c r="F83">
        <f>IF(D83="","",COUNTIFS('KG1-1'!$AD13:$IM13,"غياب بدون عذر",'KG1-1'!$AD$7:$IM$7,"✓",'KG1-1'!$AD$5:$IM$5,"&lt;="&amp;D83))</f>
        <v/>
      </c>
      <c r="G83">
        <f>G82+IF(D83="",0,1)</f>
        <v/>
      </c>
    </row>
    <row r="84">
      <c r="A84">
        <f>IF('KG1-1'!$B13="","",'KG1-1'!$B13)</f>
        <v/>
      </c>
      <c r="B84">
        <f>IF(A84="","",'KG1-1'!$C13)</f>
        <v/>
      </c>
      <c r="C84">
        <f>IF(A84="","",'KG1-1'!$B$2)</f>
        <v/>
      </c>
      <c r="D84" s="126">
        <f t="array" ref="D84">IF(A84="","",IFERROR(SMALL(IF((('KG1-1'!$AD13:$IM13="غياب بدون عذر")+('KG1-1'!$AD13:$IM13="غياب بعذر"))*('KG1-1'!$AD$7:$IM$7="✓"),'KG1-1'!$AD$5:$IM$5),3),""))</f>
        <v/>
      </c>
      <c r="E84">
        <f>IF(D84="","",INDEX('KG1-1'!$AD13:$IM13,MATCH(D84,'KG1-1'!$AD$5:$IM$5,0)))</f>
        <v/>
      </c>
      <c r="F84">
        <f>IF(D84="","",COUNTIFS('KG1-1'!$AD13:$IM13,"غياب بدون عذر",'KG1-1'!$AD$7:$IM$7,"✓",'KG1-1'!$AD$5:$IM$5,"&lt;="&amp;D84))</f>
        <v/>
      </c>
      <c r="G84">
        <f>G83+IF(D84="",0,1)</f>
        <v/>
      </c>
    </row>
    <row r="85">
      <c r="A85">
        <f>IF('KG1-1'!$B13="","",'KG1-1'!$B13)</f>
        <v/>
      </c>
      <c r="B85">
        <f>IF(A85="","",'KG1-1'!$C13)</f>
        <v/>
      </c>
      <c r="C85">
        <f>IF(A85="","",'KG1-1'!$B$2)</f>
        <v/>
      </c>
      <c r="D85" s="126">
        <f t="array" ref="D85">IF(A85="","",IFERROR(SMALL(IF((('KG1-1'!$AD13:$IM13="غياب بدون عذر")+('KG1-1'!$AD13:$IM13="غياب بعذر"))*('KG1-1'!$AD$7:$IM$7="✓"),'KG1-1'!$AD$5:$IM$5),4),""))</f>
        <v/>
      </c>
      <c r="E85">
        <f>IF(D85="","",INDEX('KG1-1'!$AD13:$IM13,MATCH(D85,'KG1-1'!$AD$5:$IM$5,0)))</f>
        <v/>
      </c>
      <c r="F85">
        <f>IF(D85="","",COUNTIFS('KG1-1'!$AD13:$IM13,"غياب بدون عذر",'KG1-1'!$AD$7:$IM$7,"✓",'KG1-1'!$AD$5:$IM$5,"&lt;="&amp;D85))</f>
        <v/>
      </c>
      <c r="G85">
        <f>G84+IF(D85="",0,1)</f>
        <v/>
      </c>
    </row>
    <row r="86">
      <c r="A86">
        <f>IF('KG1-1'!$B13="","",'KG1-1'!$B13)</f>
        <v/>
      </c>
      <c r="B86">
        <f>IF(A86="","",'KG1-1'!$C13)</f>
        <v/>
      </c>
      <c r="C86">
        <f>IF(A86="","",'KG1-1'!$B$2)</f>
        <v/>
      </c>
      <c r="D86" s="126">
        <f t="array" ref="D86">IF(A86="","",IFERROR(SMALL(IF((('KG1-1'!$AD13:$IM13="غياب بدون عذر")+('KG1-1'!$AD13:$IM13="غياب بعذر"))*('KG1-1'!$AD$7:$IM$7="✓"),'KG1-1'!$AD$5:$IM$5),5),""))</f>
        <v/>
      </c>
      <c r="E86">
        <f>IF(D86="","",INDEX('KG1-1'!$AD13:$IM13,MATCH(D86,'KG1-1'!$AD$5:$IM$5,0)))</f>
        <v/>
      </c>
      <c r="F86">
        <f>IF(D86="","",COUNTIFS('KG1-1'!$AD13:$IM13,"غياب بدون عذر",'KG1-1'!$AD$7:$IM$7,"✓",'KG1-1'!$AD$5:$IM$5,"&lt;="&amp;D86))</f>
        <v/>
      </c>
      <c r="G86">
        <f>G85+IF(D86="",0,1)</f>
        <v/>
      </c>
    </row>
    <row r="87">
      <c r="A87">
        <f>IF('KG1-1'!$B13="","",'KG1-1'!$B13)</f>
        <v/>
      </c>
      <c r="B87">
        <f>IF(A87="","",'KG1-1'!$C13)</f>
        <v/>
      </c>
      <c r="C87">
        <f>IF(A87="","",'KG1-1'!$B$2)</f>
        <v/>
      </c>
      <c r="D87" s="126">
        <f t="array" ref="D87">IF(A87="","",IFERROR(SMALL(IF((('KG1-1'!$AD13:$IM13="غياب بدون عذر")+('KG1-1'!$AD13:$IM13="غياب بعذر"))*('KG1-1'!$AD$7:$IM$7="✓"),'KG1-1'!$AD$5:$IM$5),6),""))</f>
        <v/>
      </c>
      <c r="E87">
        <f>IF(D87="","",INDEX('KG1-1'!$AD13:$IM13,MATCH(D87,'KG1-1'!$AD$5:$IM$5,0)))</f>
        <v/>
      </c>
      <c r="F87">
        <f>IF(D87="","",COUNTIFS('KG1-1'!$AD13:$IM13,"غياب بدون عذر",'KG1-1'!$AD$7:$IM$7,"✓",'KG1-1'!$AD$5:$IM$5,"&lt;="&amp;D87))</f>
        <v/>
      </c>
      <c r="G87">
        <f>G86+IF(D87="",0,1)</f>
        <v/>
      </c>
    </row>
    <row r="88">
      <c r="A88">
        <f>IF('KG1-1'!$B13="","",'KG1-1'!$B13)</f>
        <v/>
      </c>
      <c r="B88">
        <f>IF(A88="","",'KG1-1'!$C13)</f>
        <v/>
      </c>
      <c r="C88">
        <f>IF(A88="","",'KG1-1'!$B$2)</f>
        <v/>
      </c>
      <c r="D88" s="126">
        <f t="array" ref="D88">IF(A88="","",IFERROR(SMALL(IF((('KG1-1'!$AD13:$IM13="غياب بدون عذر")+('KG1-1'!$AD13:$IM13="غياب بعذر"))*('KG1-1'!$AD$7:$IM$7="✓"),'KG1-1'!$AD$5:$IM$5),7),""))</f>
        <v/>
      </c>
      <c r="E88">
        <f>IF(D88="","",INDEX('KG1-1'!$AD13:$IM13,MATCH(D88,'KG1-1'!$AD$5:$IM$5,0)))</f>
        <v/>
      </c>
      <c r="F88">
        <f>IF(D88="","",COUNTIFS('KG1-1'!$AD13:$IM13,"غياب بدون عذر",'KG1-1'!$AD$7:$IM$7,"✓",'KG1-1'!$AD$5:$IM$5,"&lt;="&amp;D88))</f>
        <v/>
      </c>
      <c r="G88">
        <f>G87+IF(D88="",0,1)</f>
        <v/>
      </c>
    </row>
    <row r="89">
      <c r="A89">
        <f>IF('KG1-1'!$B13="","",'KG1-1'!$B13)</f>
        <v/>
      </c>
      <c r="B89">
        <f>IF(A89="","",'KG1-1'!$C13)</f>
        <v/>
      </c>
      <c r="C89">
        <f>IF(A89="","",'KG1-1'!$B$2)</f>
        <v/>
      </c>
      <c r="D89" s="126">
        <f t="array" ref="D89">IF(A89="","",IFERROR(SMALL(IF((('KG1-1'!$AD13:$IM13="غياب بدون عذر")+('KG1-1'!$AD13:$IM13="غياب بعذر"))*('KG1-1'!$AD$7:$IM$7="✓"),'KG1-1'!$AD$5:$IM$5),8),""))</f>
        <v/>
      </c>
      <c r="E89">
        <f>IF(D89="","",INDEX('KG1-1'!$AD13:$IM13,MATCH(D89,'KG1-1'!$AD$5:$IM$5,0)))</f>
        <v/>
      </c>
      <c r="F89">
        <f>IF(D89="","",COUNTIFS('KG1-1'!$AD13:$IM13,"غياب بدون عذر",'KG1-1'!$AD$7:$IM$7,"✓",'KG1-1'!$AD$5:$IM$5,"&lt;="&amp;D89))</f>
        <v/>
      </c>
      <c r="G89">
        <f>G88+IF(D89="",0,1)</f>
        <v/>
      </c>
    </row>
    <row r="90">
      <c r="A90">
        <f>IF('KG1-1'!$B13="","",'KG1-1'!$B13)</f>
        <v/>
      </c>
      <c r="B90">
        <f>IF(A90="","",'KG1-1'!$C13)</f>
        <v/>
      </c>
      <c r="C90">
        <f>IF(A90="","",'KG1-1'!$B$2)</f>
        <v/>
      </c>
      <c r="D90" s="126">
        <f t="array" ref="D90">IF(A90="","",IFERROR(SMALL(IF((('KG1-1'!$AD13:$IM13="غياب بدون عذر")+('KG1-1'!$AD13:$IM13="غياب بعذر"))*('KG1-1'!$AD$7:$IM$7="✓"),'KG1-1'!$AD$5:$IM$5),9),""))</f>
        <v/>
      </c>
      <c r="E90">
        <f>IF(D90="","",INDEX('KG1-1'!$AD13:$IM13,MATCH(D90,'KG1-1'!$AD$5:$IM$5,0)))</f>
        <v/>
      </c>
      <c r="F90">
        <f>IF(D90="","",COUNTIFS('KG1-1'!$AD13:$IM13,"غياب بدون عذر",'KG1-1'!$AD$7:$IM$7,"✓",'KG1-1'!$AD$5:$IM$5,"&lt;="&amp;D90))</f>
        <v/>
      </c>
      <c r="G90">
        <f>G89+IF(D90="",0,1)</f>
        <v/>
      </c>
    </row>
    <row r="91">
      <c r="A91">
        <f>IF('KG1-1'!$B13="","",'KG1-1'!$B13)</f>
        <v/>
      </c>
      <c r="B91">
        <f>IF(A91="","",'KG1-1'!$C13)</f>
        <v/>
      </c>
      <c r="C91">
        <f>IF(A91="","",'KG1-1'!$B$2)</f>
        <v/>
      </c>
      <c r="D91" s="126">
        <f t="array" ref="D91">IF(A91="","",IFERROR(SMALL(IF((('KG1-1'!$AD13:$IM13="غياب بدون عذر")+('KG1-1'!$AD13:$IM13="غياب بعذر"))*('KG1-1'!$AD$7:$IM$7="✓"),'KG1-1'!$AD$5:$IM$5),10),""))</f>
        <v/>
      </c>
      <c r="E91">
        <f>IF(D91="","",INDEX('KG1-1'!$AD13:$IM13,MATCH(D91,'KG1-1'!$AD$5:$IM$5,0)))</f>
        <v/>
      </c>
      <c r="F91">
        <f>IF(D91="","",COUNTIFS('KG1-1'!$AD13:$IM13,"غياب بدون عذر",'KG1-1'!$AD$7:$IM$7,"✓",'KG1-1'!$AD$5:$IM$5,"&lt;="&amp;D91))</f>
        <v/>
      </c>
      <c r="G91">
        <f>G90+IF(D91="",0,1)</f>
        <v/>
      </c>
    </row>
    <row r="92">
      <c r="A92">
        <f>IF('KG1-1'!$B13="","",'KG1-1'!$B13)</f>
        <v/>
      </c>
      <c r="B92">
        <f>IF(A92="","",'KG1-1'!$C13)</f>
        <v/>
      </c>
      <c r="C92">
        <f>IF(A92="","",'KG1-1'!$B$2)</f>
        <v/>
      </c>
      <c r="D92" s="126">
        <f t="array" ref="D92">IF(A92="","",IFERROR(SMALL(IF((('KG1-1'!$AD13:$IM13="غياب بدون عذر")+('KG1-1'!$AD13:$IM13="غياب بعذر"))*('KG1-1'!$AD$7:$IM$7="✓"),'KG1-1'!$AD$5:$IM$5),11),""))</f>
        <v/>
      </c>
      <c r="E92">
        <f>IF(D92="","",INDEX('KG1-1'!$AD13:$IM13,MATCH(D92,'KG1-1'!$AD$5:$IM$5,0)))</f>
        <v/>
      </c>
      <c r="F92">
        <f>IF(D92="","",COUNTIFS('KG1-1'!$AD13:$IM13,"غياب بدون عذر",'KG1-1'!$AD$7:$IM$7,"✓",'KG1-1'!$AD$5:$IM$5,"&lt;="&amp;D92))</f>
        <v/>
      </c>
      <c r="G92">
        <f>G91+IF(D92="",0,1)</f>
        <v/>
      </c>
    </row>
    <row r="93">
      <c r="A93">
        <f>IF('KG1-1'!$B13="","",'KG1-1'!$B13)</f>
        <v/>
      </c>
      <c r="B93">
        <f>IF(A93="","",'KG1-1'!$C13)</f>
        <v/>
      </c>
      <c r="C93">
        <f>IF(A93="","",'KG1-1'!$B$2)</f>
        <v/>
      </c>
      <c r="D93" s="126">
        <f t="array" ref="D93">IF(A93="","",IFERROR(SMALL(IF((('KG1-1'!$AD13:$IM13="غياب بدون عذر")+('KG1-1'!$AD13:$IM13="غياب بعذر"))*('KG1-1'!$AD$7:$IM$7="✓"),'KG1-1'!$AD$5:$IM$5),12),""))</f>
        <v/>
      </c>
      <c r="E93">
        <f>IF(D93="","",INDEX('KG1-1'!$AD13:$IM13,MATCH(D93,'KG1-1'!$AD$5:$IM$5,0)))</f>
        <v/>
      </c>
      <c r="F93">
        <f>IF(D93="","",COUNTIFS('KG1-1'!$AD13:$IM13,"غياب بدون عذر",'KG1-1'!$AD$7:$IM$7,"✓",'KG1-1'!$AD$5:$IM$5,"&lt;="&amp;D93))</f>
        <v/>
      </c>
      <c r="G93">
        <f>G92+IF(D93="",0,1)</f>
        <v/>
      </c>
    </row>
    <row r="94">
      <c r="A94">
        <f>IF('KG1-1'!$B13="","",'KG1-1'!$B13)</f>
        <v/>
      </c>
      <c r="B94">
        <f>IF(A94="","",'KG1-1'!$C13)</f>
        <v/>
      </c>
      <c r="C94">
        <f>IF(A94="","",'KG1-1'!$B$2)</f>
        <v/>
      </c>
      <c r="D94" s="126">
        <f t="array" ref="D94">IF(A94="","",IFERROR(SMALL(IF((('KG1-1'!$AD13:$IM13="غياب بدون عذر")+('KG1-1'!$AD13:$IM13="غياب بعذر"))*('KG1-1'!$AD$7:$IM$7="✓"),'KG1-1'!$AD$5:$IM$5),13),""))</f>
        <v/>
      </c>
      <c r="E94">
        <f>IF(D94="","",INDEX('KG1-1'!$AD13:$IM13,MATCH(D94,'KG1-1'!$AD$5:$IM$5,0)))</f>
        <v/>
      </c>
      <c r="F94">
        <f>IF(D94="","",COUNTIFS('KG1-1'!$AD13:$IM13,"غياب بدون عذر",'KG1-1'!$AD$7:$IM$7,"✓",'KG1-1'!$AD$5:$IM$5,"&lt;="&amp;D94))</f>
        <v/>
      </c>
      <c r="G94">
        <f>G93+IF(D94="",0,1)</f>
        <v/>
      </c>
    </row>
    <row r="95">
      <c r="A95">
        <f>IF('KG1-1'!$B13="","",'KG1-1'!$B13)</f>
        <v/>
      </c>
      <c r="B95">
        <f>IF(A95="","",'KG1-1'!$C13)</f>
        <v/>
      </c>
      <c r="C95">
        <f>IF(A95="","",'KG1-1'!$B$2)</f>
        <v/>
      </c>
      <c r="D95" s="126">
        <f t="array" ref="D95">IF(A95="","",IFERROR(SMALL(IF((('KG1-1'!$AD13:$IM13="غياب بدون عذر")+('KG1-1'!$AD13:$IM13="غياب بعذر"))*('KG1-1'!$AD$7:$IM$7="✓"),'KG1-1'!$AD$5:$IM$5),14),""))</f>
        <v/>
      </c>
      <c r="E95">
        <f>IF(D95="","",INDEX('KG1-1'!$AD13:$IM13,MATCH(D95,'KG1-1'!$AD$5:$IM$5,0)))</f>
        <v/>
      </c>
      <c r="F95">
        <f>IF(D95="","",COUNTIFS('KG1-1'!$AD13:$IM13,"غياب بدون عذر",'KG1-1'!$AD$7:$IM$7,"✓",'KG1-1'!$AD$5:$IM$5,"&lt;="&amp;D95))</f>
        <v/>
      </c>
      <c r="G95">
        <f>G94+IF(D95="",0,1)</f>
        <v/>
      </c>
    </row>
    <row r="96">
      <c r="A96">
        <f>IF('KG1-1'!$B13="","",'KG1-1'!$B13)</f>
        <v/>
      </c>
      <c r="B96">
        <f>IF(A96="","",'KG1-1'!$C13)</f>
        <v/>
      </c>
      <c r="C96">
        <f>IF(A96="","",'KG1-1'!$B$2)</f>
        <v/>
      </c>
      <c r="D96" s="126">
        <f t="array" ref="D96">IF(A96="","",IFERROR(SMALL(IF((('KG1-1'!$AD13:$IM13="غياب بدون عذر")+('KG1-1'!$AD13:$IM13="غياب بعذر"))*('KG1-1'!$AD$7:$IM$7="✓"),'KG1-1'!$AD$5:$IM$5),15),""))</f>
        <v/>
      </c>
      <c r="E96">
        <f>IF(D96="","",INDEX('KG1-1'!$AD13:$IM13,MATCH(D96,'KG1-1'!$AD$5:$IM$5,0)))</f>
        <v/>
      </c>
      <c r="F96">
        <f>IF(D96="","",COUNTIFS('KG1-1'!$AD13:$IM13,"غياب بدون عذر",'KG1-1'!$AD$7:$IM$7,"✓",'KG1-1'!$AD$5:$IM$5,"&lt;="&amp;D96))</f>
        <v/>
      </c>
      <c r="G96">
        <f>G95+IF(D96="",0,1)</f>
        <v/>
      </c>
    </row>
    <row r="97">
      <c r="A97">
        <f>IF('KG1-1'!$B13="","",'KG1-1'!$B13)</f>
        <v/>
      </c>
      <c r="B97">
        <f>IF(A97="","",'KG1-1'!$C13)</f>
        <v/>
      </c>
      <c r="C97">
        <f>IF(A97="","",'KG1-1'!$B$2)</f>
        <v/>
      </c>
      <c r="D97" s="126">
        <f t="array" ref="D97">IF(A97="","",IFERROR(SMALL(IF((('KG1-1'!$AD13:$IM13="غياب بدون عذر")+('KG1-1'!$AD13:$IM13="غياب بعذر"))*('KG1-1'!$AD$7:$IM$7="✓"),'KG1-1'!$AD$5:$IM$5),16),""))</f>
        <v/>
      </c>
      <c r="E97">
        <f>IF(D97="","",INDEX('KG1-1'!$AD13:$IM13,MATCH(D97,'KG1-1'!$AD$5:$IM$5,0)))</f>
        <v/>
      </c>
      <c r="F97">
        <f>IF(D97="","",COUNTIFS('KG1-1'!$AD13:$IM13,"غياب بدون عذر",'KG1-1'!$AD$7:$IM$7,"✓",'KG1-1'!$AD$5:$IM$5,"&lt;="&amp;D97))</f>
        <v/>
      </c>
      <c r="G97">
        <f>G96+IF(D97="",0,1)</f>
        <v/>
      </c>
    </row>
    <row r="98">
      <c r="A98">
        <f>IF('KG1-1'!$B13="","",'KG1-1'!$B13)</f>
        <v/>
      </c>
      <c r="B98">
        <f>IF(A98="","",'KG1-1'!$C13)</f>
        <v/>
      </c>
      <c r="C98">
        <f>IF(A98="","",'KG1-1'!$B$2)</f>
        <v/>
      </c>
      <c r="D98" s="126">
        <f t="array" ref="D98">IF(A98="","",IFERROR(SMALL(IF((('KG1-1'!$AD13:$IM13="غياب بدون عذر")+('KG1-1'!$AD13:$IM13="غياب بعذر"))*('KG1-1'!$AD$7:$IM$7="✓"),'KG1-1'!$AD$5:$IM$5),17),""))</f>
        <v/>
      </c>
      <c r="E98">
        <f>IF(D98="","",INDEX('KG1-1'!$AD13:$IM13,MATCH(D98,'KG1-1'!$AD$5:$IM$5,0)))</f>
        <v/>
      </c>
      <c r="F98">
        <f>IF(D98="","",COUNTIFS('KG1-1'!$AD13:$IM13,"غياب بدون عذر",'KG1-1'!$AD$7:$IM$7,"✓",'KG1-1'!$AD$5:$IM$5,"&lt;="&amp;D98))</f>
        <v/>
      </c>
      <c r="G98">
        <f>G97+IF(D98="",0,1)</f>
        <v/>
      </c>
    </row>
    <row r="99">
      <c r="A99">
        <f>IF('KG1-1'!$B13="","",'KG1-1'!$B13)</f>
        <v/>
      </c>
      <c r="B99">
        <f>IF(A99="","",'KG1-1'!$C13)</f>
        <v/>
      </c>
      <c r="C99">
        <f>IF(A99="","",'KG1-1'!$B$2)</f>
        <v/>
      </c>
      <c r="D99" s="126">
        <f t="array" ref="D99">IF(A99="","",IFERROR(SMALL(IF((('KG1-1'!$AD13:$IM13="غياب بدون عذر")+('KG1-1'!$AD13:$IM13="غياب بعذر"))*('KG1-1'!$AD$7:$IM$7="✓"),'KG1-1'!$AD$5:$IM$5),18),""))</f>
        <v/>
      </c>
      <c r="E99">
        <f>IF(D99="","",INDEX('KG1-1'!$AD13:$IM13,MATCH(D99,'KG1-1'!$AD$5:$IM$5,0)))</f>
        <v/>
      </c>
      <c r="F99">
        <f>IF(D99="","",COUNTIFS('KG1-1'!$AD13:$IM13,"غياب بدون عذر",'KG1-1'!$AD$7:$IM$7,"✓",'KG1-1'!$AD$5:$IM$5,"&lt;="&amp;D99))</f>
        <v/>
      </c>
      <c r="G99">
        <f>G98+IF(D99="",0,1)</f>
        <v/>
      </c>
    </row>
    <row r="100">
      <c r="A100">
        <f>IF('KG1-1'!$B13="","",'KG1-1'!$B13)</f>
        <v/>
      </c>
      <c r="B100">
        <f>IF(A100="","",'KG1-1'!$C13)</f>
        <v/>
      </c>
      <c r="C100">
        <f>IF(A100="","",'KG1-1'!$B$2)</f>
        <v/>
      </c>
      <c r="D100" s="126">
        <f t="array" ref="D100">IF(A100="","",IFERROR(SMALL(IF((('KG1-1'!$AD13:$IM13="غياب بدون عذر")+('KG1-1'!$AD13:$IM13="غياب بعذر"))*('KG1-1'!$AD$7:$IM$7="✓"),'KG1-1'!$AD$5:$IM$5),19),""))</f>
        <v/>
      </c>
      <c r="E100">
        <f>IF(D100="","",INDEX('KG1-1'!$AD13:$IM13,MATCH(D100,'KG1-1'!$AD$5:$IM$5,0)))</f>
        <v/>
      </c>
      <c r="F100">
        <f>IF(D100="","",COUNTIFS('KG1-1'!$AD13:$IM13,"غياب بدون عذر",'KG1-1'!$AD$7:$IM$7,"✓",'KG1-1'!$AD$5:$IM$5,"&lt;="&amp;D100))</f>
        <v/>
      </c>
      <c r="G100">
        <f>G99+IF(D100="",0,1)</f>
        <v/>
      </c>
    </row>
    <row r="101">
      <c r="A101">
        <f>IF('KG1-1'!$B13="","",'KG1-1'!$B13)</f>
        <v/>
      </c>
      <c r="B101">
        <f>IF(A101="","",'KG1-1'!$C13)</f>
        <v/>
      </c>
      <c r="C101">
        <f>IF(A101="","",'KG1-1'!$B$2)</f>
        <v/>
      </c>
      <c r="D101" s="126">
        <f t="array" ref="D101">IF(A101="","",IFERROR(SMALL(IF((('KG1-1'!$AD13:$IM13="غياب بدون عذر")+('KG1-1'!$AD13:$IM13="غياب بعذر"))*('KG1-1'!$AD$7:$IM$7="✓"),'KG1-1'!$AD$5:$IM$5),20),""))</f>
        <v/>
      </c>
      <c r="E101">
        <f>IF(D101="","",INDEX('KG1-1'!$AD13:$IM13,MATCH(D101,'KG1-1'!$AD$5:$IM$5,0)))</f>
        <v/>
      </c>
      <c r="F101">
        <f>IF(D101="","",COUNTIFS('KG1-1'!$AD13:$IM13,"غياب بدون عذر",'KG1-1'!$AD$7:$IM$7,"✓",'KG1-1'!$AD$5:$IM$5,"&lt;="&amp;D101))</f>
        <v/>
      </c>
      <c r="G101">
        <f>G100+IF(D101="",0,1)</f>
        <v/>
      </c>
    </row>
    <row r="102">
      <c r="A102">
        <f>IF('KG1-1'!$B14="","",'KG1-1'!$B14)</f>
        <v/>
      </c>
      <c r="B102">
        <f>IF(A102="","",'KG1-1'!$C14)</f>
        <v/>
      </c>
      <c r="C102">
        <f>IF(A102="","",'KG1-1'!$B$2)</f>
        <v/>
      </c>
      <c r="D102" s="126">
        <f t="array" ref="D102">IF(A102="","",IFERROR(SMALL(IF((('KG1-1'!$AD14:$IM14="غياب بدون عذر")+('KG1-1'!$AD14:$IM14="غياب بعذر"))*('KG1-1'!$AD$7:$IM$7="✓"),'KG1-1'!$AD$5:$IM$5),1),""))</f>
        <v/>
      </c>
      <c r="E102">
        <f>IF(D102="","",INDEX('KG1-1'!$AD14:$IM14,MATCH(D102,'KG1-1'!$AD$5:$IM$5,0)))</f>
        <v/>
      </c>
      <c r="F102">
        <f>IF(D102="","",COUNTIFS('KG1-1'!$AD14:$IM14,"غياب بدون عذر",'KG1-1'!$AD$7:$IM$7,"✓",'KG1-1'!$AD$5:$IM$5,"&lt;="&amp;D102))</f>
        <v/>
      </c>
      <c r="G102">
        <f>G101+IF(D102="",0,1)</f>
        <v/>
      </c>
    </row>
    <row r="103">
      <c r="A103">
        <f>IF('KG1-1'!$B14="","",'KG1-1'!$B14)</f>
        <v/>
      </c>
      <c r="B103">
        <f>IF(A103="","",'KG1-1'!$C14)</f>
        <v/>
      </c>
      <c r="C103">
        <f>IF(A103="","",'KG1-1'!$B$2)</f>
        <v/>
      </c>
      <c r="D103" s="126">
        <f t="array" ref="D103">IF(A103="","",IFERROR(SMALL(IF((('KG1-1'!$AD14:$IM14="غياب بدون عذر")+('KG1-1'!$AD14:$IM14="غياب بعذر"))*('KG1-1'!$AD$7:$IM$7="✓"),'KG1-1'!$AD$5:$IM$5),2),""))</f>
        <v/>
      </c>
      <c r="E103">
        <f>IF(D103="","",INDEX('KG1-1'!$AD14:$IM14,MATCH(D103,'KG1-1'!$AD$5:$IM$5,0)))</f>
        <v/>
      </c>
      <c r="F103">
        <f>IF(D103="","",COUNTIFS('KG1-1'!$AD14:$IM14,"غياب بدون عذر",'KG1-1'!$AD$7:$IM$7,"✓",'KG1-1'!$AD$5:$IM$5,"&lt;="&amp;D103))</f>
        <v/>
      </c>
      <c r="G103">
        <f>G102+IF(D103="",0,1)</f>
        <v/>
      </c>
    </row>
    <row r="104">
      <c r="A104">
        <f>IF('KG1-1'!$B14="","",'KG1-1'!$B14)</f>
        <v/>
      </c>
      <c r="B104">
        <f>IF(A104="","",'KG1-1'!$C14)</f>
        <v/>
      </c>
      <c r="C104">
        <f>IF(A104="","",'KG1-1'!$B$2)</f>
        <v/>
      </c>
      <c r="D104" s="126">
        <f t="array" ref="D104">IF(A104="","",IFERROR(SMALL(IF((('KG1-1'!$AD14:$IM14="غياب بدون عذر")+('KG1-1'!$AD14:$IM14="غياب بعذر"))*('KG1-1'!$AD$7:$IM$7="✓"),'KG1-1'!$AD$5:$IM$5),3),""))</f>
        <v/>
      </c>
      <c r="E104">
        <f>IF(D104="","",INDEX('KG1-1'!$AD14:$IM14,MATCH(D104,'KG1-1'!$AD$5:$IM$5,0)))</f>
        <v/>
      </c>
      <c r="F104">
        <f>IF(D104="","",COUNTIFS('KG1-1'!$AD14:$IM14,"غياب بدون عذر",'KG1-1'!$AD$7:$IM$7,"✓",'KG1-1'!$AD$5:$IM$5,"&lt;="&amp;D104))</f>
        <v/>
      </c>
      <c r="G104">
        <f>G103+IF(D104="",0,1)</f>
        <v/>
      </c>
    </row>
    <row r="105">
      <c r="A105">
        <f>IF('KG1-1'!$B14="","",'KG1-1'!$B14)</f>
        <v/>
      </c>
      <c r="B105">
        <f>IF(A105="","",'KG1-1'!$C14)</f>
        <v/>
      </c>
      <c r="C105">
        <f>IF(A105="","",'KG1-1'!$B$2)</f>
        <v/>
      </c>
      <c r="D105" s="126">
        <f t="array" ref="D105">IF(A105="","",IFERROR(SMALL(IF((('KG1-1'!$AD14:$IM14="غياب بدون عذر")+('KG1-1'!$AD14:$IM14="غياب بعذر"))*('KG1-1'!$AD$7:$IM$7="✓"),'KG1-1'!$AD$5:$IM$5),4),""))</f>
        <v/>
      </c>
      <c r="E105">
        <f>IF(D105="","",INDEX('KG1-1'!$AD14:$IM14,MATCH(D105,'KG1-1'!$AD$5:$IM$5,0)))</f>
        <v/>
      </c>
      <c r="F105">
        <f>IF(D105="","",COUNTIFS('KG1-1'!$AD14:$IM14,"غياب بدون عذر",'KG1-1'!$AD$7:$IM$7,"✓",'KG1-1'!$AD$5:$IM$5,"&lt;="&amp;D105))</f>
        <v/>
      </c>
      <c r="G105">
        <f>G104+IF(D105="",0,1)</f>
        <v/>
      </c>
    </row>
    <row r="106">
      <c r="A106">
        <f>IF('KG1-1'!$B14="","",'KG1-1'!$B14)</f>
        <v/>
      </c>
      <c r="B106">
        <f>IF(A106="","",'KG1-1'!$C14)</f>
        <v/>
      </c>
      <c r="C106">
        <f>IF(A106="","",'KG1-1'!$B$2)</f>
        <v/>
      </c>
      <c r="D106" s="126">
        <f t="array" ref="D106">IF(A106="","",IFERROR(SMALL(IF((('KG1-1'!$AD14:$IM14="غياب بدون عذر")+('KG1-1'!$AD14:$IM14="غياب بعذر"))*('KG1-1'!$AD$7:$IM$7="✓"),'KG1-1'!$AD$5:$IM$5),5),""))</f>
        <v/>
      </c>
      <c r="E106">
        <f>IF(D106="","",INDEX('KG1-1'!$AD14:$IM14,MATCH(D106,'KG1-1'!$AD$5:$IM$5,0)))</f>
        <v/>
      </c>
      <c r="F106">
        <f>IF(D106="","",COUNTIFS('KG1-1'!$AD14:$IM14,"غياب بدون عذر",'KG1-1'!$AD$7:$IM$7,"✓",'KG1-1'!$AD$5:$IM$5,"&lt;="&amp;D106))</f>
        <v/>
      </c>
      <c r="G106">
        <f>G105+IF(D106="",0,1)</f>
        <v/>
      </c>
    </row>
    <row r="107">
      <c r="A107">
        <f>IF('KG1-1'!$B14="","",'KG1-1'!$B14)</f>
        <v/>
      </c>
      <c r="B107">
        <f>IF(A107="","",'KG1-1'!$C14)</f>
        <v/>
      </c>
      <c r="C107">
        <f>IF(A107="","",'KG1-1'!$B$2)</f>
        <v/>
      </c>
      <c r="D107" s="126">
        <f t="array" ref="D107">IF(A107="","",IFERROR(SMALL(IF((('KG1-1'!$AD14:$IM14="غياب بدون عذر")+('KG1-1'!$AD14:$IM14="غياب بعذر"))*('KG1-1'!$AD$7:$IM$7="✓"),'KG1-1'!$AD$5:$IM$5),6),""))</f>
        <v/>
      </c>
      <c r="E107">
        <f>IF(D107="","",INDEX('KG1-1'!$AD14:$IM14,MATCH(D107,'KG1-1'!$AD$5:$IM$5,0)))</f>
        <v/>
      </c>
      <c r="F107">
        <f>IF(D107="","",COUNTIFS('KG1-1'!$AD14:$IM14,"غياب بدون عذر",'KG1-1'!$AD$7:$IM$7,"✓",'KG1-1'!$AD$5:$IM$5,"&lt;="&amp;D107))</f>
        <v/>
      </c>
      <c r="G107">
        <f>G106+IF(D107="",0,1)</f>
        <v/>
      </c>
    </row>
    <row r="108">
      <c r="A108">
        <f>IF('KG1-1'!$B14="","",'KG1-1'!$B14)</f>
        <v/>
      </c>
      <c r="B108">
        <f>IF(A108="","",'KG1-1'!$C14)</f>
        <v/>
      </c>
      <c r="C108">
        <f>IF(A108="","",'KG1-1'!$B$2)</f>
        <v/>
      </c>
      <c r="D108" s="126">
        <f t="array" ref="D108">IF(A108="","",IFERROR(SMALL(IF((('KG1-1'!$AD14:$IM14="غياب بدون عذر")+('KG1-1'!$AD14:$IM14="غياب بعذر"))*('KG1-1'!$AD$7:$IM$7="✓"),'KG1-1'!$AD$5:$IM$5),7),""))</f>
        <v/>
      </c>
      <c r="E108">
        <f>IF(D108="","",INDEX('KG1-1'!$AD14:$IM14,MATCH(D108,'KG1-1'!$AD$5:$IM$5,0)))</f>
        <v/>
      </c>
      <c r="F108">
        <f>IF(D108="","",COUNTIFS('KG1-1'!$AD14:$IM14,"غياب بدون عذر",'KG1-1'!$AD$7:$IM$7,"✓",'KG1-1'!$AD$5:$IM$5,"&lt;="&amp;D108))</f>
        <v/>
      </c>
      <c r="G108">
        <f>G107+IF(D108="",0,1)</f>
        <v/>
      </c>
    </row>
    <row r="109">
      <c r="A109">
        <f>IF('KG1-1'!$B14="","",'KG1-1'!$B14)</f>
        <v/>
      </c>
      <c r="B109">
        <f>IF(A109="","",'KG1-1'!$C14)</f>
        <v/>
      </c>
      <c r="C109">
        <f>IF(A109="","",'KG1-1'!$B$2)</f>
        <v/>
      </c>
      <c r="D109" s="126">
        <f t="array" ref="D109">IF(A109="","",IFERROR(SMALL(IF((('KG1-1'!$AD14:$IM14="غياب بدون عذر")+('KG1-1'!$AD14:$IM14="غياب بعذر"))*('KG1-1'!$AD$7:$IM$7="✓"),'KG1-1'!$AD$5:$IM$5),8),""))</f>
        <v/>
      </c>
      <c r="E109">
        <f>IF(D109="","",INDEX('KG1-1'!$AD14:$IM14,MATCH(D109,'KG1-1'!$AD$5:$IM$5,0)))</f>
        <v/>
      </c>
      <c r="F109">
        <f>IF(D109="","",COUNTIFS('KG1-1'!$AD14:$IM14,"غياب بدون عذر",'KG1-1'!$AD$7:$IM$7,"✓",'KG1-1'!$AD$5:$IM$5,"&lt;="&amp;D109))</f>
        <v/>
      </c>
      <c r="G109">
        <f>G108+IF(D109="",0,1)</f>
        <v/>
      </c>
    </row>
    <row r="110">
      <c r="A110">
        <f>IF('KG1-1'!$B14="","",'KG1-1'!$B14)</f>
        <v/>
      </c>
      <c r="B110">
        <f>IF(A110="","",'KG1-1'!$C14)</f>
        <v/>
      </c>
      <c r="C110">
        <f>IF(A110="","",'KG1-1'!$B$2)</f>
        <v/>
      </c>
      <c r="D110" s="126">
        <f t="array" ref="D110">IF(A110="","",IFERROR(SMALL(IF((('KG1-1'!$AD14:$IM14="غياب بدون عذر")+('KG1-1'!$AD14:$IM14="غياب بعذر"))*('KG1-1'!$AD$7:$IM$7="✓"),'KG1-1'!$AD$5:$IM$5),9),""))</f>
        <v/>
      </c>
      <c r="E110">
        <f>IF(D110="","",INDEX('KG1-1'!$AD14:$IM14,MATCH(D110,'KG1-1'!$AD$5:$IM$5,0)))</f>
        <v/>
      </c>
      <c r="F110">
        <f>IF(D110="","",COUNTIFS('KG1-1'!$AD14:$IM14,"غياب بدون عذر",'KG1-1'!$AD$7:$IM$7,"✓",'KG1-1'!$AD$5:$IM$5,"&lt;="&amp;D110))</f>
        <v/>
      </c>
      <c r="G110">
        <f>G109+IF(D110="",0,1)</f>
        <v/>
      </c>
    </row>
    <row r="111">
      <c r="A111">
        <f>IF('KG1-1'!$B14="","",'KG1-1'!$B14)</f>
        <v/>
      </c>
      <c r="B111">
        <f>IF(A111="","",'KG1-1'!$C14)</f>
        <v/>
      </c>
      <c r="C111">
        <f>IF(A111="","",'KG1-1'!$B$2)</f>
        <v/>
      </c>
      <c r="D111" s="126">
        <f t="array" ref="D111">IF(A111="","",IFERROR(SMALL(IF((('KG1-1'!$AD14:$IM14="غياب بدون عذر")+('KG1-1'!$AD14:$IM14="غياب بعذر"))*('KG1-1'!$AD$7:$IM$7="✓"),'KG1-1'!$AD$5:$IM$5),10),""))</f>
        <v/>
      </c>
      <c r="E111">
        <f>IF(D111="","",INDEX('KG1-1'!$AD14:$IM14,MATCH(D111,'KG1-1'!$AD$5:$IM$5,0)))</f>
        <v/>
      </c>
      <c r="F111">
        <f>IF(D111="","",COUNTIFS('KG1-1'!$AD14:$IM14,"غياب بدون عذر",'KG1-1'!$AD$7:$IM$7,"✓",'KG1-1'!$AD$5:$IM$5,"&lt;="&amp;D111))</f>
        <v/>
      </c>
      <c r="G111">
        <f>G110+IF(D111="",0,1)</f>
        <v/>
      </c>
    </row>
    <row r="112">
      <c r="A112">
        <f>IF('KG1-1'!$B14="","",'KG1-1'!$B14)</f>
        <v/>
      </c>
      <c r="B112">
        <f>IF(A112="","",'KG1-1'!$C14)</f>
        <v/>
      </c>
      <c r="C112">
        <f>IF(A112="","",'KG1-1'!$B$2)</f>
        <v/>
      </c>
      <c r="D112" s="126">
        <f t="array" ref="D112">IF(A112="","",IFERROR(SMALL(IF((('KG1-1'!$AD14:$IM14="غياب بدون عذر")+('KG1-1'!$AD14:$IM14="غياب بعذر"))*('KG1-1'!$AD$7:$IM$7="✓"),'KG1-1'!$AD$5:$IM$5),11),""))</f>
        <v/>
      </c>
      <c r="E112">
        <f>IF(D112="","",INDEX('KG1-1'!$AD14:$IM14,MATCH(D112,'KG1-1'!$AD$5:$IM$5,0)))</f>
        <v/>
      </c>
      <c r="F112">
        <f>IF(D112="","",COUNTIFS('KG1-1'!$AD14:$IM14,"غياب بدون عذر",'KG1-1'!$AD$7:$IM$7,"✓",'KG1-1'!$AD$5:$IM$5,"&lt;="&amp;D112))</f>
        <v/>
      </c>
      <c r="G112">
        <f>G111+IF(D112="",0,1)</f>
        <v/>
      </c>
    </row>
    <row r="113">
      <c r="A113">
        <f>IF('KG1-1'!$B14="","",'KG1-1'!$B14)</f>
        <v/>
      </c>
      <c r="B113">
        <f>IF(A113="","",'KG1-1'!$C14)</f>
        <v/>
      </c>
      <c r="C113">
        <f>IF(A113="","",'KG1-1'!$B$2)</f>
        <v/>
      </c>
      <c r="D113" s="126">
        <f t="array" ref="D113">IF(A113="","",IFERROR(SMALL(IF((('KG1-1'!$AD14:$IM14="غياب بدون عذر")+('KG1-1'!$AD14:$IM14="غياب بعذر"))*('KG1-1'!$AD$7:$IM$7="✓"),'KG1-1'!$AD$5:$IM$5),12),""))</f>
        <v/>
      </c>
      <c r="E113">
        <f>IF(D113="","",INDEX('KG1-1'!$AD14:$IM14,MATCH(D113,'KG1-1'!$AD$5:$IM$5,0)))</f>
        <v/>
      </c>
      <c r="F113">
        <f>IF(D113="","",COUNTIFS('KG1-1'!$AD14:$IM14,"غياب بدون عذر",'KG1-1'!$AD$7:$IM$7,"✓",'KG1-1'!$AD$5:$IM$5,"&lt;="&amp;D113))</f>
        <v/>
      </c>
      <c r="G113">
        <f>G112+IF(D113="",0,1)</f>
        <v/>
      </c>
    </row>
    <row r="114">
      <c r="A114">
        <f>IF('KG1-1'!$B14="","",'KG1-1'!$B14)</f>
        <v/>
      </c>
      <c r="B114">
        <f>IF(A114="","",'KG1-1'!$C14)</f>
        <v/>
      </c>
      <c r="C114">
        <f>IF(A114="","",'KG1-1'!$B$2)</f>
        <v/>
      </c>
      <c r="D114" s="126">
        <f t="array" ref="D114">IF(A114="","",IFERROR(SMALL(IF((('KG1-1'!$AD14:$IM14="غياب بدون عذر")+('KG1-1'!$AD14:$IM14="غياب بعذر"))*('KG1-1'!$AD$7:$IM$7="✓"),'KG1-1'!$AD$5:$IM$5),13),""))</f>
        <v/>
      </c>
      <c r="E114">
        <f>IF(D114="","",INDEX('KG1-1'!$AD14:$IM14,MATCH(D114,'KG1-1'!$AD$5:$IM$5,0)))</f>
        <v/>
      </c>
      <c r="F114">
        <f>IF(D114="","",COUNTIFS('KG1-1'!$AD14:$IM14,"غياب بدون عذر",'KG1-1'!$AD$7:$IM$7,"✓",'KG1-1'!$AD$5:$IM$5,"&lt;="&amp;D114))</f>
        <v/>
      </c>
      <c r="G114">
        <f>G113+IF(D114="",0,1)</f>
        <v/>
      </c>
    </row>
    <row r="115">
      <c r="A115">
        <f>IF('KG1-1'!$B14="","",'KG1-1'!$B14)</f>
        <v/>
      </c>
      <c r="B115">
        <f>IF(A115="","",'KG1-1'!$C14)</f>
        <v/>
      </c>
      <c r="C115">
        <f>IF(A115="","",'KG1-1'!$B$2)</f>
        <v/>
      </c>
      <c r="D115" s="126">
        <f t="array" ref="D115">IF(A115="","",IFERROR(SMALL(IF((('KG1-1'!$AD14:$IM14="غياب بدون عذر")+('KG1-1'!$AD14:$IM14="غياب بعذر"))*('KG1-1'!$AD$7:$IM$7="✓"),'KG1-1'!$AD$5:$IM$5),14),""))</f>
        <v/>
      </c>
      <c r="E115">
        <f>IF(D115="","",INDEX('KG1-1'!$AD14:$IM14,MATCH(D115,'KG1-1'!$AD$5:$IM$5,0)))</f>
        <v/>
      </c>
      <c r="F115">
        <f>IF(D115="","",COUNTIFS('KG1-1'!$AD14:$IM14,"غياب بدون عذر",'KG1-1'!$AD$7:$IM$7,"✓",'KG1-1'!$AD$5:$IM$5,"&lt;="&amp;D115))</f>
        <v/>
      </c>
      <c r="G115">
        <f>G114+IF(D115="",0,1)</f>
        <v/>
      </c>
    </row>
    <row r="116">
      <c r="A116">
        <f>IF('KG1-1'!$B14="","",'KG1-1'!$B14)</f>
        <v/>
      </c>
      <c r="B116">
        <f>IF(A116="","",'KG1-1'!$C14)</f>
        <v/>
      </c>
      <c r="C116">
        <f>IF(A116="","",'KG1-1'!$B$2)</f>
        <v/>
      </c>
      <c r="D116" s="126">
        <f t="array" ref="D116">IF(A116="","",IFERROR(SMALL(IF((('KG1-1'!$AD14:$IM14="غياب بدون عذر")+('KG1-1'!$AD14:$IM14="غياب بعذر"))*('KG1-1'!$AD$7:$IM$7="✓"),'KG1-1'!$AD$5:$IM$5),15),""))</f>
        <v/>
      </c>
      <c r="E116">
        <f>IF(D116="","",INDEX('KG1-1'!$AD14:$IM14,MATCH(D116,'KG1-1'!$AD$5:$IM$5,0)))</f>
        <v/>
      </c>
      <c r="F116">
        <f>IF(D116="","",COUNTIFS('KG1-1'!$AD14:$IM14,"غياب بدون عذر",'KG1-1'!$AD$7:$IM$7,"✓",'KG1-1'!$AD$5:$IM$5,"&lt;="&amp;D116))</f>
        <v/>
      </c>
      <c r="G116">
        <f>G115+IF(D116="",0,1)</f>
        <v/>
      </c>
    </row>
    <row r="117">
      <c r="A117">
        <f>IF('KG1-1'!$B14="","",'KG1-1'!$B14)</f>
        <v/>
      </c>
      <c r="B117">
        <f>IF(A117="","",'KG1-1'!$C14)</f>
        <v/>
      </c>
      <c r="C117">
        <f>IF(A117="","",'KG1-1'!$B$2)</f>
        <v/>
      </c>
      <c r="D117" s="126">
        <f t="array" ref="D117">IF(A117="","",IFERROR(SMALL(IF((('KG1-1'!$AD14:$IM14="غياب بدون عذر")+('KG1-1'!$AD14:$IM14="غياب بعذر"))*('KG1-1'!$AD$7:$IM$7="✓"),'KG1-1'!$AD$5:$IM$5),16),""))</f>
        <v/>
      </c>
      <c r="E117">
        <f>IF(D117="","",INDEX('KG1-1'!$AD14:$IM14,MATCH(D117,'KG1-1'!$AD$5:$IM$5,0)))</f>
        <v/>
      </c>
      <c r="F117">
        <f>IF(D117="","",COUNTIFS('KG1-1'!$AD14:$IM14,"غياب بدون عذر",'KG1-1'!$AD$7:$IM$7,"✓",'KG1-1'!$AD$5:$IM$5,"&lt;="&amp;D117))</f>
        <v/>
      </c>
      <c r="G117">
        <f>G116+IF(D117="",0,1)</f>
        <v/>
      </c>
    </row>
    <row r="118">
      <c r="A118">
        <f>IF('KG1-1'!$B14="","",'KG1-1'!$B14)</f>
        <v/>
      </c>
      <c r="B118">
        <f>IF(A118="","",'KG1-1'!$C14)</f>
        <v/>
      </c>
      <c r="C118">
        <f>IF(A118="","",'KG1-1'!$B$2)</f>
        <v/>
      </c>
      <c r="D118" s="126">
        <f t="array" ref="D118">IF(A118="","",IFERROR(SMALL(IF((('KG1-1'!$AD14:$IM14="غياب بدون عذر")+('KG1-1'!$AD14:$IM14="غياب بعذر"))*('KG1-1'!$AD$7:$IM$7="✓"),'KG1-1'!$AD$5:$IM$5),17),""))</f>
        <v/>
      </c>
      <c r="E118">
        <f>IF(D118="","",INDEX('KG1-1'!$AD14:$IM14,MATCH(D118,'KG1-1'!$AD$5:$IM$5,0)))</f>
        <v/>
      </c>
      <c r="F118">
        <f>IF(D118="","",COUNTIFS('KG1-1'!$AD14:$IM14,"غياب بدون عذر",'KG1-1'!$AD$7:$IM$7,"✓",'KG1-1'!$AD$5:$IM$5,"&lt;="&amp;D118))</f>
        <v/>
      </c>
      <c r="G118">
        <f>G117+IF(D118="",0,1)</f>
        <v/>
      </c>
    </row>
    <row r="119">
      <c r="A119">
        <f>IF('KG1-1'!$B14="","",'KG1-1'!$B14)</f>
        <v/>
      </c>
      <c r="B119">
        <f>IF(A119="","",'KG1-1'!$C14)</f>
        <v/>
      </c>
      <c r="C119">
        <f>IF(A119="","",'KG1-1'!$B$2)</f>
        <v/>
      </c>
      <c r="D119" s="126">
        <f t="array" ref="D119">IF(A119="","",IFERROR(SMALL(IF((('KG1-1'!$AD14:$IM14="غياب بدون عذر")+('KG1-1'!$AD14:$IM14="غياب بعذر"))*('KG1-1'!$AD$7:$IM$7="✓"),'KG1-1'!$AD$5:$IM$5),18),""))</f>
        <v/>
      </c>
      <c r="E119">
        <f>IF(D119="","",INDEX('KG1-1'!$AD14:$IM14,MATCH(D119,'KG1-1'!$AD$5:$IM$5,0)))</f>
        <v/>
      </c>
      <c r="F119">
        <f>IF(D119="","",COUNTIFS('KG1-1'!$AD14:$IM14,"غياب بدون عذر",'KG1-1'!$AD$7:$IM$7,"✓",'KG1-1'!$AD$5:$IM$5,"&lt;="&amp;D119))</f>
        <v/>
      </c>
      <c r="G119">
        <f>G118+IF(D119="",0,1)</f>
        <v/>
      </c>
    </row>
    <row r="120">
      <c r="A120">
        <f>IF('KG1-1'!$B14="","",'KG1-1'!$B14)</f>
        <v/>
      </c>
      <c r="B120">
        <f>IF(A120="","",'KG1-1'!$C14)</f>
        <v/>
      </c>
      <c r="C120">
        <f>IF(A120="","",'KG1-1'!$B$2)</f>
        <v/>
      </c>
      <c r="D120" s="126">
        <f t="array" ref="D120">IF(A120="","",IFERROR(SMALL(IF((('KG1-1'!$AD14:$IM14="غياب بدون عذر")+('KG1-1'!$AD14:$IM14="غياب بعذر"))*('KG1-1'!$AD$7:$IM$7="✓"),'KG1-1'!$AD$5:$IM$5),19),""))</f>
        <v/>
      </c>
      <c r="E120">
        <f>IF(D120="","",INDEX('KG1-1'!$AD14:$IM14,MATCH(D120,'KG1-1'!$AD$5:$IM$5,0)))</f>
        <v/>
      </c>
      <c r="F120">
        <f>IF(D120="","",COUNTIFS('KG1-1'!$AD14:$IM14,"غياب بدون عذر",'KG1-1'!$AD$7:$IM$7,"✓",'KG1-1'!$AD$5:$IM$5,"&lt;="&amp;D120))</f>
        <v/>
      </c>
      <c r="G120">
        <f>G119+IF(D120="",0,1)</f>
        <v/>
      </c>
    </row>
    <row r="121">
      <c r="A121">
        <f>IF('KG1-1'!$B14="","",'KG1-1'!$B14)</f>
        <v/>
      </c>
      <c r="B121">
        <f>IF(A121="","",'KG1-1'!$C14)</f>
        <v/>
      </c>
      <c r="C121">
        <f>IF(A121="","",'KG1-1'!$B$2)</f>
        <v/>
      </c>
      <c r="D121" s="126">
        <f t="array" ref="D121">IF(A121="","",IFERROR(SMALL(IF((('KG1-1'!$AD14:$IM14="غياب بدون عذر")+('KG1-1'!$AD14:$IM14="غياب بعذر"))*('KG1-1'!$AD$7:$IM$7="✓"),'KG1-1'!$AD$5:$IM$5),20),""))</f>
        <v/>
      </c>
      <c r="E121">
        <f>IF(D121="","",INDEX('KG1-1'!$AD14:$IM14,MATCH(D121,'KG1-1'!$AD$5:$IM$5,0)))</f>
        <v/>
      </c>
      <c r="F121">
        <f>IF(D121="","",COUNTIFS('KG1-1'!$AD14:$IM14,"غياب بدون عذر",'KG1-1'!$AD$7:$IM$7,"✓",'KG1-1'!$AD$5:$IM$5,"&lt;="&amp;D121))</f>
        <v/>
      </c>
      <c r="G121">
        <f>G120+IF(D121="",0,1)</f>
        <v/>
      </c>
    </row>
    <row r="122">
      <c r="A122">
        <f>IF('KG1-1'!$B15="","",'KG1-1'!$B15)</f>
        <v/>
      </c>
      <c r="B122">
        <f>IF(A122="","",'KG1-1'!$C15)</f>
        <v/>
      </c>
      <c r="C122">
        <f>IF(A122="","",'KG1-1'!$B$2)</f>
        <v/>
      </c>
      <c r="D122" s="126">
        <f t="array" ref="D122">IF(A122="","",IFERROR(SMALL(IF((('KG1-1'!$AD15:$IM15="غياب بدون عذر")+('KG1-1'!$AD15:$IM15="غياب بعذر"))*('KG1-1'!$AD$7:$IM$7="✓"),'KG1-1'!$AD$5:$IM$5),1),""))</f>
        <v/>
      </c>
      <c r="E122">
        <f>IF(D122="","",INDEX('KG1-1'!$AD15:$IM15,MATCH(D122,'KG1-1'!$AD$5:$IM$5,0)))</f>
        <v/>
      </c>
      <c r="F122">
        <f>IF(D122="","",COUNTIFS('KG1-1'!$AD15:$IM15,"غياب بدون عذر",'KG1-1'!$AD$7:$IM$7,"✓",'KG1-1'!$AD$5:$IM$5,"&lt;="&amp;D122))</f>
        <v/>
      </c>
      <c r="G122">
        <f>G121+IF(D122="",0,1)</f>
        <v/>
      </c>
    </row>
    <row r="123">
      <c r="A123">
        <f>IF('KG1-1'!$B15="","",'KG1-1'!$B15)</f>
        <v/>
      </c>
      <c r="B123">
        <f>IF(A123="","",'KG1-1'!$C15)</f>
        <v/>
      </c>
      <c r="C123">
        <f>IF(A123="","",'KG1-1'!$B$2)</f>
        <v/>
      </c>
      <c r="D123" s="126">
        <f t="array" ref="D123">IF(A123="","",IFERROR(SMALL(IF((('KG1-1'!$AD15:$IM15="غياب بدون عذر")+('KG1-1'!$AD15:$IM15="غياب بعذر"))*('KG1-1'!$AD$7:$IM$7="✓"),'KG1-1'!$AD$5:$IM$5),2),""))</f>
        <v/>
      </c>
      <c r="E123">
        <f>IF(D123="","",INDEX('KG1-1'!$AD15:$IM15,MATCH(D123,'KG1-1'!$AD$5:$IM$5,0)))</f>
        <v/>
      </c>
      <c r="F123">
        <f>IF(D123="","",COUNTIFS('KG1-1'!$AD15:$IM15,"غياب بدون عذر",'KG1-1'!$AD$7:$IM$7,"✓",'KG1-1'!$AD$5:$IM$5,"&lt;="&amp;D123))</f>
        <v/>
      </c>
      <c r="G123">
        <f>G122+IF(D123="",0,1)</f>
        <v/>
      </c>
    </row>
    <row r="124">
      <c r="A124">
        <f>IF('KG1-1'!$B15="","",'KG1-1'!$B15)</f>
        <v/>
      </c>
      <c r="B124">
        <f>IF(A124="","",'KG1-1'!$C15)</f>
        <v/>
      </c>
      <c r="C124">
        <f>IF(A124="","",'KG1-1'!$B$2)</f>
        <v/>
      </c>
      <c r="D124" s="126">
        <f t="array" ref="D124">IF(A124="","",IFERROR(SMALL(IF((('KG1-1'!$AD15:$IM15="غياب بدون عذر")+('KG1-1'!$AD15:$IM15="غياب بعذر"))*('KG1-1'!$AD$7:$IM$7="✓"),'KG1-1'!$AD$5:$IM$5),3),""))</f>
        <v/>
      </c>
      <c r="E124">
        <f>IF(D124="","",INDEX('KG1-1'!$AD15:$IM15,MATCH(D124,'KG1-1'!$AD$5:$IM$5,0)))</f>
        <v/>
      </c>
      <c r="F124">
        <f>IF(D124="","",COUNTIFS('KG1-1'!$AD15:$IM15,"غياب بدون عذر",'KG1-1'!$AD$7:$IM$7,"✓",'KG1-1'!$AD$5:$IM$5,"&lt;="&amp;D124))</f>
        <v/>
      </c>
      <c r="G124">
        <f>G123+IF(D124="",0,1)</f>
        <v/>
      </c>
    </row>
    <row r="125">
      <c r="A125">
        <f>IF('KG1-1'!$B15="","",'KG1-1'!$B15)</f>
        <v/>
      </c>
      <c r="B125">
        <f>IF(A125="","",'KG1-1'!$C15)</f>
        <v/>
      </c>
      <c r="C125">
        <f>IF(A125="","",'KG1-1'!$B$2)</f>
        <v/>
      </c>
      <c r="D125" s="126">
        <f t="array" ref="D125">IF(A125="","",IFERROR(SMALL(IF((('KG1-1'!$AD15:$IM15="غياب بدون عذر")+('KG1-1'!$AD15:$IM15="غياب بعذر"))*('KG1-1'!$AD$7:$IM$7="✓"),'KG1-1'!$AD$5:$IM$5),4),""))</f>
        <v/>
      </c>
      <c r="E125">
        <f>IF(D125="","",INDEX('KG1-1'!$AD15:$IM15,MATCH(D125,'KG1-1'!$AD$5:$IM$5,0)))</f>
        <v/>
      </c>
      <c r="F125">
        <f>IF(D125="","",COUNTIFS('KG1-1'!$AD15:$IM15,"غياب بدون عذر",'KG1-1'!$AD$7:$IM$7,"✓",'KG1-1'!$AD$5:$IM$5,"&lt;="&amp;D125))</f>
        <v/>
      </c>
      <c r="G125">
        <f>G124+IF(D125="",0,1)</f>
        <v/>
      </c>
    </row>
    <row r="126">
      <c r="A126">
        <f>IF('KG1-1'!$B15="","",'KG1-1'!$B15)</f>
        <v/>
      </c>
      <c r="B126">
        <f>IF(A126="","",'KG1-1'!$C15)</f>
        <v/>
      </c>
      <c r="C126">
        <f>IF(A126="","",'KG1-1'!$B$2)</f>
        <v/>
      </c>
      <c r="D126" s="126">
        <f t="array" ref="D126">IF(A126="","",IFERROR(SMALL(IF((('KG1-1'!$AD15:$IM15="غياب بدون عذر")+('KG1-1'!$AD15:$IM15="غياب بعذر"))*('KG1-1'!$AD$7:$IM$7="✓"),'KG1-1'!$AD$5:$IM$5),5),""))</f>
        <v/>
      </c>
      <c r="E126">
        <f>IF(D126="","",INDEX('KG1-1'!$AD15:$IM15,MATCH(D126,'KG1-1'!$AD$5:$IM$5,0)))</f>
        <v/>
      </c>
      <c r="F126">
        <f>IF(D126="","",COUNTIFS('KG1-1'!$AD15:$IM15,"غياب بدون عذر",'KG1-1'!$AD$7:$IM$7,"✓",'KG1-1'!$AD$5:$IM$5,"&lt;="&amp;D126))</f>
        <v/>
      </c>
      <c r="G126">
        <f>G125+IF(D126="",0,1)</f>
        <v/>
      </c>
    </row>
    <row r="127">
      <c r="A127">
        <f>IF('KG1-1'!$B15="","",'KG1-1'!$B15)</f>
        <v/>
      </c>
      <c r="B127">
        <f>IF(A127="","",'KG1-1'!$C15)</f>
        <v/>
      </c>
      <c r="C127">
        <f>IF(A127="","",'KG1-1'!$B$2)</f>
        <v/>
      </c>
      <c r="D127" s="126">
        <f t="array" ref="D127">IF(A127="","",IFERROR(SMALL(IF((('KG1-1'!$AD15:$IM15="غياب بدون عذر")+('KG1-1'!$AD15:$IM15="غياب بعذر"))*('KG1-1'!$AD$7:$IM$7="✓"),'KG1-1'!$AD$5:$IM$5),6),""))</f>
        <v/>
      </c>
      <c r="E127">
        <f>IF(D127="","",INDEX('KG1-1'!$AD15:$IM15,MATCH(D127,'KG1-1'!$AD$5:$IM$5,0)))</f>
        <v/>
      </c>
      <c r="F127">
        <f>IF(D127="","",COUNTIFS('KG1-1'!$AD15:$IM15,"غياب بدون عذر",'KG1-1'!$AD$7:$IM$7,"✓",'KG1-1'!$AD$5:$IM$5,"&lt;="&amp;D127))</f>
        <v/>
      </c>
      <c r="G127">
        <f>G126+IF(D127="",0,1)</f>
        <v/>
      </c>
    </row>
    <row r="128">
      <c r="A128">
        <f>IF('KG1-1'!$B15="","",'KG1-1'!$B15)</f>
        <v/>
      </c>
      <c r="B128">
        <f>IF(A128="","",'KG1-1'!$C15)</f>
        <v/>
      </c>
      <c r="C128">
        <f>IF(A128="","",'KG1-1'!$B$2)</f>
        <v/>
      </c>
      <c r="D128" s="126">
        <f t="array" ref="D128">IF(A128="","",IFERROR(SMALL(IF((('KG1-1'!$AD15:$IM15="غياب بدون عذر")+('KG1-1'!$AD15:$IM15="غياب بعذر"))*('KG1-1'!$AD$7:$IM$7="✓"),'KG1-1'!$AD$5:$IM$5),7),""))</f>
        <v/>
      </c>
      <c r="E128">
        <f>IF(D128="","",INDEX('KG1-1'!$AD15:$IM15,MATCH(D128,'KG1-1'!$AD$5:$IM$5,0)))</f>
        <v/>
      </c>
      <c r="F128">
        <f>IF(D128="","",COUNTIFS('KG1-1'!$AD15:$IM15,"غياب بدون عذر",'KG1-1'!$AD$7:$IM$7,"✓",'KG1-1'!$AD$5:$IM$5,"&lt;="&amp;D128))</f>
        <v/>
      </c>
      <c r="G128">
        <f>G127+IF(D128="",0,1)</f>
        <v/>
      </c>
    </row>
    <row r="129">
      <c r="A129">
        <f>IF('KG1-1'!$B15="","",'KG1-1'!$B15)</f>
        <v/>
      </c>
      <c r="B129">
        <f>IF(A129="","",'KG1-1'!$C15)</f>
        <v/>
      </c>
      <c r="C129">
        <f>IF(A129="","",'KG1-1'!$B$2)</f>
        <v/>
      </c>
      <c r="D129" s="126">
        <f t="array" ref="D129">IF(A129="","",IFERROR(SMALL(IF((('KG1-1'!$AD15:$IM15="غياب بدون عذر")+('KG1-1'!$AD15:$IM15="غياب بعذر"))*('KG1-1'!$AD$7:$IM$7="✓"),'KG1-1'!$AD$5:$IM$5),8),""))</f>
        <v/>
      </c>
      <c r="E129">
        <f>IF(D129="","",INDEX('KG1-1'!$AD15:$IM15,MATCH(D129,'KG1-1'!$AD$5:$IM$5,0)))</f>
        <v/>
      </c>
      <c r="F129">
        <f>IF(D129="","",COUNTIFS('KG1-1'!$AD15:$IM15,"غياب بدون عذر",'KG1-1'!$AD$7:$IM$7,"✓",'KG1-1'!$AD$5:$IM$5,"&lt;="&amp;D129))</f>
        <v/>
      </c>
      <c r="G129">
        <f>G128+IF(D129="",0,1)</f>
        <v/>
      </c>
    </row>
    <row r="130">
      <c r="A130">
        <f>IF('KG1-1'!$B15="","",'KG1-1'!$B15)</f>
        <v/>
      </c>
      <c r="B130">
        <f>IF(A130="","",'KG1-1'!$C15)</f>
        <v/>
      </c>
      <c r="C130">
        <f>IF(A130="","",'KG1-1'!$B$2)</f>
        <v/>
      </c>
      <c r="D130" s="126">
        <f t="array" ref="D130">IF(A130="","",IFERROR(SMALL(IF((('KG1-1'!$AD15:$IM15="غياب بدون عذر")+('KG1-1'!$AD15:$IM15="غياب بعذر"))*('KG1-1'!$AD$7:$IM$7="✓"),'KG1-1'!$AD$5:$IM$5),9),""))</f>
        <v/>
      </c>
      <c r="E130">
        <f>IF(D130="","",INDEX('KG1-1'!$AD15:$IM15,MATCH(D130,'KG1-1'!$AD$5:$IM$5,0)))</f>
        <v/>
      </c>
      <c r="F130">
        <f>IF(D130="","",COUNTIFS('KG1-1'!$AD15:$IM15,"غياب بدون عذر",'KG1-1'!$AD$7:$IM$7,"✓",'KG1-1'!$AD$5:$IM$5,"&lt;="&amp;D130))</f>
        <v/>
      </c>
      <c r="G130">
        <f>G129+IF(D130="",0,1)</f>
        <v/>
      </c>
    </row>
    <row r="131">
      <c r="A131">
        <f>IF('KG1-1'!$B15="","",'KG1-1'!$B15)</f>
        <v/>
      </c>
      <c r="B131">
        <f>IF(A131="","",'KG1-1'!$C15)</f>
        <v/>
      </c>
      <c r="C131">
        <f>IF(A131="","",'KG1-1'!$B$2)</f>
        <v/>
      </c>
      <c r="D131" s="126">
        <f t="array" ref="D131">IF(A131="","",IFERROR(SMALL(IF((('KG1-1'!$AD15:$IM15="غياب بدون عذر")+('KG1-1'!$AD15:$IM15="غياب بعذر"))*('KG1-1'!$AD$7:$IM$7="✓"),'KG1-1'!$AD$5:$IM$5),10),""))</f>
        <v/>
      </c>
      <c r="E131">
        <f>IF(D131="","",INDEX('KG1-1'!$AD15:$IM15,MATCH(D131,'KG1-1'!$AD$5:$IM$5,0)))</f>
        <v/>
      </c>
      <c r="F131">
        <f>IF(D131="","",COUNTIFS('KG1-1'!$AD15:$IM15,"غياب بدون عذر",'KG1-1'!$AD$7:$IM$7,"✓",'KG1-1'!$AD$5:$IM$5,"&lt;="&amp;D131))</f>
        <v/>
      </c>
      <c r="G131">
        <f>G130+IF(D131="",0,1)</f>
        <v/>
      </c>
    </row>
    <row r="132">
      <c r="A132">
        <f>IF('KG1-1'!$B15="","",'KG1-1'!$B15)</f>
        <v/>
      </c>
      <c r="B132">
        <f>IF(A132="","",'KG1-1'!$C15)</f>
        <v/>
      </c>
      <c r="C132">
        <f>IF(A132="","",'KG1-1'!$B$2)</f>
        <v/>
      </c>
      <c r="D132" s="126">
        <f t="array" ref="D132">IF(A132="","",IFERROR(SMALL(IF((('KG1-1'!$AD15:$IM15="غياب بدون عذر")+('KG1-1'!$AD15:$IM15="غياب بعذر"))*('KG1-1'!$AD$7:$IM$7="✓"),'KG1-1'!$AD$5:$IM$5),11),""))</f>
        <v/>
      </c>
      <c r="E132">
        <f>IF(D132="","",INDEX('KG1-1'!$AD15:$IM15,MATCH(D132,'KG1-1'!$AD$5:$IM$5,0)))</f>
        <v/>
      </c>
      <c r="F132">
        <f>IF(D132="","",COUNTIFS('KG1-1'!$AD15:$IM15,"غياب بدون عذر",'KG1-1'!$AD$7:$IM$7,"✓",'KG1-1'!$AD$5:$IM$5,"&lt;="&amp;D132))</f>
        <v/>
      </c>
      <c r="G132">
        <f>G131+IF(D132="",0,1)</f>
        <v/>
      </c>
    </row>
    <row r="133">
      <c r="A133">
        <f>IF('KG1-1'!$B15="","",'KG1-1'!$B15)</f>
        <v/>
      </c>
      <c r="B133">
        <f>IF(A133="","",'KG1-1'!$C15)</f>
        <v/>
      </c>
      <c r="C133">
        <f>IF(A133="","",'KG1-1'!$B$2)</f>
        <v/>
      </c>
      <c r="D133" s="126">
        <f t="array" ref="D133">IF(A133="","",IFERROR(SMALL(IF((('KG1-1'!$AD15:$IM15="غياب بدون عذر")+('KG1-1'!$AD15:$IM15="غياب بعذر"))*('KG1-1'!$AD$7:$IM$7="✓"),'KG1-1'!$AD$5:$IM$5),12),""))</f>
        <v/>
      </c>
      <c r="E133">
        <f>IF(D133="","",INDEX('KG1-1'!$AD15:$IM15,MATCH(D133,'KG1-1'!$AD$5:$IM$5,0)))</f>
        <v/>
      </c>
      <c r="F133">
        <f>IF(D133="","",COUNTIFS('KG1-1'!$AD15:$IM15,"غياب بدون عذر",'KG1-1'!$AD$7:$IM$7,"✓",'KG1-1'!$AD$5:$IM$5,"&lt;="&amp;D133))</f>
        <v/>
      </c>
      <c r="G133">
        <f>G132+IF(D133="",0,1)</f>
        <v/>
      </c>
    </row>
    <row r="134">
      <c r="A134">
        <f>IF('KG1-1'!$B15="","",'KG1-1'!$B15)</f>
        <v/>
      </c>
      <c r="B134">
        <f>IF(A134="","",'KG1-1'!$C15)</f>
        <v/>
      </c>
      <c r="C134">
        <f>IF(A134="","",'KG1-1'!$B$2)</f>
        <v/>
      </c>
      <c r="D134" s="126">
        <f t="array" ref="D134">IF(A134="","",IFERROR(SMALL(IF((('KG1-1'!$AD15:$IM15="غياب بدون عذر")+('KG1-1'!$AD15:$IM15="غياب بعذر"))*('KG1-1'!$AD$7:$IM$7="✓"),'KG1-1'!$AD$5:$IM$5),13),""))</f>
        <v/>
      </c>
      <c r="E134">
        <f>IF(D134="","",INDEX('KG1-1'!$AD15:$IM15,MATCH(D134,'KG1-1'!$AD$5:$IM$5,0)))</f>
        <v/>
      </c>
      <c r="F134">
        <f>IF(D134="","",COUNTIFS('KG1-1'!$AD15:$IM15,"غياب بدون عذر",'KG1-1'!$AD$7:$IM$7,"✓",'KG1-1'!$AD$5:$IM$5,"&lt;="&amp;D134))</f>
        <v/>
      </c>
      <c r="G134">
        <f>G133+IF(D134="",0,1)</f>
        <v/>
      </c>
    </row>
    <row r="135">
      <c r="A135">
        <f>IF('KG1-1'!$B15="","",'KG1-1'!$B15)</f>
        <v/>
      </c>
      <c r="B135">
        <f>IF(A135="","",'KG1-1'!$C15)</f>
        <v/>
      </c>
      <c r="C135">
        <f>IF(A135="","",'KG1-1'!$B$2)</f>
        <v/>
      </c>
      <c r="D135" s="126">
        <f t="array" ref="D135">IF(A135="","",IFERROR(SMALL(IF((('KG1-1'!$AD15:$IM15="غياب بدون عذر")+('KG1-1'!$AD15:$IM15="غياب بعذر"))*('KG1-1'!$AD$7:$IM$7="✓"),'KG1-1'!$AD$5:$IM$5),14),""))</f>
        <v/>
      </c>
      <c r="E135">
        <f>IF(D135="","",INDEX('KG1-1'!$AD15:$IM15,MATCH(D135,'KG1-1'!$AD$5:$IM$5,0)))</f>
        <v/>
      </c>
      <c r="F135">
        <f>IF(D135="","",COUNTIFS('KG1-1'!$AD15:$IM15,"غياب بدون عذر",'KG1-1'!$AD$7:$IM$7,"✓",'KG1-1'!$AD$5:$IM$5,"&lt;="&amp;D135))</f>
        <v/>
      </c>
      <c r="G135">
        <f>G134+IF(D135="",0,1)</f>
        <v/>
      </c>
    </row>
    <row r="136">
      <c r="A136">
        <f>IF('KG1-1'!$B15="","",'KG1-1'!$B15)</f>
        <v/>
      </c>
      <c r="B136">
        <f>IF(A136="","",'KG1-1'!$C15)</f>
        <v/>
      </c>
      <c r="C136">
        <f>IF(A136="","",'KG1-1'!$B$2)</f>
        <v/>
      </c>
      <c r="D136" s="126">
        <f t="array" ref="D136">IF(A136="","",IFERROR(SMALL(IF((('KG1-1'!$AD15:$IM15="غياب بدون عذر")+('KG1-1'!$AD15:$IM15="غياب بعذر"))*('KG1-1'!$AD$7:$IM$7="✓"),'KG1-1'!$AD$5:$IM$5),15),""))</f>
        <v/>
      </c>
      <c r="E136">
        <f>IF(D136="","",INDEX('KG1-1'!$AD15:$IM15,MATCH(D136,'KG1-1'!$AD$5:$IM$5,0)))</f>
        <v/>
      </c>
      <c r="F136">
        <f>IF(D136="","",COUNTIFS('KG1-1'!$AD15:$IM15,"غياب بدون عذر",'KG1-1'!$AD$7:$IM$7,"✓",'KG1-1'!$AD$5:$IM$5,"&lt;="&amp;D136))</f>
        <v/>
      </c>
      <c r="G136">
        <f>G135+IF(D136="",0,1)</f>
        <v/>
      </c>
    </row>
    <row r="137">
      <c r="A137">
        <f>IF('KG1-1'!$B15="","",'KG1-1'!$B15)</f>
        <v/>
      </c>
      <c r="B137">
        <f>IF(A137="","",'KG1-1'!$C15)</f>
        <v/>
      </c>
      <c r="C137">
        <f>IF(A137="","",'KG1-1'!$B$2)</f>
        <v/>
      </c>
      <c r="D137" s="126">
        <f t="array" ref="D137">IF(A137="","",IFERROR(SMALL(IF((('KG1-1'!$AD15:$IM15="غياب بدون عذر")+('KG1-1'!$AD15:$IM15="غياب بعذر"))*('KG1-1'!$AD$7:$IM$7="✓"),'KG1-1'!$AD$5:$IM$5),16),""))</f>
        <v/>
      </c>
      <c r="E137">
        <f>IF(D137="","",INDEX('KG1-1'!$AD15:$IM15,MATCH(D137,'KG1-1'!$AD$5:$IM$5,0)))</f>
        <v/>
      </c>
      <c r="F137">
        <f>IF(D137="","",COUNTIFS('KG1-1'!$AD15:$IM15,"غياب بدون عذر",'KG1-1'!$AD$7:$IM$7,"✓",'KG1-1'!$AD$5:$IM$5,"&lt;="&amp;D137))</f>
        <v/>
      </c>
      <c r="G137">
        <f>G136+IF(D137="",0,1)</f>
        <v/>
      </c>
    </row>
    <row r="138">
      <c r="A138">
        <f>IF('KG1-1'!$B15="","",'KG1-1'!$B15)</f>
        <v/>
      </c>
      <c r="B138">
        <f>IF(A138="","",'KG1-1'!$C15)</f>
        <v/>
      </c>
      <c r="C138">
        <f>IF(A138="","",'KG1-1'!$B$2)</f>
        <v/>
      </c>
      <c r="D138" s="126">
        <f t="array" ref="D138">IF(A138="","",IFERROR(SMALL(IF((('KG1-1'!$AD15:$IM15="غياب بدون عذر")+('KG1-1'!$AD15:$IM15="غياب بعذر"))*('KG1-1'!$AD$7:$IM$7="✓"),'KG1-1'!$AD$5:$IM$5),17),""))</f>
        <v/>
      </c>
      <c r="E138">
        <f>IF(D138="","",INDEX('KG1-1'!$AD15:$IM15,MATCH(D138,'KG1-1'!$AD$5:$IM$5,0)))</f>
        <v/>
      </c>
      <c r="F138">
        <f>IF(D138="","",COUNTIFS('KG1-1'!$AD15:$IM15,"غياب بدون عذر",'KG1-1'!$AD$7:$IM$7,"✓",'KG1-1'!$AD$5:$IM$5,"&lt;="&amp;D138))</f>
        <v/>
      </c>
      <c r="G138">
        <f>G137+IF(D138="",0,1)</f>
        <v/>
      </c>
    </row>
    <row r="139">
      <c r="A139">
        <f>IF('KG1-1'!$B15="","",'KG1-1'!$B15)</f>
        <v/>
      </c>
      <c r="B139">
        <f>IF(A139="","",'KG1-1'!$C15)</f>
        <v/>
      </c>
      <c r="C139">
        <f>IF(A139="","",'KG1-1'!$B$2)</f>
        <v/>
      </c>
      <c r="D139" s="126">
        <f t="array" ref="D139">IF(A139="","",IFERROR(SMALL(IF((('KG1-1'!$AD15:$IM15="غياب بدون عذر")+('KG1-1'!$AD15:$IM15="غياب بعذر"))*('KG1-1'!$AD$7:$IM$7="✓"),'KG1-1'!$AD$5:$IM$5),18),""))</f>
        <v/>
      </c>
      <c r="E139">
        <f>IF(D139="","",INDEX('KG1-1'!$AD15:$IM15,MATCH(D139,'KG1-1'!$AD$5:$IM$5,0)))</f>
        <v/>
      </c>
      <c r="F139">
        <f>IF(D139="","",COUNTIFS('KG1-1'!$AD15:$IM15,"غياب بدون عذر",'KG1-1'!$AD$7:$IM$7,"✓",'KG1-1'!$AD$5:$IM$5,"&lt;="&amp;D139))</f>
        <v/>
      </c>
      <c r="G139">
        <f>G138+IF(D139="",0,1)</f>
        <v/>
      </c>
    </row>
    <row r="140">
      <c r="A140">
        <f>IF('KG1-1'!$B15="","",'KG1-1'!$B15)</f>
        <v/>
      </c>
      <c r="B140">
        <f>IF(A140="","",'KG1-1'!$C15)</f>
        <v/>
      </c>
      <c r="C140">
        <f>IF(A140="","",'KG1-1'!$B$2)</f>
        <v/>
      </c>
      <c r="D140" s="126">
        <f t="array" ref="D140">IF(A140="","",IFERROR(SMALL(IF((('KG1-1'!$AD15:$IM15="غياب بدون عذر")+('KG1-1'!$AD15:$IM15="غياب بعذر"))*('KG1-1'!$AD$7:$IM$7="✓"),'KG1-1'!$AD$5:$IM$5),19),""))</f>
        <v/>
      </c>
      <c r="E140">
        <f>IF(D140="","",INDEX('KG1-1'!$AD15:$IM15,MATCH(D140,'KG1-1'!$AD$5:$IM$5,0)))</f>
        <v/>
      </c>
      <c r="F140">
        <f>IF(D140="","",COUNTIFS('KG1-1'!$AD15:$IM15,"غياب بدون عذر",'KG1-1'!$AD$7:$IM$7,"✓",'KG1-1'!$AD$5:$IM$5,"&lt;="&amp;D140))</f>
        <v/>
      </c>
      <c r="G140">
        <f>G139+IF(D140="",0,1)</f>
        <v/>
      </c>
    </row>
    <row r="141">
      <c r="A141">
        <f>IF('KG1-1'!$B15="","",'KG1-1'!$B15)</f>
        <v/>
      </c>
      <c r="B141">
        <f>IF(A141="","",'KG1-1'!$C15)</f>
        <v/>
      </c>
      <c r="C141">
        <f>IF(A141="","",'KG1-1'!$B$2)</f>
        <v/>
      </c>
      <c r="D141" s="126">
        <f t="array" ref="D141">IF(A141="","",IFERROR(SMALL(IF((('KG1-1'!$AD15:$IM15="غياب بدون عذر")+('KG1-1'!$AD15:$IM15="غياب بعذر"))*('KG1-1'!$AD$7:$IM$7="✓"),'KG1-1'!$AD$5:$IM$5),20),""))</f>
        <v/>
      </c>
      <c r="E141">
        <f>IF(D141="","",INDEX('KG1-1'!$AD15:$IM15,MATCH(D141,'KG1-1'!$AD$5:$IM$5,0)))</f>
        <v/>
      </c>
      <c r="F141">
        <f>IF(D141="","",COUNTIFS('KG1-1'!$AD15:$IM15,"غياب بدون عذر",'KG1-1'!$AD$7:$IM$7,"✓",'KG1-1'!$AD$5:$IM$5,"&lt;="&amp;D141))</f>
        <v/>
      </c>
      <c r="G141">
        <f>G140+IF(D141="",0,1)</f>
        <v/>
      </c>
    </row>
    <row r="142">
      <c r="A142">
        <f>IF('KG1-1'!$B16="","",'KG1-1'!$B16)</f>
        <v/>
      </c>
      <c r="B142">
        <f>IF(A142="","",'KG1-1'!$C16)</f>
        <v/>
      </c>
      <c r="C142">
        <f>IF(A142="","",'KG1-1'!$B$2)</f>
        <v/>
      </c>
      <c r="D142" s="126">
        <f t="array" ref="D142">IF(A142="","",IFERROR(SMALL(IF((('KG1-1'!$AD16:$IM16="غياب بدون عذر")+('KG1-1'!$AD16:$IM16="غياب بعذر"))*('KG1-1'!$AD$7:$IM$7="✓"),'KG1-1'!$AD$5:$IM$5),1),""))</f>
        <v/>
      </c>
      <c r="E142">
        <f>IF(D142="","",INDEX('KG1-1'!$AD16:$IM16,MATCH(D142,'KG1-1'!$AD$5:$IM$5,0)))</f>
        <v/>
      </c>
      <c r="F142">
        <f>IF(D142="","",COUNTIFS('KG1-1'!$AD16:$IM16,"غياب بدون عذر",'KG1-1'!$AD$7:$IM$7,"✓",'KG1-1'!$AD$5:$IM$5,"&lt;="&amp;D142))</f>
        <v/>
      </c>
      <c r="G142">
        <f>G141+IF(D142="",0,1)</f>
        <v/>
      </c>
    </row>
    <row r="143">
      <c r="A143">
        <f>IF('KG1-1'!$B16="","",'KG1-1'!$B16)</f>
        <v/>
      </c>
      <c r="B143">
        <f>IF(A143="","",'KG1-1'!$C16)</f>
        <v/>
      </c>
      <c r="C143">
        <f>IF(A143="","",'KG1-1'!$B$2)</f>
        <v/>
      </c>
      <c r="D143" s="126">
        <f t="array" ref="D143">IF(A143="","",IFERROR(SMALL(IF((('KG1-1'!$AD16:$IM16="غياب بدون عذر")+('KG1-1'!$AD16:$IM16="غياب بعذر"))*('KG1-1'!$AD$7:$IM$7="✓"),'KG1-1'!$AD$5:$IM$5),2),""))</f>
        <v/>
      </c>
      <c r="E143">
        <f>IF(D143="","",INDEX('KG1-1'!$AD16:$IM16,MATCH(D143,'KG1-1'!$AD$5:$IM$5,0)))</f>
        <v/>
      </c>
      <c r="F143">
        <f>IF(D143="","",COUNTIFS('KG1-1'!$AD16:$IM16,"غياب بدون عذر",'KG1-1'!$AD$7:$IM$7,"✓",'KG1-1'!$AD$5:$IM$5,"&lt;="&amp;D143))</f>
        <v/>
      </c>
      <c r="G143">
        <f>G142+IF(D143="",0,1)</f>
        <v/>
      </c>
    </row>
    <row r="144">
      <c r="A144">
        <f>IF('KG1-1'!$B16="","",'KG1-1'!$B16)</f>
        <v/>
      </c>
      <c r="B144">
        <f>IF(A144="","",'KG1-1'!$C16)</f>
        <v/>
      </c>
      <c r="C144">
        <f>IF(A144="","",'KG1-1'!$B$2)</f>
        <v/>
      </c>
      <c r="D144" s="126">
        <f t="array" ref="D144">IF(A144="","",IFERROR(SMALL(IF((('KG1-1'!$AD16:$IM16="غياب بدون عذر")+('KG1-1'!$AD16:$IM16="غياب بعذر"))*('KG1-1'!$AD$7:$IM$7="✓"),'KG1-1'!$AD$5:$IM$5),3),""))</f>
        <v/>
      </c>
      <c r="E144">
        <f>IF(D144="","",INDEX('KG1-1'!$AD16:$IM16,MATCH(D144,'KG1-1'!$AD$5:$IM$5,0)))</f>
        <v/>
      </c>
      <c r="F144">
        <f>IF(D144="","",COUNTIFS('KG1-1'!$AD16:$IM16,"غياب بدون عذر",'KG1-1'!$AD$7:$IM$7,"✓",'KG1-1'!$AD$5:$IM$5,"&lt;="&amp;D144))</f>
        <v/>
      </c>
      <c r="G144">
        <f>G143+IF(D144="",0,1)</f>
        <v/>
      </c>
    </row>
    <row r="145">
      <c r="A145">
        <f>IF('KG1-1'!$B16="","",'KG1-1'!$B16)</f>
        <v/>
      </c>
      <c r="B145">
        <f>IF(A145="","",'KG1-1'!$C16)</f>
        <v/>
      </c>
      <c r="C145">
        <f>IF(A145="","",'KG1-1'!$B$2)</f>
        <v/>
      </c>
      <c r="D145" s="126">
        <f t="array" ref="D145">IF(A145="","",IFERROR(SMALL(IF((('KG1-1'!$AD16:$IM16="غياب بدون عذر")+('KG1-1'!$AD16:$IM16="غياب بعذر"))*('KG1-1'!$AD$7:$IM$7="✓"),'KG1-1'!$AD$5:$IM$5),4),""))</f>
        <v/>
      </c>
      <c r="E145">
        <f>IF(D145="","",INDEX('KG1-1'!$AD16:$IM16,MATCH(D145,'KG1-1'!$AD$5:$IM$5,0)))</f>
        <v/>
      </c>
      <c r="F145">
        <f>IF(D145="","",COUNTIFS('KG1-1'!$AD16:$IM16,"غياب بدون عذر",'KG1-1'!$AD$7:$IM$7,"✓",'KG1-1'!$AD$5:$IM$5,"&lt;="&amp;D145))</f>
        <v/>
      </c>
      <c r="G145">
        <f>G144+IF(D145="",0,1)</f>
        <v/>
      </c>
    </row>
    <row r="146">
      <c r="A146">
        <f>IF('KG1-1'!$B16="","",'KG1-1'!$B16)</f>
        <v/>
      </c>
      <c r="B146">
        <f>IF(A146="","",'KG1-1'!$C16)</f>
        <v/>
      </c>
      <c r="C146">
        <f>IF(A146="","",'KG1-1'!$B$2)</f>
        <v/>
      </c>
      <c r="D146" s="126">
        <f t="array" ref="D146">IF(A146="","",IFERROR(SMALL(IF((('KG1-1'!$AD16:$IM16="غياب بدون عذر")+('KG1-1'!$AD16:$IM16="غياب بعذر"))*('KG1-1'!$AD$7:$IM$7="✓"),'KG1-1'!$AD$5:$IM$5),5),""))</f>
        <v/>
      </c>
      <c r="E146">
        <f>IF(D146="","",INDEX('KG1-1'!$AD16:$IM16,MATCH(D146,'KG1-1'!$AD$5:$IM$5,0)))</f>
        <v/>
      </c>
      <c r="F146">
        <f>IF(D146="","",COUNTIFS('KG1-1'!$AD16:$IM16,"غياب بدون عذر",'KG1-1'!$AD$7:$IM$7,"✓",'KG1-1'!$AD$5:$IM$5,"&lt;="&amp;D146))</f>
        <v/>
      </c>
      <c r="G146">
        <f>G145+IF(D146="",0,1)</f>
        <v/>
      </c>
    </row>
    <row r="147">
      <c r="A147">
        <f>IF('KG1-1'!$B16="","",'KG1-1'!$B16)</f>
        <v/>
      </c>
      <c r="B147">
        <f>IF(A147="","",'KG1-1'!$C16)</f>
        <v/>
      </c>
      <c r="C147">
        <f>IF(A147="","",'KG1-1'!$B$2)</f>
        <v/>
      </c>
      <c r="D147" s="126">
        <f t="array" ref="D147">IF(A147="","",IFERROR(SMALL(IF((('KG1-1'!$AD16:$IM16="غياب بدون عذر")+('KG1-1'!$AD16:$IM16="غياب بعذر"))*('KG1-1'!$AD$7:$IM$7="✓"),'KG1-1'!$AD$5:$IM$5),6),""))</f>
        <v/>
      </c>
      <c r="E147">
        <f>IF(D147="","",INDEX('KG1-1'!$AD16:$IM16,MATCH(D147,'KG1-1'!$AD$5:$IM$5,0)))</f>
        <v/>
      </c>
      <c r="F147">
        <f>IF(D147="","",COUNTIFS('KG1-1'!$AD16:$IM16,"غياب بدون عذر",'KG1-1'!$AD$7:$IM$7,"✓",'KG1-1'!$AD$5:$IM$5,"&lt;="&amp;D147))</f>
        <v/>
      </c>
      <c r="G147">
        <f>G146+IF(D147="",0,1)</f>
        <v/>
      </c>
    </row>
    <row r="148">
      <c r="A148">
        <f>IF('KG1-1'!$B16="","",'KG1-1'!$B16)</f>
        <v/>
      </c>
      <c r="B148">
        <f>IF(A148="","",'KG1-1'!$C16)</f>
        <v/>
      </c>
      <c r="C148">
        <f>IF(A148="","",'KG1-1'!$B$2)</f>
        <v/>
      </c>
      <c r="D148" s="126">
        <f t="array" ref="D148">IF(A148="","",IFERROR(SMALL(IF((('KG1-1'!$AD16:$IM16="غياب بدون عذر")+('KG1-1'!$AD16:$IM16="غياب بعذر"))*('KG1-1'!$AD$7:$IM$7="✓"),'KG1-1'!$AD$5:$IM$5),7),""))</f>
        <v/>
      </c>
      <c r="E148">
        <f>IF(D148="","",INDEX('KG1-1'!$AD16:$IM16,MATCH(D148,'KG1-1'!$AD$5:$IM$5,0)))</f>
        <v/>
      </c>
      <c r="F148">
        <f>IF(D148="","",COUNTIFS('KG1-1'!$AD16:$IM16,"غياب بدون عذر",'KG1-1'!$AD$7:$IM$7,"✓",'KG1-1'!$AD$5:$IM$5,"&lt;="&amp;D148))</f>
        <v/>
      </c>
      <c r="G148">
        <f>G147+IF(D148="",0,1)</f>
        <v/>
      </c>
    </row>
    <row r="149">
      <c r="A149">
        <f>IF('KG1-1'!$B16="","",'KG1-1'!$B16)</f>
        <v/>
      </c>
      <c r="B149">
        <f>IF(A149="","",'KG1-1'!$C16)</f>
        <v/>
      </c>
      <c r="C149">
        <f>IF(A149="","",'KG1-1'!$B$2)</f>
        <v/>
      </c>
      <c r="D149" s="126">
        <f t="array" ref="D149">IF(A149="","",IFERROR(SMALL(IF((('KG1-1'!$AD16:$IM16="غياب بدون عذر")+('KG1-1'!$AD16:$IM16="غياب بعذر"))*('KG1-1'!$AD$7:$IM$7="✓"),'KG1-1'!$AD$5:$IM$5),8),""))</f>
        <v/>
      </c>
      <c r="E149">
        <f>IF(D149="","",INDEX('KG1-1'!$AD16:$IM16,MATCH(D149,'KG1-1'!$AD$5:$IM$5,0)))</f>
        <v/>
      </c>
      <c r="F149">
        <f>IF(D149="","",COUNTIFS('KG1-1'!$AD16:$IM16,"غياب بدون عذر",'KG1-1'!$AD$7:$IM$7,"✓",'KG1-1'!$AD$5:$IM$5,"&lt;="&amp;D149))</f>
        <v/>
      </c>
      <c r="G149">
        <f>G148+IF(D149="",0,1)</f>
        <v/>
      </c>
    </row>
    <row r="150">
      <c r="A150">
        <f>IF('KG1-1'!$B16="","",'KG1-1'!$B16)</f>
        <v/>
      </c>
      <c r="B150">
        <f>IF(A150="","",'KG1-1'!$C16)</f>
        <v/>
      </c>
      <c r="C150">
        <f>IF(A150="","",'KG1-1'!$B$2)</f>
        <v/>
      </c>
      <c r="D150" s="126">
        <f t="array" ref="D150">IF(A150="","",IFERROR(SMALL(IF((('KG1-1'!$AD16:$IM16="غياب بدون عذر")+('KG1-1'!$AD16:$IM16="غياب بعذر"))*('KG1-1'!$AD$7:$IM$7="✓"),'KG1-1'!$AD$5:$IM$5),9),""))</f>
        <v/>
      </c>
      <c r="E150">
        <f>IF(D150="","",INDEX('KG1-1'!$AD16:$IM16,MATCH(D150,'KG1-1'!$AD$5:$IM$5,0)))</f>
        <v/>
      </c>
      <c r="F150">
        <f>IF(D150="","",COUNTIFS('KG1-1'!$AD16:$IM16,"غياب بدون عذر",'KG1-1'!$AD$7:$IM$7,"✓",'KG1-1'!$AD$5:$IM$5,"&lt;="&amp;D150))</f>
        <v/>
      </c>
      <c r="G150">
        <f>G149+IF(D150="",0,1)</f>
        <v/>
      </c>
    </row>
    <row r="151">
      <c r="A151">
        <f>IF('KG1-1'!$B16="","",'KG1-1'!$B16)</f>
        <v/>
      </c>
      <c r="B151">
        <f>IF(A151="","",'KG1-1'!$C16)</f>
        <v/>
      </c>
      <c r="C151">
        <f>IF(A151="","",'KG1-1'!$B$2)</f>
        <v/>
      </c>
      <c r="D151" s="126">
        <f t="array" ref="D151">IF(A151="","",IFERROR(SMALL(IF((('KG1-1'!$AD16:$IM16="غياب بدون عذر")+('KG1-1'!$AD16:$IM16="غياب بعذر"))*('KG1-1'!$AD$7:$IM$7="✓"),'KG1-1'!$AD$5:$IM$5),10),""))</f>
        <v/>
      </c>
      <c r="E151">
        <f>IF(D151="","",INDEX('KG1-1'!$AD16:$IM16,MATCH(D151,'KG1-1'!$AD$5:$IM$5,0)))</f>
        <v/>
      </c>
      <c r="F151">
        <f>IF(D151="","",COUNTIFS('KG1-1'!$AD16:$IM16,"غياب بدون عذر",'KG1-1'!$AD$7:$IM$7,"✓",'KG1-1'!$AD$5:$IM$5,"&lt;="&amp;D151))</f>
        <v/>
      </c>
      <c r="G151">
        <f>G150+IF(D151="",0,1)</f>
        <v/>
      </c>
    </row>
    <row r="152">
      <c r="A152">
        <f>IF('KG1-1'!$B16="","",'KG1-1'!$B16)</f>
        <v/>
      </c>
      <c r="B152">
        <f>IF(A152="","",'KG1-1'!$C16)</f>
        <v/>
      </c>
      <c r="C152">
        <f>IF(A152="","",'KG1-1'!$B$2)</f>
        <v/>
      </c>
      <c r="D152" s="126">
        <f t="array" ref="D152">IF(A152="","",IFERROR(SMALL(IF((('KG1-1'!$AD16:$IM16="غياب بدون عذر")+('KG1-1'!$AD16:$IM16="غياب بعذر"))*('KG1-1'!$AD$7:$IM$7="✓"),'KG1-1'!$AD$5:$IM$5),11),""))</f>
        <v/>
      </c>
      <c r="E152">
        <f>IF(D152="","",INDEX('KG1-1'!$AD16:$IM16,MATCH(D152,'KG1-1'!$AD$5:$IM$5,0)))</f>
        <v/>
      </c>
      <c r="F152">
        <f>IF(D152="","",COUNTIFS('KG1-1'!$AD16:$IM16,"غياب بدون عذر",'KG1-1'!$AD$7:$IM$7,"✓",'KG1-1'!$AD$5:$IM$5,"&lt;="&amp;D152))</f>
        <v/>
      </c>
      <c r="G152">
        <f>G151+IF(D152="",0,1)</f>
        <v/>
      </c>
    </row>
    <row r="153">
      <c r="A153">
        <f>IF('KG1-1'!$B16="","",'KG1-1'!$B16)</f>
        <v/>
      </c>
      <c r="B153">
        <f>IF(A153="","",'KG1-1'!$C16)</f>
        <v/>
      </c>
      <c r="C153">
        <f>IF(A153="","",'KG1-1'!$B$2)</f>
        <v/>
      </c>
      <c r="D153" s="126">
        <f t="array" ref="D153">IF(A153="","",IFERROR(SMALL(IF((('KG1-1'!$AD16:$IM16="غياب بدون عذر")+('KG1-1'!$AD16:$IM16="غياب بعذر"))*('KG1-1'!$AD$7:$IM$7="✓"),'KG1-1'!$AD$5:$IM$5),12),""))</f>
        <v/>
      </c>
      <c r="E153">
        <f>IF(D153="","",INDEX('KG1-1'!$AD16:$IM16,MATCH(D153,'KG1-1'!$AD$5:$IM$5,0)))</f>
        <v/>
      </c>
      <c r="F153">
        <f>IF(D153="","",COUNTIFS('KG1-1'!$AD16:$IM16,"غياب بدون عذر",'KG1-1'!$AD$7:$IM$7,"✓",'KG1-1'!$AD$5:$IM$5,"&lt;="&amp;D153))</f>
        <v/>
      </c>
      <c r="G153">
        <f>G152+IF(D153="",0,1)</f>
        <v/>
      </c>
    </row>
    <row r="154">
      <c r="A154">
        <f>IF('KG1-1'!$B16="","",'KG1-1'!$B16)</f>
        <v/>
      </c>
      <c r="B154">
        <f>IF(A154="","",'KG1-1'!$C16)</f>
        <v/>
      </c>
      <c r="C154">
        <f>IF(A154="","",'KG1-1'!$B$2)</f>
        <v/>
      </c>
      <c r="D154" s="126">
        <f t="array" ref="D154">IF(A154="","",IFERROR(SMALL(IF((('KG1-1'!$AD16:$IM16="غياب بدون عذر")+('KG1-1'!$AD16:$IM16="غياب بعذر"))*('KG1-1'!$AD$7:$IM$7="✓"),'KG1-1'!$AD$5:$IM$5),13),""))</f>
        <v/>
      </c>
      <c r="E154">
        <f>IF(D154="","",INDEX('KG1-1'!$AD16:$IM16,MATCH(D154,'KG1-1'!$AD$5:$IM$5,0)))</f>
        <v/>
      </c>
      <c r="F154">
        <f>IF(D154="","",COUNTIFS('KG1-1'!$AD16:$IM16,"غياب بدون عذر",'KG1-1'!$AD$7:$IM$7,"✓",'KG1-1'!$AD$5:$IM$5,"&lt;="&amp;D154))</f>
        <v/>
      </c>
      <c r="G154">
        <f>G153+IF(D154="",0,1)</f>
        <v/>
      </c>
    </row>
    <row r="155">
      <c r="A155">
        <f>IF('KG1-1'!$B16="","",'KG1-1'!$B16)</f>
        <v/>
      </c>
      <c r="B155">
        <f>IF(A155="","",'KG1-1'!$C16)</f>
        <v/>
      </c>
      <c r="C155">
        <f>IF(A155="","",'KG1-1'!$B$2)</f>
        <v/>
      </c>
      <c r="D155" s="126">
        <f t="array" ref="D155">IF(A155="","",IFERROR(SMALL(IF((('KG1-1'!$AD16:$IM16="غياب بدون عذر")+('KG1-1'!$AD16:$IM16="غياب بعذر"))*('KG1-1'!$AD$7:$IM$7="✓"),'KG1-1'!$AD$5:$IM$5),14),""))</f>
        <v/>
      </c>
      <c r="E155">
        <f>IF(D155="","",INDEX('KG1-1'!$AD16:$IM16,MATCH(D155,'KG1-1'!$AD$5:$IM$5,0)))</f>
        <v/>
      </c>
      <c r="F155">
        <f>IF(D155="","",COUNTIFS('KG1-1'!$AD16:$IM16,"غياب بدون عذر",'KG1-1'!$AD$7:$IM$7,"✓",'KG1-1'!$AD$5:$IM$5,"&lt;="&amp;D155))</f>
        <v/>
      </c>
      <c r="G155">
        <f>G154+IF(D155="",0,1)</f>
        <v/>
      </c>
    </row>
    <row r="156">
      <c r="A156">
        <f>IF('KG1-1'!$B16="","",'KG1-1'!$B16)</f>
        <v/>
      </c>
      <c r="B156">
        <f>IF(A156="","",'KG1-1'!$C16)</f>
        <v/>
      </c>
      <c r="C156">
        <f>IF(A156="","",'KG1-1'!$B$2)</f>
        <v/>
      </c>
      <c r="D156" s="126">
        <f t="array" ref="D156">IF(A156="","",IFERROR(SMALL(IF((('KG1-1'!$AD16:$IM16="غياب بدون عذر")+('KG1-1'!$AD16:$IM16="غياب بعذر"))*('KG1-1'!$AD$7:$IM$7="✓"),'KG1-1'!$AD$5:$IM$5),15),""))</f>
        <v/>
      </c>
      <c r="E156">
        <f>IF(D156="","",INDEX('KG1-1'!$AD16:$IM16,MATCH(D156,'KG1-1'!$AD$5:$IM$5,0)))</f>
        <v/>
      </c>
      <c r="F156">
        <f>IF(D156="","",COUNTIFS('KG1-1'!$AD16:$IM16,"غياب بدون عذر",'KG1-1'!$AD$7:$IM$7,"✓",'KG1-1'!$AD$5:$IM$5,"&lt;="&amp;D156))</f>
        <v/>
      </c>
      <c r="G156">
        <f>G155+IF(D156="",0,1)</f>
        <v/>
      </c>
    </row>
    <row r="157">
      <c r="A157">
        <f>IF('KG1-1'!$B16="","",'KG1-1'!$B16)</f>
        <v/>
      </c>
      <c r="B157">
        <f>IF(A157="","",'KG1-1'!$C16)</f>
        <v/>
      </c>
      <c r="C157">
        <f>IF(A157="","",'KG1-1'!$B$2)</f>
        <v/>
      </c>
      <c r="D157" s="126">
        <f t="array" ref="D157">IF(A157="","",IFERROR(SMALL(IF((('KG1-1'!$AD16:$IM16="غياب بدون عذر")+('KG1-1'!$AD16:$IM16="غياب بعذر"))*('KG1-1'!$AD$7:$IM$7="✓"),'KG1-1'!$AD$5:$IM$5),16),""))</f>
        <v/>
      </c>
      <c r="E157">
        <f>IF(D157="","",INDEX('KG1-1'!$AD16:$IM16,MATCH(D157,'KG1-1'!$AD$5:$IM$5,0)))</f>
        <v/>
      </c>
      <c r="F157">
        <f>IF(D157="","",COUNTIFS('KG1-1'!$AD16:$IM16,"غياب بدون عذر",'KG1-1'!$AD$7:$IM$7,"✓",'KG1-1'!$AD$5:$IM$5,"&lt;="&amp;D157))</f>
        <v/>
      </c>
      <c r="G157">
        <f>G156+IF(D157="",0,1)</f>
        <v/>
      </c>
    </row>
    <row r="158">
      <c r="A158">
        <f>IF('KG1-1'!$B16="","",'KG1-1'!$B16)</f>
        <v/>
      </c>
      <c r="B158">
        <f>IF(A158="","",'KG1-1'!$C16)</f>
        <v/>
      </c>
      <c r="C158">
        <f>IF(A158="","",'KG1-1'!$B$2)</f>
        <v/>
      </c>
      <c r="D158" s="126">
        <f t="array" ref="D158">IF(A158="","",IFERROR(SMALL(IF((('KG1-1'!$AD16:$IM16="غياب بدون عذر")+('KG1-1'!$AD16:$IM16="غياب بعذر"))*('KG1-1'!$AD$7:$IM$7="✓"),'KG1-1'!$AD$5:$IM$5),17),""))</f>
        <v/>
      </c>
      <c r="E158">
        <f>IF(D158="","",INDEX('KG1-1'!$AD16:$IM16,MATCH(D158,'KG1-1'!$AD$5:$IM$5,0)))</f>
        <v/>
      </c>
      <c r="F158">
        <f>IF(D158="","",COUNTIFS('KG1-1'!$AD16:$IM16,"غياب بدون عذر",'KG1-1'!$AD$7:$IM$7,"✓",'KG1-1'!$AD$5:$IM$5,"&lt;="&amp;D158))</f>
        <v/>
      </c>
      <c r="G158">
        <f>G157+IF(D158="",0,1)</f>
        <v/>
      </c>
    </row>
    <row r="159">
      <c r="A159">
        <f>IF('KG1-1'!$B16="","",'KG1-1'!$B16)</f>
        <v/>
      </c>
      <c r="B159">
        <f>IF(A159="","",'KG1-1'!$C16)</f>
        <v/>
      </c>
      <c r="C159">
        <f>IF(A159="","",'KG1-1'!$B$2)</f>
        <v/>
      </c>
      <c r="D159" s="126">
        <f t="array" ref="D159">IF(A159="","",IFERROR(SMALL(IF((('KG1-1'!$AD16:$IM16="غياب بدون عذر")+('KG1-1'!$AD16:$IM16="غياب بعذر"))*('KG1-1'!$AD$7:$IM$7="✓"),'KG1-1'!$AD$5:$IM$5),18),""))</f>
        <v/>
      </c>
      <c r="E159">
        <f>IF(D159="","",INDEX('KG1-1'!$AD16:$IM16,MATCH(D159,'KG1-1'!$AD$5:$IM$5,0)))</f>
        <v/>
      </c>
      <c r="F159">
        <f>IF(D159="","",COUNTIFS('KG1-1'!$AD16:$IM16,"غياب بدون عذر",'KG1-1'!$AD$7:$IM$7,"✓",'KG1-1'!$AD$5:$IM$5,"&lt;="&amp;D159))</f>
        <v/>
      </c>
      <c r="G159">
        <f>G158+IF(D159="",0,1)</f>
        <v/>
      </c>
    </row>
    <row r="160">
      <c r="A160">
        <f>IF('KG1-1'!$B16="","",'KG1-1'!$B16)</f>
        <v/>
      </c>
      <c r="B160">
        <f>IF(A160="","",'KG1-1'!$C16)</f>
        <v/>
      </c>
      <c r="C160">
        <f>IF(A160="","",'KG1-1'!$B$2)</f>
        <v/>
      </c>
      <c r="D160" s="126">
        <f t="array" ref="D160">IF(A160="","",IFERROR(SMALL(IF((('KG1-1'!$AD16:$IM16="غياب بدون عذر")+('KG1-1'!$AD16:$IM16="غياب بعذر"))*('KG1-1'!$AD$7:$IM$7="✓"),'KG1-1'!$AD$5:$IM$5),19),""))</f>
        <v/>
      </c>
      <c r="E160">
        <f>IF(D160="","",INDEX('KG1-1'!$AD16:$IM16,MATCH(D160,'KG1-1'!$AD$5:$IM$5,0)))</f>
        <v/>
      </c>
      <c r="F160">
        <f>IF(D160="","",COUNTIFS('KG1-1'!$AD16:$IM16,"غياب بدون عذر",'KG1-1'!$AD$7:$IM$7,"✓",'KG1-1'!$AD$5:$IM$5,"&lt;="&amp;D160))</f>
        <v/>
      </c>
      <c r="G160">
        <f>G159+IF(D160="",0,1)</f>
        <v/>
      </c>
    </row>
    <row r="161">
      <c r="A161">
        <f>IF('KG1-1'!$B16="","",'KG1-1'!$B16)</f>
        <v/>
      </c>
      <c r="B161">
        <f>IF(A161="","",'KG1-1'!$C16)</f>
        <v/>
      </c>
      <c r="C161">
        <f>IF(A161="","",'KG1-1'!$B$2)</f>
        <v/>
      </c>
      <c r="D161" s="126">
        <f t="array" ref="D161">IF(A161="","",IFERROR(SMALL(IF((('KG1-1'!$AD16:$IM16="غياب بدون عذر")+('KG1-1'!$AD16:$IM16="غياب بعذر"))*('KG1-1'!$AD$7:$IM$7="✓"),'KG1-1'!$AD$5:$IM$5),20),""))</f>
        <v/>
      </c>
      <c r="E161">
        <f>IF(D161="","",INDEX('KG1-1'!$AD16:$IM16,MATCH(D161,'KG1-1'!$AD$5:$IM$5,0)))</f>
        <v/>
      </c>
      <c r="F161">
        <f>IF(D161="","",COUNTIFS('KG1-1'!$AD16:$IM16,"غياب بدون عذر",'KG1-1'!$AD$7:$IM$7,"✓",'KG1-1'!$AD$5:$IM$5,"&lt;="&amp;D161))</f>
        <v/>
      </c>
      <c r="G161">
        <f>G160+IF(D161="",0,1)</f>
        <v/>
      </c>
    </row>
    <row r="162">
      <c r="A162">
        <f>IF('KG1-1'!$B17="","",'KG1-1'!$B17)</f>
        <v/>
      </c>
      <c r="B162">
        <f>IF(A162="","",'KG1-1'!$C17)</f>
        <v/>
      </c>
      <c r="C162">
        <f>IF(A162="","",'KG1-1'!$B$2)</f>
        <v/>
      </c>
      <c r="D162" s="126">
        <f t="array" ref="D162">IF(A162="","",IFERROR(SMALL(IF((('KG1-1'!$AD17:$IM17="غياب بدون عذر")+('KG1-1'!$AD17:$IM17="غياب بعذر"))*('KG1-1'!$AD$7:$IM$7="✓"),'KG1-1'!$AD$5:$IM$5),1),""))</f>
        <v/>
      </c>
      <c r="E162">
        <f>IF(D162="","",INDEX('KG1-1'!$AD17:$IM17,MATCH(D162,'KG1-1'!$AD$5:$IM$5,0)))</f>
        <v/>
      </c>
      <c r="F162">
        <f>IF(D162="","",COUNTIFS('KG1-1'!$AD17:$IM17,"غياب بدون عذر",'KG1-1'!$AD$7:$IM$7,"✓",'KG1-1'!$AD$5:$IM$5,"&lt;="&amp;D162))</f>
        <v/>
      </c>
      <c r="G162">
        <f>G161+IF(D162="",0,1)</f>
        <v/>
      </c>
    </row>
    <row r="163">
      <c r="A163">
        <f>IF('KG1-1'!$B17="","",'KG1-1'!$B17)</f>
        <v/>
      </c>
      <c r="B163">
        <f>IF(A163="","",'KG1-1'!$C17)</f>
        <v/>
      </c>
      <c r="C163">
        <f>IF(A163="","",'KG1-1'!$B$2)</f>
        <v/>
      </c>
      <c r="D163" s="126">
        <f t="array" ref="D163">IF(A163="","",IFERROR(SMALL(IF((('KG1-1'!$AD17:$IM17="غياب بدون عذر")+('KG1-1'!$AD17:$IM17="غياب بعذر"))*('KG1-1'!$AD$7:$IM$7="✓"),'KG1-1'!$AD$5:$IM$5),2),""))</f>
        <v/>
      </c>
      <c r="E163">
        <f>IF(D163="","",INDEX('KG1-1'!$AD17:$IM17,MATCH(D163,'KG1-1'!$AD$5:$IM$5,0)))</f>
        <v/>
      </c>
      <c r="F163">
        <f>IF(D163="","",COUNTIFS('KG1-1'!$AD17:$IM17,"غياب بدون عذر",'KG1-1'!$AD$7:$IM$7,"✓",'KG1-1'!$AD$5:$IM$5,"&lt;="&amp;D163))</f>
        <v/>
      </c>
      <c r="G163">
        <f>G162+IF(D163="",0,1)</f>
        <v/>
      </c>
    </row>
    <row r="164">
      <c r="A164">
        <f>IF('KG1-1'!$B17="","",'KG1-1'!$B17)</f>
        <v/>
      </c>
      <c r="B164">
        <f>IF(A164="","",'KG1-1'!$C17)</f>
        <v/>
      </c>
      <c r="C164">
        <f>IF(A164="","",'KG1-1'!$B$2)</f>
        <v/>
      </c>
      <c r="D164" s="126">
        <f t="array" ref="D164">IF(A164="","",IFERROR(SMALL(IF((('KG1-1'!$AD17:$IM17="غياب بدون عذر")+('KG1-1'!$AD17:$IM17="غياب بعذر"))*('KG1-1'!$AD$7:$IM$7="✓"),'KG1-1'!$AD$5:$IM$5),3),""))</f>
        <v/>
      </c>
      <c r="E164">
        <f>IF(D164="","",INDEX('KG1-1'!$AD17:$IM17,MATCH(D164,'KG1-1'!$AD$5:$IM$5,0)))</f>
        <v/>
      </c>
      <c r="F164">
        <f>IF(D164="","",COUNTIFS('KG1-1'!$AD17:$IM17,"غياب بدون عذر",'KG1-1'!$AD$7:$IM$7,"✓",'KG1-1'!$AD$5:$IM$5,"&lt;="&amp;D164))</f>
        <v/>
      </c>
      <c r="G164">
        <f>G163+IF(D164="",0,1)</f>
        <v/>
      </c>
    </row>
    <row r="165">
      <c r="A165">
        <f>IF('KG1-1'!$B17="","",'KG1-1'!$B17)</f>
        <v/>
      </c>
      <c r="B165">
        <f>IF(A165="","",'KG1-1'!$C17)</f>
        <v/>
      </c>
      <c r="C165">
        <f>IF(A165="","",'KG1-1'!$B$2)</f>
        <v/>
      </c>
      <c r="D165" s="126">
        <f t="array" ref="D165">IF(A165="","",IFERROR(SMALL(IF((('KG1-1'!$AD17:$IM17="غياب بدون عذر")+('KG1-1'!$AD17:$IM17="غياب بعذر"))*('KG1-1'!$AD$7:$IM$7="✓"),'KG1-1'!$AD$5:$IM$5),4),""))</f>
        <v/>
      </c>
      <c r="E165">
        <f>IF(D165="","",INDEX('KG1-1'!$AD17:$IM17,MATCH(D165,'KG1-1'!$AD$5:$IM$5,0)))</f>
        <v/>
      </c>
      <c r="F165">
        <f>IF(D165="","",COUNTIFS('KG1-1'!$AD17:$IM17,"غياب بدون عذر",'KG1-1'!$AD$7:$IM$7,"✓",'KG1-1'!$AD$5:$IM$5,"&lt;="&amp;D165))</f>
        <v/>
      </c>
      <c r="G165">
        <f>G164+IF(D165="",0,1)</f>
        <v/>
      </c>
    </row>
    <row r="166">
      <c r="A166">
        <f>IF('KG1-1'!$B17="","",'KG1-1'!$B17)</f>
        <v/>
      </c>
      <c r="B166">
        <f>IF(A166="","",'KG1-1'!$C17)</f>
        <v/>
      </c>
      <c r="C166">
        <f>IF(A166="","",'KG1-1'!$B$2)</f>
        <v/>
      </c>
      <c r="D166" s="126">
        <f t="array" ref="D166">IF(A166="","",IFERROR(SMALL(IF((('KG1-1'!$AD17:$IM17="غياب بدون عذر")+('KG1-1'!$AD17:$IM17="غياب بعذر"))*('KG1-1'!$AD$7:$IM$7="✓"),'KG1-1'!$AD$5:$IM$5),5),""))</f>
        <v/>
      </c>
      <c r="E166">
        <f>IF(D166="","",INDEX('KG1-1'!$AD17:$IM17,MATCH(D166,'KG1-1'!$AD$5:$IM$5,0)))</f>
        <v/>
      </c>
      <c r="F166">
        <f>IF(D166="","",COUNTIFS('KG1-1'!$AD17:$IM17,"غياب بدون عذر",'KG1-1'!$AD$7:$IM$7,"✓",'KG1-1'!$AD$5:$IM$5,"&lt;="&amp;D166))</f>
        <v/>
      </c>
      <c r="G166">
        <f>G165+IF(D166="",0,1)</f>
        <v/>
      </c>
    </row>
    <row r="167">
      <c r="A167">
        <f>IF('KG1-1'!$B17="","",'KG1-1'!$B17)</f>
        <v/>
      </c>
      <c r="B167">
        <f>IF(A167="","",'KG1-1'!$C17)</f>
        <v/>
      </c>
      <c r="C167">
        <f>IF(A167="","",'KG1-1'!$B$2)</f>
        <v/>
      </c>
      <c r="D167" s="126">
        <f t="array" ref="D167">IF(A167="","",IFERROR(SMALL(IF((('KG1-1'!$AD17:$IM17="غياب بدون عذر")+('KG1-1'!$AD17:$IM17="غياب بعذر"))*('KG1-1'!$AD$7:$IM$7="✓"),'KG1-1'!$AD$5:$IM$5),6),""))</f>
        <v/>
      </c>
      <c r="E167">
        <f>IF(D167="","",INDEX('KG1-1'!$AD17:$IM17,MATCH(D167,'KG1-1'!$AD$5:$IM$5,0)))</f>
        <v/>
      </c>
      <c r="F167">
        <f>IF(D167="","",COUNTIFS('KG1-1'!$AD17:$IM17,"غياب بدون عذر",'KG1-1'!$AD$7:$IM$7,"✓",'KG1-1'!$AD$5:$IM$5,"&lt;="&amp;D167))</f>
        <v/>
      </c>
      <c r="G167">
        <f>G166+IF(D167="",0,1)</f>
        <v/>
      </c>
    </row>
    <row r="168">
      <c r="A168">
        <f>IF('KG1-1'!$B17="","",'KG1-1'!$B17)</f>
        <v/>
      </c>
      <c r="B168">
        <f>IF(A168="","",'KG1-1'!$C17)</f>
        <v/>
      </c>
      <c r="C168">
        <f>IF(A168="","",'KG1-1'!$B$2)</f>
        <v/>
      </c>
      <c r="D168" s="126">
        <f t="array" ref="D168">IF(A168="","",IFERROR(SMALL(IF((('KG1-1'!$AD17:$IM17="غياب بدون عذر")+('KG1-1'!$AD17:$IM17="غياب بعذر"))*('KG1-1'!$AD$7:$IM$7="✓"),'KG1-1'!$AD$5:$IM$5),7),""))</f>
        <v/>
      </c>
      <c r="E168">
        <f>IF(D168="","",INDEX('KG1-1'!$AD17:$IM17,MATCH(D168,'KG1-1'!$AD$5:$IM$5,0)))</f>
        <v/>
      </c>
      <c r="F168">
        <f>IF(D168="","",COUNTIFS('KG1-1'!$AD17:$IM17,"غياب بدون عذر",'KG1-1'!$AD$7:$IM$7,"✓",'KG1-1'!$AD$5:$IM$5,"&lt;="&amp;D168))</f>
        <v/>
      </c>
      <c r="G168">
        <f>G167+IF(D168="",0,1)</f>
        <v/>
      </c>
    </row>
    <row r="169">
      <c r="A169">
        <f>IF('KG1-1'!$B17="","",'KG1-1'!$B17)</f>
        <v/>
      </c>
      <c r="B169">
        <f>IF(A169="","",'KG1-1'!$C17)</f>
        <v/>
      </c>
      <c r="C169">
        <f>IF(A169="","",'KG1-1'!$B$2)</f>
        <v/>
      </c>
      <c r="D169" s="126">
        <f t="array" ref="D169">IF(A169="","",IFERROR(SMALL(IF((('KG1-1'!$AD17:$IM17="غياب بدون عذر")+('KG1-1'!$AD17:$IM17="غياب بعذر"))*('KG1-1'!$AD$7:$IM$7="✓"),'KG1-1'!$AD$5:$IM$5),8),""))</f>
        <v/>
      </c>
      <c r="E169">
        <f>IF(D169="","",INDEX('KG1-1'!$AD17:$IM17,MATCH(D169,'KG1-1'!$AD$5:$IM$5,0)))</f>
        <v/>
      </c>
      <c r="F169">
        <f>IF(D169="","",COUNTIFS('KG1-1'!$AD17:$IM17,"غياب بدون عذر",'KG1-1'!$AD$7:$IM$7,"✓",'KG1-1'!$AD$5:$IM$5,"&lt;="&amp;D169))</f>
        <v/>
      </c>
      <c r="G169">
        <f>G168+IF(D169="",0,1)</f>
        <v/>
      </c>
    </row>
    <row r="170">
      <c r="A170">
        <f>IF('KG1-1'!$B17="","",'KG1-1'!$B17)</f>
        <v/>
      </c>
      <c r="B170">
        <f>IF(A170="","",'KG1-1'!$C17)</f>
        <v/>
      </c>
      <c r="C170">
        <f>IF(A170="","",'KG1-1'!$B$2)</f>
        <v/>
      </c>
      <c r="D170" s="126">
        <f t="array" ref="D170">IF(A170="","",IFERROR(SMALL(IF((('KG1-1'!$AD17:$IM17="غياب بدون عذر")+('KG1-1'!$AD17:$IM17="غياب بعذر"))*('KG1-1'!$AD$7:$IM$7="✓"),'KG1-1'!$AD$5:$IM$5),9),""))</f>
        <v/>
      </c>
      <c r="E170">
        <f>IF(D170="","",INDEX('KG1-1'!$AD17:$IM17,MATCH(D170,'KG1-1'!$AD$5:$IM$5,0)))</f>
        <v/>
      </c>
      <c r="F170">
        <f>IF(D170="","",COUNTIFS('KG1-1'!$AD17:$IM17,"غياب بدون عذر",'KG1-1'!$AD$7:$IM$7,"✓",'KG1-1'!$AD$5:$IM$5,"&lt;="&amp;D170))</f>
        <v/>
      </c>
      <c r="G170">
        <f>G169+IF(D170="",0,1)</f>
        <v/>
      </c>
    </row>
    <row r="171">
      <c r="A171">
        <f>IF('KG1-1'!$B17="","",'KG1-1'!$B17)</f>
        <v/>
      </c>
      <c r="B171">
        <f>IF(A171="","",'KG1-1'!$C17)</f>
        <v/>
      </c>
      <c r="C171">
        <f>IF(A171="","",'KG1-1'!$B$2)</f>
        <v/>
      </c>
      <c r="D171" s="126">
        <f t="array" ref="D171">IF(A171="","",IFERROR(SMALL(IF((('KG1-1'!$AD17:$IM17="غياب بدون عذر")+('KG1-1'!$AD17:$IM17="غياب بعذر"))*('KG1-1'!$AD$7:$IM$7="✓"),'KG1-1'!$AD$5:$IM$5),10),""))</f>
        <v/>
      </c>
      <c r="E171">
        <f>IF(D171="","",INDEX('KG1-1'!$AD17:$IM17,MATCH(D171,'KG1-1'!$AD$5:$IM$5,0)))</f>
        <v/>
      </c>
      <c r="F171">
        <f>IF(D171="","",COUNTIFS('KG1-1'!$AD17:$IM17,"غياب بدون عذر",'KG1-1'!$AD$7:$IM$7,"✓",'KG1-1'!$AD$5:$IM$5,"&lt;="&amp;D171))</f>
        <v/>
      </c>
      <c r="G171">
        <f>G170+IF(D171="",0,1)</f>
        <v/>
      </c>
    </row>
    <row r="172">
      <c r="A172">
        <f>IF('KG1-1'!$B17="","",'KG1-1'!$B17)</f>
        <v/>
      </c>
      <c r="B172">
        <f>IF(A172="","",'KG1-1'!$C17)</f>
        <v/>
      </c>
      <c r="C172">
        <f>IF(A172="","",'KG1-1'!$B$2)</f>
        <v/>
      </c>
      <c r="D172" s="126">
        <f t="array" ref="D172">IF(A172="","",IFERROR(SMALL(IF((('KG1-1'!$AD17:$IM17="غياب بدون عذر")+('KG1-1'!$AD17:$IM17="غياب بعذر"))*('KG1-1'!$AD$7:$IM$7="✓"),'KG1-1'!$AD$5:$IM$5),11),""))</f>
        <v/>
      </c>
      <c r="E172">
        <f>IF(D172="","",INDEX('KG1-1'!$AD17:$IM17,MATCH(D172,'KG1-1'!$AD$5:$IM$5,0)))</f>
        <v/>
      </c>
      <c r="F172">
        <f>IF(D172="","",COUNTIFS('KG1-1'!$AD17:$IM17,"غياب بدون عذر",'KG1-1'!$AD$7:$IM$7,"✓",'KG1-1'!$AD$5:$IM$5,"&lt;="&amp;D172))</f>
        <v/>
      </c>
      <c r="G172">
        <f>G171+IF(D172="",0,1)</f>
        <v/>
      </c>
    </row>
    <row r="173">
      <c r="A173">
        <f>IF('KG1-1'!$B17="","",'KG1-1'!$B17)</f>
        <v/>
      </c>
      <c r="B173">
        <f>IF(A173="","",'KG1-1'!$C17)</f>
        <v/>
      </c>
      <c r="C173">
        <f>IF(A173="","",'KG1-1'!$B$2)</f>
        <v/>
      </c>
      <c r="D173" s="126">
        <f t="array" ref="D173">IF(A173="","",IFERROR(SMALL(IF((('KG1-1'!$AD17:$IM17="غياب بدون عذر")+('KG1-1'!$AD17:$IM17="غياب بعذر"))*('KG1-1'!$AD$7:$IM$7="✓"),'KG1-1'!$AD$5:$IM$5),12),""))</f>
        <v/>
      </c>
      <c r="E173">
        <f>IF(D173="","",INDEX('KG1-1'!$AD17:$IM17,MATCH(D173,'KG1-1'!$AD$5:$IM$5,0)))</f>
        <v/>
      </c>
      <c r="F173">
        <f>IF(D173="","",COUNTIFS('KG1-1'!$AD17:$IM17,"غياب بدون عذر",'KG1-1'!$AD$7:$IM$7,"✓",'KG1-1'!$AD$5:$IM$5,"&lt;="&amp;D173))</f>
        <v/>
      </c>
      <c r="G173">
        <f>G172+IF(D173="",0,1)</f>
        <v/>
      </c>
    </row>
    <row r="174">
      <c r="A174">
        <f>IF('KG1-1'!$B17="","",'KG1-1'!$B17)</f>
        <v/>
      </c>
      <c r="B174">
        <f>IF(A174="","",'KG1-1'!$C17)</f>
        <v/>
      </c>
      <c r="C174">
        <f>IF(A174="","",'KG1-1'!$B$2)</f>
        <v/>
      </c>
      <c r="D174" s="126">
        <f t="array" ref="D174">IF(A174="","",IFERROR(SMALL(IF((('KG1-1'!$AD17:$IM17="غياب بدون عذر")+('KG1-1'!$AD17:$IM17="غياب بعذر"))*('KG1-1'!$AD$7:$IM$7="✓"),'KG1-1'!$AD$5:$IM$5),13),""))</f>
        <v/>
      </c>
      <c r="E174">
        <f>IF(D174="","",INDEX('KG1-1'!$AD17:$IM17,MATCH(D174,'KG1-1'!$AD$5:$IM$5,0)))</f>
        <v/>
      </c>
      <c r="F174">
        <f>IF(D174="","",COUNTIFS('KG1-1'!$AD17:$IM17,"غياب بدون عذر",'KG1-1'!$AD$7:$IM$7,"✓",'KG1-1'!$AD$5:$IM$5,"&lt;="&amp;D174))</f>
        <v/>
      </c>
      <c r="G174">
        <f>G173+IF(D174="",0,1)</f>
        <v/>
      </c>
    </row>
    <row r="175">
      <c r="A175">
        <f>IF('KG1-1'!$B17="","",'KG1-1'!$B17)</f>
        <v/>
      </c>
      <c r="B175">
        <f>IF(A175="","",'KG1-1'!$C17)</f>
        <v/>
      </c>
      <c r="C175">
        <f>IF(A175="","",'KG1-1'!$B$2)</f>
        <v/>
      </c>
      <c r="D175" s="126">
        <f t="array" ref="D175">IF(A175="","",IFERROR(SMALL(IF((('KG1-1'!$AD17:$IM17="غياب بدون عذر")+('KG1-1'!$AD17:$IM17="غياب بعذر"))*('KG1-1'!$AD$7:$IM$7="✓"),'KG1-1'!$AD$5:$IM$5),14),""))</f>
        <v/>
      </c>
      <c r="E175">
        <f>IF(D175="","",INDEX('KG1-1'!$AD17:$IM17,MATCH(D175,'KG1-1'!$AD$5:$IM$5,0)))</f>
        <v/>
      </c>
      <c r="F175">
        <f>IF(D175="","",COUNTIFS('KG1-1'!$AD17:$IM17,"غياب بدون عذر",'KG1-1'!$AD$7:$IM$7,"✓",'KG1-1'!$AD$5:$IM$5,"&lt;="&amp;D175))</f>
        <v/>
      </c>
      <c r="G175">
        <f>G174+IF(D175="",0,1)</f>
        <v/>
      </c>
    </row>
    <row r="176">
      <c r="A176">
        <f>IF('KG1-1'!$B17="","",'KG1-1'!$B17)</f>
        <v/>
      </c>
      <c r="B176">
        <f>IF(A176="","",'KG1-1'!$C17)</f>
        <v/>
      </c>
      <c r="C176">
        <f>IF(A176="","",'KG1-1'!$B$2)</f>
        <v/>
      </c>
      <c r="D176" s="126">
        <f t="array" ref="D176">IF(A176="","",IFERROR(SMALL(IF((('KG1-1'!$AD17:$IM17="غياب بدون عذر")+('KG1-1'!$AD17:$IM17="غياب بعذر"))*('KG1-1'!$AD$7:$IM$7="✓"),'KG1-1'!$AD$5:$IM$5),15),""))</f>
        <v/>
      </c>
      <c r="E176">
        <f>IF(D176="","",INDEX('KG1-1'!$AD17:$IM17,MATCH(D176,'KG1-1'!$AD$5:$IM$5,0)))</f>
        <v/>
      </c>
      <c r="F176">
        <f>IF(D176="","",COUNTIFS('KG1-1'!$AD17:$IM17,"غياب بدون عذر",'KG1-1'!$AD$7:$IM$7,"✓",'KG1-1'!$AD$5:$IM$5,"&lt;="&amp;D176))</f>
        <v/>
      </c>
      <c r="G176">
        <f>G175+IF(D176="",0,1)</f>
        <v/>
      </c>
    </row>
    <row r="177">
      <c r="A177">
        <f>IF('KG1-1'!$B17="","",'KG1-1'!$B17)</f>
        <v/>
      </c>
      <c r="B177">
        <f>IF(A177="","",'KG1-1'!$C17)</f>
        <v/>
      </c>
      <c r="C177">
        <f>IF(A177="","",'KG1-1'!$B$2)</f>
        <v/>
      </c>
      <c r="D177" s="126">
        <f t="array" ref="D177">IF(A177="","",IFERROR(SMALL(IF((('KG1-1'!$AD17:$IM17="غياب بدون عذر")+('KG1-1'!$AD17:$IM17="غياب بعذر"))*('KG1-1'!$AD$7:$IM$7="✓"),'KG1-1'!$AD$5:$IM$5),16),""))</f>
        <v/>
      </c>
      <c r="E177">
        <f>IF(D177="","",INDEX('KG1-1'!$AD17:$IM17,MATCH(D177,'KG1-1'!$AD$5:$IM$5,0)))</f>
        <v/>
      </c>
      <c r="F177">
        <f>IF(D177="","",COUNTIFS('KG1-1'!$AD17:$IM17,"غياب بدون عذر",'KG1-1'!$AD$7:$IM$7,"✓",'KG1-1'!$AD$5:$IM$5,"&lt;="&amp;D177))</f>
        <v/>
      </c>
      <c r="G177">
        <f>G176+IF(D177="",0,1)</f>
        <v/>
      </c>
    </row>
    <row r="178">
      <c r="A178">
        <f>IF('KG1-1'!$B17="","",'KG1-1'!$B17)</f>
        <v/>
      </c>
      <c r="B178">
        <f>IF(A178="","",'KG1-1'!$C17)</f>
        <v/>
      </c>
      <c r="C178">
        <f>IF(A178="","",'KG1-1'!$B$2)</f>
        <v/>
      </c>
      <c r="D178" s="126">
        <f t="array" ref="D178">IF(A178="","",IFERROR(SMALL(IF((('KG1-1'!$AD17:$IM17="غياب بدون عذر")+('KG1-1'!$AD17:$IM17="غياب بعذر"))*('KG1-1'!$AD$7:$IM$7="✓"),'KG1-1'!$AD$5:$IM$5),17),""))</f>
        <v/>
      </c>
      <c r="E178">
        <f>IF(D178="","",INDEX('KG1-1'!$AD17:$IM17,MATCH(D178,'KG1-1'!$AD$5:$IM$5,0)))</f>
        <v/>
      </c>
      <c r="F178">
        <f>IF(D178="","",COUNTIFS('KG1-1'!$AD17:$IM17,"غياب بدون عذر",'KG1-1'!$AD$7:$IM$7,"✓",'KG1-1'!$AD$5:$IM$5,"&lt;="&amp;D178))</f>
        <v/>
      </c>
      <c r="G178">
        <f>G177+IF(D178="",0,1)</f>
        <v/>
      </c>
    </row>
    <row r="179">
      <c r="A179">
        <f>IF('KG1-1'!$B17="","",'KG1-1'!$B17)</f>
        <v/>
      </c>
      <c r="B179">
        <f>IF(A179="","",'KG1-1'!$C17)</f>
        <v/>
      </c>
      <c r="C179">
        <f>IF(A179="","",'KG1-1'!$B$2)</f>
        <v/>
      </c>
      <c r="D179" s="126">
        <f t="array" ref="D179">IF(A179="","",IFERROR(SMALL(IF((('KG1-1'!$AD17:$IM17="غياب بدون عذر")+('KG1-1'!$AD17:$IM17="غياب بعذر"))*('KG1-1'!$AD$7:$IM$7="✓"),'KG1-1'!$AD$5:$IM$5),18),""))</f>
        <v/>
      </c>
      <c r="E179">
        <f>IF(D179="","",INDEX('KG1-1'!$AD17:$IM17,MATCH(D179,'KG1-1'!$AD$5:$IM$5,0)))</f>
        <v/>
      </c>
      <c r="F179">
        <f>IF(D179="","",COUNTIFS('KG1-1'!$AD17:$IM17,"غياب بدون عذر",'KG1-1'!$AD$7:$IM$7,"✓",'KG1-1'!$AD$5:$IM$5,"&lt;="&amp;D179))</f>
        <v/>
      </c>
      <c r="G179">
        <f>G178+IF(D179="",0,1)</f>
        <v/>
      </c>
    </row>
    <row r="180">
      <c r="A180">
        <f>IF('KG1-1'!$B17="","",'KG1-1'!$B17)</f>
        <v/>
      </c>
      <c r="B180">
        <f>IF(A180="","",'KG1-1'!$C17)</f>
        <v/>
      </c>
      <c r="C180">
        <f>IF(A180="","",'KG1-1'!$B$2)</f>
        <v/>
      </c>
      <c r="D180" s="126">
        <f t="array" ref="D180">IF(A180="","",IFERROR(SMALL(IF((('KG1-1'!$AD17:$IM17="غياب بدون عذر")+('KG1-1'!$AD17:$IM17="غياب بعذر"))*('KG1-1'!$AD$7:$IM$7="✓"),'KG1-1'!$AD$5:$IM$5),19),""))</f>
        <v/>
      </c>
      <c r="E180">
        <f>IF(D180="","",INDEX('KG1-1'!$AD17:$IM17,MATCH(D180,'KG1-1'!$AD$5:$IM$5,0)))</f>
        <v/>
      </c>
      <c r="F180">
        <f>IF(D180="","",COUNTIFS('KG1-1'!$AD17:$IM17,"غياب بدون عذر",'KG1-1'!$AD$7:$IM$7,"✓",'KG1-1'!$AD$5:$IM$5,"&lt;="&amp;D180))</f>
        <v/>
      </c>
      <c r="G180">
        <f>G179+IF(D180="",0,1)</f>
        <v/>
      </c>
    </row>
    <row r="181">
      <c r="A181">
        <f>IF('KG1-1'!$B17="","",'KG1-1'!$B17)</f>
        <v/>
      </c>
      <c r="B181">
        <f>IF(A181="","",'KG1-1'!$C17)</f>
        <v/>
      </c>
      <c r="C181">
        <f>IF(A181="","",'KG1-1'!$B$2)</f>
        <v/>
      </c>
      <c r="D181" s="126">
        <f t="array" ref="D181">IF(A181="","",IFERROR(SMALL(IF((('KG1-1'!$AD17:$IM17="غياب بدون عذر")+('KG1-1'!$AD17:$IM17="غياب بعذر"))*('KG1-1'!$AD$7:$IM$7="✓"),'KG1-1'!$AD$5:$IM$5),20),""))</f>
        <v/>
      </c>
      <c r="E181">
        <f>IF(D181="","",INDEX('KG1-1'!$AD17:$IM17,MATCH(D181,'KG1-1'!$AD$5:$IM$5,0)))</f>
        <v/>
      </c>
      <c r="F181">
        <f>IF(D181="","",COUNTIFS('KG1-1'!$AD17:$IM17,"غياب بدون عذر",'KG1-1'!$AD$7:$IM$7,"✓",'KG1-1'!$AD$5:$IM$5,"&lt;="&amp;D181))</f>
        <v/>
      </c>
      <c r="G181">
        <f>G180+IF(D181="",0,1)</f>
        <v/>
      </c>
    </row>
    <row r="182">
      <c r="A182">
        <f>IF('KG1-1'!$B18="","",'KG1-1'!$B18)</f>
        <v/>
      </c>
      <c r="B182">
        <f>IF(A182="","",'KG1-1'!$C18)</f>
        <v/>
      </c>
      <c r="C182">
        <f>IF(A182="","",'KG1-1'!$B$2)</f>
        <v/>
      </c>
      <c r="D182" s="126">
        <f t="array" ref="D182">IF(A182="","",IFERROR(SMALL(IF((('KG1-1'!$AD18:$IM18="غياب بدون عذر")+('KG1-1'!$AD18:$IM18="غياب بعذر"))*('KG1-1'!$AD$7:$IM$7="✓"),'KG1-1'!$AD$5:$IM$5),1),""))</f>
        <v/>
      </c>
      <c r="E182">
        <f>IF(D182="","",INDEX('KG1-1'!$AD18:$IM18,MATCH(D182,'KG1-1'!$AD$5:$IM$5,0)))</f>
        <v/>
      </c>
      <c r="F182">
        <f>IF(D182="","",COUNTIFS('KG1-1'!$AD18:$IM18,"غياب بدون عذر",'KG1-1'!$AD$7:$IM$7,"✓",'KG1-1'!$AD$5:$IM$5,"&lt;="&amp;D182))</f>
        <v/>
      </c>
      <c r="G182">
        <f>G181+IF(D182="",0,1)</f>
        <v/>
      </c>
    </row>
    <row r="183">
      <c r="A183">
        <f>IF('KG1-1'!$B18="","",'KG1-1'!$B18)</f>
        <v/>
      </c>
      <c r="B183">
        <f>IF(A183="","",'KG1-1'!$C18)</f>
        <v/>
      </c>
      <c r="C183">
        <f>IF(A183="","",'KG1-1'!$B$2)</f>
        <v/>
      </c>
      <c r="D183" s="126">
        <f t="array" ref="D183">IF(A183="","",IFERROR(SMALL(IF((('KG1-1'!$AD18:$IM18="غياب بدون عذر")+('KG1-1'!$AD18:$IM18="غياب بعذر"))*('KG1-1'!$AD$7:$IM$7="✓"),'KG1-1'!$AD$5:$IM$5),2),""))</f>
        <v/>
      </c>
      <c r="E183">
        <f>IF(D183="","",INDEX('KG1-1'!$AD18:$IM18,MATCH(D183,'KG1-1'!$AD$5:$IM$5,0)))</f>
        <v/>
      </c>
      <c r="F183">
        <f>IF(D183="","",COUNTIFS('KG1-1'!$AD18:$IM18,"غياب بدون عذر",'KG1-1'!$AD$7:$IM$7,"✓",'KG1-1'!$AD$5:$IM$5,"&lt;="&amp;D183))</f>
        <v/>
      </c>
      <c r="G183">
        <f>G182+IF(D183="",0,1)</f>
        <v/>
      </c>
    </row>
    <row r="184">
      <c r="A184">
        <f>IF('KG1-1'!$B18="","",'KG1-1'!$B18)</f>
        <v/>
      </c>
      <c r="B184">
        <f>IF(A184="","",'KG1-1'!$C18)</f>
        <v/>
      </c>
      <c r="C184">
        <f>IF(A184="","",'KG1-1'!$B$2)</f>
        <v/>
      </c>
      <c r="D184" s="126">
        <f t="array" ref="D184">IF(A184="","",IFERROR(SMALL(IF((('KG1-1'!$AD18:$IM18="غياب بدون عذر")+('KG1-1'!$AD18:$IM18="غياب بعذر"))*('KG1-1'!$AD$7:$IM$7="✓"),'KG1-1'!$AD$5:$IM$5),3),""))</f>
        <v/>
      </c>
      <c r="E184">
        <f>IF(D184="","",INDEX('KG1-1'!$AD18:$IM18,MATCH(D184,'KG1-1'!$AD$5:$IM$5,0)))</f>
        <v/>
      </c>
      <c r="F184">
        <f>IF(D184="","",COUNTIFS('KG1-1'!$AD18:$IM18,"غياب بدون عذر",'KG1-1'!$AD$7:$IM$7,"✓",'KG1-1'!$AD$5:$IM$5,"&lt;="&amp;D184))</f>
        <v/>
      </c>
      <c r="G184">
        <f>G183+IF(D184="",0,1)</f>
        <v/>
      </c>
    </row>
    <row r="185">
      <c r="A185">
        <f>IF('KG1-1'!$B18="","",'KG1-1'!$B18)</f>
        <v/>
      </c>
      <c r="B185">
        <f>IF(A185="","",'KG1-1'!$C18)</f>
        <v/>
      </c>
      <c r="C185">
        <f>IF(A185="","",'KG1-1'!$B$2)</f>
        <v/>
      </c>
      <c r="D185" s="126">
        <f t="array" ref="D185">IF(A185="","",IFERROR(SMALL(IF((('KG1-1'!$AD18:$IM18="غياب بدون عذر")+('KG1-1'!$AD18:$IM18="غياب بعذر"))*('KG1-1'!$AD$7:$IM$7="✓"),'KG1-1'!$AD$5:$IM$5),4),""))</f>
        <v/>
      </c>
      <c r="E185">
        <f>IF(D185="","",INDEX('KG1-1'!$AD18:$IM18,MATCH(D185,'KG1-1'!$AD$5:$IM$5,0)))</f>
        <v/>
      </c>
      <c r="F185">
        <f>IF(D185="","",COUNTIFS('KG1-1'!$AD18:$IM18,"غياب بدون عذر",'KG1-1'!$AD$7:$IM$7,"✓",'KG1-1'!$AD$5:$IM$5,"&lt;="&amp;D185))</f>
        <v/>
      </c>
      <c r="G185">
        <f>G184+IF(D185="",0,1)</f>
        <v/>
      </c>
    </row>
    <row r="186">
      <c r="A186">
        <f>IF('KG1-1'!$B18="","",'KG1-1'!$B18)</f>
        <v/>
      </c>
      <c r="B186">
        <f>IF(A186="","",'KG1-1'!$C18)</f>
        <v/>
      </c>
      <c r="C186">
        <f>IF(A186="","",'KG1-1'!$B$2)</f>
        <v/>
      </c>
      <c r="D186" s="126">
        <f t="array" ref="D186">IF(A186="","",IFERROR(SMALL(IF((('KG1-1'!$AD18:$IM18="غياب بدون عذر")+('KG1-1'!$AD18:$IM18="غياب بعذر"))*('KG1-1'!$AD$7:$IM$7="✓"),'KG1-1'!$AD$5:$IM$5),5),""))</f>
        <v/>
      </c>
      <c r="E186">
        <f>IF(D186="","",INDEX('KG1-1'!$AD18:$IM18,MATCH(D186,'KG1-1'!$AD$5:$IM$5,0)))</f>
        <v/>
      </c>
      <c r="F186">
        <f>IF(D186="","",COUNTIFS('KG1-1'!$AD18:$IM18,"غياب بدون عذر",'KG1-1'!$AD$7:$IM$7,"✓",'KG1-1'!$AD$5:$IM$5,"&lt;="&amp;D186))</f>
        <v/>
      </c>
      <c r="G186">
        <f>G185+IF(D186="",0,1)</f>
        <v/>
      </c>
    </row>
    <row r="187">
      <c r="A187">
        <f>IF('KG1-1'!$B18="","",'KG1-1'!$B18)</f>
        <v/>
      </c>
      <c r="B187">
        <f>IF(A187="","",'KG1-1'!$C18)</f>
        <v/>
      </c>
      <c r="C187">
        <f>IF(A187="","",'KG1-1'!$B$2)</f>
        <v/>
      </c>
      <c r="D187" s="126">
        <f t="array" ref="D187">IF(A187="","",IFERROR(SMALL(IF((('KG1-1'!$AD18:$IM18="غياب بدون عذر")+('KG1-1'!$AD18:$IM18="غياب بعذر"))*('KG1-1'!$AD$7:$IM$7="✓"),'KG1-1'!$AD$5:$IM$5),6),""))</f>
        <v/>
      </c>
      <c r="E187">
        <f>IF(D187="","",INDEX('KG1-1'!$AD18:$IM18,MATCH(D187,'KG1-1'!$AD$5:$IM$5,0)))</f>
        <v/>
      </c>
      <c r="F187">
        <f>IF(D187="","",COUNTIFS('KG1-1'!$AD18:$IM18,"غياب بدون عذر",'KG1-1'!$AD$7:$IM$7,"✓",'KG1-1'!$AD$5:$IM$5,"&lt;="&amp;D187))</f>
        <v/>
      </c>
      <c r="G187">
        <f>G186+IF(D187="",0,1)</f>
        <v/>
      </c>
    </row>
    <row r="188">
      <c r="A188">
        <f>IF('KG1-1'!$B18="","",'KG1-1'!$B18)</f>
        <v/>
      </c>
      <c r="B188">
        <f>IF(A188="","",'KG1-1'!$C18)</f>
        <v/>
      </c>
      <c r="C188">
        <f>IF(A188="","",'KG1-1'!$B$2)</f>
        <v/>
      </c>
      <c r="D188" s="126">
        <f t="array" ref="D188">IF(A188="","",IFERROR(SMALL(IF((('KG1-1'!$AD18:$IM18="غياب بدون عذر")+('KG1-1'!$AD18:$IM18="غياب بعذر"))*('KG1-1'!$AD$7:$IM$7="✓"),'KG1-1'!$AD$5:$IM$5),7),""))</f>
        <v/>
      </c>
      <c r="E188">
        <f>IF(D188="","",INDEX('KG1-1'!$AD18:$IM18,MATCH(D188,'KG1-1'!$AD$5:$IM$5,0)))</f>
        <v/>
      </c>
      <c r="F188">
        <f>IF(D188="","",COUNTIFS('KG1-1'!$AD18:$IM18,"غياب بدون عذر",'KG1-1'!$AD$7:$IM$7,"✓",'KG1-1'!$AD$5:$IM$5,"&lt;="&amp;D188))</f>
        <v/>
      </c>
      <c r="G188">
        <f>G187+IF(D188="",0,1)</f>
        <v/>
      </c>
    </row>
    <row r="189">
      <c r="A189">
        <f>IF('KG1-1'!$B18="","",'KG1-1'!$B18)</f>
        <v/>
      </c>
      <c r="B189">
        <f>IF(A189="","",'KG1-1'!$C18)</f>
        <v/>
      </c>
      <c r="C189">
        <f>IF(A189="","",'KG1-1'!$B$2)</f>
        <v/>
      </c>
      <c r="D189" s="126">
        <f t="array" ref="D189">IF(A189="","",IFERROR(SMALL(IF((('KG1-1'!$AD18:$IM18="غياب بدون عذر")+('KG1-1'!$AD18:$IM18="غياب بعذر"))*('KG1-1'!$AD$7:$IM$7="✓"),'KG1-1'!$AD$5:$IM$5),8),""))</f>
        <v/>
      </c>
      <c r="E189">
        <f>IF(D189="","",INDEX('KG1-1'!$AD18:$IM18,MATCH(D189,'KG1-1'!$AD$5:$IM$5,0)))</f>
        <v/>
      </c>
      <c r="F189">
        <f>IF(D189="","",COUNTIFS('KG1-1'!$AD18:$IM18,"غياب بدون عذر",'KG1-1'!$AD$7:$IM$7,"✓",'KG1-1'!$AD$5:$IM$5,"&lt;="&amp;D189))</f>
        <v/>
      </c>
      <c r="G189">
        <f>G188+IF(D189="",0,1)</f>
        <v/>
      </c>
    </row>
    <row r="190">
      <c r="A190">
        <f>IF('KG1-1'!$B18="","",'KG1-1'!$B18)</f>
        <v/>
      </c>
      <c r="B190">
        <f>IF(A190="","",'KG1-1'!$C18)</f>
        <v/>
      </c>
      <c r="C190">
        <f>IF(A190="","",'KG1-1'!$B$2)</f>
        <v/>
      </c>
      <c r="D190" s="126">
        <f t="array" ref="D190">IF(A190="","",IFERROR(SMALL(IF((('KG1-1'!$AD18:$IM18="غياب بدون عذر")+('KG1-1'!$AD18:$IM18="غياب بعذر"))*('KG1-1'!$AD$7:$IM$7="✓"),'KG1-1'!$AD$5:$IM$5),9),""))</f>
        <v/>
      </c>
      <c r="E190">
        <f>IF(D190="","",INDEX('KG1-1'!$AD18:$IM18,MATCH(D190,'KG1-1'!$AD$5:$IM$5,0)))</f>
        <v/>
      </c>
      <c r="F190">
        <f>IF(D190="","",COUNTIFS('KG1-1'!$AD18:$IM18,"غياب بدون عذر",'KG1-1'!$AD$7:$IM$7,"✓",'KG1-1'!$AD$5:$IM$5,"&lt;="&amp;D190))</f>
        <v/>
      </c>
      <c r="G190">
        <f>G189+IF(D190="",0,1)</f>
        <v/>
      </c>
    </row>
    <row r="191">
      <c r="A191">
        <f>IF('KG1-1'!$B18="","",'KG1-1'!$B18)</f>
        <v/>
      </c>
      <c r="B191">
        <f>IF(A191="","",'KG1-1'!$C18)</f>
        <v/>
      </c>
      <c r="C191">
        <f>IF(A191="","",'KG1-1'!$B$2)</f>
        <v/>
      </c>
      <c r="D191" s="126">
        <f t="array" ref="D191">IF(A191="","",IFERROR(SMALL(IF((('KG1-1'!$AD18:$IM18="غياب بدون عذر")+('KG1-1'!$AD18:$IM18="غياب بعذر"))*('KG1-1'!$AD$7:$IM$7="✓"),'KG1-1'!$AD$5:$IM$5),10),""))</f>
        <v/>
      </c>
      <c r="E191">
        <f>IF(D191="","",INDEX('KG1-1'!$AD18:$IM18,MATCH(D191,'KG1-1'!$AD$5:$IM$5,0)))</f>
        <v/>
      </c>
      <c r="F191">
        <f>IF(D191="","",COUNTIFS('KG1-1'!$AD18:$IM18,"غياب بدون عذر",'KG1-1'!$AD$7:$IM$7,"✓",'KG1-1'!$AD$5:$IM$5,"&lt;="&amp;D191))</f>
        <v/>
      </c>
      <c r="G191">
        <f>G190+IF(D191="",0,1)</f>
        <v/>
      </c>
    </row>
    <row r="192">
      <c r="A192">
        <f>IF('KG1-1'!$B18="","",'KG1-1'!$B18)</f>
        <v/>
      </c>
      <c r="B192">
        <f>IF(A192="","",'KG1-1'!$C18)</f>
        <v/>
      </c>
      <c r="C192">
        <f>IF(A192="","",'KG1-1'!$B$2)</f>
        <v/>
      </c>
      <c r="D192" s="126">
        <f t="array" ref="D192">IF(A192="","",IFERROR(SMALL(IF((('KG1-1'!$AD18:$IM18="غياب بدون عذر")+('KG1-1'!$AD18:$IM18="غياب بعذر"))*('KG1-1'!$AD$7:$IM$7="✓"),'KG1-1'!$AD$5:$IM$5),11),""))</f>
        <v/>
      </c>
      <c r="E192">
        <f>IF(D192="","",INDEX('KG1-1'!$AD18:$IM18,MATCH(D192,'KG1-1'!$AD$5:$IM$5,0)))</f>
        <v/>
      </c>
      <c r="F192">
        <f>IF(D192="","",COUNTIFS('KG1-1'!$AD18:$IM18,"غياب بدون عذر",'KG1-1'!$AD$7:$IM$7,"✓",'KG1-1'!$AD$5:$IM$5,"&lt;="&amp;D192))</f>
        <v/>
      </c>
      <c r="G192">
        <f>G191+IF(D192="",0,1)</f>
        <v/>
      </c>
    </row>
    <row r="193">
      <c r="A193">
        <f>IF('KG1-1'!$B18="","",'KG1-1'!$B18)</f>
        <v/>
      </c>
      <c r="B193">
        <f>IF(A193="","",'KG1-1'!$C18)</f>
        <v/>
      </c>
      <c r="C193">
        <f>IF(A193="","",'KG1-1'!$B$2)</f>
        <v/>
      </c>
      <c r="D193" s="126">
        <f t="array" ref="D193">IF(A193="","",IFERROR(SMALL(IF((('KG1-1'!$AD18:$IM18="غياب بدون عذر")+('KG1-1'!$AD18:$IM18="غياب بعذر"))*('KG1-1'!$AD$7:$IM$7="✓"),'KG1-1'!$AD$5:$IM$5),12),""))</f>
        <v/>
      </c>
      <c r="E193">
        <f>IF(D193="","",INDEX('KG1-1'!$AD18:$IM18,MATCH(D193,'KG1-1'!$AD$5:$IM$5,0)))</f>
        <v/>
      </c>
      <c r="F193">
        <f>IF(D193="","",COUNTIFS('KG1-1'!$AD18:$IM18,"غياب بدون عذر",'KG1-1'!$AD$7:$IM$7,"✓",'KG1-1'!$AD$5:$IM$5,"&lt;="&amp;D193))</f>
        <v/>
      </c>
      <c r="G193">
        <f>G192+IF(D193="",0,1)</f>
        <v/>
      </c>
    </row>
    <row r="194">
      <c r="A194">
        <f>IF('KG1-1'!$B18="","",'KG1-1'!$B18)</f>
        <v/>
      </c>
      <c r="B194">
        <f>IF(A194="","",'KG1-1'!$C18)</f>
        <v/>
      </c>
      <c r="C194">
        <f>IF(A194="","",'KG1-1'!$B$2)</f>
        <v/>
      </c>
      <c r="D194" s="126">
        <f t="array" ref="D194">IF(A194="","",IFERROR(SMALL(IF((('KG1-1'!$AD18:$IM18="غياب بدون عذر")+('KG1-1'!$AD18:$IM18="غياب بعذر"))*('KG1-1'!$AD$7:$IM$7="✓"),'KG1-1'!$AD$5:$IM$5),13),""))</f>
        <v/>
      </c>
      <c r="E194">
        <f>IF(D194="","",INDEX('KG1-1'!$AD18:$IM18,MATCH(D194,'KG1-1'!$AD$5:$IM$5,0)))</f>
        <v/>
      </c>
      <c r="F194">
        <f>IF(D194="","",COUNTIFS('KG1-1'!$AD18:$IM18,"غياب بدون عذر",'KG1-1'!$AD$7:$IM$7,"✓",'KG1-1'!$AD$5:$IM$5,"&lt;="&amp;D194))</f>
        <v/>
      </c>
      <c r="G194">
        <f>G193+IF(D194="",0,1)</f>
        <v/>
      </c>
    </row>
    <row r="195">
      <c r="A195">
        <f>IF('KG1-1'!$B18="","",'KG1-1'!$B18)</f>
        <v/>
      </c>
      <c r="B195">
        <f>IF(A195="","",'KG1-1'!$C18)</f>
        <v/>
      </c>
      <c r="C195">
        <f>IF(A195="","",'KG1-1'!$B$2)</f>
        <v/>
      </c>
      <c r="D195" s="126">
        <f t="array" ref="D195">IF(A195="","",IFERROR(SMALL(IF((('KG1-1'!$AD18:$IM18="غياب بدون عذر")+('KG1-1'!$AD18:$IM18="غياب بعذر"))*('KG1-1'!$AD$7:$IM$7="✓"),'KG1-1'!$AD$5:$IM$5),14),""))</f>
        <v/>
      </c>
      <c r="E195">
        <f>IF(D195="","",INDEX('KG1-1'!$AD18:$IM18,MATCH(D195,'KG1-1'!$AD$5:$IM$5,0)))</f>
        <v/>
      </c>
      <c r="F195">
        <f>IF(D195="","",COUNTIFS('KG1-1'!$AD18:$IM18,"غياب بدون عذر",'KG1-1'!$AD$7:$IM$7,"✓",'KG1-1'!$AD$5:$IM$5,"&lt;="&amp;D195))</f>
        <v/>
      </c>
      <c r="G195">
        <f>G194+IF(D195="",0,1)</f>
        <v/>
      </c>
    </row>
    <row r="196">
      <c r="A196">
        <f>IF('KG1-1'!$B18="","",'KG1-1'!$B18)</f>
        <v/>
      </c>
      <c r="B196">
        <f>IF(A196="","",'KG1-1'!$C18)</f>
        <v/>
      </c>
      <c r="C196">
        <f>IF(A196="","",'KG1-1'!$B$2)</f>
        <v/>
      </c>
      <c r="D196" s="126">
        <f t="array" ref="D196">IF(A196="","",IFERROR(SMALL(IF((('KG1-1'!$AD18:$IM18="غياب بدون عذر")+('KG1-1'!$AD18:$IM18="غياب بعذر"))*('KG1-1'!$AD$7:$IM$7="✓"),'KG1-1'!$AD$5:$IM$5),15),""))</f>
        <v/>
      </c>
      <c r="E196">
        <f>IF(D196="","",INDEX('KG1-1'!$AD18:$IM18,MATCH(D196,'KG1-1'!$AD$5:$IM$5,0)))</f>
        <v/>
      </c>
      <c r="F196">
        <f>IF(D196="","",COUNTIFS('KG1-1'!$AD18:$IM18,"غياب بدون عذر",'KG1-1'!$AD$7:$IM$7,"✓",'KG1-1'!$AD$5:$IM$5,"&lt;="&amp;D196))</f>
        <v/>
      </c>
      <c r="G196">
        <f>G195+IF(D196="",0,1)</f>
        <v/>
      </c>
    </row>
    <row r="197">
      <c r="A197">
        <f>IF('KG1-1'!$B18="","",'KG1-1'!$B18)</f>
        <v/>
      </c>
      <c r="B197">
        <f>IF(A197="","",'KG1-1'!$C18)</f>
        <v/>
      </c>
      <c r="C197">
        <f>IF(A197="","",'KG1-1'!$B$2)</f>
        <v/>
      </c>
      <c r="D197" s="126">
        <f t="array" ref="D197">IF(A197="","",IFERROR(SMALL(IF((('KG1-1'!$AD18:$IM18="غياب بدون عذر")+('KG1-1'!$AD18:$IM18="غياب بعذر"))*('KG1-1'!$AD$7:$IM$7="✓"),'KG1-1'!$AD$5:$IM$5),16),""))</f>
        <v/>
      </c>
      <c r="E197">
        <f>IF(D197="","",INDEX('KG1-1'!$AD18:$IM18,MATCH(D197,'KG1-1'!$AD$5:$IM$5,0)))</f>
        <v/>
      </c>
      <c r="F197">
        <f>IF(D197="","",COUNTIFS('KG1-1'!$AD18:$IM18,"غياب بدون عذر",'KG1-1'!$AD$7:$IM$7,"✓",'KG1-1'!$AD$5:$IM$5,"&lt;="&amp;D197))</f>
        <v/>
      </c>
      <c r="G197">
        <f>G196+IF(D197="",0,1)</f>
        <v/>
      </c>
    </row>
    <row r="198">
      <c r="A198">
        <f>IF('KG1-1'!$B18="","",'KG1-1'!$B18)</f>
        <v/>
      </c>
      <c r="B198">
        <f>IF(A198="","",'KG1-1'!$C18)</f>
        <v/>
      </c>
      <c r="C198">
        <f>IF(A198="","",'KG1-1'!$B$2)</f>
        <v/>
      </c>
      <c r="D198" s="126">
        <f t="array" ref="D198">IF(A198="","",IFERROR(SMALL(IF((('KG1-1'!$AD18:$IM18="غياب بدون عذر")+('KG1-1'!$AD18:$IM18="غياب بعذر"))*('KG1-1'!$AD$7:$IM$7="✓"),'KG1-1'!$AD$5:$IM$5),17),""))</f>
        <v/>
      </c>
      <c r="E198">
        <f>IF(D198="","",INDEX('KG1-1'!$AD18:$IM18,MATCH(D198,'KG1-1'!$AD$5:$IM$5,0)))</f>
        <v/>
      </c>
      <c r="F198">
        <f>IF(D198="","",COUNTIFS('KG1-1'!$AD18:$IM18,"غياب بدون عذر",'KG1-1'!$AD$7:$IM$7,"✓",'KG1-1'!$AD$5:$IM$5,"&lt;="&amp;D198))</f>
        <v/>
      </c>
      <c r="G198">
        <f>G197+IF(D198="",0,1)</f>
        <v/>
      </c>
    </row>
    <row r="199">
      <c r="A199">
        <f>IF('KG1-1'!$B18="","",'KG1-1'!$B18)</f>
        <v/>
      </c>
      <c r="B199">
        <f>IF(A199="","",'KG1-1'!$C18)</f>
        <v/>
      </c>
      <c r="C199">
        <f>IF(A199="","",'KG1-1'!$B$2)</f>
        <v/>
      </c>
      <c r="D199" s="126">
        <f t="array" ref="D199">IF(A199="","",IFERROR(SMALL(IF((('KG1-1'!$AD18:$IM18="غياب بدون عذر")+('KG1-1'!$AD18:$IM18="غياب بعذر"))*('KG1-1'!$AD$7:$IM$7="✓"),'KG1-1'!$AD$5:$IM$5),18),""))</f>
        <v/>
      </c>
      <c r="E199">
        <f>IF(D199="","",INDEX('KG1-1'!$AD18:$IM18,MATCH(D199,'KG1-1'!$AD$5:$IM$5,0)))</f>
        <v/>
      </c>
      <c r="F199">
        <f>IF(D199="","",COUNTIFS('KG1-1'!$AD18:$IM18,"غياب بدون عذر",'KG1-1'!$AD$7:$IM$7,"✓",'KG1-1'!$AD$5:$IM$5,"&lt;="&amp;D199))</f>
        <v/>
      </c>
      <c r="G199">
        <f>G198+IF(D199="",0,1)</f>
        <v/>
      </c>
    </row>
    <row r="200">
      <c r="A200">
        <f>IF('KG1-1'!$B18="","",'KG1-1'!$B18)</f>
        <v/>
      </c>
      <c r="B200">
        <f>IF(A200="","",'KG1-1'!$C18)</f>
        <v/>
      </c>
      <c r="C200">
        <f>IF(A200="","",'KG1-1'!$B$2)</f>
        <v/>
      </c>
      <c r="D200" s="126">
        <f t="array" ref="D200">IF(A200="","",IFERROR(SMALL(IF((('KG1-1'!$AD18:$IM18="غياب بدون عذر")+('KG1-1'!$AD18:$IM18="غياب بعذر"))*('KG1-1'!$AD$7:$IM$7="✓"),'KG1-1'!$AD$5:$IM$5),19),""))</f>
        <v/>
      </c>
      <c r="E200">
        <f>IF(D200="","",INDEX('KG1-1'!$AD18:$IM18,MATCH(D200,'KG1-1'!$AD$5:$IM$5,0)))</f>
        <v/>
      </c>
      <c r="F200">
        <f>IF(D200="","",COUNTIFS('KG1-1'!$AD18:$IM18,"غياب بدون عذر",'KG1-1'!$AD$7:$IM$7,"✓",'KG1-1'!$AD$5:$IM$5,"&lt;="&amp;D200))</f>
        <v/>
      </c>
      <c r="G200">
        <f>G199+IF(D200="",0,1)</f>
        <v/>
      </c>
    </row>
    <row r="201">
      <c r="A201">
        <f>IF('KG1-1'!$B18="","",'KG1-1'!$B18)</f>
        <v/>
      </c>
      <c r="B201">
        <f>IF(A201="","",'KG1-1'!$C18)</f>
        <v/>
      </c>
      <c r="C201">
        <f>IF(A201="","",'KG1-1'!$B$2)</f>
        <v/>
      </c>
      <c r="D201" s="126">
        <f t="array" ref="D201">IF(A201="","",IFERROR(SMALL(IF((('KG1-1'!$AD18:$IM18="غياب بدون عذر")+('KG1-1'!$AD18:$IM18="غياب بعذر"))*('KG1-1'!$AD$7:$IM$7="✓"),'KG1-1'!$AD$5:$IM$5),20),""))</f>
        <v/>
      </c>
      <c r="E201">
        <f>IF(D201="","",INDEX('KG1-1'!$AD18:$IM18,MATCH(D201,'KG1-1'!$AD$5:$IM$5,0)))</f>
        <v/>
      </c>
      <c r="F201">
        <f>IF(D201="","",COUNTIFS('KG1-1'!$AD18:$IM18,"غياب بدون عذر",'KG1-1'!$AD$7:$IM$7,"✓",'KG1-1'!$AD$5:$IM$5,"&lt;="&amp;D201))</f>
        <v/>
      </c>
      <c r="G201">
        <f>G200+IF(D201="",0,1)</f>
        <v/>
      </c>
    </row>
    <row r="202">
      <c r="A202">
        <f>IF('KG1-1'!$B19="","",'KG1-1'!$B19)</f>
        <v/>
      </c>
      <c r="B202">
        <f>IF(A202="","",'KG1-1'!$C19)</f>
        <v/>
      </c>
      <c r="C202">
        <f>IF(A202="","",'KG1-1'!$B$2)</f>
        <v/>
      </c>
      <c r="D202" s="126">
        <f t="array" ref="D202">IF(A202="","",IFERROR(SMALL(IF((('KG1-1'!$AD19:$IM19="غياب بدون عذر")+('KG1-1'!$AD19:$IM19="غياب بعذر"))*('KG1-1'!$AD$7:$IM$7="✓"),'KG1-1'!$AD$5:$IM$5),1),""))</f>
        <v/>
      </c>
      <c r="E202">
        <f>IF(D202="","",INDEX('KG1-1'!$AD19:$IM19,MATCH(D202,'KG1-1'!$AD$5:$IM$5,0)))</f>
        <v/>
      </c>
      <c r="F202">
        <f>IF(D202="","",COUNTIFS('KG1-1'!$AD19:$IM19,"غياب بدون عذر",'KG1-1'!$AD$7:$IM$7,"✓",'KG1-1'!$AD$5:$IM$5,"&lt;="&amp;D202))</f>
        <v/>
      </c>
      <c r="G202">
        <f>G201+IF(D202="",0,1)</f>
        <v/>
      </c>
    </row>
    <row r="203">
      <c r="A203">
        <f>IF('KG1-1'!$B19="","",'KG1-1'!$B19)</f>
        <v/>
      </c>
      <c r="B203">
        <f>IF(A203="","",'KG1-1'!$C19)</f>
        <v/>
      </c>
      <c r="C203">
        <f>IF(A203="","",'KG1-1'!$B$2)</f>
        <v/>
      </c>
      <c r="D203" s="126">
        <f t="array" ref="D203">IF(A203="","",IFERROR(SMALL(IF((('KG1-1'!$AD19:$IM19="غياب بدون عذر")+('KG1-1'!$AD19:$IM19="غياب بعذر"))*('KG1-1'!$AD$7:$IM$7="✓"),'KG1-1'!$AD$5:$IM$5),2),""))</f>
        <v/>
      </c>
      <c r="E203">
        <f>IF(D203="","",INDEX('KG1-1'!$AD19:$IM19,MATCH(D203,'KG1-1'!$AD$5:$IM$5,0)))</f>
        <v/>
      </c>
      <c r="F203">
        <f>IF(D203="","",COUNTIFS('KG1-1'!$AD19:$IM19,"غياب بدون عذر",'KG1-1'!$AD$7:$IM$7,"✓",'KG1-1'!$AD$5:$IM$5,"&lt;="&amp;D203))</f>
        <v/>
      </c>
      <c r="G203">
        <f>G202+IF(D203="",0,1)</f>
        <v/>
      </c>
    </row>
    <row r="204">
      <c r="A204">
        <f>IF('KG1-1'!$B19="","",'KG1-1'!$B19)</f>
        <v/>
      </c>
      <c r="B204">
        <f>IF(A204="","",'KG1-1'!$C19)</f>
        <v/>
      </c>
      <c r="C204">
        <f>IF(A204="","",'KG1-1'!$B$2)</f>
        <v/>
      </c>
      <c r="D204" s="126">
        <f t="array" ref="D204">IF(A204="","",IFERROR(SMALL(IF((('KG1-1'!$AD19:$IM19="غياب بدون عذر")+('KG1-1'!$AD19:$IM19="غياب بعذر"))*('KG1-1'!$AD$7:$IM$7="✓"),'KG1-1'!$AD$5:$IM$5),3),""))</f>
        <v/>
      </c>
      <c r="E204">
        <f>IF(D204="","",INDEX('KG1-1'!$AD19:$IM19,MATCH(D204,'KG1-1'!$AD$5:$IM$5,0)))</f>
        <v/>
      </c>
      <c r="F204">
        <f>IF(D204="","",COUNTIFS('KG1-1'!$AD19:$IM19,"غياب بدون عذر",'KG1-1'!$AD$7:$IM$7,"✓",'KG1-1'!$AD$5:$IM$5,"&lt;="&amp;D204))</f>
        <v/>
      </c>
      <c r="G204">
        <f>G203+IF(D204="",0,1)</f>
        <v/>
      </c>
    </row>
    <row r="205">
      <c r="A205">
        <f>IF('KG1-1'!$B19="","",'KG1-1'!$B19)</f>
        <v/>
      </c>
      <c r="B205">
        <f>IF(A205="","",'KG1-1'!$C19)</f>
        <v/>
      </c>
      <c r="C205">
        <f>IF(A205="","",'KG1-1'!$B$2)</f>
        <v/>
      </c>
      <c r="D205" s="126">
        <f t="array" ref="D205">IF(A205="","",IFERROR(SMALL(IF((('KG1-1'!$AD19:$IM19="غياب بدون عذر")+('KG1-1'!$AD19:$IM19="غياب بعذر"))*('KG1-1'!$AD$7:$IM$7="✓"),'KG1-1'!$AD$5:$IM$5),4),""))</f>
        <v/>
      </c>
      <c r="E205">
        <f>IF(D205="","",INDEX('KG1-1'!$AD19:$IM19,MATCH(D205,'KG1-1'!$AD$5:$IM$5,0)))</f>
        <v/>
      </c>
      <c r="F205">
        <f>IF(D205="","",COUNTIFS('KG1-1'!$AD19:$IM19,"غياب بدون عذر",'KG1-1'!$AD$7:$IM$7,"✓",'KG1-1'!$AD$5:$IM$5,"&lt;="&amp;D205))</f>
        <v/>
      </c>
      <c r="G205">
        <f>G204+IF(D205="",0,1)</f>
        <v/>
      </c>
    </row>
    <row r="206">
      <c r="A206">
        <f>IF('KG1-1'!$B19="","",'KG1-1'!$B19)</f>
        <v/>
      </c>
      <c r="B206">
        <f>IF(A206="","",'KG1-1'!$C19)</f>
        <v/>
      </c>
      <c r="C206">
        <f>IF(A206="","",'KG1-1'!$B$2)</f>
        <v/>
      </c>
      <c r="D206" s="126">
        <f t="array" ref="D206">IF(A206="","",IFERROR(SMALL(IF((('KG1-1'!$AD19:$IM19="غياب بدون عذر")+('KG1-1'!$AD19:$IM19="غياب بعذر"))*('KG1-1'!$AD$7:$IM$7="✓"),'KG1-1'!$AD$5:$IM$5),5),""))</f>
        <v/>
      </c>
      <c r="E206">
        <f>IF(D206="","",INDEX('KG1-1'!$AD19:$IM19,MATCH(D206,'KG1-1'!$AD$5:$IM$5,0)))</f>
        <v/>
      </c>
      <c r="F206">
        <f>IF(D206="","",COUNTIFS('KG1-1'!$AD19:$IM19,"غياب بدون عذر",'KG1-1'!$AD$7:$IM$7,"✓",'KG1-1'!$AD$5:$IM$5,"&lt;="&amp;D206))</f>
        <v/>
      </c>
      <c r="G206">
        <f>G205+IF(D206="",0,1)</f>
        <v/>
      </c>
    </row>
    <row r="207">
      <c r="A207">
        <f>IF('KG1-1'!$B19="","",'KG1-1'!$B19)</f>
        <v/>
      </c>
      <c r="B207">
        <f>IF(A207="","",'KG1-1'!$C19)</f>
        <v/>
      </c>
      <c r="C207">
        <f>IF(A207="","",'KG1-1'!$B$2)</f>
        <v/>
      </c>
      <c r="D207" s="126">
        <f t="array" ref="D207">IF(A207="","",IFERROR(SMALL(IF((('KG1-1'!$AD19:$IM19="غياب بدون عذر")+('KG1-1'!$AD19:$IM19="غياب بعذر"))*('KG1-1'!$AD$7:$IM$7="✓"),'KG1-1'!$AD$5:$IM$5),6),""))</f>
        <v/>
      </c>
      <c r="E207">
        <f>IF(D207="","",INDEX('KG1-1'!$AD19:$IM19,MATCH(D207,'KG1-1'!$AD$5:$IM$5,0)))</f>
        <v/>
      </c>
      <c r="F207">
        <f>IF(D207="","",COUNTIFS('KG1-1'!$AD19:$IM19,"غياب بدون عذر",'KG1-1'!$AD$7:$IM$7,"✓",'KG1-1'!$AD$5:$IM$5,"&lt;="&amp;D207))</f>
        <v/>
      </c>
      <c r="G207">
        <f>G206+IF(D207="",0,1)</f>
        <v/>
      </c>
    </row>
    <row r="208">
      <c r="A208">
        <f>IF('KG1-1'!$B19="","",'KG1-1'!$B19)</f>
        <v/>
      </c>
      <c r="B208">
        <f>IF(A208="","",'KG1-1'!$C19)</f>
        <v/>
      </c>
      <c r="C208">
        <f>IF(A208="","",'KG1-1'!$B$2)</f>
        <v/>
      </c>
      <c r="D208" s="126">
        <f t="array" ref="D208">IF(A208="","",IFERROR(SMALL(IF((('KG1-1'!$AD19:$IM19="غياب بدون عذر")+('KG1-1'!$AD19:$IM19="غياب بعذر"))*('KG1-1'!$AD$7:$IM$7="✓"),'KG1-1'!$AD$5:$IM$5),7),""))</f>
        <v/>
      </c>
      <c r="E208">
        <f>IF(D208="","",INDEX('KG1-1'!$AD19:$IM19,MATCH(D208,'KG1-1'!$AD$5:$IM$5,0)))</f>
        <v/>
      </c>
      <c r="F208">
        <f>IF(D208="","",COUNTIFS('KG1-1'!$AD19:$IM19,"غياب بدون عذر",'KG1-1'!$AD$7:$IM$7,"✓",'KG1-1'!$AD$5:$IM$5,"&lt;="&amp;D208))</f>
        <v/>
      </c>
      <c r="G208">
        <f>G207+IF(D208="",0,1)</f>
        <v/>
      </c>
    </row>
    <row r="209">
      <c r="A209">
        <f>IF('KG1-1'!$B19="","",'KG1-1'!$B19)</f>
        <v/>
      </c>
      <c r="B209">
        <f>IF(A209="","",'KG1-1'!$C19)</f>
        <v/>
      </c>
      <c r="C209">
        <f>IF(A209="","",'KG1-1'!$B$2)</f>
        <v/>
      </c>
      <c r="D209" s="126">
        <f t="array" ref="D209">IF(A209="","",IFERROR(SMALL(IF((('KG1-1'!$AD19:$IM19="غياب بدون عذر")+('KG1-1'!$AD19:$IM19="غياب بعذر"))*('KG1-1'!$AD$7:$IM$7="✓"),'KG1-1'!$AD$5:$IM$5),8),""))</f>
        <v/>
      </c>
      <c r="E209">
        <f>IF(D209="","",INDEX('KG1-1'!$AD19:$IM19,MATCH(D209,'KG1-1'!$AD$5:$IM$5,0)))</f>
        <v/>
      </c>
      <c r="F209">
        <f>IF(D209="","",COUNTIFS('KG1-1'!$AD19:$IM19,"غياب بدون عذر",'KG1-1'!$AD$7:$IM$7,"✓",'KG1-1'!$AD$5:$IM$5,"&lt;="&amp;D209))</f>
        <v/>
      </c>
      <c r="G209">
        <f>G208+IF(D209="",0,1)</f>
        <v/>
      </c>
    </row>
    <row r="210">
      <c r="A210">
        <f>IF('KG1-1'!$B19="","",'KG1-1'!$B19)</f>
        <v/>
      </c>
      <c r="B210">
        <f>IF(A210="","",'KG1-1'!$C19)</f>
        <v/>
      </c>
      <c r="C210">
        <f>IF(A210="","",'KG1-1'!$B$2)</f>
        <v/>
      </c>
      <c r="D210" s="126">
        <f t="array" ref="D210">IF(A210="","",IFERROR(SMALL(IF((('KG1-1'!$AD19:$IM19="غياب بدون عذر")+('KG1-1'!$AD19:$IM19="غياب بعذر"))*('KG1-1'!$AD$7:$IM$7="✓"),'KG1-1'!$AD$5:$IM$5),9),""))</f>
        <v/>
      </c>
      <c r="E210">
        <f>IF(D210="","",INDEX('KG1-1'!$AD19:$IM19,MATCH(D210,'KG1-1'!$AD$5:$IM$5,0)))</f>
        <v/>
      </c>
      <c r="F210">
        <f>IF(D210="","",COUNTIFS('KG1-1'!$AD19:$IM19,"غياب بدون عذر",'KG1-1'!$AD$7:$IM$7,"✓",'KG1-1'!$AD$5:$IM$5,"&lt;="&amp;D210))</f>
        <v/>
      </c>
      <c r="G210">
        <f>G209+IF(D210="",0,1)</f>
        <v/>
      </c>
    </row>
    <row r="211">
      <c r="A211">
        <f>IF('KG1-1'!$B19="","",'KG1-1'!$B19)</f>
        <v/>
      </c>
      <c r="B211">
        <f>IF(A211="","",'KG1-1'!$C19)</f>
        <v/>
      </c>
      <c r="C211">
        <f>IF(A211="","",'KG1-1'!$B$2)</f>
        <v/>
      </c>
      <c r="D211" s="126">
        <f t="array" ref="D211">IF(A211="","",IFERROR(SMALL(IF((('KG1-1'!$AD19:$IM19="غياب بدون عذر")+('KG1-1'!$AD19:$IM19="غياب بعذر"))*('KG1-1'!$AD$7:$IM$7="✓"),'KG1-1'!$AD$5:$IM$5),10),""))</f>
        <v/>
      </c>
      <c r="E211">
        <f>IF(D211="","",INDEX('KG1-1'!$AD19:$IM19,MATCH(D211,'KG1-1'!$AD$5:$IM$5,0)))</f>
        <v/>
      </c>
      <c r="F211">
        <f>IF(D211="","",COUNTIFS('KG1-1'!$AD19:$IM19,"غياب بدون عذر",'KG1-1'!$AD$7:$IM$7,"✓",'KG1-1'!$AD$5:$IM$5,"&lt;="&amp;D211))</f>
        <v/>
      </c>
      <c r="G211">
        <f>G210+IF(D211="",0,1)</f>
        <v/>
      </c>
    </row>
    <row r="212">
      <c r="A212">
        <f>IF('KG1-1'!$B19="","",'KG1-1'!$B19)</f>
        <v/>
      </c>
      <c r="B212">
        <f>IF(A212="","",'KG1-1'!$C19)</f>
        <v/>
      </c>
      <c r="C212">
        <f>IF(A212="","",'KG1-1'!$B$2)</f>
        <v/>
      </c>
      <c r="D212" s="126">
        <f t="array" ref="D212">IF(A212="","",IFERROR(SMALL(IF((('KG1-1'!$AD19:$IM19="غياب بدون عذر")+('KG1-1'!$AD19:$IM19="غياب بعذر"))*('KG1-1'!$AD$7:$IM$7="✓"),'KG1-1'!$AD$5:$IM$5),11),""))</f>
        <v/>
      </c>
      <c r="E212">
        <f>IF(D212="","",INDEX('KG1-1'!$AD19:$IM19,MATCH(D212,'KG1-1'!$AD$5:$IM$5,0)))</f>
        <v/>
      </c>
      <c r="F212">
        <f>IF(D212="","",COUNTIFS('KG1-1'!$AD19:$IM19,"غياب بدون عذر",'KG1-1'!$AD$7:$IM$7,"✓",'KG1-1'!$AD$5:$IM$5,"&lt;="&amp;D212))</f>
        <v/>
      </c>
      <c r="G212">
        <f>G211+IF(D212="",0,1)</f>
        <v/>
      </c>
    </row>
    <row r="213">
      <c r="A213">
        <f>IF('KG1-1'!$B19="","",'KG1-1'!$B19)</f>
        <v/>
      </c>
      <c r="B213">
        <f>IF(A213="","",'KG1-1'!$C19)</f>
        <v/>
      </c>
      <c r="C213">
        <f>IF(A213="","",'KG1-1'!$B$2)</f>
        <v/>
      </c>
      <c r="D213" s="126">
        <f t="array" ref="D213">IF(A213="","",IFERROR(SMALL(IF((('KG1-1'!$AD19:$IM19="غياب بدون عذر")+('KG1-1'!$AD19:$IM19="غياب بعذر"))*('KG1-1'!$AD$7:$IM$7="✓"),'KG1-1'!$AD$5:$IM$5),12),""))</f>
        <v/>
      </c>
      <c r="E213">
        <f>IF(D213="","",INDEX('KG1-1'!$AD19:$IM19,MATCH(D213,'KG1-1'!$AD$5:$IM$5,0)))</f>
        <v/>
      </c>
      <c r="F213">
        <f>IF(D213="","",COUNTIFS('KG1-1'!$AD19:$IM19,"غياب بدون عذر",'KG1-1'!$AD$7:$IM$7,"✓",'KG1-1'!$AD$5:$IM$5,"&lt;="&amp;D213))</f>
        <v/>
      </c>
      <c r="G213">
        <f>G212+IF(D213="",0,1)</f>
        <v/>
      </c>
    </row>
    <row r="214">
      <c r="A214">
        <f>IF('KG1-1'!$B19="","",'KG1-1'!$B19)</f>
        <v/>
      </c>
      <c r="B214">
        <f>IF(A214="","",'KG1-1'!$C19)</f>
        <v/>
      </c>
      <c r="C214">
        <f>IF(A214="","",'KG1-1'!$B$2)</f>
        <v/>
      </c>
      <c r="D214" s="126">
        <f t="array" ref="D214">IF(A214="","",IFERROR(SMALL(IF((('KG1-1'!$AD19:$IM19="غياب بدون عذر")+('KG1-1'!$AD19:$IM19="غياب بعذر"))*('KG1-1'!$AD$7:$IM$7="✓"),'KG1-1'!$AD$5:$IM$5),13),""))</f>
        <v/>
      </c>
      <c r="E214">
        <f>IF(D214="","",INDEX('KG1-1'!$AD19:$IM19,MATCH(D214,'KG1-1'!$AD$5:$IM$5,0)))</f>
        <v/>
      </c>
      <c r="F214">
        <f>IF(D214="","",COUNTIFS('KG1-1'!$AD19:$IM19,"غياب بدون عذر",'KG1-1'!$AD$7:$IM$7,"✓",'KG1-1'!$AD$5:$IM$5,"&lt;="&amp;D214))</f>
        <v/>
      </c>
      <c r="G214">
        <f>G213+IF(D214="",0,1)</f>
        <v/>
      </c>
    </row>
    <row r="215">
      <c r="A215">
        <f>IF('KG1-1'!$B19="","",'KG1-1'!$B19)</f>
        <v/>
      </c>
      <c r="B215">
        <f>IF(A215="","",'KG1-1'!$C19)</f>
        <v/>
      </c>
      <c r="C215">
        <f>IF(A215="","",'KG1-1'!$B$2)</f>
        <v/>
      </c>
      <c r="D215" s="126">
        <f t="array" ref="D215">IF(A215="","",IFERROR(SMALL(IF((('KG1-1'!$AD19:$IM19="غياب بدون عذر")+('KG1-1'!$AD19:$IM19="غياب بعذر"))*('KG1-1'!$AD$7:$IM$7="✓"),'KG1-1'!$AD$5:$IM$5),14),""))</f>
        <v/>
      </c>
      <c r="E215">
        <f>IF(D215="","",INDEX('KG1-1'!$AD19:$IM19,MATCH(D215,'KG1-1'!$AD$5:$IM$5,0)))</f>
        <v/>
      </c>
      <c r="F215">
        <f>IF(D215="","",COUNTIFS('KG1-1'!$AD19:$IM19,"غياب بدون عذر",'KG1-1'!$AD$7:$IM$7,"✓",'KG1-1'!$AD$5:$IM$5,"&lt;="&amp;D215))</f>
        <v/>
      </c>
      <c r="G215">
        <f>G214+IF(D215="",0,1)</f>
        <v/>
      </c>
    </row>
    <row r="216">
      <c r="A216">
        <f>IF('KG1-1'!$B19="","",'KG1-1'!$B19)</f>
        <v/>
      </c>
      <c r="B216">
        <f>IF(A216="","",'KG1-1'!$C19)</f>
        <v/>
      </c>
      <c r="C216">
        <f>IF(A216="","",'KG1-1'!$B$2)</f>
        <v/>
      </c>
      <c r="D216" s="126">
        <f t="array" ref="D216">IF(A216="","",IFERROR(SMALL(IF((('KG1-1'!$AD19:$IM19="غياب بدون عذر")+('KG1-1'!$AD19:$IM19="غياب بعذر"))*('KG1-1'!$AD$7:$IM$7="✓"),'KG1-1'!$AD$5:$IM$5),15),""))</f>
        <v/>
      </c>
      <c r="E216">
        <f>IF(D216="","",INDEX('KG1-1'!$AD19:$IM19,MATCH(D216,'KG1-1'!$AD$5:$IM$5,0)))</f>
        <v/>
      </c>
      <c r="F216">
        <f>IF(D216="","",COUNTIFS('KG1-1'!$AD19:$IM19,"غياب بدون عذر",'KG1-1'!$AD$7:$IM$7,"✓",'KG1-1'!$AD$5:$IM$5,"&lt;="&amp;D216))</f>
        <v/>
      </c>
      <c r="G216">
        <f>G215+IF(D216="",0,1)</f>
        <v/>
      </c>
    </row>
    <row r="217">
      <c r="A217">
        <f>IF('KG1-1'!$B19="","",'KG1-1'!$B19)</f>
        <v/>
      </c>
      <c r="B217">
        <f>IF(A217="","",'KG1-1'!$C19)</f>
        <v/>
      </c>
      <c r="C217">
        <f>IF(A217="","",'KG1-1'!$B$2)</f>
        <v/>
      </c>
      <c r="D217" s="126">
        <f t="array" ref="D217">IF(A217="","",IFERROR(SMALL(IF((('KG1-1'!$AD19:$IM19="غياب بدون عذر")+('KG1-1'!$AD19:$IM19="غياب بعذر"))*('KG1-1'!$AD$7:$IM$7="✓"),'KG1-1'!$AD$5:$IM$5),16),""))</f>
        <v/>
      </c>
      <c r="E217">
        <f>IF(D217="","",INDEX('KG1-1'!$AD19:$IM19,MATCH(D217,'KG1-1'!$AD$5:$IM$5,0)))</f>
        <v/>
      </c>
      <c r="F217">
        <f>IF(D217="","",COUNTIFS('KG1-1'!$AD19:$IM19,"غياب بدون عذر",'KG1-1'!$AD$7:$IM$7,"✓",'KG1-1'!$AD$5:$IM$5,"&lt;="&amp;D217))</f>
        <v/>
      </c>
      <c r="G217">
        <f>G216+IF(D217="",0,1)</f>
        <v/>
      </c>
    </row>
    <row r="218">
      <c r="A218">
        <f>IF('KG1-1'!$B19="","",'KG1-1'!$B19)</f>
        <v/>
      </c>
      <c r="B218">
        <f>IF(A218="","",'KG1-1'!$C19)</f>
        <v/>
      </c>
      <c r="C218">
        <f>IF(A218="","",'KG1-1'!$B$2)</f>
        <v/>
      </c>
      <c r="D218" s="126">
        <f t="array" ref="D218">IF(A218="","",IFERROR(SMALL(IF((('KG1-1'!$AD19:$IM19="غياب بدون عذر")+('KG1-1'!$AD19:$IM19="غياب بعذر"))*('KG1-1'!$AD$7:$IM$7="✓"),'KG1-1'!$AD$5:$IM$5),17),""))</f>
        <v/>
      </c>
      <c r="E218">
        <f>IF(D218="","",INDEX('KG1-1'!$AD19:$IM19,MATCH(D218,'KG1-1'!$AD$5:$IM$5,0)))</f>
        <v/>
      </c>
      <c r="F218">
        <f>IF(D218="","",COUNTIFS('KG1-1'!$AD19:$IM19,"غياب بدون عذر",'KG1-1'!$AD$7:$IM$7,"✓",'KG1-1'!$AD$5:$IM$5,"&lt;="&amp;D218))</f>
        <v/>
      </c>
      <c r="G218">
        <f>G217+IF(D218="",0,1)</f>
        <v/>
      </c>
    </row>
    <row r="219">
      <c r="A219">
        <f>IF('KG1-1'!$B19="","",'KG1-1'!$B19)</f>
        <v/>
      </c>
      <c r="B219">
        <f>IF(A219="","",'KG1-1'!$C19)</f>
        <v/>
      </c>
      <c r="C219">
        <f>IF(A219="","",'KG1-1'!$B$2)</f>
        <v/>
      </c>
      <c r="D219" s="126">
        <f t="array" ref="D219">IF(A219="","",IFERROR(SMALL(IF((('KG1-1'!$AD19:$IM19="غياب بدون عذر")+('KG1-1'!$AD19:$IM19="غياب بعذر"))*('KG1-1'!$AD$7:$IM$7="✓"),'KG1-1'!$AD$5:$IM$5),18),""))</f>
        <v/>
      </c>
      <c r="E219">
        <f>IF(D219="","",INDEX('KG1-1'!$AD19:$IM19,MATCH(D219,'KG1-1'!$AD$5:$IM$5,0)))</f>
        <v/>
      </c>
      <c r="F219">
        <f>IF(D219="","",COUNTIFS('KG1-1'!$AD19:$IM19,"غياب بدون عذر",'KG1-1'!$AD$7:$IM$7,"✓",'KG1-1'!$AD$5:$IM$5,"&lt;="&amp;D219))</f>
        <v/>
      </c>
      <c r="G219">
        <f>G218+IF(D219="",0,1)</f>
        <v/>
      </c>
    </row>
    <row r="220">
      <c r="A220">
        <f>IF('KG1-1'!$B19="","",'KG1-1'!$B19)</f>
        <v/>
      </c>
      <c r="B220">
        <f>IF(A220="","",'KG1-1'!$C19)</f>
        <v/>
      </c>
      <c r="C220">
        <f>IF(A220="","",'KG1-1'!$B$2)</f>
        <v/>
      </c>
      <c r="D220" s="126">
        <f t="array" ref="D220">IF(A220="","",IFERROR(SMALL(IF((('KG1-1'!$AD19:$IM19="غياب بدون عذر")+('KG1-1'!$AD19:$IM19="غياب بعذر"))*('KG1-1'!$AD$7:$IM$7="✓"),'KG1-1'!$AD$5:$IM$5),19),""))</f>
        <v/>
      </c>
      <c r="E220">
        <f>IF(D220="","",INDEX('KG1-1'!$AD19:$IM19,MATCH(D220,'KG1-1'!$AD$5:$IM$5,0)))</f>
        <v/>
      </c>
      <c r="F220">
        <f>IF(D220="","",COUNTIFS('KG1-1'!$AD19:$IM19,"غياب بدون عذر",'KG1-1'!$AD$7:$IM$7,"✓",'KG1-1'!$AD$5:$IM$5,"&lt;="&amp;D220))</f>
        <v/>
      </c>
      <c r="G220">
        <f>G219+IF(D220="",0,1)</f>
        <v/>
      </c>
    </row>
    <row r="221">
      <c r="A221">
        <f>IF('KG1-1'!$B19="","",'KG1-1'!$B19)</f>
        <v/>
      </c>
      <c r="B221">
        <f>IF(A221="","",'KG1-1'!$C19)</f>
        <v/>
      </c>
      <c r="C221">
        <f>IF(A221="","",'KG1-1'!$B$2)</f>
        <v/>
      </c>
      <c r="D221" s="126">
        <f t="array" ref="D221">IF(A221="","",IFERROR(SMALL(IF((('KG1-1'!$AD19:$IM19="غياب بدون عذر")+('KG1-1'!$AD19:$IM19="غياب بعذر"))*('KG1-1'!$AD$7:$IM$7="✓"),'KG1-1'!$AD$5:$IM$5),20),""))</f>
        <v/>
      </c>
      <c r="E221">
        <f>IF(D221="","",INDEX('KG1-1'!$AD19:$IM19,MATCH(D221,'KG1-1'!$AD$5:$IM$5,0)))</f>
        <v/>
      </c>
      <c r="F221">
        <f>IF(D221="","",COUNTIFS('KG1-1'!$AD19:$IM19,"غياب بدون عذر",'KG1-1'!$AD$7:$IM$7,"✓",'KG1-1'!$AD$5:$IM$5,"&lt;="&amp;D221))</f>
        <v/>
      </c>
      <c r="G221">
        <f>G220+IF(D221="",0,1)</f>
        <v/>
      </c>
    </row>
    <row r="222">
      <c r="A222">
        <f>IF('KG1-1'!$B20="","",'KG1-1'!$B20)</f>
        <v/>
      </c>
      <c r="B222">
        <f>IF(A222="","",'KG1-1'!$C20)</f>
        <v/>
      </c>
      <c r="C222">
        <f>IF(A222="","",'KG1-1'!$B$2)</f>
        <v/>
      </c>
      <c r="D222" s="126">
        <f t="array" ref="D222">IF(A222="","",IFERROR(SMALL(IF((('KG1-1'!$AD20:$IM20="غياب بدون عذر")+('KG1-1'!$AD20:$IM20="غياب بعذر"))*('KG1-1'!$AD$7:$IM$7="✓"),'KG1-1'!$AD$5:$IM$5),1),""))</f>
        <v/>
      </c>
      <c r="E222">
        <f>IF(D222="","",INDEX('KG1-1'!$AD20:$IM20,MATCH(D222,'KG1-1'!$AD$5:$IM$5,0)))</f>
        <v/>
      </c>
      <c r="F222">
        <f>IF(D222="","",COUNTIFS('KG1-1'!$AD20:$IM20,"غياب بدون عذر",'KG1-1'!$AD$7:$IM$7,"✓",'KG1-1'!$AD$5:$IM$5,"&lt;="&amp;D222))</f>
        <v/>
      </c>
      <c r="G222">
        <f>G221+IF(D222="",0,1)</f>
        <v/>
      </c>
    </row>
    <row r="223">
      <c r="A223">
        <f>IF('KG1-1'!$B20="","",'KG1-1'!$B20)</f>
        <v/>
      </c>
      <c r="B223">
        <f>IF(A223="","",'KG1-1'!$C20)</f>
        <v/>
      </c>
      <c r="C223">
        <f>IF(A223="","",'KG1-1'!$B$2)</f>
        <v/>
      </c>
      <c r="D223" s="126">
        <f t="array" ref="D223">IF(A223="","",IFERROR(SMALL(IF((('KG1-1'!$AD20:$IM20="غياب بدون عذر")+('KG1-1'!$AD20:$IM20="غياب بعذر"))*('KG1-1'!$AD$7:$IM$7="✓"),'KG1-1'!$AD$5:$IM$5),2),""))</f>
        <v/>
      </c>
      <c r="E223">
        <f>IF(D223="","",INDEX('KG1-1'!$AD20:$IM20,MATCH(D223,'KG1-1'!$AD$5:$IM$5,0)))</f>
        <v/>
      </c>
      <c r="F223">
        <f>IF(D223="","",COUNTIFS('KG1-1'!$AD20:$IM20,"غياب بدون عذر",'KG1-1'!$AD$7:$IM$7,"✓",'KG1-1'!$AD$5:$IM$5,"&lt;="&amp;D223))</f>
        <v/>
      </c>
      <c r="G223">
        <f>G222+IF(D223="",0,1)</f>
        <v/>
      </c>
    </row>
    <row r="224">
      <c r="A224">
        <f>IF('KG1-1'!$B20="","",'KG1-1'!$B20)</f>
        <v/>
      </c>
      <c r="B224">
        <f>IF(A224="","",'KG1-1'!$C20)</f>
        <v/>
      </c>
      <c r="C224">
        <f>IF(A224="","",'KG1-1'!$B$2)</f>
        <v/>
      </c>
      <c r="D224" s="126">
        <f t="array" ref="D224">IF(A224="","",IFERROR(SMALL(IF((('KG1-1'!$AD20:$IM20="غياب بدون عذر")+('KG1-1'!$AD20:$IM20="غياب بعذر"))*('KG1-1'!$AD$7:$IM$7="✓"),'KG1-1'!$AD$5:$IM$5),3),""))</f>
        <v/>
      </c>
      <c r="E224">
        <f>IF(D224="","",INDEX('KG1-1'!$AD20:$IM20,MATCH(D224,'KG1-1'!$AD$5:$IM$5,0)))</f>
        <v/>
      </c>
      <c r="F224">
        <f>IF(D224="","",COUNTIFS('KG1-1'!$AD20:$IM20,"غياب بدون عذر",'KG1-1'!$AD$7:$IM$7,"✓",'KG1-1'!$AD$5:$IM$5,"&lt;="&amp;D224))</f>
        <v/>
      </c>
      <c r="G224">
        <f>G223+IF(D224="",0,1)</f>
        <v/>
      </c>
    </row>
    <row r="225">
      <c r="A225">
        <f>IF('KG1-1'!$B20="","",'KG1-1'!$B20)</f>
        <v/>
      </c>
      <c r="B225">
        <f>IF(A225="","",'KG1-1'!$C20)</f>
        <v/>
      </c>
      <c r="C225">
        <f>IF(A225="","",'KG1-1'!$B$2)</f>
        <v/>
      </c>
      <c r="D225" s="126">
        <f t="array" ref="D225">IF(A225="","",IFERROR(SMALL(IF((('KG1-1'!$AD20:$IM20="غياب بدون عذر")+('KG1-1'!$AD20:$IM20="غياب بعذر"))*('KG1-1'!$AD$7:$IM$7="✓"),'KG1-1'!$AD$5:$IM$5),4),""))</f>
        <v/>
      </c>
      <c r="E225">
        <f>IF(D225="","",INDEX('KG1-1'!$AD20:$IM20,MATCH(D225,'KG1-1'!$AD$5:$IM$5,0)))</f>
        <v/>
      </c>
      <c r="F225">
        <f>IF(D225="","",COUNTIFS('KG1-1'!$AD20:$IM20,"غياب بدون عذر",'KG1-1'!$AD$7:$IM$7,"✓",'KG1-1'!$AD$5:$IM$5,"&lt;="&amp;D225))</f>
        <v/>
      </c>
      <c r="G225">
        <f>G224+IF(D225="",0,1)</f>
        <v/>
      </c>
    </row>
    <row r="226">
      <c r="A226">
        <f>IF('KG1-1'!$B20="","",'KG1-1'!$B20)</f>
        <v/>
      </c>
      <c r="B226">
        <f>IF(A226="","",'KG1-1'!$C20)</f>
        <v/>
      </c>
      <c r="C226">
        <f>IF(A226="","",'KG1-1'!$B$2)</f>
        <v/>
      </c>
      <c r="D226" s="126">
        <f t="array" ref="D226">IF(A226="","",IFERROR(SMALL(IF((('KG1-1'!$AD20:$IM20="غياب بدون عذر")+('KG1-1'!$AD20:$IM20="غياب بعذر"))*('KG1-1'!$AD$7:$IM$7="✓"),'KG1-1'!$AD$5:$IM$5),5),""))</f>
        <v/>
      </c>
      <c r="E226">
        <f>IF(D226="","",INDEX('KG1-1'!$AD20:$IM20,MATCH(D226,'KG1-1'!$AD$5:$IM$5,0)))</f>
        <v/>
      </c>
      <c r="F226">
        <f>IF(D226="","",COUNTIFS('KG1-1'!$AD20:$IM20,"غياب بدون عذر",'KG1-1'!$AD$7:$IM$7,"✓",'KG1-1'!$AD$5:$IM$5,"&lt;="&amp;D226))</f>
        <v/>
      </c>
      <c r="G226">
        <f>G225+IF(D226="",0,1)</f>
        <v/>
      </c>
    </row>
    <row r="227">
      <c r="A227">
        <f>IF('KG1-1'!$B20="","",'KG1-1'!$B20)</f>
        <v/>
      </c>
      <c r="B227">
        <f>IF(A227="","",'KG1-1'!$C20)</f>
        <v/>
      </c>
      <c r="C227">
        <f>IF(A227="","",'KG1-1'!$B$2)</f>
        <v/>
      </c>
      <c r="D227" s="126">
        <f t="array" ref="D227">IF(A227="","",IFERROR(SMALL(IF((('KG1-1'!$AD20:$IM20="غياب بدون عذر")+('KG1-1'!$AD20:$IM20="غياب بعذر"))*('KG1-1'!$AD$7:$IM$7="✓"),'KG1-1'!$AD$5:$IM$5),6),""))</f>
        <v/>
      </c>
      <c r="E227">
        <f>IF(D227="","",INDEX('KG1-1'!$AD20:$IM20,MATCH(D227,'KG1-1'!$AD$5:$IM$5,0)))</f>
        <v/>
      </c>
      <c r="F227">
        <f>IF(D227="","",COUNTIFS('KG1-1'!$AD20:$IM20,"غياب بدون عذر",'KG1-1'!$AD$7:$IM$7,"✓",'KG1-1'!$AD$5:$IM$5,"&lt;="&amp;D227))</f>
        <v/>
      </c>
      <c r="G227">
        <f>G226+IF(D227="",0,1)</f>
        <v/>
      </c>
    </row>
    <row r="228">
      <c r="A228">
        <f>IF('KG1-1'!$B20="","",'KG1-1'!$B20)</f>
        <v/>
      </c>
      <c r="B228">
        <f>IF(A228="","",'KG1-1'!$C20)</f>
        <v/>
      </c>
      <c r="C228">
        <f>IF(A228="","",'KG1-1'!$B$2)</f>
        <v/>
      </c>
      <c r="D228" s="126">
        <f t="array" ref="D228">IF(A228="","",IFERROR(SMALL(IF((('KG1-1'!$AD20:$IM20="غياب بدون عذر")+('KG1-1'!$AD20:$IM20="غياب بعذر"))*('KG1-1'!$AD$7:$IM$7="✓"),'KG1-1'!$AD$5:$IM$5),7),""))</f>
        <v/>
      </c>
      <c r="E228">
        <f>IF(D228="","",INDEX('KG1-1'!$AD20:$IM20,MATCH(D228,'KG1-1'!$AD$5:$IM$5,0)))</f>
        <v/>
      </c>
      <c r="F228">
        <f>IF(D228="","",COUNTIFS('KG1-1'!$AD20:$IM20,"غياب بدون عذر",'KG1-1'!$AD$7:$IM$7,"✓",'KG1-1'!$AD$5:$IM$5,"&lt;="&amp;D228))</f>
        <v/>
      </c>
      <c r="G228">
        <f>G227+IF(D228="",0,1)</f>
        <v/>
      </c>
    </row>
    <row r="229">
      <c r="A229">
        <f>IF('KG1-1'!$B20="","",'KG1-1'!$B20)</f>
        <v/>
      </c>
      <c r="B229">
        <f>IF(A229="","",'KG1-1'!$C20)</f>
        <v/>
      </c>
      <c r="C229">
        <f>IF(A229="","",'KG1-1'!$B$2)</f>
        <v/>
      </c>
      <c r="D229" s="126">
        <f t="array" ref="D229">IF(A229="","",IFERROR(SMALL(IF((('KG1-1'!$AD20:$IM20="غياب بدون عذر")+('KG1-1'!$AD20:$IM20="غياب بعذر"))*('KG1-1'!$AD$7:$IM$7="✓"),'KG1-1'!$AD$5:$IM$5),8),""))</f>
        <v/>
      </c>
      <c r="E229">
        <f>IF(D229="","",INDEX('KG1-1'!$AD20:$IM20,MATCH(D229,'KG1-1'!$AD$5:$IM$5,0)))</f>
        <v/>
      </c>
      <c r="F229">
        <f>IF(D229="","",COUNTIFS('KG1-1'!$AD20:$IM20,"غياب بدون عذر",'KG1-1'!$AD$7:$IM$7,"✓",'KG1-1'!$AD$5:$IM$5,"&lt;="&amp;D229))</f>
        <v/>
      </c>
      <c r="G229">
        <f>G228+IF(D229="",0,1)</f>
        <v/>
      </c>
    </row>
    <row r="230">
      <c r="A230">
        <f>IF('KG1-1'!$B20="","",'KG1-1'!$B20)</f>
        <v/>
      </c>
      <c r="B230">
        <f>IF(A230="","",'KG1-1'!$C20)</f>
        <v/>
      </c>
      <c r="C230">
        <f>IF(A230="","",'KG1-1'!$B$2)</f>
        <v/>
      </c>
      <c r="D230" s="126">
        <f t="array" ref="D230">IF(A230="","",IFERROR(SMALL(IF((('KG1-1'!$AD20:$IM20="غياب بدون عذر")+('KG1-1'!$AD20:$IM20="غياب بعذر"))*('KG1-1'!$AD$7:$IM$7="✓"),'KG1-1'!$AD$5:$IM$5),9),""))</f>
        <v/>
      </c>
      <c r="E230">
        <f>IF(D230="","",INDEX('KG1-1'!$AD20:$IM20,MATCH(D230,'KG1-1'!$AD$5:$IM$5,0)))</f>
        <v/>
      </c>
      <c r="F230">
        <f>IF(D230="","",COUNTIFS('KG1-1'!$AD20:$IM20,"غياب بدون عذر",'KG1-1'!$AD$7:$IM$7,"✓",'KG1-1'!$AD$5:$IM$5,"&lt;="&amp;D230))</f>
        <v/>
      </c>
      <c r="G230">
        <f>G229+IF(D230="",0,1)</f>
        <v/>
      </c>
    </row>
    <row r="231">
      <c r="A231">
        <f>IF('KG1-1'!$B20="","",'KG1-1'!$B20)</f>
        <v/>
      </c>
      <c r="B231">
        <f>IF(A231="","",'KG1-1'!$C20)</f>
        <v/>
      </c>
      <c r="C231">
        <f>IF(A231="","",'KG1-1'!$B$2)</f>
        <v/>
      </c>
      <c r="D231" s="126">
        <f t="array" ref="D231">IF(A231="","",IFERROR(SMALL(IF((('KG1-1'!$AD20:$IM20="غياب بدون عذر")+('KG1-1'!$AD20:$IM20="غياب بعذر"))*('KG1-1'!$AD$7:$IM$7="✓"),'KG1-1'!$AD$5:$IM$5),10),""))</f>
        <v/>
      </c>
      <c r="E231">
        <f>IF(D231="","",INDEX('KG1-1'!$AD20:$IM20,MATCH(D231,'KG1-1'!$AD$5:$IM$5,0)))</f>
        <v/>
      </c>
      <c r="F231">
        <f>IF(D231="","",COUNTIFS('KG1-1'!$AD20:$IM20,"غياب بدون عذر",'KG1-1'!$AD$7:$IM$7,"✓",'KG1-1'!$AD$5:$IM$5,"&lt;="&amp;D231))</f>
        <v/>
      </c>
      <c r="G231">
        <f>G230+IF(D231="",0,1)</f>
        <v/>
      </c>
    </row>
    <row r="232">
      <c r="A232">
        <f>IF('KG1-1'!$B20="","",'KG1-1'!$B20)</f>
        <v/>
      </c>
      <c r="B232">
        <f>IF(A232="","",'KG1-1'!$C20)</f>
        <v/>
      </c>
      <c r="C232">
        <f>IF(A232="","",'KG1-1'!$B$2)</f>
        <v/>
      </c>
      <c r="D232" s="126">
        <f t="array" ref="D232">IF(A232="","",IFERROR(SMALL(IF((('KG1-1'!$AD20:$IM20="غياب بدون عذر")+('KG1-1'!$AD20:$IM20="غياب بعذر"))*('KG1-1'!$AD$7:$IM$7="✓"),'KG1-1'!$AD$5:$IM$5),11),""))</f>
        <v/>
      </c>
      <c r="E232">
        <f>IF(D232="","",INDEX('KG1-1'!$AD20:$IM20,MATCH(D232,'KG1-1'!$AD$5:$IM$5,0)))</f>
        <v/>
      </c>
      <c r="F232">
        <f>IF(D232="","",COUNTIFS('KG1-1'!$AD20:$IM20,"غياب بدون عذر",'KG1-1'!$AD$7:$IM$7,"✓",'KG1-1'!$AD$5:$IM$5,"&lt;="&amp;D232))</f>
        <v/>
      </c>
      <c r="G232">
        <f>G231+IF(D232="",0,1)</f>
        <v/>
      </c>
    </row>
    <row r="233">
      <c r="A233">
        <f>IF('KG1-1'!$B20="","",'KG1-1'!$B20)</f>
        <v/>
      </c>
      <c r="B233">
        <f>IF(A233="","",'KG1-1'!$C20)</f>
        <v/>
      </c>
      <c r="C233">
        <f>IF(A233="","",'KG1-1'!$B$2)</f>
        <v/>
      </c>
      <c r="D233" s="126">
        <f t="array" ref="D233">IF(A233="","",IFERROR(SMALL(IF((('KG1-1'!$AD20:$IM20="غياب بدون عذر")+('KG1-1'!$AD20:$IM20="غياب بعذر"))*('KG1-1'!$AD$7:$IM$7="✓"),'KG1-1'!$AD$5:$IM$5),12),""))</f>
        <v/>
      </c>
      <c r="E233">
        <f>IF(D233="","",INDEX('KG1-1'!$AD20:$IM20,MATCH(D233,'KG1-1'!$AD$5:$IM$5,0)))</f>
        <v/>
      </c>
      <c r="F233">
        <f>IF(D233="","",COUNTIFS('KG1-1'!$AD20:$IM20,"غياب بدون عذر",'KG1-1'!$AD$7:$IM$7,"✓",'KG1-1'!$AD$5:$IM$5,"&lt;="&amp;D233))</f>
        <v/>
      </c>
      <c r="G233">
        <f>G232+IF(D233="",0,1)</f>
        <v/>
      </c>
    </row>
    <row r="234">
      <c r="A234">
        <f>IF('KG1-1'!$B20="","",'KG1-1'!$B20)</f>
        <v/>
      </c>
      <c r="B234">
        <f>IF(A234="","",'KG1-1'!$C20)</f>
        <v/>
      </c>
      <c r="C234">
        <f>IF(A234="","",'KG1-1'!$B$2)</f>
        <v/>
      </c>
      <c r="D234" s="126">
        <f t="array" ref="D234">IF(A234="","",IFERROR(SMALL(IF((('KG1-1'!$AD20:$IM20="غياب بدون عذر")+('KG1-1'!$AD20:$IM20="غياب بعذر"))*('KG1-1'!$AD$7:$IM$7="✓"),'KG1-1'!$AD$5:$IM$5),13),""))</f>
        <v/>
      </c>
      <c r="E234">
        <f>IF(D234="","",INDEX('KG1-1'!$AD20:$IM20,MATCH(D234,'KG1-1'!$AD$5:$IM$5,0)))</f>
        <v/>
      </c>
      <c r="F234">
        <f>IF(D234="","",COUNTIFS('KG1-1'!$AD20:$IM20,"غياب بدون عذر",'KG1-1'!$AD$7:$IM$7,"✓",'KG1-1'!$AD$5:$IM$5,"&lt;="&amp;D234))</f>
        <v/>
      </c>
      <c r="G234">
        <f>G233+IF(D234="",0,1)</f>
        <v/>
      </c>
    </row>
    <row r="235">
      <c r="A235">
        <f>IF('KG1-1'!$B20="","",'KG1-1'!$B20)</f>
        <v/>
      </c>
      <c r="B235">
        <f>IF(A235="","",'KG1-1'!$C20)</f>
        <v/>
      </c>
      <c r="C235">
        <f>IF(A235="","",'KG1-1'!$B$2)</f>
        <v/>
      </c>
      <c r="D235" s="126">
        <f t="array" ref="D235">IF(A235="","",IFERROR(SMALL(IF((('KG1-1'!$AD20:$IM20="غياب بدون عذر")+('KG1-1'!$AD20:$IM20="غياب بعذر"))*('KG1-1'!$AD$7:$IM$7="✓"),'KG1-1'!$AD$5:$IM$5),14),""))</f>
        <v/>
      </c>
      <c r="E235">
        <f>IF(D235="","",INDEX('KG1-1'!$AD20:$IM20,MATCH(D235,'KG1-1'!$AD$5:$IM$5,0)))</f>
        <v/>
      </c>
      <c r="F235">
        <f>IF(D235="","",COUNTIFS('KG1-1'!$AD20:$IM20,"غياب بدون عذر",'KG1-1'!$AD$7:$IM$7,"✓",'KG1-1'!$AD$5:$IM$5,"&lt;="&amp;D235))</f>
        <v/>
      </c>
      <c r="G235">
        <f>G234+IF(D235="",0,1)</f>
        <v/>
      </c>
    </row>
    <row r="236">
      <c r="A236">
        <f>IF('KG1-1'!$B20="","",'KG1-1'!$B20)</f>
        <v/>
      </c>
      <c r="B236">
        <f>IF(A236="","",'KG1-1'!$C20)</f>
        <v/>
      </c>
      <c r="C236">
        <f>IF(A236="","",'KG1-1'!$B$2)</f>
        <v/>
      </c>
      <c r="D236" s="126">
        <f t="array" ref="D236">IF(A236="","",IFERROR(SMALL(IF((('KG1-1'!$AD20:$IM20="غياب بدون عذر")+('KG1-1'!$AD20:$IM20="غياب بعذر"))*('KG1-1'!$AD$7:$IM$7="✓"),'KG1-1'!$AD$5:$IM$5),15),""))</f>
        <v/>
      </c>
      <c r="E236">
        <f>IF(D236="","",INDEX('KG1-1'!$AD20:$IM20,MATCH(D236,'KG1-1'!$AD$5:$IM$5,0)))</f>
        <v/>
      </c>
      <c r="F236">
        <f>IF(D236="","",COUNTIFS('KG1-1'!$AD20:$IM20,"غياب بدون عذر",'KG1-1'!$AD$7:$IM$7,"✓",'KG1-1'!$AD$5:$IM$5,"&lt;="&amp;D236))</f>
        <v/>
      </c>
      <c r="G236">
        <f>G235+IF(D236="",0,1)</f>
        <v/>
      </c>
    </row>
    <row r="237">
      <c r="A237">
        <f>IF('KG1-1'!$B20="","",'KG1-1'!$B20)</f>
        <v/>
      </c>
      <c r="B237">
        <f>IF(A237="","",'KG1-1'!$C20)</f>
        <v/>
      </c>
      <c r="C237">
        <f>IF(A237="","",'KG1-1'!$B$2)</f>
        <v/>
      </c>
      <c r="D237" s="126">
        <f t="array" ref="D237">IF(A237="","",IFERROR(SMALL(IF((('KG1-1'!$AD20:$IM20="غياب بدون عذر")+('KG1-1'!$AD20:$IM20="غياب بعذر"))*('KG1-1'!$AD$7:$IM$7="✓"),'KG1-1'!$AD$5:$IM$5),16),""))</f>
        <v/>
      </c>
      <c r="E237">
        <f>IF(D237="","",INDEX('KG1-1'!$AD20:$IM20,MATCH(D237,'KG1-1'!$AD$5:$IM$5,0)))</f>
        <v/>
      </c>
      <c r="F237">
        <f>IF(D237="","",COUNTIFS('KG1-1'!$AD20:$IM20,"غياب بدون عذر",'KG1-1'!$AD$7:$IM$7,"✓",'KG1-1'!$AD$5:$IM$5,"&lt;="&amp;D237))</f>
        <v/>
      </c>
      <c r="G237">
        <f>G236+IF(D237="",0,1)</f>
        <v/>
      </c>
    </row>
    <row r="238">
      <c r="A238">
        <f>IF('KG1-1'!$B20="","",'KG1-1'!$B20)</f>
        <v/>
      </c>
      <c r="B238">
        <f>IF(A238="","",'KG1-1'!$C20)</f>
        <v/>
      </c>
      <c r="C238">
        <f>IF(A238="","",'KG1-1'!$B$2)</f>
        <v/>
      </c>
      <c r="D238" s="126">
        <f t="array" ref="D238">IF(A238="","",IFERROR(SMALL(IF((('KG1-1'!$AD20:$IM20="غياب بدون عذر")+('KG1-1'!$AD20:$IM20="غياب بعذر"))*('KG1-1'!$AD$7:$IM$7="✓"),'KG1-1'!$AD$5:$IM$5),17),""))</f>
        <v/>
      </c>
      <c r="E238">
        <f>IF(D238="","",INDEX('KG1-1'!$AD20:$IM20,MATCH(D238,'KG1-1'!$AD$5:$IM$5,0)))</f>
        <v/>
      </c>
      <c r="F238">
        <f>IF(D238="","",COUNTIFS('KG1-1'!$AD20:$IM20,"غياب بدون عذر",'KG1-1'!$AD$7:$IM$7,"✓",'KG1-1'!$AD$5:$IM$5,"&lt;="&amp;D238))</f>
        <v/>
      </c>
      <c r="G238">
        <f>G237+IF(D238="",0,1)</f>
        <v/>
      </c>
    </row>
    <row r="239">
      <c r="A239">
        <f>IF('KG1-1'!$B20="","",'KG1-1'!$B20)</f>
        <v/>
      </c>
      <c r="B239">
        <f>IF(A239="","",'KG1-1'!$C20)</f>
        <v/>
      </c>
      <c r="C239">
        <f>IF(A239="","",'KG1-1'!$B$2)</f>
        <v/>
      </c>
      <c r="D239" s="126">
        <f t="array" ref="D239">IF(A239="","",IFERROR(SMALL(IF((('KG1-1'!$AD20:$IM20="غياب بدون عذر")+('KG1-1'!$AD20:$IM20="غياب بعذر"))*('KG1-1'!$AD$7:$IM$7="✓"),'KG1-1'!$AD$5:$IM$5),18),""))</f>
        <v/>
      </c>
      <c r="E239">
        <f>IF(D239="","",INDEX('KG1-1'!$AD20:$IM20,MATCH(D239,'KG1-1'!$AD$5:$IM$5,0)))</f>
        <v/>
      </c>
      <c r="F239">
        <f>IF(D239="","",COUNTIFS('KG1-1'!$AD20:$IM20,"غياب بدون عذر",'KG1-1'!$AD$7:$IM$7,"✓",'KG1-1'!$AD$5:$IM$5,"&lt;="&amp;D239))</f>
        <v/>
      </c>
      <c r="G239">
        <f>G238+IF(D239="",0,1)</f>
        <v/>
      </c>
    </row>
    <row r="240">
      <c r="A240">
        <f>IF('KG1-1'!$B20="","",'KG1-1'!$B20)</f>
        <v/>
      </c>
      <c r="B240">
        <f>IF(A240="","",'KG1-1'!$C20)</f>
        <v/>
      </c>
      <c r="C240">
        <f>IF(A240="","",'KG1-1'!$B$2)</f>
        <v/>
      </c>
      <c r="D240" s="126">
        <f t="array" ref="D240">IF(A240="","",IFERROR(SMALL(IF((('KG1-1'!$AD20:$IM20="غياب بدون عذر")+('KG1-1'!$AD20:$IM20="غياب بعذر"))*('KG1-1'!$AD$7:$IM$7="✓"),'KG1-1'!$AD$5:$IM$5),19),""))</f>
        <v/>
      </c>
      <c r="E240">
        <f>IF(D240="","",INDEX('KG1-1'!$AD20:$IM20,MATCH(D240,'KG1-1'!$AD$5:$IM$5,0)))</f>
        <v/>
      </c>
      <c r="F240">
        <f>IF(D240="","",COUNTIFS('KG1-1'!$AD20:$IM20,"غياب بدون عذر",'KG1-1'!$AD$7:$IM$7,"✓",'KG1-1'!$AD$5:$IM$5,"&lt;="&amp;D240))</f>
        <v/>
      </c>
      <c r="G240">
        <f>G239+IF(D240="",0,1)</f>
        <v/>
      </c>
    </row>
    <row r="241">
      <c r="A241">
        <f>IF('KG1-1'!$B20="","",'KG1-1'!$B20)</f>
        <v/>
      </c>
      <c r="B241">
        <f>IF(A241="","",'KG1-1'!$C20)</f>
        <v/>
      </c>
      <c r="C241">
        <f>IF(A241="","",'KG1-1'!$B$2)</f>
        <v/>
      </c>
      <c r="D241" s="126">
        <f t="array" ref="D241">IF(A241="","",IFERROR(SMALL(IF((('KG1-1'!$AD20:$IM20="غياب بدون عذر")+('KG1-1'!$AD20:$IM20="غياب بعذر"))*('KG1-1'!$AD$7:$IM$7="✓"),'KG1-1'!$AD$5:$IM$5),20),""))</f>
        <v/>
      </c>
      <c r="E241">
        <f>IF(D241="","",INDEX('KG1-1'!$AD20:$IM20,MATCH(D241,'KG1-1'!$AD$5:$IM$5,0)))</f>
        <v/>
      </c>
      <c r="F241">
        <f>IF(D241="","",COUNTIFS('KG1-1'!$AD20:$IM20,"غياب بدون عذر",'KG1-1'!$AD$7:$IM$7,"✓",'KG1-1'!$AD$5:$IM$5,"&lt;="&amp;D241))</f>
        <v/>
      </c>
      <c r="G241">
        <f>G240+IF(D241="",0,1)</f>
        <v/>
      </c>
    </row>
    <row r="242">
      <c r="A242">
        <f>IF('KG1-1'!$B21="","",'KG1-1'!$B21)</f>
        <v/>
      </c>
      <c r="B242">
        <f>IF(A242="","",'KG1-1'!$C21)</f>
        <v/>
      </c>
      <c r="C242">
        <f>IF(A242="","",'KG1-1'!$B$2)</f>
        <v/>
      </c>
      <c r="D242" s="126">
        <f t="array" ref="D242">IF(A242="","",IFERROR(SMALL(IF((('KG1-1'!$AD21:$IM21="غياب بدون عذر")+('KG1-1'!$AD21:$IM21="غياب بعذر"))*('KG1-1'!$AD$7:$IM$7="✓"),'KG1-1'!$AD$5:$IM$5),1),""))</f>
        <v/>
      </c>
      <c r="E242">
        <f>IF(D242="","",INDEX('KG1-1'!$AD21:$IM21,MATCH(D242,'KG1-1'!$AD$5:$IM$5,0)))</f>
        <v/>
      </c>
      <c r="F242">
        <f>IF(D242="","",COUNTIFS('KG1-1'!$AD21:$IM21,"غياب بدون عذر",'KG1-1'!$AD$7:$IM$7,"✓",'KG1-1'!$AD$5:$IM$5,"&lt;="&amp;D242))</f>
        <v/>
      </c>
      <c r="G242">
        <f>G241+IF(D242="",0,1)</f>
        <v/>
      </c>
    </row>
    <row r="243">
      <c r="A243">
        <f>IF('KG1-1'!$B21="","",'KG1-1'!$B21)</f>
        <v/>
      </c>
      <c r="B243">
        <f>IF(A243="","",'KG1-1'!$C21)</f>
        <v/>
      </c>
      <c r="C243">
        <f>IF(A243="","",'KG1-1'!$B$2)</f>
        <v/>
      </c>
      <c r="D243" s="126">
        <f t="array" ref="D243">IF(A243="","",IFERROR(SMALL(IF((('KG1-1'!$AD21:$IM21="غياب بدون عذر")+('KG1-1'!$AD21:$IM21="غياب بعذر"))*('KG1-1'!$AD$7:$IM$7="✓"),'KG1-1'!$AD$5:$IM$5),2),""))</f>
        <v/>
      </c>
      <c r="E243">
        <f>IF(D243="","",INDEX('KG1-1'!$AD21:$IM21,MATCH(D243,'KG1-1'!$AD$5:$IM$5,0)))</f>
        <v/>
      </c>
      <c r="F243">
        <f>IF(D243="","",COUNTIFS('KG1-1'!$AD21:$IM21,"غياب بدون عذر",'KG1-1'!$AD$7:$IM$7,"✓",'KG1-1'!$AD$5:$IM$5,"&lt;="&amp;D243))</f>
        <v/>
      </c>
      <c r="G243">
        <f>G242+IF(D243="",0,1)</f>
        <v/>
      </c>
    </row>
    <row r="244">
      <c r="A244">
        <f>IF('KG1-1'!$B21="","",'KG1-1'!$B21)</f>
        <v/>
      </c>
      <c r="B244">
        <f>IF(A244="","",'KG1-1'!$C21)</f>
        <v/>
      </c>
      <c r="C244">
        <f>IF(A244="","",'KG1-1'!$B$2)</f>
        <v/>
      </c>
      <c r="D244" s="126">
        <f t="array" ref="D244">IF(A244="","",IFERROR(SMALL(IF((('KG1-1'!$AD21:$IM21="غياب بدون عذر")+('KG1-1'!$AD21:$IM21="غياب بعذر"))*('KG1-1'!$AD$7:$IM$7="✓"),'KG1-1'!$AD$5:$IM$5),3),""))</f>
        <v/>
      </c>
      <c r="E244">
        <f>IF(D244="","",INDEX('KG1-1'!$AD21:$IM21,MATCH(D244,'KG1-1'!$AD$5:$IM$5,0)))</f>
        <v/>
      </c>
      <c r="F244">
        <f>IF(D244="","",COUNTIFS('KG1-1'!$AD21:$IM21,"غياب بدون عذر",'KG1-1'!$AD$7:$IM$7,"✓",'KG1-1'!$AD$5:$IM$5,"&lt;="&amp;D244))</f>
        <v/>
      </c>
      <c r="G244">
        <f>G243+IF(D244="",0,1)</f>
        <v/>
      </c>
    </row>
    <row r="245">
      <c r="A245">
        <f>IF('KG1-1'!$B21="","",'KG1-1'!$B21)</f>
        <v/>
      </c>
      <c r="B245">
        <f>IF(A245="","",'KG1-1'!$C21)</f>
        <v/>
      </c>
      <c r="C245">
        <f>IF(A245="","",'KG1-1'!$B$2)</f>
        <v/>
      </c>
      <c r="D245" s="126">
        <f t="array" ref="D245">IF(A245="","",IFERROR(SMALL(IF((('KG1-1'!$AD21:$IM21="غياب بدون عذر")+('KG1-1'!$AD21:$IM21="غياب بعذر"))*('KG1-1'!$AD$7:$IM$7="✓"),'KG1-1'!$AD$5:$IM$5),4),""))</f>
        <v/>
      </c>
      <c r="E245">
        <f>IF(D245="","",INDEX('KG1-1'!$AD21:$IM21,MATCH(D245,'KG1-1'!$AD$5:$IM$5,0)))</f>
        <v/>
      </c>
      <c r="F245">
        <f>IF(D245="","",COUNTIFS('KG1-1'!$AD21:$IM21,"غياب بدون عذر",'KG1-1'!$AD$7:$IM$7,"✓",'KG1-1'!$AD$5:$IM$5,"&lt;="&amp;D245))</f>
        <v/>
      </c>
      <c r="G245">
        <f>G244+IF(D245="",0,1)</f>
        <v/>
      </c>
    </row>
    <row r="246">
      <c r="A246">
        <f>IF('KG1-1'!$B21="","",'KG1-1'!$B21)</f>
        <v/>
      </c>
      <c r="B246">
        <f>IF(A246="","",'KG1-1'!$C21)</f>
        <v/>
      </c>
      <c r="C246">
        <f>IF(A246="","",'KG1-1'!$B$2)</f>
        <v/>
      </c>
      <c r="D246" s="126">
        <f t="array" ref="D246">IF(A246="","",IFERROR(SMALL(IF((('KG1-1'!$AD21:$IM21="غياب بدون عذر")+('KG1-1'!$AD21:$IM21="غياب بعذر"))*('KG1-1'!$AD$7:$IM$7="✓"),'KG1-1'!$AD$5:$IM$5),5),""))</f>
        <v/>
      </c>
      <c r="E246">
        <f>IF(D246="","",INDEX('KG1-1'!$AD21:$IM21,MATCH(D246,'KG1-1'!$AD$5:$IM$5,0)))</f>
        <v/>
      </c>
      <c r="F246">
        <f>IF(D246="","",COUNTIFS('KG1-1'!$AD21:$IM21,"غياب بدون عذر",'KG1-1'!$AD$7:$IM$7,"✓",'KG1-1'!$AD$5:$IM$5,"&lt;="&amp;D246))</f>
        <v/>
      </c>
      <c r="G246">
        <f>G245+IF(D246="",0,1)</f>
        <v/>
      </c>
    </row>
    <row r="247">
      <c r="A247">
        <f>IF('KG1-1'!$B21="","",'KG1-1'!$B21)</f>
        <v/>
      </c>
      <c r="B247">
        <f>IF(A247="","",'KG1-1'!$C21)</f>
        <v/>
      </c>
      <c r="C247">
        <f>IF(A247="","",'KG1-1'!$B$2)</f>
        <v/>
      </c>
      <c r="D247" s="126">
        <f t="array" ref="D247">IF(A247="","",IFERROR(SMALL(IF((('KG1-1'!$AD21:$IM21="غياب بدون عذر")+('KG1-1'!$AD21:$IM21="غياب بعذر"))*('KG1-1'!$AD$7:$IM$7="✓"),'KG1-1'!$AD$5:$IM$5),6),""))</f>
        <v/>
      </c>
      <c r="E247">
        <f>IF(D247="","",INDEX('KG1-1'!$AD21:$IM21,MATCH(D247,'KG1-1'!$AD$5:$IM$5,0)))</f>
        <v/>
      </c>
      <c r="F247">
        <f>IF(D247="","",COUNTIFS('KG1-1'!$AD21:$IM21,"غياب بدون عذر",'KG1-1'!$AD$7:$IM$7,"✓",'KG1-1'!$AD$5:$IM$5,"&lt;="&amp;D247))</f>
        <v/>
      </c>
      <c r="G247">
        <f>G246+IF(D247="",0,1)</f>
        <v/>
      </c>
    </row>
    <row r="248">
      <c r="A248">
        <f>IF('KG1-1'!$B21="","",'KG1-1'!$B21)</f>
        <v/>
      </c>
      <c r="B248">
        <f>IF(A248="","",'KG1-1'!$C21)</f>
        <v/>
      </c>
      <c r="C248">
        <f>IF(A248="","",'KG1-1'!$B$2)</f>
        <v/>
      </c>
      <c r="D248" s="126">
        <f t="array" ref="D248">IF(A248="","",IFERROR(SMALL(IF((('KG1-1'!$AD21:$IM21="غياب بدون عذر")+('KG1-1'!$AD21:$IM21="غياب بعذر"))*('KG1-1'!$AD$7:$IM$7="✓"),'KG1-1'!$AD$5:$IM$5),7),""))</f>
        <v/>
      </c>
      <c r="E248">
        <f>IF(D248="","",INDEX('KG1-1'!$AD21:$IM21,MATCH(D248,'KG1-1'!$AD$5:$IM$5,0)))</f>
        <v/>
      </c>
      <c r="F248">
        <f>IF(D248="","",COUNTIFS('KG1-1'!$AD21:$IM21,"غياب بدون عذر",'KG1-1'!$AD$7:$IM$7,"✓",'KG1-1'!$AD$5:$IM$5,"&lt;="&amp;D248))</f>
        <v/>
      </c>
      <c r="G248">
        <f>G247+IF(D248="",0,1)</f>
        <v/>
      </c>
    </row>
    <row r="249">
      <c r="A249">
        <f>IF('KG1-1'!$B21="","",'KG1-1'!$B21)</f>
        <v/>
      </c>
      <c r="B249">
        <f>IF(A249="","",'KG1-1'!$C21)</f>
        <v/>
      </c>
      <c r="C249">
        <f>IF(A249="","",'KG1-1'!$B$2)</f>
        <v/>
      </c>
      <c r="D249" s="126">
        <f t="array" ref="D249">IF(A249="","",IFERROR(SMALL(IF((('KG1-1'!$AD21:$IM21="غياب بدون عذر")+('KG1-1'!$AD21:$IM21="غياب بعذر"))*('KG1-1'!$AD$7:$IM$7="✓"),'KG1-1'!$AD$5:$IM$5),8),""))</f>
        <v/>
      </c>
      <c r="E249">
        <f>IF(D249="","",INDEX('KG1-1'!$AD21:$IM21,MATCH(D249,'KG1-1'!$AD$5:$IM$5,0)))</f>
        <v/>
      </c>
      <c r="F249">
        <f>IF(D249="","",COUNTIFS('KG1-1'!$AD21:$IM21,"غياب بدون عذر",'KG1-1'!$AD$7:$IM$7,"✓",'KG1-1'!$AD$5:$IM$5,"&lt;="&amp;D249))</f>
        <v/>
      </c>
      <c r="G249">
        <f>G248+IF(D249="",0,1)</f>
        <v/>
      </c>
    </row>
    <row r="250">
      <c r="A250">
        <f>IF('KG1-1'!$B21="","",'KG1-1'!$B21)</f>
        <v/>
      </c>
      <c r="B250">
        <f>IF(A250="","",'KG1-1'!$C21)</f>
        <v/>
      </c>
      <c r="C250">
        <f>IF(A250="","",'KG1-1'!$B$2)</f>
        <v/>
      </c>
      <c r="D250" s="126">
        <f t="array" ref="D250">IF(A250="","",IFERROR(SMALL(IF((('KG1-1'!$AD21:$IM21="غياب بدون عذر")+('KG1-1'!$AD21:$IM21="غياب بعذر"))*('KG1-1'!$AD$7:$IM$7="✓"),'KG1-1'!$AD$5:$IM$5),9),""))</f>
        <v/>
      </c>
      <c r="E250">
        <f>IF(D250="","",INDEX('KG1-1'!$AD21:$IM21,MATCH(D250,'KG1-1'!$AD$5:$IM$5,0)))</f>
        <v/>
      </c>
      <c r="F250">
        <f>IF(D250="","",COUNTIFS('KG1-1'!$AD21:$IM21,"غياب بدون عذر",'KG1-1'!$AD$7:$IM$7,"✓",'KG1-1'!$AD$5:$IM$5,"&lt;="&amp;D250))</f>
        <v/>
      </c>
      <c r="G250">
        <f>G249+IF(D250="",0,1)</f>
        <v/>
      </c>
    </row>
    <row r="251">
      <c r="A251">
        <f>IF('KG1-1'!$B21="","",'KG1-1'!$B21)</f>
        <v/>
      </c>
      <c r="B251">
        <f>IF(A251="","",'KG1-1'!$C21)</f>
        <v/>
      </c>
      <c r="C251">
        <f>IF(A251="","",'KG1-1'!$B$2)</f>
        <v/>
      </c>
      <c r="D251" s="126">
        <f t="array" ref="D251">IF(A251="","",IFERROR(SMALL(IF((('KG1-1'!$AD21:$IM21="غياب بدون عذر")+('KG1-1'!$AD21:$IM21="غياب بعذر"))*('KG1-1'!$AD$7:$IM$7="✓"),'KG1-1'!$AD$5:$IM$5),10),""))</f>
        <v/>
      </c>
      <c r="E251">
        <f>IF(D251="","",INDEX('KG1-1'!$AD21:$IM21,MATCH(D251,'KG1-1'!$AD$5:$IM$5,0)))</f>
        <v/>
      </c>
      <c r="F251">
        <f>IF(D251="","",COUNTIFS('KG1-1'!$AD21:$IM21,"غياب بدون عذر",'KG1-1'!$AD$7:$IM$7,"✓",'KG1-1'!$AD$5:$IM$5,"&lt;="&amp;D251))</f>
        <v/>
      </c>
      <c r="G251">
        <f>G250+IF(D251="",0,1)</f>
        <v/>
      </c>
    </row>
    <row r="252">
      <c r="A252">
        <f>IF('KG1-1'!$B21="","",'KG1-1'!$B21)</f>
        <v/>
      </c>
      <c r="B252">
        <f>IF(A252="","",'KG1-1'!$C21)</f>
        <v/>
      </c>
      <c r="C252">
        <f>IF(A252="","",'KG1-1'!$B$2)</f>
        <v/>
      </c>
      <c r="D252" s="126">
        <f t="array" ref="D252">IF(A252="","",IFERROR(SMALL(IF((('KG1-1'!$AD21:$IM21="غياب بدون عذر")+('KG1-1'!$AD21:$IM21="غياب بعذر"))*('KG1-1'!$AD$7:$IM$7="✓"),'KG1-1'!$AD$5:$IM$5),11),""))</f>
        <v/>
      </c>
      <c r="E252">
        <f>IF(D252="","",INDEX('KG1-1'!$AD21:$IM21,MATCH(D252,'KG1-1'!$AD$5:$IM$5,0)))</f>
        <v/>
      </c>
      <c r="F252">
        <f>IF(D252="","",COUNTIFS('KG1-1'!$AD21:$IM21,"غياب بدون عذر",'KG1-1'!$AD$7:$IM$7,"✓",'KG1-1'!$AD$5:$IM$5,"&lt;="&amp;D252))</f>
        <v/>
      </c>
      <c r="G252">
        <f>G251+IF(D252="",0,1)</f>
        <v/>
      </c>
    </row>
    <row r="253">
      <c r="A253">
        <f>IF('KG1-1'!$B21="","",'KG1-1'!$B21)</f>
        <v/>
      </c>
      <c r="B253">
        <f>IF(A253="","",'KG1-1'!$C21)</f>
        <v/>
      </c>
      <c r="C253">
        <f>IF(A253="","",'KG1-1'!$B$2)</f>
        <v/>
      </c>
      <c r="D253" s="126">
        <f t="array" ref="D253">IF(A253="","",IFERROR(SMALL(IF((('KG1-1'!$AD21:$IM21="غياب بدون عذر")+('KG1-1'!$AD21:$IM21="غياب بعذر"))*('KG1-1'!$AD$7:$IM$7="✓"),'KG1-1'!$AD$5:$IM$5),12),""))</f>
        <v/>
      </c>
      <c r="E253">
        <f>IF(D253="","",INDEX('KG1-1'!$AD21:$IM21,MATCH(D253,'KG1-1'!$AD$5:$IM$5,0)))</f>
        <v/>
      </c>
      <c r="F253">
        <f>IF(D253="","",COUNTIFS('KG1-1'!$AD21:$IM21,"غياب بدون عذر",'KG1-1'!$AD$7:$IM$7,"✓",'KG1-1'!$AD$5:$IM$5,"&lt;="&amp;D253))</f>
        <v/>
      </c>
      <c r="G253">
        <f>G252+IF(D253="",0,1)</f>
        <v/>
      </c>
    </row>
    <row r="254">
      <c r="A254">
        <f>IF('KG1-1'!$B21="","",'KG1-1'!$B21)</f>
        <v/>
      </c>
      <c r="B254">
        <f>IF(A254="","",'KG1-1'!$C21)</f>
        <v/>
      </c>
      <c r="C254">
        <f>IF(A254="","",'KG1-1'!$B$2)</f>
        <v/>
      </c>
      <c r="D254" s="126">
        <f t="array" ref="D254">IF(A254="","",IFERROR(SMALL(IF((('KG1-1'!$AD21:$IM21="غياب بدون عذر")+('KG1-1'!$AD21:$IM21="غياب بعذر"))*('KG1-1'!$AD$7:$IM$7="✓"),'KG1-1'!$AD$5:$IM$5),13),""))</f>
        <v/>
      </c>
      <c r="E254">
        <f>IF(D254="","",INDEX('KG1-1'!$AD21:$IM21,MATCH(D254,'KG1-1'!$AD$5:$IM$5,0)))</f>
        <v/>
      </c>
      <c r="F254">
        <f>IF(D254="","",COUNTIFS('KG1-1'!$AD21:$IM21,"غياب بدون عذر",'KG1-1'!$AD$7:$IM$7,"✓",'KG1-1'!$AD$5:$IM$5,"&lt;="&amp;D254))</f>
        <v/>
      </c>
      <c r="G254">
        <f>G253+IF(D254="",0,1)</f>
        <v/>
      </c>
    </row>
    <row r="255">
      <c r="A255">
        <f>IF('KG1-1'!$B21="","",'KG1-1'!$B21)</f>
        <v/>
      </c>
      <c r="B255">
        <f>IF(A255="","",'KG1-1'!$C21)</f>
        <v/>
      </c>
      <c r="C255">
        <f>IF(A255="","",'KG1-1'!$B$2)</f>
        <v/>
      </c>
      <c r="D255" s="126">
        <f t="array" ref="D255">IF(A255="","",IFERROR(SMALL(IF((('KG1-1'!$AD21:$IM21="غياب بدون عذر")+('KG1-1'!$AD21:$IM21="غياب بعذر"))*('KG1-1'!$AD$7:$IM$7="✓"),'KG1-1'!$AD$5:$IM$5),14),""))</f>
        <v/>
      </c>
      <c r="E255">
        <f>IF(D255="","",INDEX('KG1-1'!$AD21:$IM21,MATCH(D255,'KG1-1'!$AD$5:$IM$5,0)))</f>
        <v/>
      </c>
      <c r="F255">
        <f>IF(D255="","",COUNTIFS('KG1-1'!$AD21:$IM21,"غياب بدون عذر",'KG1-1'!$AD$7:$IM$7,"✓",'KG1-1'!$AD$5:$IM$5,"&lt;="&amp;D255))</f>
        <v/>
      </c>
      <c r="G255">
        <f>G254+IF(D255="",0,1)</f>
        <v/>
      </c>
    </row>
    <row r="256">
      <c r="A256">
        <f>IF('KG1-1'!$B21="","",'KG1-1'!$B21)</f>
        <v/>
      </c>
      <c r="B256">
        <f>IF(A256="","",'KG1-1'!$C21)</f>
        <v/>
      </c>
      <c r="C256">
        <f>IF(A256="","",'KG1-1'!$B$2)</f>
        <v/>
      </c>
      <c r="D256" s="126">
        <f t="array" ref="D256">IF(A256="","",IFERROR(SMALL(IF((('KG1-1'!$AD21:$IM21="غياب بدون عذر")+('KG1-1'!$AD21:$IM21="غياب بعذر"))*('KG1-1'!$AD$7:$IM$7="✓"),'KG1-1'!$AD$5:$IM$5),15),""))</f>
        <v/>
      </c>
      <c r="E256">
        <f>IF(D256="","",INDEX('KG1-1'!$AD21:$IM21,MATCH(D256,'KG1-1'!$AD$5:$IM$5,0)))</f>
        <v/>
      </c>
      <c r="F256">
        <f>IF(D256="","",COUNTIFS('KG1-1'!$AD21:$IM21,"غياب بدون عذر",'KG1-1'!$AD$7:$IM$7,"✓",'KG1-1'!$AD$5:$IM$5,"&lt;="&amp;D256))</f>
        <v/>
      </c>
      <c r="G256">
        <f>G255+IF(D256="",0,1)</f>
        <v/>
      </c>
    </row>
    <row r="257">
      <c r="A257">
        <f>IF('KG1-1'!$B21="","",'KG1-1'!$B21)</f>
        <v/>
      </c>
      <c r="B257">
        <f>IF(A257="","",'KG1-1'!$C21)</f>
        <v/>
      </c>
      <c r="C257">
        <f>IF(A257="","",'KG1-1'!$B$2)</f>
        <v/>
      </c>
      <c r="D257" s="126">
        <f t="array" ref="D257">IF(A257="","",IFERROR(SMALL(IF((('KG1-1'!$AD21:$IM21="غياب بدون عذر")+('KG1-1'!$AD21:$IM21="غياب بعذر"))*('KG1-1'!$AD$7:$IM$7="✓"),'KG1-1'!$AD$5:$IM$5),16),""))</f>
        <v/>
      </c>
      <c r="E257">
        <f>IF(D257="","",INDEX('KG1-1'!$AD21:$IM21,MATCH(D257,'KG1-1'!$AD$5:$IM$5,0)))</f>
        <v/>
      </c>
      <c r="F257">
        <f>IF(D257="","",COUNTIFS('KG1-1'!$AD21:$IM21,"غياب بدون عذر",'KG1-1'!$AD$7:$IM$7,"✓",'KG1-1'!$AD$5:$IM$5,"&lt;="&amp;D257))</f>
        <v/>
      </c>
      <c r="G257">
        <f>G256+IF(D257="",0,1)</f>
        <v/>
      </c>
    </row>
    <row r="258">
      <c r="A258">
        <f>IF('KG1-1'!$B21="","",'KG1-1'!$B21)</f>
        <v/>
      </c>
      <c r="B258">
        <f>IF(A258="","",'KG1-1'!$C21)</f>
        <v/>
      </c>
      <c r="C258">
        <f>IF(A258="","",'KG1-1'!$B$2)</f>
        <v/>
      </c>
      <c r="D258" s="126">
        <f t="array" ref="D258">IF(A258="","",IFERROR(SMALL(IF((('KG1-1'!$AD21:$IM21="غياب بدون عذر")+('KG1-1'!$AD21:$IM21="غياب بعذر"))*('KG1-1'!$AD$7:$IM$7="✓"),'KG1-1'!$AD$5:$IM$5),17),""))</f>
        <v/>
      </c>
      <c r="E258">
        <f>IF(D258="","",INDEX('KG1-1'!$AD21:$IM21,MATCH(D258,'KG1-1'!$AD$5:$IM$5,0)))</f>
        <v/>
      </c>
      <c r="F258">
        <f>IF(D258="","",COUNTIFS('KG1-1'!$AD21:$IM21,"غياب بدون عذر",'KG1-1'!$AD$7:$IM$7,"✓",'KG1-1'!$AD$5:$IM$5,"&lt;="&amp;D258))</f>
        <v/>
      </c>
      <c r="G258">
        <f>G257+IF(D258="",0,1)</f>
        <v/>
      </c>
    </row>
    <row r="259">
      <c r="A259">
        <f>IF('KG1-1'!$B21="","",'KG1-1'!$B21)</f>
        <v/>
      </c>
      <c r="B259">
        <f>IF(A259="","",'KG1-1'!$C21)</f>
        <v/>
      </c>
      <c r="C259">
        <f>IF(A259="","",'KG1-1'!$B$2)</f>
        <v/>
      </c>
      <c r="D259" s="126">
        <f t="array" ref="D259">IF(A259="","",IFERROR(SMALL(IF((('KG1-1'!$AD21:$IM21="غياب بدون عذر")+('KG1-1'!$AD21:$IM21="غياب بعذر"))*('KG1-1'!$AD$7:$IM$7="✓"),'KG1-1'!$AD$5:$IM$5),18),""))</f>
        <v/>
      </c>
      <c r="E259">
        <f>IF(D259="","",INDEX('KG1-1'!$AD21:$IM21,MATCH(D259,'KG1-1'!$AD$5:$IM$5,0)))</f>
        <v/>
      </c>
      <c r="F259">
        <f>IF(D259="","",COUNTIFS('KG1-1'!$AD21:$IM21,"غياب بدون عذر",'KG1-1'!$AD$7:$IM$7,"✓",'KG1-1'!$AD$5:$IM$5,"&lt;="&amp;D259))</f>
        <v/>
      </c>
      <c r="G259">
        <f>G258+IF(D259="",0,1)</f>
        <v/>
      </c>
    </row>
    <row r="260">
      <c r="A260">
        <f>IF('KG1-1'!$B21="","",'KG1-1'!$B21)</f>
        <v/>
      </c>
      <c r="B260">
        <f>IF(A260="","",'KG1-1'!$C21)</f>
        <v/>
      </c>
      <c r="C260">
        <f>IF(A260="","",'KG1-1'!$B$2)</f>
        <v/>
      </c>
      <c r="D260" s="126">
        <f t="array" ref="D260">IF(A260="","",IFERROR(SMALL(IF((('KG1-1'!$AD21:$IM21="غياب بدون عذر")+('KG1-1'!$AD21:$IM21="غياب بعذر"))*('KG1-1'!$AD$7:$IM$7="✓"),'KG1-1'!$AD$5:$IM$5),19),""))</f>
        <v/>
      </c>
      <c r="E260">
        <f>IF(D260="","",INDEX('KG1-1'!$AD21:$IM21,MATCH(D260,'KG1-1'!$AD$5:$IM$5,0)))</f>
        <v/>
      </c>
      <c r="F260">
        <f>IF(D260="","",COUNTIFS('KG1-1'!$AD21:$IM21,"غياب بدون عذر",'KG1-1'!$AD$7:$IM$7,"✓",'KG1-1'!$AD$5:$IM$5,"&lt;="&amp;D260))</f>
        <v/>
      </c>
      <c r="G260">
        <f>G259+IF(D260="",0,1)</f>
        <v/>
      </c>
    </row>
    <row r="261">
      <c r="A261">
        <f>IF('KG1-1'!$B21="","",'KG1-1'!$B21)</f>
        <v/>
      </c>
      <c r="B261">
        <f>IF(A261="","",'KG1-1'!$C21)</f>
        <v/>
      </c>
      <c r="C261">
        <f>IF(A261="","",'KG1-1'!$B$2)</f>
        <v/>
      </c>
      <c r="D261" s="126">
        <f t="array" ref="D261">IF(A261="","",IFERROR(SMALL(IF((('KG1-1'!$AD21:$IM21="غياب بدون عذر")+('KG1-1'!$AD21:$IM21="غياب بعذر"))*('KG1-1'!$AD$7:$IM$7="✓"),'KG1-1'!$AD$5:$IM$5),20),""))</f>
        <v/>
      </c>
      <c r="E261">
        <f>IF(D261="","",INDEX('KG1-1'!$AD21:$IM21,MATCH(D261,'KG1-1'!$AD$5:$IM$5,0)))</f>
        <v/>
      </c>
      <c r="F261">
        <f>IF(D261="","",COUNTIFS('KG1-1'!$AD21:$IM21,"غياب بدون عذر",'KG1-1'!$AD$7:$IM$7,"✓",'KG1-1'!$AD$5:$IM$5,"&lt;="&amp;D261))</f>
        <v/>
      </c>
      <c r="G261">
        <f>G260+IF(D261="",0,1)</f>
        <v/>
      </c>
    </row>
    <row r="262">
      <c r="A262">
        <f>IF('KG1-1'!$B22="","",'KG1-1'!$B22)</f>
        <v/>
      </c>
      <c r="B262">
        <f>IF(A262="","",'KG1-1'!$C22)</f>
        <v/>
      </c>
      <c r="C262">
        <f>IF(A262="","",'KG1-1'!$B$2)</f>
        <v/>
      </c>
      <c r="D262" s="126">
        <f t="array" ref="D262">IF(A262="","",IFERROR(SMALL(IF((('KG1-1'!$AD22:$IM22="غياب بدون عذر")+('KG1-1'!$AD22:$IM22="غياب بعذر"))*('KG1-1'!$AD$7:$IM$7="✓"),'KG1-1'!$AD$5:$IM$5),1),""))</f>
        <v/>
      </c>
      <c r="E262">
        <f>IF(D262="","",INDEX('KG1-1'!$AD22:$IM22,MATCH(D262,'KG1-1'!$AD$5:$IM$5,0)))</f>
        <v/>
      </c>
      <c r="F262">
        <f>IF(D262="","",COUNTIFS('KG1-1'!$AD22:$IM22,"غياب بدون عذر",'KG1-1'!$AD$7:$IM$7,"✓",'KG1-1'!$AD$5:$IM$5,"&lt;="&amp;D262))</f>
        <v/>
      </c>
      <c r="G262">
        <f>G261+IF(D262="",0,1)</f>
        <v/>
      </c>
    </row>
    <row r="263">
      <c r="A263">
        <f>IF('KG1-1'!$B22="","",'KG1-1'!$B22)</f>
        <v/>
      </c>
      <c r="B263">
        <f>IF(A263="","",'KG1-1'!$C22)</f>
        <v/>
      </c>
      <c r="C263">
        <f>IF(A263="","",'KG1-1'!$B$2)</f>
        <v/>
      </c>
      <c r="D263" s="126">
        <f t="array" ref="D263">IF(A263="","",IFERROR(SMALL(IF((('KG1-1'!$AD22:$IM22="غياب بدون عذر")+('KG1-1'!$AD22:$IM22="غياب بعذر"))*('KG1-1'!$AD$7:$IM$7="✓"),'KG1-1'!$AD$5:$IM$5),2),""))</f>
        <v/>
      </c>
      <c r="E263">
        <f>IF(D263="","",INDEX('KG1-1'!$AD22:$IM22,MATCH(D263,'KG1-1'!$AD$5:$IM$5,0)))</f>
        <v/>
      </c>
      <c r="F263">
        <f>IF(D263="","",COUNTIFS('KG1-1'!$AD22:$IM22,"غياب بدون عذر",'KG1-1'!$AD$7:$IM$7,"✓",'KG1-1'!$AD$5:$IM$5,"&lt;="&amp;D263))</f>
        <v/>
      </c>
      <c r="G263">
        <f>G262+IF(D263="",0,1)</f>
        <v/>
      </c>
    </row>
    <row r="264">
      <c r="A264">
        <f>IF('KG1-1'!$B22="","",'KG1-1'!$B22)</f>
        <v/>
      </c>
      <c r="B264">
        <f>IF(A264="","",'KG1-1'!$C22)</f>
        <v/>
      </c>
      <c r="C264">
        <f>IF(A264="","",'KG1-1'!$B$2)</f>
        <v/>
      </c>
      <c r="D264" s="126">
        <f t="array" ref="D264">IF(A264="","",IFERROR(SMALL(IF((('KG1-1'!$AD22:$IM22="غياب بدون عذر")+('KG1-1'!$AD22:$IM22="غياب بعذر"))*('KG1-1'!$AD$7:$IM$7="✓"),'KG1-1'!$AD$5:$IM$5),3),""))</f>
        <v/>
      </c>
      <c r="E264">
        <f>IF(D264="","",INDEX('KG1-1'!$AD22:$IM22,MATCH(D264,'KG1-1'!$AD$5:$IM$5,0)))</f>
        <v/>
      </c>
      <c r="F264">
        <f>IF(D264="","",COUNTIFS('KG1-1'!$AD22:$IM22,"غياب بدون عذر",'KG1-1'!$AD$7:$IM$7,"✓",'KG1-1'!$AD$5:$IM$5,"&lt;="&amp;D264))</f>
        <v/>
      </c>
      <c r="G264">
        <f>G263+IF(D264="",0,1)</f>
        <v/>
      </c>
    </row>
    <row r="265">
      <c r="A265">
        <f>IF('KG1-1'!$B22="","",'KG1-1'!$B22)</f>
        <v/>
      </c>
      <c r="B265">
        <f>IF(A265="","",'KG1-1'!$C22)</f>
        <v/>
      </c>
      <c r="C265">
        <f>IF(A265="","",'KG1-1'!$B$2)</f>
        <v/>
      </c>
      <c r="D265" s="126">
        <f t="array" ref="D265">IF(A265="","",IFERROR(SMALL(IF((('KG1-1'!$AD22:$IM22="غياب بدون عذر")+('KG1-1'!$AD22:$IM22="غياب بعذر"))*('KG1-1'!$AD$7:$IM$7="✓"),'KG1-1'!$AD$5:$IM$5),4),""))</f>
        <v/>
      </c>
      <c r="E265">
        <f>IF(D265="","",INDEX('KG1-1'!$AD22:$IM22,MATCH(D265,'KG1-1'!$AD$5:$IM$5,0)))</f>
        <v/>
      </c>
      <c r="F265">
        <f>IF(D265="","",COUNTIFS('KG1-1'!$AD22:$IM22,"غياب بدون عذر",'KG1-1'!$AD$7:$IM$7,"✓",'KG1-1'!$AD$5:$IM$5,"&lt;="&amp;D265))</f>
        <v/>
      </c>
      <c r="G265">
        <f>G264+IF(D265="",0,1)</f>
        <v/>
      </c>
    </row>
    <row r="266">
      <c r="A266">
        <f>IF('KG1-1'!$B22="","",'KG1-1'!$B22)</f>
        <v/>
      </c>
      <c r="B266">
        <f>IF(A266="","",'KG1-1'!$C22)</f>
        <v/>
      </c>
      <c r="C266">
        <f>IF(A266="","",'KG1-1'!$B$2)</f>
        <v/>
      </c>
      <c r="D266" s="126">
        <f t="array" ref="D266">IF(A266="","",IFERROR(SMALL(IF((('KG1-1'!$AD22:$IM22="غياب بدون عذر")+('KG1-1'!$AD22:$IM22="غياب بعذر"))*('KG1-1'!$AD$7:$IM$7="✓"),'KG1-1'!$AD$5:$IM$5),5),""))</f>
        <v/>
      </c>
      <c r="E266">
        <f>IF(D266="","",INDEX('KG1-1'!$AD22:$IM22,MATCH(D266,'KG1-1'!$AD$5:$IM$5,0)))</f>
        <v/>
      </c>
      <c r="F266">
        <f>IF(D266="","",COUNTIFS('KG1-1'!$AD22:$IM22,"غياب بدون عذر",'KG1-1'!$AD$7:$IM$7,"✓",'KG1-1'!$AD$5:$IM$5,"&lt;="&amp;D266))</f>
        <v/>
      </c>
      <c r="G266">
        <f>G265+IF(D266="",0,1)</f>
        <v/>
      </c>
    </row>
    <row r="267">
      <c r="A267">
        <f>IF('KG1-1'!$B22="","",'KG1-1'!$B22)</f>
        <v/>
      </c>
      <c r="B267">
        <f>IF(A267="","",'KG1-1'!$C22)</f>
        <v/>
      </c>
      <c r="C267">
        <f>IF(A267="","",'KG1-1'!$B$2)</f>
        <v/>
      </c>
      <c r="D267" s="126">
        <f t="array" ref="D267">IF(A267="","",IFERROR(SMALL(IF((('KG1-1'!$AD22:$IM22="غياب بدون عذر")+('KG1-1'!$AD22:$IM22="غياب بعذر"))*('KG1-1'!$AD$7:$IM$7="✓"),'KG1-1'!$AD$5:$IM$5),6),""))</f>
        <v/>
      </c>
      <c r="E267">
        <f>IF(D267="","",INDEX('KG1-1'!$AD22:$IM22,MATCH(D267,'KG1-1'!$AD$5:$IM$5,0)))</f>
        <v/>
      </c>
      <c r="F267">
        <f>IF(D267="","",COUNTIFS('KG1-1'!$AD22:$IM22,"غياب بدون عذر",'KG1-1'!$AD$7:$IM$7,"✓",'KG1-1'!$AD$5:$IM$5,"&lt;="&amp;D267))</f>
        <v/>
      </c>
      <c r="G267">
        <f>G266+IF(D267="",0,1)</f>
        <v/>
      </c>
    </row>
    <row r="268">
      <c r="A268">
        <f>IF('KG1-1'!$B22="","",'KG1-1'!$B22)</f>
        <v/>
      </c>
      <c r="B268">
        <f>IF(A268="","",'KG1-1'!$C22)</f>
        <v/>
      </c>
      <c r="C268">
        <f>IF(A268="","",'KG1-1'!$B$2)</f>
        <v/>
      </c>
      <c r="D268" s="126">
        <f t="array" ref="D268">IF(A268="","",IFERROR(SMALL(IF((('KG1-1'!$AD22:$IM22="غياب بدون عذر")+('KG1-1'!$AD22:$IM22="غياب بعذر"))*('KG1-1'!$AD$7:$IM$7="✓"),'KG1-1'!$AD$5:$IM$5),7),""))</f>
        <v/>
      </c>
      <c r="E268">
        <f>IF(D268="","",INDEX('KG1-1'!$AD22:$IM22,MATCH(D268,'KG1-1'!$AD$5:$IM$5,0)))</f>
        <v/>
      </c>
      <c r="F268">
        <f>IF(D268="","",COUNTIFS('KG1-1'!$AD22:$IM22,"غياب بدون عذر",'KG1-1'!$AD$7:$IM$7,"✓",'KG1-1'!$AD$5:$IM$5,"&lt;="&amp;D268))</f>
        <v/>
      </c>
      <c r="G268">
        <f>G267+IF(D268="",0,1)</f>
        <v/>
      </c>
    </row>
    <row r="269">
      <c r="A269">
        <f>IF('KG1-1'!$B22="","",'KG1-1'!$B22)</f>
        <v/>
      </c>
      <c r="B269">
        <f>IF(A269="","",'KG1-1'!$C22)</f>
        <v/>
      </c>
      <c r="C269">
        <f>IF(A269="","",'KG1-1'!$B$2)</f>
        <v/>
      </c>
      <c r="D269" s="126">
        <f t="array" ref="D269">IF(A269="","",IFERROR(SMALL(IF((('KG1-1'!$AD22:$IM22="غياب بدون عذر")+('KG1-1'!$AD22:$IM22="غياب بعذر"))*('KG1-1'!$AD$7:$IM$7="✓"),'KG1-1'!$AD$5:$IM$5),8),""))</f>
        <v/>
      </c>
      <c r="E269">
        <f>IF(D269="","",INDEX('KG1-1'!$AD22:$IM22,MATCH(D269,'KG1-1'!$AD$5:$IM$5,0)))</f>
        <v/>
      </c>
      <c r="F269">
        <f>IF(D269="","",COUNTIFS('KG1-1'!$AD22:$IM22,"غياب بدون عذر",'KG1-1'!$AD$7:$IM$7,"✓",'KG1-1'!$AD$5:$IM$5,"&lt;="&amp;D269))</f>
        <v/>
      </c>
      <c r="G269">
        <f>G268+IF(D269="",0,1)</f>
        <v/>
      </c>
    </row>
    <row r="270">
      <c r="A270">
        <f>IF('KG1-1'!$B22="","",'KG1-1'!$B22)</f>
        <v/>
      </c>
      <c r="B270">
        <f>IF(A270="","",'KG1-1'!$C22)</f>
        <v/>
      </c>
      <c r="C270">
        <f>IF(A270="","",'KG1-1'!$B$2)</f>
        <v/>
      </c>
      <c r="D270" s="126">
        <f t="array" ref="D270">IF(A270="","",IFERROR(SMALL(IF((('KG1-1'!$AD22:$IM22="غياب بدون عذر")+('KG1-1'!$AD22:$IM22="غياب بعذر"))*('KG1-1'!$AD$7:$IM$7="✓"),'KG1-1'!$AD$5:$IM$5),9),""))</f>
        <v/>
      </c>
      <c r="E270">
        <f>IF(D270="","",INDEX('KG1-1'!$AD22:$IM22,MATCH(D270,'KG1-1'!$AD$5:$IM$5,0)))</f>
        <v/>
      </c>
      <c r="F270">
        <f>IF(D270="","",COUNTIFS('KG1-1'!$AD22:$IM22,"غياب بدون عذر",'KG1-1'!$AD$7:$IM$7,"✓",'KG1-1'!$AD$5:$IM$5,"&lt;="&amp;D270))</f>
        <v/>
      </c>
      <c r="G270">
        <f>G269+IF(D270="",0,1)</f>
        <v/>
      </c>
    </row>
    <row r="271">
      <c r="A271">
        <f>IF('KG1-1'!$B22="","",'KG1-1'!$B22)</f>
        <v/>
      </c>
      <c r="B271">
        <f>IF(A271="","",'KG1-1'!$C22)</f>
        <v/>
      </c>
      <c r="C271">
        <f>IF(A271="","",'KG1-1'!$B$2)</f>
        <v/>
      </c>
      <c r="D271" s="126">
        <f t="array" ref="D271">IF(A271="","",IFERROR(SMALL(IF((('KG1-1'!$AD22:$IM22="غياب بدون عذر")+('KG1-1'!$AD22:$IM22="غياب بعذر"))*('KG1-1'!$AD$7:$IM$7="✓"),'KG1-1'!$AD$5:$IM$5),10),""))</f>
        <v/>
      </c>
      <c r="E271">
        <f>IF(D271="","",INDEX('KG1-1'!$AD22:$IM22,MATCH(D271,'KG1-1'!$AD$5:$IM$5,0)))</f>
        <v/>
      </c>
      <c r="F271">
        <f>IF(D271="","",COUNTIFS('KG1-1'!$AD22:$IM22,"غياب بدون عذر",'KG1-1'!$AD$7:$IM$7,"✓",'KG1-1'!$AD$5:$IM$5,"&lt;="&amp;D271))</f>
        <v/>
      </c>
      <c r="G271">
        <f>G270+IF(D271="",0,1)</f>
        <v/>
      </c>
    </row>
    <row r="272">
      <c r="A272">
        <f>IF('KG1-1'!$B22="","",'KG1-1'!$B22)</f>
        <v/>
      </c>
      <c r="B272">
        <f>IF(A272="","",'KG1-1'!$C22)</f>
        <v/>
      </c>
      <c r="C272">
        <f>IF(A272="","",'KG1-1'!$B$2)</f>
        <v/>
      </c>
      <c r="D272" s="126">
        <f t="array" ref="D272">IF(A272="","",IFERROR(SMALL(IF((('KG1-1'!$AD22:$IM22="غياب بدون عذر")+('KG1-1'!$AD22:$IM22="غياب بعذر"))*('KG1-1'!$AD$7:$IM$7="✓"),'KG1-1'!$AD$5:$IM$5),11),""))</f>
        <v/>
      </c>
      <c r="E272">
        <f>IF(D272="","",INDEX('KG1-1'!$AD22:$IM22,MATCH(D272,'KG1-1'!$AD$5:$IM$5,0)))</f>
        <v/>
      </c>
      <c r="F272">
        <f>IF(D272="","",COUNTIFS('KG1-1'!$AD22:$IM22,"غياب بدون عذر",'KG1-1'!$AD$7:$IM$7,"✓",'KG1-1'!$AD$5:$IM$5,"&lt;="&amp;D272))</f>
        <v/>
      </c>
      <c r="G272">
        <f>G271+IF(D272="",0,1)</f>
        <v/>
      </c>
    </row>
    <row r="273">
      <c r="A273">
        <f>IF('KG1-1'!$B22="","",'KG1-1'!$B22)</f>
        <v/>
      </c>
      <c r="B273">
        <f>IF(A273="","",'KG1-1'!$C22)</f>
        <v/>
      </c>
      <c r="C273">
        <f>IF(A273="","",'KG1-1'!$B$2)</f>
        <v/>
      </c>
      <c r="D273" s="126">
        <f t="array" ref="D273">IF(A273="","",IFERROR(SMALL(IF((('KG1-1'!$AD22:$IM22="غياب بدون عذر")+('KG1-1'!$AD22:$IM22="غياب بعذر"))*('KG1-1'!$AD$7:$IM$7="✓"),'KG1-1'!$AD$5:$IM$5),12),""))</f>
        <v/>
      </c>
      <c r="E273">
        <f>IF(D273="","",INDEX('KG1-1'!$AD22:$IM22,MATCH(D273,'KG1-1'!$AD$5:$IM$5,0)))</f>
        <v/>
      </c>
      <c r="F273">
        <f>IF(D273="","",COUNTIFS('KG1-1'!$AD22:$IM22,"غياب بدون عذر",'KG1-1'!$AD$7:$IM$7,"✓",'KG1-1'!$AD$5:$IM$5,"&lt;="&amp;D273))</f>
        <v/>
      </c>
      <c r="G273">
        <f>G272+IF(D273="",0,1)</f>
        <v/>
      </c>
    </row>
    <row r="274">
      <c r="A274">
        <f>IF('KG1-1'!$B22="","",'KG1-1'!$B22)</f>
        <v/>
      </c>
      <c r="B274">
        <f>IF(A274="","",'KG1-1'!$C22)</f>
        <v/>
      </c>
      <c r="C274">
        <f>IF(A274="","",'KG1-1'!$B$2)</f>
        <v/>
      </c>
      <c r="D274" s="126">
        <f t="array" ref="D274">IF(A274="","",IFERROR(SMALL(IF((('KG1-1'!$AD22:$IM22="غياب بدون عذر")+('KG1-1'!$AD22:$IM22="غياب بعذر"))*('KG1-1'!$AD$7:$IM$7="✓"),'KG1-1'!$AD$5:$IM$5),13),""))</f>
        <v/>
      </c>
      <c r="E274">
        <f>IF(D274="","",INDEX('KG1-1'!$AD22:$IM22,MATCH(D274,'KG1-1'!$AD$5:$IM$5,0)))</f>
        <v/>
      </c>
      <c r="F274">
        <f>IF(D274="","",COUNTIFS('KG1-1'!$AD22:$IM22,"غياب بدون عذر",'KG1-1'!$AD$7:$IM$7,"✓",'KG1-1'!$AD$5:$IM$5,"&lt;="&amp;D274))</f>
        <v/>
      </c>
      <c r="G274">
        <f>G273+IF(D274="",0,1)</f>
        <v/>
      </c>
    </row>
    <row r="275">
      <c r="A275">
        <f>IF('KG1-1'!$B22="","",'KG1-1'!$B22)</f>
        <v/>
      </c>
      <c r="B275">
        <f>IF(A275="","",'KG1-1'!$C22)</f>
        <v/>
      </c>
      <c r="C275">
        <f>IF(A275="","",'KG1-1'!$B$2)</f>
        <v/>
      </c>
      <c r="D275" s="126">
        <f t="array" ref="D275">IF(A275="","",IFERROR(SMALL(IF((('KG1-1'!$AD22:$IM22="غياب بدون عذر")+('KG1-1'!$AD22:$IM22="غياب بعذر"))*('KG1-1'!$AD$7:$IM$7="✓"),'KG1-1'!$AD$5:$IM$5),14),""))</f>
        <v/>
      </c>
      <c r="E275">
        <f>IF(D275="","",INDEX('KG1-1'!$AD22:$IM22,MATCH(D275,'KG1-1'!$AD$5:$IM$5,0)))</f>
        <v/>
      </c>
      <c r="F275">
        <f>IF(D275="","",COUNTIFS('KG1-1'!$AD22:$IM22,"غياب بدون عذر",'KG1-1'!$AD$7:$IM$7,"✓",'KG1-1'!$AD$5:$IM$5,"&lt;="&amp;D275))</f>
        <v/>
      </c>
      <c r="G275">
        <f>G274+IF(D275="",0,1)</f>
        <v/>
      </c>
    </row>
    <row r="276">
      <c r="A276">
        <f>IF('KG1-1'!$B22="","",'KG1-1'!$B22)</f>
        <v/>
      </c>
      <c r="B276">
        <f>IF(A276="","",'KG1-1'!$C22)</f>
        <v/>
      </c>
      <c r="C276">
        <f>IF(A276="","",'KG1-1'!$B$2)</f>
        <v/>
      </c>
      <c r="D276" s="126">
        <f t="array" ref="D276">IF(A276="","",IFERROR(SMALL(IF((('KG1-1'!$AD22:$IM22="غياب بدون عذر")+('KG1-1'!$AD22:$IM22="غياب بعذر"))*('KG1-1'!$AD$7:$IM$7="✓"),'KG1-1'!$AD$5:$IM$5),15),""))</f>
        <v/>
      </c>
      <c r="E276">
        <f>IF(D276="","",INDEX('KG1-1'!$AD22:$IM22,MATCH(D276,'KG1-1'!$AD$5:$IM$5,0)))</f>
        <v/>
      </c>
      <c r="F276">
        <f>IF(D276="","",COUNTIFS('KG1-1'!$AD22:$IM22,"غياب بدون عذر",'KG1-1'!$AD$7:$IM$7,"✓",'KG1-1'!$AD$5:$IM$5,"&lt;="&amp;D276))</f>
        <v/>
      </c>
      <c r="G276">
        <f>G275+IF(D276="",0,1)</f>
        <v/>
      </c>
    </row>
    <row r="277">
      <c r="A277">
        <f>IF('KG1-1'!$B22="","",'KG1-1'!$B22)</f>
        <v/>
      </c>
      <c r="B277">
        <f>IF(A277="","",'KG1-1'!$C22)</f>
        <v/>
      </c>
      <c r="C277">
        <f>IF(A277="","",'KG1-1'!$B$2)</f>
        <v/>
      </c>
      <c r="D277" s="126">
        <f t="array" ref="D277">IF(A277="","",IFERROR(SMALL(IF((('KG1-1'!$AD22:$IM22="غياب بدون عذر")+('KG1-1'!$AD22:$IM22="غياب بعذر"))*('KG1-1'!$AD$7:$IM$7="✓"),'KG1-1'!$AD$5:$IM$5),16),""))</f>
        <v/>
      </c>
      <c r="E277">
        <f>IF(D277="","",INDEX('KG1-1'!$AD22:$IM22,MATCH(D277,'KG1-1'!$AD$5:$IM$5,0)))</f>
        <v/>
      </c>
      <c r="F277">
        <f>IF(D277="","",COUNTIFS('KG1-1'!$AD22:$IM22,"غياب بدون عذر",'KG1-1'!$AD$7:$IM$7,"✓",'KG1-1'!$AD$5:$IM$5,"&lt;="&amp;D277))</f>
        <v/>
      </c>
      <c r="G277">
        <f>G276+IF(D277="",0,1)</f>
        <v/>
      </c>
    </row>
    <row r="278">
      <c r="A278">
        <f>IF('KG1-1'!$B22="","",'KG1-1'!$B22)</f>
        <v/>
      </c>
      <c r="B278">
        <f>IF(A278="","",'KG1-1'!$C22)</f>
        <v/>
      </c>
      <c r="C278">
        <f>IF(A278="","",'KG1-1'!$B$2)</f>
        <v/>
      </c>
      <c r="D278" s="126">
        <f t="array" ref="D278">IF(A278="","",IFERROR(SMALL(IF((('KG1-1'!$AD22:$IM22="غياب بدون عذر")+('KG1-1'!$AD22:$IM22="غياب بعذر"))*('KG1-1'!$AD$7:$IM$7="✓"),'KG1-1'!$AD$5:$IM$5),17),""))</f>
        <v/>
      </c>
      <c r="E278">
        <f>IF(D278="","",INDEX('KG1-1'!$AD22:$IM22,MATCH(D278,'KG1-1'!$AD$5:$IM$5,0)))</f>
        <v/>
      </c>
      <c r="F278">
        <f>IF(D278="","",COUNTIFS('KG1-1'!$AD22:$IM22,"غياب بدون عذر",'KG1-1'!$AD$7:$IM$7,"✓",'KG1-1'!$AD$5:$IM$5,"&lt;="&amp;D278))</f>
        <v/>
      </c>
      <c r="G278">
        <f>G277+IF(D278="",0,1)</f>
        <v/>
      </c>
    </row>
    <row r="279">
      <c r="A279">
        <f>IF('KG1-1'!$B22="","",'KG1-1'!$B22)</f>
        <v/>
      </c>
      <c r="B279">
        <f>IF(A279="","",'KG1-1'!$C22)</f>
        <v/>
      </c>
      <c r="C279">
        <f>IF(A279="","",'KG1-1'!$B$2)</f>
        <v/>
      </c>
      <c r="D279" s="126">
        <f t="array" ref="D279">IF(A279="","",IFERROR(SMALL(IF((('KG1-1'!$AD22:$IM22="غياب بدون عذر")+('KG1-1'!$AD22:$IM22="غياب بعذر"))*('KG1-1'!$AD$7:$IM$7="✓"),'KG1-1'!$AD$5:$IM$5),18),""))</f>
        <v/>
      </c>
      <c r="E279">
        <f>IF(D279="","",INDEX('KG1-1'!$AD22:$IM22,MATCH(D279,'KG1-1'!$AD$5:$IM$5,0)))</f>
        <v/>
      </c>
      <c r="F279">
        <f>IF(D279="","",COUNTIFS('KG1-1'!$AD22:$IM22,"غياب بدون عذر",'KG1-1'!$AD$7:$IM$7,"✓",'KG1-1'!$AD$5:$IM$5,"&lt;="&amp;D279))</f>
        <v/>
      </c>
      <c r="G279">
        <f>G278+IF(D279="",0,1)</f>
        <v/>
      </c>
    </row>
    <row r="280">
      <c r="A280">
        <f>IF('KG1-1'!$B22="","",'KG1-1'!$B22)</f>
        <v/>
      </c>
      <c r="B280">
        <f>IF(A280="","",'KG1-1'!$C22)</f>
        <v/>
      </c>
      <c r="C280">
        <f>IF(A280="","",'KG1-1'!$B$2)</f>
        <v/>
      </c>
      <c r="D280" s="126">
        <f t="array" ref="D280">IF(A280="","",IFERROR(SMALL(IF((('KG1-1'!$AD22:$IM22="غياب بدون عذر")+('KG1-1'!$AD22:$IM22="غياب بعذر"))*('KG1-1'!$AD$7:$IM$7="✓"),'KG1-1'!$AD$5:$IM$5),19),""))</f>
        <v/>
      </c>
      <c r="E280">
        <f>IF(D280="","",INDEX('KG1-1'!$AD22:$IM22,MATCH(D280,'KG1-1'!$AD$5:$IM$5,0)))</f>
        <v/>
      </c>
      <c r="F280">
        <f>IF(D280="","",COUNTIFS('KG1-1'!$AD22:$IM22,"غياب بدون عذر",'KG1-1'!$AD$7:$IM$7,"✓",'KG1-1'!$AD$5:$IM$5,"&lt;="&amp;D280))</f>
        <v/>
      </c>
      <c r="G280">
        <f>G279+IF(D280="",0,1)</f>
        <v/>
      </c>
    </row>
    <row r="281">
      <c r="A281">
        <f>IF('KG1-1'!$B22="","",'KG1-1'!$B22)</f>
        <v/>
      </c>
      <c r="B281">
        <f>IF(A281="","",'KG1-1'!$C22)</f>
        <v/>
      </c>
      <c r="C281">
        <f>IF(A281="","",'KG1-1'!$B$2)</f>
        <v/>
      </c>
      <c r="D281" s="126">
        <f t="array" ref="D281">IF(A281="","",IFERROR(SMALL(IF((('KG1-1'!$AD22:$IM22="غياب بدون عذر")+('KG1-1'!$AD22:$IM22="غياب بعذر"))*('KG1-1'!$AD$7:$IM$7="✓"),'KG1-1'!$AD$5:$IM$5),20),""))</f>
        <v/>
      </c>
      <c r="E281">
        <f>IF(D281="","",INDEX('KG1-1'!$AD22:$IM22,MATCH(D281,'KG1-1'!$AD$5:$IM$5,0)))</f>
        <v/>
      </c>
      <c r="F281">
        <f>IF(D281="","",COUNTIFS('KG1-1'!$AD22:$IM22,"غياب بدون عذر",'KG1-1'!$AD$7:$IM$7,"✓",'KG1-1'!$AD$5:$IM$5,"&lt;="&amp;D281))</f>
        <v/>
      </c>
      <c r="G281">
        <f>G280+IF(D281="",0,1)</f>
        <v/>
      </c>
    </row>
    <row r="282">
      <c r="A282">
        <f>IF('KG1-1'!$B23="","",'KG1-1'!$B23)</f>
        <v/>
      </c>
      <c r="B282">
        <f>IF(A282="","",'KG1-1'!$C23)</f>
        <v/>
      </c>
      <c r="C282">
        <f>IF(A282="","",'KG1-1'!$B$2)</f>
        <v/>
      </c>
      <c r="D282" s="126">
        <f t="array" ref="D282">IF(A282="","",IFERROR(SMALL(IF((('KG1-1'!$AD23:$IM23="غياب بدون عذر")+('KG1-1'!$AD23:$IM23="غياب بعذر"))*('KG1-1'!$AD$7:$IM$7="✓"),'KG1-1'!$AD$5:$IM$5),1),""))</f>
        <v/>
      </c>
      <c r="E282">
        <f>IF(D282="","",INDEX('KG1-1'!$AD23:$IM23,MATCH(D282,'KG1-1'!$AD$5:$IM$5,0)))</f>
        <v/>
      </c>
      <c r="F282">
        <f>IF(D282="","",COUNTIFS('KG1-1'!$AD23:$IM23,"غياب بدون عذر",'KG1-1'!$AD$7:$IM$7,"✓",'KG1-1'!$AD$5:$IM$5,"&lt;="&amp;D282))</f>
        <v/>
      </c>
      <c r="G282">
        <f>G281+IF(D282="",0,1)</f>
        <v/>
      </c>
    </row>
    <row r="283">
      <c r="A283">
        <f>IF('KG1-1'!$B23="","",'KG1-1'!$B23)</f>
        <v/>
      </c>
      <c r="B283">
        <f>IF(A283="","",'KG1-1'!$C23)</f>
        <v/>
      </c>
      <c r="C283">
        <f>IF(A283="","",'KG1-1'!$B$2)</f>
        <v/>
      </c>
      <c r="D283" s="126">
        <f t="array" ref="D283">IF(A283="","",IFERROR(SMALL(IF((('KG1-1'!$AD23:$IM23="غياب بدون عذر")+('KG1-1'!$AD23:$IM23="غياب بعذر"))*('KG1-1'!$AD$7:$IM$7="✓"),'KG1-1'!$AD$5:$IM$5),2),""))</f>
        <v/>
      </c>
      <c r="E283">
        <f>IF(D283="","",INDEX('KG1-1'!$AD23:$IM23,MATCH(D283,'KG1-1'!$AD$5:$IM$5,0)))</f>
        <v/>
      </c>
      <c r="F283">
        <f>IF(D283="","",COUNTIFS('KG1-1'!$AD23:$IM23,"غياب بدون عذر",'KG1-1'!$AD$7:$IM$7,"✓",'KG1-1'!$AD$5:$IM$5,"&lt;="&amp;D283))</f>
        <v/>
      </c>
      <c r="G283">
        <f>G282+IF(D283="",0,1)</f>
        <v/>
      </c>
    </row>
    <row r="284">
      <c r="A284">
        <f>IF('KG1-1'!$B23="","",'KG1-1'!$B23)</f>
        <v/>
      </c>
      <c r="B284">
        <f>IF(A284="","",'KG1-1'!$C23)</f>
        <v/>
      </c>
      <c r="C284">
        <f>IF(A284="","",'KG1-1'!$B$2)</f>
        <v/>
      </c>
      <c r="D284" s="126">
        <f t="array" ref="D284">IF(A284="","",IFERROR(SMALL(IF((('KG1-1'!$AD23:$IM23="غياب بدون عذر")+('KG1-1'!$AD23:$IM23="غياب بعذر"))*('KG1-1'!$AD$7:$IM$7="✓"),'KG1-1'!$AD$5:$IM$5),3),""))</f>
        <v/>
      </c>
      <c r="E284">
        <f>IF(D284="","",INDEX('KG1-1'!$AD23:$IM23,MATCH(D284,'KG1-1'!$AD$5:$IM$5,0)))</f>
        <v/>
      </c>
      <c r="F284">
        <f>IF(D284="","",COUNTIFS('KG1-1'!$AD23:$IM23,"غياب بدون عذر",'KG1-1'!$AD$7:$IM$7,"✓",'KG1-1'!$AD$5:$IM$5,"&lt;="&amp;D284))</f>
        <v/>
      </c>
      <c r="G284">
        <f>G283+IF(D284="",0,1)</f>
        <v/>
      </c>
    </row>
    <row r="285">
      <c r="A285">
        <f>IF('KG1-1'!$B23="","",'KG1-1'!$B23)</f>
        <v/>
      </c>
      <c r="B285">
        <f>IF(A285="","",'KG1-1'!$C23)</f>
        <v/>
      </c>
      <c r="C285">
        <f>IF(A285="","",'KG1-1'!$B$2)</f>
        <v/>
      </c>
      <c r="D285" s="126">
        <f t="array" ref="D285">IF(A285="","",IFERROR(SMALL(IF((('KG1-1'!$AD23:$IM23="غياب بدون عذر")+('KG1-1'!$AD23:$IM23="غياب بعذر"))*('KG1-1'!$AD$7:$IM$7="✓"),'KG1-1'!$AD$5:$IM$5),4),""))</f>
        <v/>
      </c>
      <c r="E285">
        <f>IF(D285="","",INDEX('KG1-1'!$AD23:$IM23,MATCH(D285,'KG1-1'!$AD$5:$IM$5,0)))</f>
        <v/>
      </c>
      <c r="F285">
        <f>IF(D285="","",COUNTIFS('KG1-1'!$AD23:$IM23,"غياب بدون عذر",'KG1-1'!$AD$7:$IM$7,"✓",'KG1-1'!$AD$5:$IM$5,"&lt;="&amp;D285))</f>
        <v/>
      </c>
      <c r="G285">
        <f>G284+IF(D285="",0,1)</f>
        <v/>
      </c>
    </row>
    <row r="286">
      <c r="A286">
        <f>IF('KG1-1'!$B23="","",'KG1-1'!$B23)</f>
        <v/>
      </c>
      <c r="B286">
        <f>IF(A286="","",'KG1-1'!$C23)</f>
        <v/>
      </c>
      <c r="C286">
        <f>IF(A286="","",'KG1-1'!$B$2)</f>
        <v/>
      </c>
      <c r="D286" s="126">
        <f t="array" ref="D286">IF(A286="","",IFERROR(SMALL(IF((('KG1-1'!$AD23:$IM23="غياب بدون عذر")+('KG1-1'!$AD23:$IM23="غياب بعذر"))*('KG1-1'!$AD$7:$IM$7="✓"),'KG1-1'!$AD$5:$IM$5),5),""))</f>
        <v/>
      </c>
      <c r="E286">
        <f>IF(D286="","",INDEX('KG1-1'!$AD23:$IM23,MATCH(D286,'KG1-1'!$AD$5:$IM$5,0)))</f>
        <v/>
      </c>
      <c r="F286">
        <f>IF(D286="","",COUNTIFS('KG1-1'!$AD23:$IM23,"غياب بدون عذر",'KG1-1'!$AD$7:$IM$7,"✓",'KG1-1'!$AD$5:$IM$5,"&lt;="&amp;D286))</f>
        <v/>
      </c>
      <c r="G286">
        <f>G285+IF(D286="",0,1)</f>
        <v/>
      </c>
    </row>
    <row r="287">
      <c r="A287">
        <f>IF('KG1-1'!$B23="","",'KG1-1'!$B23)</f>
        <v/>
      </c>
      <c r="B287">
        <f>IF(A287="","",'KG1-1'!$C23)</f>
        <v/>
      </c>
      <c r="C287">
        <f>IF(A287="","",'KG1-1'!$B$2)</f>
        <v/>
      </c>
      <c r="D287" s="126">
        <f t="array" ref="D287">IF(A287="","",IFERROR(SMALL(IF((('KG1-1'!$AD23:$IM23="غياب بدون عذر")+('KG1-1'!$AD23:$IM23="غياب بعذر"))*('KG1-1'!$AD$7:$IM$7="✓"),'KG1-1'!$AD$5:$IM$5),6),""))</f>
        <v/>
      </c>
      <c r="E287">
        <f>IF(D287="","",INDEX('KG1-1'!$AD23:$IM23,MATCH(D287,'KG1-1'!$AD$5:$IM$5,0)))</f>
        <v/>
      </c>
      <c r="F287">
        <f>IF(D287="","",COUNTIFS('KG1-1'!$AD23:$IM23,"غياب بدون عذر",'KG1-1'!$AD$7:$IM$7,"✓",'KG1-1'!$AD$5:$IM$5,"&lt;="&amp;D287))</f>
        <v/>
      </c>
      <c r="G287">
        <f>G286+IF(D287="",0,1)</f>
        <v/>
      </c>
    </row>
    <row r="288">
      <c r="A288">
        <f>IF('KG1-1'!$B23="","",'KG1-1'!$B23)</f>
        <v/>
      </c>
      <c r="B288">
        <f>IF(A288="","",'KG1-1'!$C23)</f>
        <v/>
      </c>
      <c r="C288">
        <f>IF(A288="","",'KG1-1'!$B$2)</f>
        <v/>
      </c>
      <c r="D288" s="126">
        <f t="array" ref="D288">IF(A288="","",IFERROR(SMALL(IF((('KG1-1'!$AD23:$IM23="غياب بدون عذر")+('KG1-1'!$AD23:$IM23="غياب بعذر"))*('KG1-1'!$AD$7:$IM$7="✓"),'KG1-1'!$AD$5:$IM$5),7),""))</f>
        <v/>
      </c>
      <c r="E288">
        <f>IF(D288="","",INDEX('KG1-1'!$AD23:$IM23,MATCH(D288,'KG1-1'!$AD$5:$IM$5,0)))</f>
        <v/>
      </c>
      <c r="F288">
        <f>IF(D288="","",COUNTIFS('KG1-1'!$AD23:$IM23,"غياب بدون عذر",'KG1-1'!$AD$7:$IM$7,"✓",'KG1-1'!$AD$5:$IM$5,"&lt;="&amp;D288))</f>
        <v/>
      </c>
      <c r="G288">
        <f>G287+IF(D288="",0,1)</f>
        <v/>
      </c>
    </row>
    <row r="289">
      <c r="A289">
        <f>IF('KG1-1'!$B23="","",'KG1-1'!$B23)</f>
        <v/>
      </c>
      <c r="B289">
        <f>IF(A289="","",'KG1-1'!$C23)</f>
        <v/>
      </c>
      <c r="C289">
        <f>IF(A289="","",'KG1-1'!$B$2)</f>
        <v/>
      </c>
      <c r="D289" s="126">
        <f t="array" ref="D289">IF(A289="","",IFERROR(SMALL(IF((('KG1-1'!$AD23:$IM23="غياب بدون عذر")+('KG1-1'!$AD23:$IM23="غياب بعذر"))*('KG1-1'!$AD$7:$IM$7="✓"),'KG1-1'!$AD$5:$IM$5),8),""))</f>
        <v/>
      </c>
      <c r="E289">
        <f>IF(D289="","",INDEX('KG1-1'!$AD23:$IM23,MATCH(D289,'KG1-1'!$AD$5:$IM$5,0)))</f>
        <v/>
      </c>
      <c r="F289">
        <f>IF(D289="","",COUNTIFS('KG1-1'!$AD23:$IM23,"غياب بدون عذر",'KG1-1'!$AD$7:$IM$7,"✓",'KG1-1'!$AD$5:$IM$5,"&lt;="&amp;D289))</f>
        <v/>
      </c>
      <c r="G289">
        <f>G288+IF(D289="",0,1)</f>
        <v/>
      </c>
    </row>
    <row r="290">
      <c r="A290">
        <f>IF('KG1-1'!$B23="","",'KG1-1'!$B23)</f>
        <v/>
      </c>
      <c r="B290">
        <f>IF(A290="","",'KG1-1'!$C23)</f>
        <v/>
      </c>
      <c r="C290">
        <f>IF(A290="","",'KG1-1'!$B$2)</f>
        <v/>
      </c>
      <c r="D290" s="126">
        <f t="array" ref="D290">IF(A290="","",IFERROR(SMALL(IF((('KG1-1'!$AD23:$IM23="غياب بدون عذر")+('KG1-1'!$AD23:$IM23="غياب بعذر"))*('KG1-1'!$AD$7:$IM$7="✓"),'KG1-1'!$AD$5:$IM$5),9),""))</f>
        <v/>
      </c>
      <c r="E290">
        <f>IF(D290="","",INDEX('KG1-1'!$AD23:$IM23,MATCH(D290,'KG1-1'!$AD$5:$IM$5,0)))</f>
        <v/>
      </c>
      <c r="F290">
        <f>IF(D290="","",COUNTIFS('KG1-1'!$AD23:$IM23,"غياب بدون عذر",'KG1-1'!$AD$7:$IM$7,"✓",'KG1-1'!$AD$5:$IM$5,"&lt;="&amp;D290))</f>
        <v/>
      </c>
      <c r="G290">
        <f>G289+IF(D290="",0,1)</f>
        <v/>
      </c>
    </row>
    <row r="291">
      <c r="A291">
        <f>IF('KG1-1'!$B23="","",'KG1-1'!$B23)</f>
        <v/>
      </c>
      <c r="B291">
        <f>IF(A291="","",'KG1-1'!$C23)</f>
        <v/>
      </c>
      <c r="C291">
        <f>IF(A291="","",'KG1-1'!$B$2)</f>
        <v/>
      </c>
      <c r="D291" s="126">
        <f t="array" ref="D291">IF(A291="","",IFERROR(SMALL(IF((('KG1-1'!$AD23:$IM23="غياب بدون عذر")+('KG1-1'!$AD23:$IM23="غياب بعذر"))*('KG1-1'!$AD$7:$IM$7="✓"),'KG1-1'!$AD$5:$IM$5),10),""))</f>
        <v/>
      </c>
      <c r="E291">
        <f>IF(D291="","",INDEX('KG1-1'!$AD23:$IM23,MATCH(D291,'KG1-1'!$AD$5:$IM$5,0)))</f>
        <v/>
      </c>
      <c r="F291">
        <f>IF(D291="","",COUNTIFS('KG1-1'!$AD23:$IM23,"غياب بدون عذر",'KG1-1'!$AD$7:$IM$7,"✓",'KG1-1'!$AD$5:$IM$5,"&lt;="&amp;D291))</f>
        <v/>
      </c>
      <c r="G291">
        <f>G290+IF(D291="",0,1)</f>
        <v/>
      </c>
    </row>
    <row r="292">
      <c r="A292">
        <f>IF('KG1-1'!$B23="","",'KG1-1'!$B23)</f>
        <v/>
      </c>
      <c r="B292">
        <f>IF(A292="","",'KG1-1'!$C23)</f>
        <v/>
      </c>
      <c r="C292">
        <f>IF(A292="","",'KG1-1'!$B$2)</f>
        <v/>
      </c>
      <c r="D292" s="126">
        <f t="array" ref="D292">IF(A292="","",IFERROR(SMALL(IF((('KG1-1'!$AD23:$IM23="غياب بدون عذر")+('KG1-1'!$AD23:$IM23="غياب بعذر"))*('KG1-1'!$AD$7:$IM$7="✓"),'KG1-1'!$AD$5:$IM$5),11),""))</f>
        <v/>
      </c>
      <c r="E292">
        <f>IF(D292="","",INDEX('KG1-1'!$AD23:$IM23,MATCH(D292,'KG1-1'!$AD$5:$IM$5,0)))</f>
        <v/>
      </c>
      <c r="F292">
        <f>IF(D292="","",COUNTIFS('KG1-1'!$AD23:$IM23,"غياب بدون عذر",'KG1-1'!$AD$7:$IM$7,"✓",'KG1-1'!$AD$5:$IM$5,"&lt;="&amp;D292))</f>
        <v/>
      </c>
      <c r="G292">
        <f>G291+IF(D292="",0,1)</f>
        <v/>
      </c>
    </row>
    <row r="293">
      <c r="A293">
        <f>IF('KG1-1'!$B23="","",'KG1-1'!$B23)</f>
        <v/>
      </c>
      <c r="B293">
        <f>IF(A293="","",'KG1-1'!$C23)</f>
        <v/>
      </c>
      <c r="C293">
        <f>IF(A293="","",'KG1-1'!$B$2)</f>
        <v/>
      </c>
      <c r="D293" s="126">
        <f t="array" ref="D293">IF(A293="","",IFERROR(SMALL(IF((('KG1-1'!$AD23:$IM23="غياب بدون عذر")+('KG1-1'!$AD23:$IM23="غياب بعذر"))*('KG1-1'!$AD$7:$IM$7="✓"),'KG1-1'!$AD$5:$IM$5),12),""))</f>
        <v/>
      </c>
      <c r="E293">
        <f>IF(D293="","",INDEX('KG1-1'!$AD23:$IM23,MATCH(D293,'KG1-1'!$AD$5:$IM$5,0)))</f>
        <v/>
      </c>
      <c r="F293">
        <f>IF(D293="","",COUNTIFS('KG1-1'!$AD23:$IM23,"غياب بدون عذر",'KG1-1'!$AD$7:$IM$7,"✓",'KG1-1'!$AD$5:$IM$5,"&lt;="&amp;D293))</f>
        <v/>
      </c>
      <c r="G293">
        <f>G292+IF(D293="",0,1)</f>
        <v/>
      </c>
    </row>
    <row r="294">
      <c r="A294">
        <f>IF('KG1-1'!$B23="","",'KG1-1'!$B23)</f>
        <v/>
      </c>
      <c r="B294">
        <f>IF(A294="","",'KG1-1'!$C23)</f>
        <v/>
      </c>
      <c r="C294">
        <f>IF(A294="","",'KG1-1'!$B$2)</f>
        <v/>
      </c>
      <c r="D294" s="126">
        <f t="array" ref="D294">IF(A294="","",IFERROR(SMALL(IF((('KG1-1'!$AD23:$IM23="غياب بدون عذر")+('KG1-1'!$AD23:$IM23="غياب بعذر"))*('KG1-1'!$AD$7:$IM$7="✓"),'KG1-1'!$AD$5:$IM$5),13),""))</f>
        <v/>
      </c>
      <c r="E294">
        <f>IF(D294="","",INDEX('KG1-1'!$AD23:$IM23,MATCH(D294,'KG1-1'!$AD$5:$IM$5,0)))</f>
        <v/>
      </c>
      <c r="F294">
        <f>IF(D294="","",COUNTIFS('KG1-1'!$AD23:$IM23,"غياب بدون عذر",'KG1-1'!$AD$7:$IM$7,"✓",'KG1-1'!$AD$5:$IM$5,"&lt;="&amp;D294))</f>
        <v/>
      </c>
      <c r="G294">
        <f>G293+IF(D294="",0,1)</f>
        <v/>
      </c>
    </row>
    <row r="295">
      <c r="A295">
        <f>IF('KG1-1'!$B23="","",'KG1-1'!$B23)</f>
        <v/>
      </c>
      <c r="B295">
        <f>IF(A295="","",'KG1-1'!$C23)</f>
        <v/>
      </c>
      <c r="C295">
        <f>IF(A295="","",'KG1-1'!$B$2)</f>
        <v/>
      </c>
      <c r="D295" s="126">
        <f t="array" ref="D295">IF(A295="","",IFERROR(SMALL(IF((('KG1-1'!$AD23:$IM23="غياب بدون عذر")+('KG1-1'!$AD23:$IM23="غياب بعذر"))*('KG1-1'!$AD$7:$IM$7="✓"),'KG1-1'!$AD$5:$IM$5),14),""))</f>
        <v/>
      </c>
      <c r="E295">
        <f>IF(D295="","",INDEX('KG1-1'!$AD23:$IM23,MATCH(D295,'KG1-1'!$AD$5:$IM$5,0)))</f>
        <v/>
      </c>
      <c r="F295">
        <f>IF(D295="","",COUNTIFS('KG1-1'!$AD23:$IM23,"غياب بدون عذر",'KG1-1'!$AD$7:$IM$7,"✓",'KG1-1'!$AD$5:$IM$5,"&lt;="&amp;D295))</f>
        <v/>
      </c>
      <c r="G295">
        <f>G294+IF(D295="",0,1)</f>
        <v/>
      </c>
    </row>
    <row r="296">
      <c r="A296">
        <f>IF('KG1-1'!$B23="","",'KG1-1'!$B23)</f>
        <v/>
      </c>
      <c r="B296">
        <f>IF(A296="","",'KG1-1'!$C23)</f>
        <v/>
      </c>
      <c r="C296">
        <f>IF(A296="","",'KG1-1'!$B$2)</f>
        <v/>
      </c>
      <c r="D296" s="126">
        <f t="array" ref="D296">IF(A296="","",IFERROR(SMALL(IF((('KG1-1'!$AD23:$IM23="غياب بدون عذر")+('KG1-1'!$AD23:$IM23="غياب بعذر"))*('KG1-1'!$AD$7:$IM$7="✓"),'KG1-1'!$AD$5:$IM$5),15),""))</f>
        <v/>
      </c>
      <c r="E296">
        <f>IF(D296="","",INDEX('KG1-1'!$AD23:$IM23,MATCH(D296,'KG1-1'!$AD$5:$IM$5,0)))</f>
        <v/>
      </c>
      <c r="F296">
        <f>IF(D296="","",COUNTIFS('KG1-1'!$AD23:$IM23,"غياب بدون عذر",'KG1-1'!$AD$7:$IM$7,"✓",'KG1-1'!$AD$5:$IM$5,"&lt;="&amp;D296))</f>
        <v/>
      </c>
      <c r="G296">
        <f>G295+IF(D296="",0,1)</f>
        <v/>
      </c>
    </row>
    <row r="297">
      <c r="A297">
        <f>IF('KG1-1'!$B23="","",'KG1-1'!$B23)</f>
        <v/>
      </c>
      <c r="B297">
        <f>IF(A297="","",'KG1-1'!$C23)</f>
        <v/>
      </c>
      <c r="C297">
        <f>IF(A297="","",'KG1-1'!$B$2)</f>
        <v/>
      </c>
      <c r="D297" s="126">
        <f t="array" ref="D297">IF(A297="","",IFERROR(SMALL(IF((('KG1-1'!$AD23:$IM23="غياب بدون عذر")+('KG1-1'!$AD23:$IM23="غياب بعذر"))*('KG1-1'!$AD$7:$IM$7="✓"),'KG1-1'!$AD$5:$IM$5),16),""))</f>
        <v/>
      </c>
      <c r="E297">
        <f>IF(D297="","",INDEX('KG1-1'!$AD23:$IM23,MATCH(D297,'KG1-1'!$AD$5:$IM$5,0)))</f>
        <v/>
      </c>
      <c r="F297">
        <f>IF(D297="","",COUNTIFS('KG1-1'!$AD23:$IM23,"غياب بدون عذر",'KG1-1'!$AD$7:$IM$7,"✓",'KG1-1'!$AD$5:$IM$5,"&lt;="&amp;D297))</f>
        <v/>
      </c>
      <c r="G297">
        <f>G296+IF(D297="",0,1)</f>
        <v/>
      </c>
    </row>
    <row r="298">
      <c r="A298">
        <f>IF('KG1-1'!$B23="","",'KG1-1'!$B23)</f>
        <v/>
      </c>
      <c r="B298">
        <f>IF(A298="","",'KG1-1'!$C23)</f>
        <v/>
      </c>
      <c r="C298">
        <f>IF(A298="","",'KG1-1'!$B$2)</f>
        <v/>
      </c>
      <c r="D298" s="126">
        <f t="array" ref="D298">IF(A298="","",IFERROR(SMALL(IF((('KG1-1'!$AD23:$IM23="غياب بدون عذر")+('KG1-1'!$AD23:$IM23="غياب بعذر"))*('KG1-1'!$AD$7:$IM$7="✓"),'KG1-1'!$AD$5:$IM$5),17),""))</f>
        <v/>
      </c>
      <c r="E298">
        <f>IF(D298="","",INDEX('KG1-1'!$AD23:$IM23,MATCH(D298,'KG1-1'!$AD$5:$IM$5,0)))</f>
        <v/>
      </c>
      <c r="F298">
        <f>IF(D298="","",COUNTIFS('KG1-1'!$AD23:$IM23,"غياب بدون عذر",'KG1-1'!$AD$7:$IM$7,"✓",'KG1-1'!$AD$5:$IM$5,"&lt;="&amp;D298))</f>
        <v/>
      </c>
      <c r="G298">
        <f>G297+IF(D298="",0,1)</f>
        <v/>
      </c>
    </row>
    <row r="299">
      <c r="A299">
        <f>IF('KG1-1'!$B23="","",'KG1-1'!$B23)</f>
        <v/>
      </c>
      <c r="B299">
        <f>IF(A299="","",'KG1-1'!$C23)</f>
        <v/>
      </c>
      <c r="C299">
        <f>IF(A299="","",'KG1-1'!$B$2)</f>
        <v/>
      </c>
      <c r="D299" s="126">
        <f t="array" ref="D299">IF(A299="","",IFERROR(SMALL(IF((('KG1-1'!$AD23:$IM23="غياب بدون عذر")+('KG1-1'!$AD23:$IM23="غياب بعذر"))*('KG1-1'!$AD$7:$IM$7="✓"),'KG1-1'!$AD$5:$IM$5),18),""))</f>
        <v/>
      </c>
      <c r="E299">
        <f>IF(D299="","",INDEX('KG1-1'!$AD23:$IM23,MATCH(D299,'KG1-1'!$AD$5:$IM$5,0)))</f>
        <v/>
      </c>
      <c r="F299">
        <f>IF(D299="","",COUNTIFS('KG1-1'!$AD23:$IM23,"غياب بدون عذر",'KG1-1'!$AD$7:$IM$7,"✓",'KG1-1'!$AD$5:$IM$5,"&lt;="&amp;D299))</f>
        <v/>
      </c>
      <c r="G299">
        <f>G298+IF(D299="",0,1)</f>
        <v/>
      </c>
    </row>
    <row r="300">
      <c r="A300">
        <f>IF('KG1-1'!$B23="","",'KG1-1'!$B23)</f>
        <v/>
      </c>
      <c r="B300">
        <f>IF(A300="","",'KG1-1'!$C23)</f>
        <v/>
      </c>
      <c r="C300">
        <f>IF(A300="","",'KG1-1'!$B$2)</f>
        <v/>
      </c>
      <c r="D300" s="126">
        <f t="array" ref="D300">IF(A300="","",IFERROR(SMALL(IF((('KG1-1'!$AD23:$IM23="غياب بدون عذر")+('KG1-1'!$AD23:$IM23="غياب بعذر"))*('KG1-1'!$AD$7:$IM$7="✓"),'KG1-1'!$AD$5:$IM$5),19),""))</f>
        <v/>
      </c>
      <c r="E300">
        <f>IF(D300="","",INDEX('KG1-1'!$AD23:$IM23,MATCH(D300,'KG1-1'!$AD$5:$IM$5,0)))</f>
        <v/>
      </c>
      <c r="F300">
        <f>IF(D300="","",COUNTIFS('KG1-1'!$AD23:$IM23,"غياب بدون عذر",'KG1-1'!$AD$7:$IM$7,"✓",'KG1-1'!$AD$5:$IM$5,"&lt;="&amp;D300))</f>
        <v/>
      </c>
      <c r="G300">
        <f>G299+IF(D300="",0,1)</f>
        <v/>
      </c>
    </row>
    <row r="301">
      <c r="A301">
        <f>IF('KG1-1'!$B23="","",'KG1-1'!$B23)</f>
        <v/>
      </c>
      <c r="B301">
        <f>IF(A301="","",'KG1-1'!$C23)</f>
        <v/>
      </c>
      <c r="C301">
        <f>IF(A301="","",'KG1-1'!$B$2)</f>
        <v/>
      </c>
      <c r="D301" s="126">
        <f t="array" ref="D301">IF(A301="","",IFERROR(SMALL(IF((('KG1-1'!$AD23:$IM23="غياب بدون عذر")+('KG1-1'!$AD23:$IM23="غياب بعذر"))*('KG1-1'!$AD$7:$IM$7="✓"),'KG1-1'!$AD$5:$IM$5),20),""))</f>
        <v/>
      </c>
      <c r="E301">
        <f>IF(D301="","",INDEX('KG1-1'!$AD23:$IM23,MATCH(D301,'KG1-1'!$AD$5:$IM$5,0)))</f>
        <v/>
      </c>
      <c r="F301">
        <f>IF(D301="","",COUNTIFS('KG1-1'!$AD23:$IM23,"غياب بدون عذر",'KG1-1'!$AD$7:$IM$7,"✓",'KG1-1'!$AD$5:$IM$5,"&lt;="&amp;D301))</f>
        <v/>
      </c>
      <c r="G301">
        <f>G300+IF(D301="",0,1)</f>
        <v/>
      </c>
    </row>
    <row r="302">
      <c r="A302">
        <f>IF('KG1-1'!$B24="","",'KG1-1'!$B24)</f>
        <v/>
      </c>
      <c r="B302">
        <f>IF(A302="","",'KG1-1'!$C24)</f>
        <v/>
      </c>
      <c r="C302">
        <f>IF(A302="","",'KG1-1'!$B$2)</f>
        <v/>
      </c>
      <c r="D302" s="126">
        <f t="array" ref="D302">IF(A302="","",IFERROR(SMALL(IF((('KG1-1'!$AD24:$IM24="غياب بدون عذر")+('KG1-1'!$AD24:$IM24="غياب بعذر"))*('KG1-1'!$AD$7:$IM$7="✓"),'KG1-1'!$AD$5:$IM$5),1),""))</f>
        <v/>
      </c>
      <c r="E302">
        <f>IF(D302="","",INDEX('KG1-1'!$AD24:$IM24,MATCH(D302,'KG1-1'!$AD$5:$IM$5,0)))</f>
        <v/>
      </c>
      <c r="F302">
        <f>IF(D302="","",COUNTIFS('KG1-1'!$AD24:$IM24,"غياب بدون عذر",'KG1-1'!$AD$7:$IM$7,"✓",'KG1-1'!$AD$5:$IM$5,"&lt;="&amp;D302))</f>
        <v/>
      </c>
      <c r="G302">
        <f>G301+IF(D302="",0,1)</f>
        <v/>
      </c>
    </row>
    <row r="303">
      <c r="A303">
        <f>IF('KG1-1'!$B24="","",'KG1-1'!$B24)</f>
        <v/>
      </c>
      <c r="B303">
        <f>IF(A303="","",'KG1-1'!$C24)</f>
        <v/>
      </c>
      <c r="C303">
        <f>IF(A303="","",'KG1-1'!$B$2)</f>
        <v/>
      </c>
      <c r="D303" s="126">
        <f t="array" ref="D303">IF(A303="","",IFERROR(SMALL(IF((('KG1-1'!$AD24:$IM24="غياب بدون عذر")+('KG1-1'!$AD24:$IM24="غياب بعذر"))*('KG1-1'!$AD$7:$IM$7="✓"),'KG1-1'!$AD$5:$IM$5),2),""))</f>
        <v/>
      </c>
      <c r="E303">
        <f>IF(D303="","",INDEX('KG1-1'!$AD24:$IM24,MATCH(D303,'KG1-1'!$AD$5:$IM$5,0)))</f>
        <v/>
      </c>
      <c r="F303">
        <f>IF(D303="","",COUNTIFS('KG1-1'!$AD24:$IM24,"غياب بدون عذر",'KG1-1'!$AD$7:$IM$7,"✓",'KG1-1'!$AD$5:$IM$5,"&lt;="&amp;D303))</f>
        <v/>
      </c>
      <c r="G303">
        <f>G302+IF(D303="",0,1)</f>
        <v/>
      </c>
    </row>
    <row r="304">
      <c r="A304">
        <f>IF('KG1-1'!$B24="","",'KG1-1'!$B24)</f>
        <v/>
      </c>
      <c r="B304">
        <f>IF(A304="","",'KG1-1'!$C24)</f>
        <v/>
      </c>
      <c r="C304">
        <f>IF(A304="","",'KG1-1'!$B$2)</f>
        <v/>
      </c>
      <c r="D304" s="126">
        <f t="array" ref="D304">IF(A304="","",IFERROR(SMALL(IF((('KG1-1'!$AD24:$IM24="غياب بدون عذر")+('KG1-1'!$AD24:$IM24="غياب بعذر"))*('KG1-1'!$AD$7:$IM$7="✓"),'KG1-1'!$AD$5:$IM$5),3),""))</f>
        <v/>
      </c>
      <c r="E304">
        <f>IF(D304="","",INDEX('KG1-1'!$AD24:$IM24,MATCH(D304,'KG1-1'!$AD$5:$IM$5,0)))</f>
        <v/>
      </c>
      <c r="F304">
        <f>IF(D304="","",COUNTIFS('KG1-1'!$AD24:$IM24,"غياب بدون عذر",'KG1-1'!$AD$7:$IM$7,"✓",'KG1-1'!$AD$5:$IM$5,"&lt;="&amp;D304))</f>
        <v/>
      </c>
      <c r="G304">
        <f>G303+IF(D304="",0,1)</f>
        <v/>
      </c>
    </row>
    <row r="305">
      <c r="A305">
        <f>IF('KG1-1'!$B24="","",'KG1-1'!$B24)</f>
        <v/>
      </c>
      <c r="B305">
        <f>IF(A305="","",'KG1-1'!$C24)</f>
        <v/>
      </c>
      <c r="C305">
        <f>IF(A305="","",'KG1-1'!$B$2)</f>
        <v/>
      </c>
      <c r="D305" s="126">
        <f t="array" ref="D305">IF(A305="","",IFERROR(SMALL(IF((('KG1-1'!$AD24:$IM24="غياب بدون عذر")+('KG1-1'!$AD24:$IM24="غياب بعذر"))*('KG1-1'!$AD$7:$IM$7="✓"),'KG1-1'!$AD$5:$IM$5),4),""))</f>
        <v/>
      </c>
      <c r="E305">
        <f>IF(D305="","",INDEX('KG1-1'!$AD24:$IM24,MATCH(D305,'KG1-1'!$AD$5:$IM$5,0)))</f>
        <v/>
      </c>
      <c r="F305">
        <f>IF(D305="","",COUNTIFS('KG1-1'!$AD24:$IM24,"غياب بدون عذر",'KG1-1'!$AD$7:$IM$7,"✓",'KG1-1'!$AD$5:$IM$5,"&lt;="&amp;D305))</f>
        <v/>
      </c>
      <c r="G305">
        <f>G304+IF(D305="",0,1)</f>
        <v/>
      </c>
    </row>
    <row r="306">
      <c r="A306">
        <f>IF('KG1-1'!$B24="","",'KG1-1'!$B24)</f>
        <v/>
      </c>
      <c r="B306">
        <f>IF(A306="","",'KG1-1'!$C24)</f>
        <v/>
      </c>
      <c r="C306">
        <f>IF(A306="","",'KG1-1'!$B$2)</f>
        <v/>
      </c>
      <c r="D306" s="126">
        <f t="array" ref="D306">IF(A306="","",IFERROR(SMALL(IF((('KG1-1'!$AD24:$IM24="غياب بدون عذر")+('KG1-1'!$AD24:$IM24="غياب بعذر"))*('KG1-1'!$AD$7:$IM$7="✓"),'KG1-1'!$AD$5:$IM$5),5),""))</f>
        <v/>
      </c>
      <c r="E306">
        <f>IF(D306="","",INDEX('KG1-1'!$AD24:$IM24,MATCH(D306,'KG1-1'!$AD$5:$IM$5,0)))</f>
        <v/>
      </c>
      <c r="F306">
        <f>IF(D306="","",COUNTIFS('KG1-1'!$AD24:$IM24,"غياب بدون عذر",'KG1-1'!$AD$7:$IM$7,"✓",'KG1-1'!$AD$5:$IM$5,"&lt;="&amp;D306))</f>
        <v/>
      </c>
      <c r="G306">
        <f>G305+IF(D306="",0,1)</f>
        <v/>
      </c>
    </row>
    <row r="307">
      <c r="A307">
        <f>IF('KG1-1'!$B24="","",'KG1-1'!$B24)</f>
        <v/>
      </c>
      <c r="B307">
        <f>IF(A307="","",'KG1-1'!$C24)</f>
        <v/>
      </c>
      <c r="C307">
        <f>IF(A307="","",'KG1-1'!$B$2)</f>
        <v/>
      </c>
      <c r="D307" s="126">
        <f t="array" ref="D307">IF(A307="","",IFERROR(SMALL(IF((('KG1-1'!$AD24:$IM24="غياب بدون عذر")+('KG1-1'!$AD24:$IM24="غياب بعذر"))*('KG1-1'!$AD$7:$IM$7="✓"),'KG1-1'!$AD$5:$IM$5),6),""))</f>
        <v/>
      </c>
      <c r="E307">
        <f>IF(D307="","",INDEX('KG1-1'!$AD24:$IM24,MATCH(D307,'KG1-1'!$AD$5:$IM$5,0)))</f>
        <v/>
      </c>
      <c r="F307">
        <f>IF(D307="","",COUNTIFS('KG1-1'!$AD24:$IM24,"غياب بدون عذر",'KG1-1'!$AD$7:$IM$7,"✓",'KG1-1'!$AD$5:$IM$5,"&lt;="&amp;D307))</f>
        <v/>
      </c>
      <c r="G307">
        <f>G306+IF(D307="",0,1)</f>
        <v/>
      </c>
    </row>
    <row r="308">
      <c r="A308">
        <f>IF('KG1-1'!$B24="","",'KG1-1'!$B24)</f>
        <v/>
      </c>
      <c r="B308">
        <f>IF(A308="","",'KG1-1'!$C24)</f>
        <v/>
      </c>
      <c r="C308">
        <f>IF(A308="","",'KG1-1'!$B$2)</f>
        <v/>
      </c>
      <c r="D308" s="126">
        <f t="array" ref="D308">IF(A308="","",IFERROR(SMALL(IF((('KG1-1'!$AD24:$IM24="غياب بدون عذر")+('KG1-1'!$AD24:$IM24="غياب بعذر"))*('KG1-1'!$AD$7:$IM$7="✓"),'KG1-1'!$AD$5:$IM$5),7),""))</f>
        <v/>
      </c>
      <c r="E308">
        <f>IF(D308="","",INDEX('KG1-1'!$AD24:$IM24,MATCH(D308,'KG1-1'!$AD$5:$IM$5,0)))</f>
        <v/>
      </c>
      <c r="F308">
        <f>IF(D308="","",COUNTIFS('KG1-1'!$AD24:$IM24,"غياب بدون عذر",'KG1-1'!$AD$7:$IM$7,"✓",'KG1-1'!$AD$5:$IM$5,"&lt;="&amp;D308))</f>
        <v/>
      </c>
      <c r="G308">
        <f>G307+IF(D308="",0,1)</f>
        <v/>
      </c>
    </row>
    <row r="309">
      <c r="A309">
        <f>IF('KG1-1'!$B24="","",'KG1-1'!$B24)</f>
        <v/>
      </c>
      <c r="B309">
        <f>IF(A309="","",'KG1-1'!$C24)</f>
        <v/>
      </c>
      <c r="C309">
        <f>IF(A309="","",'KG1-1'!$B$2)</f>
        <v/>
      </c>
      <c r="D309" s="126">
        <f t="array" ref="D309">IF(A309="","",IFERROR(SMALL(IF((('KG1-1'!$AD24:$IM24="غياب بدون عذر")+('KG1-1'!$AD24:$IM24="غياب بعذر"))*('KG1-1'!$AD$7:$IM$7="✓"),'KG1-1'!$AD$5:$IM$5),8),""))</f>
        <v/>
      </c>
      <c r="E309">
        <f>IF(D309="","",INDEX('KG1-1'!$AD24:$IM24,MATCH(D309,'KG1-1'!$AD$5:$IM$5,0)))</f>
        <v/>
      </c>
      <c r="F309">
        <f>IF(D309="","",COUNTIFS('KG1-1'!$AD24:$IM24,"غياب بدون عذر",'KG1-1'!$AD$7:$IM$7,"✓",'KG1-1'!$AD$5:$IM$5,"&lt;="&amp;D309))</f>
        <v/>
      </c>
      <c r="G309">
        <f>G308+IF(D309="",0,1)</f>
        <v/>
      </c>
    </row>
    <row r="310">
      <c r="A310">
        <f>IF('KG1-1'!$B24="","",'KG1-1'!$B24)</f>
        <v/>
      </c>
      <c r="B310">
        <f>IF(A310="","",'KG1-1'!$C24)</f>
        <v/>
      </c>
      <c r="C310">
        <f>IF(A310="","",'KG1-1'!$B$2)</f>
        <v/>
      </c>
      <c r="D310" s="126">
        <f t="array" ref="D310">IF(A310="","",IFERROR(SMALL(IF((('KG1-1'!$AD24:$IM24="غياب بدون عذر")+('KG1-1'!$AD24:$IM24="غياب بعذر"))*('KG1-1'!$AD$7:$IM$7="✓"),'KG1-1'!$AD$5:$IM$5),9),""))</f>
        <v/>
      </c>
      <c r="E310">
        <f>IF(D310="","",INDEX('KG1-1'!$AD24:$IM24,MATCH(D310,'KG1-1'!$AD$5:$IM$5,0)))</f>
        <v/>
      </c>
      <c r="F310">
        <f>IF(D310="","",COUNTIFS('KG1-1'!$AD24:$IM24,"غياب بدون عذر",'KG1-1'!$AD$7:$IM$7,"✓",'KG1-1'!$AD$5:$IM$5,"&lt;="&amp;D310))</f>
        <v/>
      </c>
      <c r="G310">
        <f>G309+IF(D310="",0,1)</f>
        <v/>
      </c>
    </row>
    <row r="311">
      <c r="A311">
        <f>IF('KG1-1'!$B24="","",'KG1-1'!$B24)</f>
        <v/>
      </c>
      <c r="B311">
        <f>IF(A311="","",'KG1-1'!$C24)</f>
        <v/>
      </c>
      <c r="C311">
        <f>IF(A311="","",'KG1-1'!$B$2)</f>
        <v/>
      </c>
      <c r="D311" s="126">
        <f t="array" ref="D311">IF(A311="","",IFERROR(SMALL(IF((('KG1-1'!$AD24:$IM24="غياب بدون عذر")+('KG1-1'!$AD24:$IM24="غياب بعذر"))*('KG1-1'!$AD$7:$IM$7="✓"),'KG1-1'!$AD$5:$IM$5),10),""))</f>
        <v/>
      </c>
      <c r="E311">
        <f>IF(D311="","",INDEX('KG1-1'!$AD24:$IM24,MATCH(D311,'KG1-1'!$AD$5:$IM$5,0)))</f>
        <v/>
      </c>
      <c r="F311">
        <f>IF(D311="","",COUNTIFS('KG1-1'!$AD24:$IM24,"غياب بدون عذر",'KG1-1'!$AD$7:$IM$7,"✓",'KG1-1'!$AD$5:$IM$5,"&lt;="&amp;D311))</f>
        <v/>
      </c>
      <c r="G311">
        <f>G310+IF(D311="",0,1)</f>
        <v/>
      </c>
    </row>
    <row r="312">
      <c r="A312">
        <f>IF('KG1-1'!$B24="","",'KG1-1'!$B24)</f>
        <v/>
      </c>
      <c r="B312">
        <f>IF(A312="","",'KG1-1'!$C24)</f>
        <v/>
      </c>
      <c r="C312">
        <f>IF(A312="","",'KG1-1'!$B$2)</f>
        <v/>
      </c>
      <c r="D312" s="126">
        <f t="array" ref="D312">IF(A312="","",IFERROR(SMALL(IF((('KG1-1'!$AD24:$IM24="غياب بدون عذر")+('KG1-1'!$AD24:$IM24="غياب بعذر"))*('KG1-1'!$AD$7:$IM$7="✓"),'KG1-1'!$AD$5:$IM$5),11),""))</f>
        <v/>
      </c>
      <c r="E312">
        <f>IF(D312="","",INDEX('KG1-1'!$AD24:$IM24,MATCH(D312,'KG1-1'!$AD$5:$IM$5,0)))</f>
        <v/>
      </c>
      <c r="F312">
        <f>IF(D312="","",COUNTIFS('KG1-1'!$AD24:$IM24,"غياب بدون عذر",'KG1-1'!$AD$7:$IM$7,"✓",'KG1-1'!$AD$5:$IM$5,"&lt;="&amp;D312))</f>
        <v/>
      </c>
      <c r="G312">
        <f>G311+IF(D312="",0,1)</f>
        <v/>
      </c>
    </row>
    <row r="313">
      <c r="A313">
        <f>IF('KG1-1'!$B24="","",'KG1-1'!$B24)</f>
        <v/>
      </c>
      <c r="B313">
        <f>IF(A313="","",'KG1-1'!$C24)</f>
        <v/>
      </c>
      <c r="C313">
        <f>IF(A313="","",'KG1-1'!$B$2)</f>
        <v/>
      </c>
      <c r="D313" s="126">
        <f t="array" ref="D313">IF(A313="","",IFERROR(SMALL(IF((('KG1-1'!$AD24:$IM24="غياب بدون عذر")+('KG1-1'!$AD24:$IM24="غياب بعذر"))*('KG1-1'!$AD$7:$IM$7="✓"),'KG1-1'!$AD$5:$IM$5),12),""))</f>
        <v/>
      </c>
      <c r="E313">
        <f>IF(D313="","",INDEX('KG1-1'!$AD24:$IM24,MATCH(D313,'KG1-1'!$AD$5:$IM$5,0)))</f>
        <v/>
      </c>
      <c r="F313">
        <f>IF(D313="","",COUNTIFS('KG1-1'!$AD24:$IM24,"غياب بدون عذر",'KG1-1'!$AD$7:$IM$7,"✓",'KG1-1'!$AD$5:$IM$5,"&lt;="&amp;D313))</f>
        <v/>
      </c>
      <c r="G313">
        <f>G312+IF(D313="",0,1)</f>
        <v/>
      </c>
    </row>
    <row r="314">
      <c r="A314">
        <f>IF('KG1-1'!$B24="","",'KG1-1'!$B24)</f>
        <v/>
      </c>
      <c r="B314">
        <f>IF(A314="","",'KG1-1'!$C24)</f>
        <v/>
      </c>
      <c r="C314">
        <f>IF(A314="","",'KG1-1'!$B$2)</f>
        <v/>
      </c>
      <c r="D314" s="126">
        <f t="array" ref="D314">IF(A314="","",IFERROR(SMALL(IF((('KG1-1'!$AD24:$IM24="غياب بدون عذر")+('KG1-1'!$AD24:$IM24="غياب بعذر"))*('KG1-1'!$AD$7:$IM$7="✓"),'KG1-1'!$AD$5:$IM$5),13),""))</f>
        <v/>
      </c>
      <c r="E314">
        <f>IF(D314="","",INDEX('KG1-1'!$AD24:$IM24,MATCH(D314,'KG1-1'!$AD$5:$IM$5,0)))</f>
        <v/>
      </c>
      <c r="F314">
        <f>IF(D314="","",COUNTIFS('KG1-1'!$AD24:$IM24,"غياب بدون عذر",'KG1-1'!$AD$7:$IM$7,"✓",'KG1-1'!$AD$5:$IM$5,"&lt;="&amp;D314))</f>
        <v/>
      </c>
      <c r="G314">
        <f>G313+IF(D314="",0,1)</f>
        <v/>
      </c>
    </row>
    <row r="315">
      <c r="A315">
        <f>IF('KG1-1'!$B24="","",'KG1-1'!$B24)</f>
        <v/>
      </c>
      <c r="B315">
        <f>IF(A315="","",'KG1-1'!$C24)</f>
        <v/>
      </c>
      <c r="C315">
        <f>IF(A315="","",'KG1-1'!$B$2)</f>
        <v/>
      </c>
      <c r="D315" s="126">
        <f t="array" ref="D315">IF(A315="","",IFERROR(SMALL(IF((('KG1-1'!$AD24:$IM24="غياب بدون عذر")+('KG1-1'!$AD24:$IM24="غياب بعذر"))*('KG1-1'!$AD$7:$IM$7="✓"),'KG1-1'!$AD$5:$IM$5),14),""))</f>
        <v/>
      </c>
      <c r="E315">
        <f>IF(D315="","",INDEX('KG1-1'!$AD24:$IM24,MATCH(D315,'KG1-1'!$AD$5:$IM$5,0)))</f>
        <v/>
      </c>
      <c r="F315">
        <f>IF(D315="","",COUNTIFS('KG1-1'!$AD24:$IM24,"غياب بدون عذر",'KG1-1'!$AD$7:$IM$7,"✓",'KG1-1'!$AD$5:$IM$5,"&lt;="&amp;D315))</f>
        <v/>
      </c>
      <c r="G315">
        <f>G314+IF(D315="",0,1)</f>
        <v/>
      </c>
    </row>
    <row r="316">
      <c r="A316">
        <f>IF('KG1-1'!$B24="","",'KG1-1'!$B24)</f>
        <v/>
      </c>
      <c r="B316">
        <f>IF(A316="","",'KG1-1'!$C24)</f>
        <v/>
      </c>
      <c r="C316">
        <f>IF(A316="","",'KG1-1'!$B$2)</f>
        <v/>
      </c>
      <c r="D316" s="126">
        <f t="array" ref="D316">IF(A316="","",IFERROR(SMALL(IF((('KG1-1'!$AD24:$IM24="غياب بدون عذر")+('KG1-1'!$AD24:$IM24="غياب بعذر"))*('KG1-1'!$AD$7:$IM$7="✓"),'KG1-1'!$AD$5:$IM$5),15),""))</f>
        <v/>
      </c>
      <c r="E316">
        <f>IF(D316="","",INDEX('KG1-1'!$AD24:$IM24,MATCH(D316,'KG1-1'!$AD$5:$IM$5,0)))</f>
        <v/>
      </c>
      <c r="F316">
        <f>IF(D316="","",COUNTIFS('KG1-1'!$AD24:$IM24,"غياب بدون عذر",'KG1-1'!$AD$7:$IM$7,"✓",'KG1-1'!$AD$5:$IM$5,"&lt;="&amp;D316))</f>
        <v/>
      </c>
      <c r="G316">
        <f>G315+IF(D316="",0,1)</f>
        <v/>
      </c>
    </row>
    <row r="317">
      <c r="A317">
        <f>IF('KG1-1'!$B24="","",'KG1-1'!$B24)</f>
        <v/>
      </c>
      <c r="B317">
        <f>IF(A317="","",'KG1-1'!$C24)</f>
        <v/>
      </c>
      <c r="C317">
        <f>IF(A317="","",'KG1-1'!$B$2)</f>
        <v/>
      </c>
      <c r="D317" s="126">
        <f t="array" ref="D317">IF(A317="","",IFERROR(SMALL(IF((('KG1-1'!$AD24:$IM24="غياب بدون عذر")+('KG1-1'!$AD24:$IM24="غياب بعذر"))*('KG1-1'!$AD$7:$IM$7="✓"),'KG1-1'!$AD$5:$IM$5),16),""))</f>
        <v/>
      </c>
      <c r="E317">
        <f>IF(D317="","",INDEX('KG1-1'!$AD24:$IM24,MATCH(D317,'KG1-1'!$AD$5:$IM$5,0)))</f>
        <v/>
      </c>
      <c r="F317">
        <f>IF(D317="","",COUNTIFS('KG1-1'!$AD24:$IM24,"غياب بدون عذر",'KG1-1'!$AD$7:$IM$7,"✓",'KG1-1'!$AD$5:$IM$5,"&lt;="&amp;D317))</f>
        <v/>
      </c>
      <c r="G317">
        <f>G316+IF(D317="",0,1)</f>
        <v/>
      </c>
    </row>
    <row r="318">
      <c r="A318">
        <f>IF('KG1-1'!$B24="","",'KG1-1'!$B24)</f>
        <v/>
      </c>
      <c r="B318">
        <f>IF(A318="","",'KG1-1'!$C24)</f>
        <v/>
      </c>
      <c r="C318">
        <f>IF(A318="","",'KG1-1'!$B$2)</f>
        <v/>
      </c>
      <c r="D318" s="126">
        <f t="array" ref="D318">IF(A318="","",IFERROR(SMALL(IF((('KG1-1'!$AD24:$IM24="غياب بدون عذر")+('KG1-1'!$AD24:$IM24="غياب بعذر"))*('KG1-1'!$AD$7:$IM$7="✓"),'KG1-1'!$AD$5:$IM$5),17),""))</f>
        <v/>
      </c>
      <c r="E318">
        <f>IF(D318="","",INDEX('KG1-1'!$AD24:$IM24,MATCH(D318,'KG1-1'!$AD$5:$IM$5,0)))</f>
        <v/>
      </c>
      <c r="F318">
        <f>IF(D318="","",COUNTIFS('KG1-1'!$AD24:$IM24,"غياب بدون عذر",'KG1-1'!$AD$7:$IM$7,"✓",'KG1-1'!$AD$5:$IM$5,"&lt;="&amp;D318))</f>
        <v/>
      </c>
      <c r="G318">
        <f>G317+IF(D318="",0,1)</f>
        <v/>
      </c>
    </row>
    <row r="319">
      <c r="A319">
        <f>IF('KG1-1'!$B24="","",'KG1-1'!$B24)</f>
        <v/>
      </c>
      <c r="B319">
        <f>IF(A319="","",'KG1-1'!$C24)</f>
        <v/>
      </c>
      <c r="C319">
        <f>IF(A319="","",'KG1-1'!$B$2)</f>
        <v/>
      </c>
      <c r="D319" s="126">
        <f t="array" ref="D319">IF(A319="","",IFERROR(SMALL(IF((('KG1-1'!$AD24:$IM24="غياب بدون عذر")+('KG1-1'!$AD24:$IM24="غياب بعذر"))*('KG1-1'!$AD$7:$IM$7="✓"),'KG1-1'!$AD$5:$IM$5),18),""))</f>
        <v/>
      </c>
      <c r="E319">
        <f>IF(D319="","",INDEX('KG1-1'!$AD24:$IM24,MATCH(D319,'KG1-1'!$AD$5:$IM$5,0)))</f>
        <v/>
      </c>
      <c r="F319">
        <f>IF(D319="","",COUNTIFS('KG1-1'!$AD24:$IM24,"غياب بدون عذر",'KG1-1'!$AD$7:$IM$7,"✓",'KG1-1'!$AD$5:$IM$5,"&lt;="&amp;D319))</f>
        <v/>
      </c>
      <c r="G319">
        <f>G318+IF(D319="",0,1)</f>
        <v/>
      </c>
    </row>
    <row r="320">
      <c r="A320">
        <f>IF('KG1-1'!$B24="","",'KG1-1'!$B24)</f>
        <v/>
      </c>
      <c r="B320">
        <f>IF(A320="","",'KG1-1'!$C24)</f>
        <v/>
      </c>
      <c r="C320">
        <f>IF(A320="","",'KG1-1'!$B$2)</f>
        <v/>
      </c>
      <c r="D320" s="126">
        <f t="array" ref="D320">IF(A320="","",IFERROR(SMALL(IF((('KG1-1'!$AD24:$IM24="غياب بدون عذر")+('KG1-1'!$AD24:$IM24="غياب بعذر"))*('KG1-1'!$AD$7:$IM$7="✓"),'KG1-1'!$AD$5:$IM$5),19),""))</f>
        <v/>
      </c>
      <c r="E320">
        <f>IF(D320="","",INDEX('KG1-1'!$AD24:$IM24,MATCH(D320,'KG1-1'!$AD$5:$IM$5,0)))</f>
        <v/>
      </c>
      <c r="F320">
        <f>IF(D320="","",COUNTIFS('KG1-1'!$AD24:$IM24,"غياب بدون عذر",'KG1-1'!$AD$7:$IM$7,"✓",'KG1-1'!$AD$5:$IM$5,"&lt;="&amp;D320))</f>
        <v/>
      </c>
      <c r="G320">
        <f>G319+IF(D320="",0,1)</f>
        <v/>
      </c>
    </row>
    <row r="321">
      <c r="A321">
        <f>IF('KG1-1'!$B24="","",'KG1-1'!$B24)</f>
        <v/>
      </c>
      <c r="B321">
        <f>IF(A321="","",'KG1-1'!$C24)</f>
        <v/>
      </c>
      <c r="C321">
        <f>IF(A321="","",'KG1-1'!$B$2)</f>
        <v/>
      </c>
      <c r="D321" s="126">
        <f t="array" ref="D321">IF(A321="","",IFERROR(SMALL(IF((('KG1-1'!$AD24:$IM24="غياب بدون عذر")+('KG1-1'!$AD24:$IM24="غياب بعذر"))*('KG1-1'!$AD$7:$IM$7="✓"),'KG1-1'!$AD$5:$IM$5),20),""))</f>
        <v/>
      </c>
      <c r="E321">
        <f>IF(D321="","",INDEX('KG1-1'!$AD24:$IM24,MATCH(D321,'KG1-1'!$AD$5:$IM$5,0)))</f>
        <v/>
      </c>
      <c r="F321">
        <f>IF(D321="","",COUNTIFS('KG1-1'!$AD24:$IM24,"غياب بدون عذر",'KG1-1'!$AD$7:$IM$7,"✓",'KG1-1'!$AD$5:$IM$5,"&lt;="&amp;D321))</f>
        <v/>
      </c>
      <c r="G321">
        <f>G320+IF(D321="",0,1)</f>
        <v/>
      </c>
    </row>
    <row r="322">
      <c r="A322">
        <f>IF('KG1-1'!$B25="","",'KG1-1'!$B25)</f>
        <v/>
      </c>
      <c r="B322">
        <f>IF(A322="","",'KG1-1'!$C25)</f>
        <v/>
      </c>
      <c r="C322">
        <f>IF(A322="","",'KG1-1'!$B$2)</f>
        <v/>
      </c>
      <c r="D322" s="126">
        <f t="array" ref="D322">IF(A322="","",IFERROR(SMALL(IF((('KG1-1'!$AD25:$IM25="غياب بدون عذر")+('KG1-1'!$AD25:$IM25="غياب بعذر"))*('KG1-1'!$AD$7:$IM$7="✓"),'KG1-1'!$AD$5:$IM$5),1),""))</f>
        <v/>
      </c>
      <c r="E322">
        <f>IF(D322="","",INDEX('KG1-1'!$AD25:$IM25,MATCH(D322,'KG1-1'!$AD$5:$IM$5,0)))</f>
        <v/>
      </c>
      <c r="F322">
        <f>IF(D322="","",COUNTIFS('KG1-1'!$AD25:$IM25,"غياب بدون عذر",'KG1-1'!$AD$7:$IM$7,"✓",'KG1-1'!$AD$5:$IM$5,"&lt;="&amp;D322))</f>
        <v/>
      </c>
      <c r="G322">
        <f>G321+IF(D322="",0,1)</f>
        <v/>
      </c>
    </row>
    <row r="323">
      <c r="A323">
        <f>IF('KG1-1'!$B25="","",'KG1-1'!$B25)</f>
        <v/>
      </c>
      <c r="B323">
        <f>IF(A323="","",'KG1-1'!$C25)</f>
        <v/>
      </c>
      <c r="C323">
        <f>IF(A323="","",'KG1-1'!$B$2)</f>
        <v/>
      </c>
      <c r="D323" s="126">
        <f t="array" ref="D323">IF(A323="","",IFERROR(SMALL(IF((('KG1-1'!$AD25:$IM25="غياب بدون عذر")+('KG1-1'!$AD25:$IM25="غياب بعذر"))*('KG1-1'!$AD$7:$IM$7="✓"),'KG1-1'!$AD$5:$IM$5),2),""))</f>
        <v/>
      </c>
      <c r="E323">
        <f>IF(D323="","",INDEX('KG1-1'!$AD25:$IM25,MATCH(D323,'KG1-1'!$AD$5:$IM$5,0)))</f>
        <v/>
      </c>
      <c r="F323">
        <f>IF(D323="","",COUNTIFS('KG1-1'!$AD25:$IM25,"غياب بدون عذر",'KG1-1'!$AD$7:$IM$7,"✓",'KG1-1'!$AD$5:$IM$5,"&lt;="&amp;D323))</f>
        <v/>
      </c>
      <c r="G323">
        <f>G322+IF(D323="",0,1)</f>
        <v/>
      </c>
    </row>
    <row r="324">
      <c r="A324">
        <f>IF('KG1-1'!$B25="","",'KG1-1'!$B25)</f>
        <v/>
      </c>
      <c r="B324">
        <f>IF(A324="","",'KG1-1'!$C25)</f>
        <v/>
      </c>
      <c r="C324">
        <f>IF(A324="","",'KG1-1'!$B$2)</f>
        <v/>
      </c>
      <c r="D324" s="126">
        <f t="array" ref="D324">IF(A324="","",IFERROR(SMALL(IF((('KG1-1'!$AD25:$IM25="غياب بدون عذر")+('KG1-1'!$AD25:$IM25="غياب بعذر"))*('KG1-1'!$AD$7:$IM$7="✓"),'KG1-1'!$AD$5:$IM$5),3),""))</f>
        <v/>
      </c>
      <c r="E324">
        <f>IF(D324="","",INDEX('KG1-1'!$AD25:$IM25,MATCH(D324,'KG1-1'!$AD$5:$IM$5,0)))</f>
        <v/>
      </c>
      <c r="F324">
        <f>IF(D324="","",COUNTIFS('KG1-1'!$AD25:$IM25,"غياب بدون عذر",'KG1-1'!$AD$7:$IM$7,"✓",'KG1-1'!$AD$5:$IM$5,"&lt;="&amp;D324))</f>
        <v/>
      </c>
      <c r="G324">
        <f>G323+IF(D324="",0,1)</f>
        <v/>
      </c>
    </row>
    <row r="325">
      <c r="A325">
        <f>IF('KG1-1'!$B25="","",'KG1-1'!$B25)</f>
        <v/>
      </c>
      <c r="B325">
        <f>IF(A325="","",'KG1-1'!$C25)</f>
        <v/>
      </c>
      <c r="C325">
        <f>IF(A325="","",'KG1-1'!$B$2)</f>
        <v/>
      </c>
      <c r="D325" s="126">
        <f t="array" ref="D325">IF(A325="","",IFERROR(SMALL(IF((('KG1-1'!$AD25:$IM25="غياب بدون عذر")+('KG1-1'!$AD25:$IM25="غياب بعذر"))*('KG1-1'!$AD$7:$IM$7="✓"),'KG1-1'!$AD$5:$IM$5),4),""))</f>
        <v/>
      </c>
      <c r="E325">
        <f>IF(D325="","",INDEX('KG1-1'!$AD25:$IM25,MATCH(D325,'KG1-1'!$AD$5:$IM$5,0)))</f>
        <v/>
      </c>
      <c r="F325">
        <f>IF(D325="","",COUNTIFS('KG1-1'!$AD25:$IM25,"غياب بدون عذر",'KG1-1'!$AD$7:$IM$7,"✓",'KG1-1'!$AD$5:$IM$5,"&lt;="&amp;D325))</f>
        <v/>
      </c>
      <c r="G325">
        <f>G324+IF(D325="",0,1)</f>
        <v/>
      </c>
    </row>
    <row r="326">
      <c r="A326">
        <f>IF('KG1-1'!$B25="","",'KG1-1'!$B25)</f>
        <v/>
      </c>
      <c r="B326">
        <f>IF(A326="","",'KG1-1'!$C25)</f>
        <v/>
      </c>
      <c r="C326">
        <f>IF(A326="","",'KG1-1'!$B$2)</f>
        <v/>
      </c>
      <c r="D326" s="126">
        <f t="array" ref="D326">IF(A326="","",IFERROR(SMALL(IF((('KG1-1'!$AD25:$IM25="غياب بدون عذر")+('KG1-1'!$AD25:$IM25="غياب بعذر"))*('KG1-1'!$AD$7:$IM$7="✓"),'KG1-1'!$AD$5:$IM$5),5),""))</f>
        <v/>
      </c>
      <c r="E326">
        <f>IF(D326="","",INDEX('KG1-1'!$AD25:$IM25,MATCH(D326,'KG1-1'!$AD$5:$IM$5,0)))</f>
        <v/>
      </c>
      <c r="F326">
        <f>IF(D326="","",COUNTIFS('KG1-1'!$AD25:$IM25,"غياب بدون عذر",'KG1-1'!$AD$7:$IM$7,"✓",'KG1-1'!$AD$5:$IM$5,"&lt;="&amp;D326))</f>
        <v/>
      </c>
      <c r="G326">
        <f>G325+IF(D326="",0,1)</f>
        <v/>
      </c>
    </row>
    <row r="327">
      <c r="A327">
        <f>IF('KG1-1'!$B25="","",'KG1-1'!$B25)</f>
        <v/>
      </c>
      <c r="B327">
        <f>IF(A327="","",'KG1-1'!$C25)</f>
        <v/>
      </c>
      <c r="C327">
        <f>IF(A327="","",'KG1-1'!$B$2)</f>
        <v/>
      </c>
      <c r="D327" s="126">
        <f t="array" ref="D327">IF(A327="","",IFERROR(SMALL(IF((('KG1-1'!$AD25:$IM25="غياب بدون عذر")+('KG1-1'!$AD25:$IM25="غياب بعذر"))*('KG1-1'!$AD$7:$IM$7="✓"),'KG1-1'!$AD$5:$IM$5),6),""))</f>
        <v/>
      </c>
      <c r="E327">
        <f>IF(D327="","",INDEX('KG1-1'!$AD25:$IM25,MATCH(D327,'KG1-1'!$AD$5:$IM$5,0)))</f>
        <v/>
      </c>
      <c r="F327">
        <f>IF(D327="","",COUNTIFS('KG1-1'!$AD25:$IM25,"غياب بدون عذر",'KG1-1'!$AD$7:$IM$7,"✓",'KG1-1'!$AD$5:$IM$5,"&lt;="&amp;D327))</f>
        <v/>
      </c>
      <c r="G327">
        <f>G326+IF(D327="",0,1)</f>
        <v/>
      </c>
    </row>
    <row r="328">
      <c r="A328">
        <f>IF('KG1-1'!$B25="","",'KG1-1'!$B25)</f>
        <v/>
      </c>
      <c r="B328">
        <f>IF(A328="","",'KG1-1'!$C25)</f>
        <v/>
      </c>
      <c r="C328">
        <f>IF(A328="","",'KG1-1'!$B$2)</f>
        <v/>
      </c>
      <c r="D328" s="126">
        <f t="array" ref="D328">IF(A328="","",IFERROR(SMALL(IF((('KG1-1'!$AD25:$IM25="غياب بدون عذر")+('KG1-1'!$AD25:$IM25="غياب بعذر"))*('KG1-1'!$AD$7:$IM$7="✓"),'KG1-1'!$AD$5:$IM$5),7),""))</f>
        <v/>
      </c>
      <c r="E328">
        <f>IF(D328="","",INDEX('KG1-1'!$AD25:$IM25,MATCH(D328,'KG1-1'!$AD$5:$IM$5,0)))</f>
        <v/>
      </c>
      <c r="F328">
        <f>IF(D328="","",COUNTIFS('KG1-1'!$AD25:$IM25,"غياب بدون عذر",'KG1-1'!$AD$7:$IM$7,"✓",'KG1-1'!$AD$5:$IM$5,"&lt;="&amp;D328))</f>
        <v/>
      </c>
      <c r="G328">
        <f>G327+IF(D328="",0,1)</f>
        <v/>
      </c>
    </row>
    <row r="329">
      <c r="A329">
        <f>IF('KG1-1'!$B25="","",'KG1-1'!$B25)</f>
        <v/>
      </c>
      <c r="B329">
        <f>IF(A329="","",'KG1-1'!$C25)</f>
        <v/>
      </c>
      <c r="C329">
        <f>IF(A329="","",'KG1-1'!$B$2)</f>
        <v/>
      </c>
      <c r="D329" s="126">
        <f t="array" ref="D329">IF(A329="","",IFERROR(SMALL(IF((('KG1-1'!$AD25:$IM25="غياب بدون عذر")+('KG1-1'!$AD25:$IM25="غياب بعذر"))*('KG1-1'!$AD$7:$IM$7="✓"),'KG1-1'!$AD$5:$IM$5),8),""))</f>
        <v/>
      </c>
      <c r="E329">
        <f>IF(D329="","",INDEX('KG1-1'!$AD25:$IM25,MATCH(D329,'KG1-1'!$AD$5:$IM$5,0)))</f>
        <v/>
      </c>
      <c r="F329">
        <f>IF(D329="","",COUNTIFS('KG1-1'!$AD25:$IM25,"غياب بدون عذر",'KG1-1'!$AD$7:$IM$7,"✓",'KG1-1'!$AD$5:$IM$5,"&lt;="&amp;D329))</f>
        <v/>
      </c>
      <c r="G329">
        <f>G328+IF(D329="",0,1)</f>
        <v/>
      </c>
    </row>
    <row r="330">
      <c r="A330">
        <f>IF('KG1-1'!$B25="","",'KG1-1'!$B25)</f>
        <v/>
      </c>
      <c r="B330">
        <f>IF(A330="","",'KG1-1'!$C25)</f>
        <v/>
      </c>
      <c r="C330">
        <f>IF(A330="","",'KG1-1'!$B$2)</f>
        <v/>
      </c>
      <c r="D330" s="126">
        <f t="array" ref="D330">IF(A330="","",IFERROR(SMALL(IF((('KG1-1'!$AD25:$IM25="غياب بدون عذر")+('KG1-1'!$AD25:$IM25="غياب بعذر"))*('KG1-1'!$AD$7:$IM$7="✓"),'KG1-1'!$AD$5:$IM$5),9),""))</f>
        <v/>
      </c>
      <c r="E330">
        <f>IF(D330="","",INDEX('KG1-1'!$AD25:$IM25,MATCH(D330,'KG1-1'!$AD$5:$IM$5,0)))</f>
        <v/>
      </c>
      <c r="F330">
        <f>IF(D330="","",COUNTIFS('KG1-1'!$AD25:$IM25,"غياب بدون عذر",'KG1-1'!$AD$7:$IM$7,"✓",'KG1-1'!$AD$5:$IM$5,"&lt;="&amp;D330))</f>
        <v/>
      </c>
      <c r="G330">
        <f>G329+IF(D330="",0,1)</f>
        <v/>
      </c>
    </row>
    <row r="331">
      <c r="A331">
        <f>IF('KG1-1'!$B25="","",'KG1-1'!$B25)</f>
        <v/>
      </c>
      <c r="B331">
        <f>IF(A331="","",'KG1-1'!$C25)</f>
        <v/>
      </c>
      <c r="C331">
        <f>IF(A331="","",'KG1-1'!$B$2)</f>
        <v/>
      </c>
      <c r="D331" s="126">
        <f t="array" ref="D331">IF(A331="","",IFERROR(SMALL(IF((('KG1-1'!$AD25:$IM25="غياب بدون عذر")+('KG1-1'!$AD25:$IM25="غياب بعذر"))*('KG1-1'!$AD$7:$IM$7="✓"),'KG1-1'!$AD$5:$IM$5),10),""))</f>
        <v/>
      </c>
      <c r="E331">
        <f>IF(D331="","",INDEX('KG1-1'!$AD25:$IM25,MATCH(D331,'KG1-1'!$AD$5:$IM$5,0)))</f>
        <v/>
      </c>
      <c r="F331">
        <f>IF(D331="","",COUNTIFS('KG1-1'!$AD25:$IM25,"غياب بدون عذر",'KG1-1'!$AD$7:$IM$7,"✓",'KG1-1'!$AD$5:$IM$5,"&lt;="&amp;D331))</f>
        <v/>
      </c>
      <c r="G331">
        <f>G330+IF(D331="",0,1)</f>
        <v/>
      </c>
    </row>
    <row r="332">
      <c r="A332">
        <f>IF('KG1-1'!$B25="","",'KG1-1'!$B25)</f>
        <v/>
      </c>
      <c r="B332">
        <f>IF(A332="","",'KG1-1'!$C25)</f>
        <v/>
      </c>
      <c r="C332">
        <f>IF(A332="","",'KG1-1'!$B$2)</f>
        <v/>
      </c>
      <c r="D332" s="126">
        <f t="array" ref="D332">IF(A332="","",IFERROR(SMALL(IF((('KG1-1'!$AD25:$IM25="غياب بدون عذر")+('KG1-1'!$AD25:$IM25="غياب بعذر"))*('KG1-1'!$AD$7:$IM$7="✓"),'KG1-1'!$AD$5:$IM$5),11),""))</f>
        <v/>
      </c>
      <c r="E332">
        <f>IF(D332="","",INDEX('KG1-1'!$AD25:$IM25,MATCH(D332,'KG1-1'!$AD$5:$IM$5,0)))</f>
        <v/>
      </c>
      <c r="F332">
        <f>IF(D332="","",COUNTIFS('KG1-1'!$AD25:$IM25,"غياب بدون عذر",'KG1-1'!$AD$7:$IM$7,"✓",'KG1-1'!$AD$5:$IM$5,"&lt;="&amp;D332))</f>
        <v/>
      </c>
      <c r="G332">
        <f>G331+IF(D332="",0,1)</f>
        <v/>
      </c>
    </row>
    <row r="333">
      <c r="A333">
        <f>IF('KG1-1'!$B25="","",'KG1-1'!$B25)</f>
        <v/>
      </c>
      <c r="B333">
        <f>IF(A333="","",'KG1-1'!$C25)</f>
        <v/>
      </c>
      <c r="C333">
        <f>IF(A333="","",'KG1-1'!$B$2)</f>
        <v/>
      </c>
      <c r="D333" s="126">
        <f t="array" ref="D333">IF(A333="","",IFERROR(SMALL(IF((('KG1-1'!$AD25:$IM25="غياب بدون عذر")+('KG1-1'!$AD25:$IM25="غياب بعذر"))*('KG1-1'!$AD$7:$IM$7="✓"),'KG1-1'!$AD$5:$IM$5),12),""))</f>
        <v/>
      </c>
      <c r="E333">
        <f>IF(D333="","",INDEX('KG1-1'!$AD25:$IM25,MATCH(D333,'KG1-1'!$AD$5:$IM$5,0)))</f>
        <v/>
      </c>
      <c r="F333">
        <f>IF(D333="","",COUNTIFS('KG1-1'!$AD25:$IM25,"غياب بدون عذر",'KG1-1'!$AD$7:$IM$7,"✓",'KG1-1'!$AD$5:$IM$5,"&lt;="&amp;D333))</f>
        <v/>
      </c>
      <c r="G333">
        <f>G332+IF(D333="",0,1)</f>
        <v/>
      </c>
    </row>
    <row r="334">
      <c r="A334">
        <f>IF('KG1-1'!$B25="","",'KG1-1'!$B25)</f>
        <v/>
      </c>
      <c r="B334">
        <f>IF(A334="","",'KG1-1'!$C25)</f>
        <v/>
      </c>
      <c r="C334">
        <f>IF(A334="","",'KG1-1'!$B$2)</f>
        <v/>
      </c>
      <c r="D334" s="126">
        <f t="array" ref="D334">IF(A334="","",IFERROR(SMALL(IF((('KG1-1'!$AD25:$IM25="غياب بدون عذر")+('KG1-1'!$AD25:$IM25="غياب بعذر"))*('KG1-1'!$AD$7:$IM$7="✓"),'KG1-1'!$AD$5:$IM$5),13),""))</f>
        <v/>
      </c>
      <c r="E334">
        <f>IF(D334="","",INDEX('KG1-1'!$AD25:$IM25,MATCH(D334,'KG1-1'!$AD$5:$IM$5,0)))</f>
        <v/>
      </c>
      <c r="F334">
        <f>IF(D334="","",COUNTIFS('KG1-1'!$AD25:$IM25,"غياب بدون عذر",'KG1-1'!$AD$7:$IM$7,"✓",'KG1-1'!$AD$5:$IM$5,"&lt;="&amp;D334))</f>
        <v/>
      </c>
      <c r="G334">
        <f>G333+IF(D334="",0,1)</f>
        <v/>
      </c>
    </row>
    <row r="335">
      <c r="A335">
        <f>IF('KG1-1'!$B25="","",'KG1-1'!$B25)</f>
        <v/>
      </c>
      <c r="B335">
        <f>IF(A335="","",'KG1-1'!$C25)</f>
        <v/>
      </c>
      <c r="C335">
        <f>IF(A335="","",'KG1-1'!$B$2)</f>
        <v/>
      </c>
      <c r="D335" s="126">
        <f t="array" ref="D335">IF(A335="","",IFERROR(SMALL(IF((('KG1-1'!$AD25:$IM25="غياب بدون عذر")+('KG1-1'!$AD25:$IM25="غياب بعذر"))*('KG1-1'!$AD$7:$IM$7="✓"),'KG1-1'!$AD$5:$IM$5),14),""))</f>
        <v/>
      </c>
      <c r="E335">
        <f>IF(D335="","",INDEX('KG1-1'!$AD25:$IM25,MATCH(D335,'KG1-1'!$AD$5:$IM$5,0)))</f>
        <v/>
      </c>
      <c r="F335">
        <f>IF(D335="","",COUNTIFS('KG1-1'!$AD25:$IM25,"غياب بدون عذر",'KG1-1'!$AD$7:$IM$7,"✓",'KG1-1'!$AD$5:$IM$5,"&lt;="&amp;D335))</f>
        <v/>
      </c>
      <c r="G335">
        <f>G334+IF(D335="",0,1)</f>
        <v/>
      </c>
    </row>
    <row r="336">
      <c r="A336">
        <f>IF('KG1-1'!$B25="","",'KG1-1'!$B25)</f>
        <v/>
      </c>
      <c r="B336">
        <f>IF(A336="","",'KG1-1'!$C25)</f>
        <v/>
      </c>
      <c r="C336">
        <f>IF(A336="","",'KG1-1'!$B$2)</f>
        <v/>
      </c>
      <c r="D336" s="126">
        <f t="array" ref="D336">IF(A336="","",IFERROR(SMALL(IF((('KG1-1'!$AD25:$IM25="غياب بدون عذر")+('KG1-1'!$AD25:$IM25="غياب بعذر"))*('KG1-1'!$AD$7:$IM$7="✓"),'KG1-1'!$AD$5:$IM$5),15),""))</f>
        <v/>
      </c>
      <c r="E336">
        <f>IF(D336="","",INDEX('KG1-1'!$AD25:$IM25,MATCH(D336,'KG1-1'!$AD$5:$IM$5,0)))</f>
        <v/>
      </c>
      <c r="F336">
        <f>IF(D336="","",COUNTIFS('KG1-1'!$AD25:$IM25,"غياب بدون عذر",'KG1-1'!$AD$7:$IM$7,"✓",'KG1-1'!$AD$5:$IM$5,"&lt;="&amp;D336))</f>
        <v/>
      </c>
      <c r="G336">
        <f>G335+IF(D336="",0,1)</f>
        <v/>
      </c>
    </row>
    <row r="337">
      <c r="A337">
        <f>IF('KG1-1'!$B25="","",'KG1-1'!$B25)</f>
        <v/>
      </c>
      <c r="B337">
        <f>IF(A337="","",'KG1-1'!$C25)</f>
        <v/>
      </c>
      <c r="C337">
        <f>IF(A337="","",'KG1-1'!$B$2)</f>
        <v/>
      </c>
      <c r="D337" s="126">
        <f t="array" ref="D337">IF(A337="","",IFERROR(SMALL(IF((('KG1-1'!$AD25:$IM25="غياب بدون عذر")+('KG1-1'!$AD25:$IM25="غياب بعذر"))*('KG1-1'!$AD$7:$IM$7="✓"),'KG1-1'!$AD$5:$IM$5),16),""))</f>
        <v/>
      </c>
      <c r="E337">
        <f>IF(D337="","",INDEX('KG1-1'!$AD25:$IM25,MATCH(D337,'KG1-1'!$AD$5:$IM$5,0)))</f>
        <v/>
      </c>
      <c r="F337">
        <f>IF(D337="","",COUNTIFS('KG1-1'!$AD25:$IM25,"غياب بدون عذر",'KG1-1'!$AD$7:$IM$7,"✓",'KG1-1'!$AD$5:$IM$5,"&lt;="&amp;D337))</f>
        <v/>
      </c>
      <c r="G337">
        <f>G336+IF(D337="",0,1)</f>
        <v/>
      </c>
    </row>
    <row r="338">
      <c r="A338">
        <f>IF('KG1-1'!$B25="","",'KG1-1'!$B25)</f>
        <v/>
      </c>
      <c r="B338">
        <f>IF(A338="","",'KG1-1'!$C25)</f>
        <v/>
      </c>
      <c r="C338">
        <f>IF(A338="","",'KG1-1'!$B$2)</f>
        <v/>
      </c>
      <c r="D338" s="126">
        <f t="array" ref="D338">IF(A338="","",IFERROR(SMALL(IF((('KG1-1'!$AD25:$IM25="غياب بدون عذر")+('KG1-1'!$AD25:$IM25="غياب بعذر"))*('KG1-1'!$AD$7:$IM$7="✓"),'KG1-1'!$AD$5:$IM$5),17),""))</f>
        <v/>
      </c>
      <c r="E338">
        <f>IF(D338="","",INDEX('KG1-1'!$AD25:$IM25,MATCH(D338,'KG1-1'!$AD$5:$IM$5,0)))</f>
        <v/>
      </c>
      <c r="F338">
        <f>IF(D338="","",COUNTIFS('KG1-1'!$AD25:$IM25,"غياب بدون عذر",'KG1-1'!$AD$7:$IM$7,"✓",'KG1-1'!$AD$5:$IM$5,"&lt;="&amp;D338))</f>
        <v/>
      </c>
      <c r="G338">
        <f>G337+IF(D338="",0,1)</f>
        <v/>
      </c>
    </row>
    <row r="339">
      <c r="A339">
        <f>IF('KG1-1'!$B25="","",'KG1-1'!$B25)</f>
        <v/>
      </c>
      <c r="B339">
        <f>IF(A339="","",'KG1-1'!$C25)</f>
        <v/>
      </c>
      <c r="C339">
        <f>IF(A339="","",'KG1-1'!$B$2)</f>
        <v/>
      </c>
      <c r="D339" s="126">
        <f t="array" ref="D339">IF(A339="","",IFERROR(SMALL(IF((('KG1-1'!$AD25:$IM25="غياب بدون عذر")+('KG1-1'!$AD25:$IM25="غياب بعذر"))*('KG1-1'!$AD$7:$IM$7="✓"),'KG1-1'!$AD$5:$IM$5),18),""))</f>
        <v/>
      </c>
      <c r="E339">
        <f>IF(D339="","",INDEX('KG1-1'!$AD25:$IM25,MATCH(D339,'KG1-1'!$AD$5:$IM$5,0)))</f>
        <v/>
      </c>
      <c r="F339">
        <f>IF(D339="","",COUNTIFS('KG1-1'!$AD25:$IM25,"غياب بدون عذر",'KG1-1'!$AD$7:$IM$7,"✓",'KG1-1'!$AD$5:$IM$5,"&lt;="&amp;D339))</f>
        <v/>
      </c>
      <c r="G339">
        <f>G338+IF(D339="",0,1)</f>
        <v/>
      </c>
    </row>
    <row r="340">
      <c r="A340">
        <f>IF('KG1-1'!$B25="","",'KG1-1'!$B25)</f>
        <v/>
      </c>
      <c r="B340">
        <f>IF(A340="","",'KG1-1'!$C25)</f>
        <v/>
      </c>
      <c r="C340">
        <f>IF(A340="","",'KG1-1'!$B$2)</f>
        <v/>
      </c>
      <c r="D340" s="126">
        <f t="array" ref="D340">IF(A340="","",IFERROR(SMALL(IF((('KG1-1'!$AD25:$IM25="غياب بدون عذر")+('KG1-1'!$AD25:$IM25="غياب بعذر"))*('KG1-1'!$AD$7:$IM$7="✓"),'KG1-1'!$AD$5:$IM$5),19),""))</f>
        <v/>
      </c>
      <c r="E340">
        <f>IF(D340="","",INDEX('KG1-1'!$AD25:$IM25,MATCH(D340,'KG1-1'!$AD$5:$IM$5,0)))</f>
        <v/>
      </c>
      <c r="F340">
        <f>IF(D340="","",COUNTIFS('KG1-1'!$AD25:$IM25,"غياب بدون عذر",'KG1-1'!$AD$7:$IM$7,"✓",'KG1-1'!$AD$5:$IM$5,"&lt;="&amp;D340))</f>
        <v/>
      </c>
      <c r="G340">
        <f>G339+IF(D340="",0,1)</f>
        <v/>
      </c>
    </row>
    <row r="341">
      <c r="A341">
        <f>IF('KG1-1'!$B25="","",'KG1-1'!$B25)</f>
        <v/>
      </c>
      <c r="B341">
        <f>IF(A341="","",'KG1-1'!$C25)</f>
        <v/>
      </c>
      <c r="C341">
        <f>IF(A341="","",'KG1-1'!$B$2)</f>
        <v/>
      </c>
      <c r="D341" s="126">
        <f t="array" ref="D341">IF(A341="","",IFERROR(SMALL(IF((('KG1-1'!$AD25:$IM25="غياب بدون عذر")+('KG1-1'!$AD25:$IM25="غياب بعذر"))*('KG1-1'!$AD$7:$IM$7="✓"),'KG1-1'!$AD$5:$IM$5),20),""))</f>
        <v/>
      </c>
      <c r="E341">
        <f>IF(D341="","",INDEX('KG1-1'!$AD25:$IM25,MATCH(D341,'KG1-1'!$AD$5:$IM$5,0)))</f>
        <v/>
      </c>
      <c r="F341">
        <f>IF(D341="","",COUNTIFS('KG1-1'!$AD25:$IM25,"غياب بدون عذر",'KG1-1'!$AD$7:$IM$7,"✓",'KG1-1'!$AD$5:$IM$5,"&lt;="&amp;D341))</f>
        <v/>
      </c>
      <c r="G341">
        <f>G340+IF(D341="",0,1)</f>
        <v/>
      </c>
    </row>
    <row r="342">
      <c r="A342">
        <f>IF('KG1-1'!$B26="","",'KG1-1'!$B26)</f>
        <v/>
      </c>
      <c r="B342">
        <f>IF(A342="","",'KG1-1'!$C26)</f>
        <v/>
      </c>
      <c r="C342">
        <f>IF(A342="","",'KG1-1'!$B$2)</f>
        <v/>
      </c>
      <c r="D342" s="126">
        <f t="array" ref="D342">IF(A342="","",IFERROR(SMALL(IF((('KG1-1'!$AD26:$IM26="غياب بدون عذر")+('KG1-1'!$AD26:$IM26="غياب بعذر"))*('KG1-1'!$AD$7:$IM$7="✓"),'KG1-1'!$AD$5:$IM$5),1),""))</f>
        <v/>
      </c>
      <c r="E342">
        <f>IF(D342="","",INDEX('KG1-1'!$AD26:$IM26,MATCH(D342,'KG1-1'!$AD$5:$IM$5,0)))</f>
        <v/>
      </c>
      <c r="F342">
        <f>IF(D342="","",COUNTIFS('KG1-1'!$AD26:$IM26,"غياب بدون عذر",'KG1-1'!$AD$7:$IM$7,"✓",'KG1-1'!$AD$5:$IM$5,"&lt;="&amp;D342))</f>
        <v/>
      </c>
      <c r="G342">
        <f>G341+IF(D342="",0,1)</f>
        <v/>
      </c>
    </row>
    <row r="343">
      <c r="A343">
        <f>IF('KG1-1'!$B26="","",'KG1-1'!$B26)</f>
        <v/>
      </c>
      <c r="B343">
        <f>IF(A343="","",'KG1-1'!$C26)</f>
        <v/>
      </c>
      <c r="C343">
        <f>IF(A343="","",'KG1-1'!$B$2)</f>
        <v/>
      </c>
      <c r="D343" s="126">
        <f t="array" ref="D343">IF(A343="","",IFERROR(SMALL(IF((('KG1-1'!$AD26:$IM26="غياب بدون عذر")+('KG1-1'!$AD26:$IM26="غياب بعذر"))*('KG1-1'!$AD$7:$IM$7="✓"),'KG1-1'!$AD$5:$IM$5),2),""))</f>
        <v/>
      </c>
      <c r="E343">
        <f>IF(D343="","",INDEX('KG1-1'!$AD26:$IM26,MATCH(D343,'KG1-1'!$AD$5:$IM$5,0)))</f>
        <v/>
      </c>
      <c r="F343">
        <f>IF(D343="","",COUNTIFS('KG1-1'!$AD26:$IM26,"غياب بدون عذر",'KG1-1'!$AD$7:$IM$7,"✓",'KG1-1'!$AD$5:$IM$5,"&lt;="&amp;D343))</f>
        <v/>
      </c>
      <c r="G343">
        <f>G342+IF(D343="",0,1)</f>
        <v/>
      </c>
    </row>
    <row r="344">
      <c r="A344">
        <f>IF('KG1-1'!$B26="","",'KG1-1'!$B26)</f>
        <v/>
      </c>
      <c r="B344">
        <f>IF(A344="","",'KG1-1'!$C26)</f>
        <v/>
      </c>
      <c r="C344">
        <f>IF(A344="","",'KG1-1'!$B$2)</f>
        <v/>
      </c>
      <c r="D344" s="126">
        <f t="array" ref="D344">IF(A344="","",IFERROR(SMALL(IF((('KG1-1'!$AD26:$IM26="غياب بدون عذر")+('KG1-1'!$AD26:$IM26="غياب بعذر"))*('KG1-1'!$AD$7:$IM$7="✓"),'KG1-1'!$AD$5:$IM$5),3),""))</f>
        <v/>
      </c>
      <c r="E344">
        <f>IF(D344="","",INDEX('KG1-1'!$AD26:$IM26,MATCH(D344,'KG1-1'!$AD$5:$IM$5,0)))</f>
        <v/>
      </c>
      <c r="F344">
        <f>IF(D344="","",COUNTIFS('KG1-1'!$AD26:$IM26,"غياب بدون عذر",'KG1-1'!$AD$7:$IM$7,"✓",'KG1-1'!$AD$5:$IM$5,"&lt;="&amp;D344))</f>
        <v/>
      </c>
      <c r="G344">
        <f>G343+IF(D344="",0,1)</f>
        <v/>
      </c>
    </row>
    <row r="345">
      <c r="A345">
        <f>IF('KG1-1'!$B26="","",'KG1-1'!$B26)</f>
        <v/>
      </c>
      <c r="B345">
        <f>IF(A345="","",'KG1-1'!$C26)</f>
        <v/>
      </c>
      <c r="C345">
        <f>IF(A345="","",'KG1-1'!$B$2)</f>
        <v/>
      </c>
      <c r="D345" s="126">
        <f t="array" ref="D345">IF(A345="","",IFERROR(SMALL(IF((('KG1-1'!$AD26:$IM26="غياب بدون عذر")+('KG1-1'!$AD26:$IM26="غياب بعذر"))*('KG1-1'!$AD$7:$IM$7="✓"),'KG1-1'!$AD$5:$IM$5),4),""))</f>
        <v/>
      </c>
      <c r="E345">
        <f>IF(D345="","",INDEX('KG1-1'!$AD26:$IM26,MATCH(D345,'KG1-1'!$AD$5:$IM$5,0)))</f>
        <v/>
      </c>
      <c r="F345">
        <f>IF(D345="","",COUNTIFS('KG1-1'!$AD26:$IM26,"غياب بدون عذر",'KG1-1'!$AD$7:$IM$7,"✓",'KG1-1'!$AD$5:$IM$5,"&lt;="&amp;D345))</f>
        <v/>
      </c>
      <c r="G345">
        <f>G344+IF(D345="",0,1)</f>
        <v/>
      </c>
    </row>
    <row r="346">
      <c r="A346">
        <f>IF('KG1-1'!$B26="","",'KG1-1'!$B26)</f>
        <v/>
      </c>
      <c r="B346">
        <f>IF(A346="","",'KG1-1'!$C26)</f>
        <v/>
      </c>
      <c r="C346">
        <f>IF(A346="","",'KG1-1'!$B$2)</f>
        <v/>
      </c>
      <c r="D346" s="126">
        <f t="array" ref="D346">IF(A346="","",IFERROR(SMALL(IF((('KG1-1'!$AD26:$IM26="غياب بدون عذر")+('KG1-1'!$AD26:$IM26="غياب بعذر"))*('KG1-1'!$AD$7:$IM$7="✓"),'KG1-1'!$AD$5:$IM$5),5),""))</f>
        <v/>
      </c>
      <c r="E346">
        <f>IF(D346="","",INDEX('KG1-1'!$AD26:$IM26,MATCH(D346,'KG1-1'!$AD$5:$IM$5,0)))</f>
        <v/>
      </c>
      <c r="F346">
        <f>IF(D346="","",COUNTIFS('KG1-1'!$AD26:$IM26,"غياب بدون عذر",'KG1-1'!$AD$7:$IM$7,"✓",'KG1-1'!$AD$5:$IM$5,"&lt;="&amp;D346))</f>
        <v/>
      </c>
      <c r="G346">
        <f>G345+IF(D346="",0,1)</f>
        <v/>
      </c>
    </row>
    <row r="347">
      <c r="A347">
        <f>IF('KG1-1'!$B26="","",'KG1-1'!$B26)</f>
        <v/>
      </c>
      <c r="B347">
        <f>IF(A347="","",'KG1-1'!$C26)</f>
        <v/>
      </c>
      <c r="C347">
        <f>IF(A347="","",'KG1-1'!$B$2)</f>
        <v/>
      </c>
      <c r="D347" s="126">
        <f t="array" ref="D347">IF(A347="","",IFERROR(SMALL(IF((('KG1-1'!$AD26:$IM26="غياب بدون عذر")+('KG1-1'!$AD26:$IM26="غياب بعذر"))*('KG1-1'!$AD$7:$IM$7="✓"),'KG1-1'!$AD$5:$IM$5),6),""))</f>
        <v/>
      </c>
      <c r="E347">
        <f>IF(D347="","",INDEX('KG1-1'!$AD26:$IM26,MATCH(D347,'KG1-1'!$AD$5:$IM$5,0)))</f>
        <v/>
      </c>
      <c r="F347">
        <f>IF(D347="","",COUNTIFS('KG1-1'!$AD26:$IM26,"غياب بدون عذر",'KG1-1'!$AD$7:$IM$7,"✓",'KG1-1'!$AD$5:$IM$5,"&lt;="&amp;D347))</f>
        <v/>
      </c>
      <c r="G347">
        <f>G346+IF(D347="",0,1)</f>
        <v/>
      </c>
    </row>
    <row r="348">
      <c r="A348">
        <f>IF('KG1-1'!$B26="","",'KG1-1'!$B26)</f>
        <v/>
      </c>
      <c r="B348">
        <f>IF(A348="","",'KG1-1'!$C26)</f>
        <v/>
      </c>
      <c r="C348">
        <f>IF(A348="","",'KG1-1'!$B$2)</f>
        <v/>
      </c>
      <c r="D348" s="126">
        <f t="array" ref="D348">IF(A348="","",IFERROR(SMALL(IF((('KG1-1'!$AD26:$IM26="غياب بدون عذر")+('KG1-1'!$AD26:$IM26="غياب بعذر"))*('KG1-1'!$AD$7:$IM$7="✓"),'KG1-1'!$AD$5:$IM$5),7),""))</f>
        <v/>
      </c>
      <c r="E348">
        <f>IF(D348="","",INDEX('KG1-1'!$AD26:$IM26,MATCH(D348,'KG1-1'!$AD$5:$IM$5,0)))</f>
        <v/>
      </c>
      <c r="F348">
        <f>IF(D348="","",COUNTIFS('KG1-1'!$AD26:$IM26,"غياب بدون عذر",'KG1-1'!$AD$7:$IM$7,"✓",'KG1-1'!$AD$5:$IM$5,"&lt;="&amp;D348))</f>
        <v/>
      </c>
      <c r="G348">
        <f>G347+IF(D348="",0,1)</f>
        <v/>
      </c>
    </row>
    <row r="349">
      <c r="A349">
        <f>IF('KG1-1'!$B26="","",'KG1-1'!$B26)</f>
        <v/>
      </c>
      <c r="B349">
        <f>IF(A349="","",'KG1-1'!$C26)</f>
        <v/>
      </c>
      <c r="C349">
        <f>IF(A349="","",'KG1-1'!$B$2)</f>
        <v/>
      </c>
      <c r="D349" s="126">
        <f t="array" ref="D349">IF(A349="","",IFERROR(SMALL(IF((('KG1-1'!$AD26:$IM26="غياب بدون عذر")+('KG1-1'!$AD26:$IM26="غياب بعذر"))*('KG1-1'!$AD$7:$IM$7="✓"),'KG1-1'!$AD$5:$IM$5),8),""))</f>
        <v/>
      </c>
      <c r="E349">
        <f>IF(D349="","",INDEX('KG1-1'!$AD26:$IM26,MATCH(D349,'KG1-1'!$AD$5:$IM$5,0)))</f>
        <v/>
      </c>
      <c r="F349">
        <f>IF(D349="","",COUNTIFS('KG1-1'!$AD26:$IM26,"غياب بدون عذر",'KG1-1'!$AD$7:$IM$7,"✓",'KG1-1'!$AD$5:$IM$5,"&lt;="&amp;D349))</f>
        <v/>
      </c>
      <c r="G349">
        <f>G348+IF(D349="",0,1)</f>
        <v/>
      </c>
    </row>
    <row r="350">
      <c r="A350">
        <f>IF('KG1-1'!$B26="","",'KG1-1'!$B26)</f>
        <v/>
      </c>
      <c r="B350">
        <f>IF(A350="","",'KG1-1'!$C26)</f>
        <v/>
      </c>
      <c r="C350">
        <f>IF(A350="","",'KG1-1'!$B$2)</f>
        <v/>
      </c>
      <c r="D350" s="126">
        <f t="array" ref="D350">IF(A350="","",IFERROR(SMALL(IF((('KG1-1'!$AD26:$IM26="غياب بدون عذر")+('KG1-1'!$AD26:$IM26="غياب بعذر"))*('KG1-1'!$AD$7:$IM$7="✓"),'KG1-1'!$AD$5:$IM$5),9),""))</f>
        <v/>
      </c>
      <c r="E350">
        <f>IF(D350="","",INDEX('KG1-1'!$AD26:$IM26,MATCH(D350,'KG1-1'!$AD$5:$IM$5,0)))</f>
        <v/>
      </c>
      <c r="F350">
        <f>IF(D350="","",COUNTIFS('KG1-1'!$AD26:$IM26,"غياب بدون عذر",'KG1-1'!$AD$7:$IM$7,"✓",'KG1-1'!$AD$5:$IM$5,"&lt;="&amp;D350))</f>
        <v/>
      </c>
      <c r="G350">
        <f>G349+IF(D350="",0,1)</f>
        <v/>
      </c>
    </row>
    <row r="351">
      <c r="A351">
        <f>IF('KG1-1'!$B26="","",'KG1-1'!$B26)</f>
        <v/>
      </c>
      <c r="B351">
        <f>IF(A351="","",'KG1-1'!$C26)</f>
        <v/>
      </c>
      <c r="C351">
        <f>IF(A351="","",'KG1-1'!$B$2)</f>
        <v/>
      </c>
      <c r="D351" s="126">
        <f t="array" ref="D351">IF(A351="","",IFERROR(SMALL(IF((('KG1-1'!$AD26:$IM26="غياب بدون عذر")+('KG1-1'!$AD26:$IM26="غياب بعذر"))*('KG1-1'!$AD$7:$IM$7="✓"),'KG1-1'!$AD$5:$IM$5),10),""))</f>
        <v/>
      </c>
      <c r="E351">
        <f>IF(D351="","",INDEX('KG1-1'!$AD26:$IM26,MATCH(D351,'KG1-1'!$AD$5:$IM$5,0)))</f>
        <v/>
      </c>
      <c r="F351">
        <f>IF(D351="","",COUNTIFS('KG1-1'!$AD26:$IM26,"غياب بدون عذر",'KG1-1'!$AD$7:$IM$7,"✓",'KG1-1'!$AD$5:$IM$5,"&lt;="&amp;D351))</f>
        <v/>
      </c>
      <c r="G351">
        <f>G350+IF(D351="",0,1)</f>
        <v/>
      </c>
    </row>
    <row r="352">
      <c r="A352">
        <f>IF('KG1-1'!$B26="","",'KG1-1'!$B26)</f>
        <v/>
      </c>
      <c r="B352">
        <f>IF(A352="","",'KG1-1'!$C26)</f>
        <v/>
      </c>
      <c r="C352">
        <f>IF(A352="","",'KG1-1'!$B$2)</f>
        <v/>
      </c>
      <c r="D352" s="126">
        <f t="array" ref="D352">IF(A352="","",IFERROR(SMALL(IF((('KG1-1'!$AD26:$IM26="غياب بدون عذر")+('KG1-1'!$AD26:$IM26="غياب بعذر"))*('KG1-1'!$AD$7:$IM$7="✓"),'KG1-1'!$AD$5:$IM$5),11),""))</f>
        <v/>
      </c>
      <c r="E352">
        <f>IF(D352="","",INDEX('KG1-1'!$AD26:$IM26,MATCH(D352,'KG1-1'!$AD$5:$IM$5,0)))</f>
        <v/>
      </c>
      <c r="F352">
        <f>IF(D352="","",COUNTIFS('KG1-1'!$AD26:$IM26,"غياب بدون عذر",'KG1-1'!$AD$7:$IM$7,"✓",'KG1-1'!$AD$5:$IM$5,"&lt;="&amp;D352))</f>
        <v/>
      </c>
      <c r="G352">
        <f>G351+IF(D352="",0,1)</f>
        <v/>
      </c>
    </row>
    <row r="353">
      <c r="A353">
        <f>IF('KG1-1'!$B26="","",'KG1-1'!$B26)</f>
        <v/>
      </c>
      <c r="B353">
        <f>IF(A353="","",'KG1-1'!$C26)</f>
        <v/>
      </c>
      <c r="C353">
        <f>IF(A353="","",'KG1-1'!$B$2)</f>
        <v/>
      </c>
      <c r="D353" s="126">
        <f t="array" ref="D353">IF(A353="","",IFERROR(SMALL(IF((('KG1-1'!$AD26:$IM26="غياب بدون عذر")+('KG1-1'!$AD26:$IM26="غياب بعذر"))*('KG1-1'!$AD$7:$IM$7="✓"),'KG1-1'!$AD$5:$IM$5),12),""))</f>
        <v/>
      </c>
      <c r="E353">
        <f>IF(D353="","",INDEX('KG1-1'!$AD26:$IM26,MATCH(D353,'KG1-1'!$AD$5:$IM$5,0)))</f>
        <v/>
      </c>
      <c r="F353">
        <f>IF(D353="","",COUNTIFS('KG1-1'!$AD26:$IM26,"غياب بدون عذر",'KG1-1'!$AD$7:$IM$7,"✓",'KG1-1'!$AD$5:$IM$5,"&lt;="&amp;D353))</f>
        <v/>
      </c>
      <c r="G353">
        <f>G352+IF(D353="",0,1)</f>
        <v/>
      </c>
    </row>
    <row r="354">
      <c r="A354">
        <f>IF('KG1-1'!$B26="","",'KG1-1'!$B26)</f>
        <v/>
      </c>
      <c r="B354">
        <f>IF(A354="","",'KG1-1'!$C26)</f>
        <v/>
      </c>
      <c r="C354">
        <f>IF(A354="","",'KG1-1'!$B$2)</f>
        <v/>
      </c>
      <c r="D354" s="126">
        <f t="array" ref="D354">IF(A354="","",IFERROR(SMALL(IF((('KG1-1'!$AD26:$IM26="غياب بدون عذر")+('KG1-1'!$AD26:$IM26="غياب بعذر"))*('KG1-1'!$AD$7:$IM$7="✓"),'KG1-1'!$AD$5:$IM$5),13),""))</f>
        <v/>
      </c>
      <c r="E354">
        <f>IF(D354="","",INDEX('KG1-1'!$AD26:$IM26,MATCH(D354,'KG1-1'!$AD$5:$IM$5,0)))</f>
        <v/>
      </c>
      <c r="F354">
        <f>IF(D354="","",COUNTIFS('KG1-1'!$AD26:$IM26,"غياب بدون عذر",'KG1-1'!$AD$7:$IM$7,"✓",'KG1-1'!$AD$5:$IM$5,"&lt;="&amp;D354))</f>
        <v/>
      </c>
      <c r="G354">
        <f>G353+IF(D354="",0,1)</f>
        <v/>
      </c>
    </row>
    <row r="355">
      <c r="A355">
        <f>IF('KG1-1'!$B26="","",'KG1-1'!$B26)</f>
        <v/>
      </c>
      <c r="B355">
        <f>IF(A355="","",'KG1-1'!$C26)</f>
        <v/>
      </c>
      <c r="C355">
        <f>IF(A355="","",'KG1-1'!$B$2)</f>
        <v/>
      </c>
      <c r="D355" s="126">
        <f t="array" ref="D355">IF(A355="","",IFERROR(SMALL(IF((('KG1-1'!$AD26:$IM26="غياب بدون عذر")+('KG1-1'!$AD26:$IM26="غياب بعذر"))*('KG1-1'!$AD$7:$IM$7="✓"),'KG1-1'!$AD$5:$IM$5),14),""))</f>
        <v/>
      </c>
      <c r="E355">
        <f>IF(D355="","",INDEX('KG1-1'!$AD26:$IM26,MATCH(D355,'KG1-1'!$AD$5:$IM$5,0)))</f>
        <v/>
      </c>
      <c r="F355">
        <f>IF(D355="","",COUNTIFS('KG1-1'!$AD26:$IM26,"غياب بدون عذر",'KG1-1'!$AD$7:$IM$7,"✓",'KG1-1'!$AD$5:$IM$5,"&lt;="&amp;D355))</f>
        <v/>
      </c>
      <c r="G355">
        <f>G354+IF(D355="",0,1)</f>
        <v/>
      </c>
    </row>
    <row r="356">
      <c r="A356">
        <f>IF('KG1-1'!$B26="","",'KG1-1'!$B26)</f>
        <v/>
      </c>
      <c r="B356">
        <f>IF(A356="","",'KG1-1'!$C26)</f>
        <v/>
      </c>
      <c r="C356">
        <f>IF(A356="","",'KG1-1'!$B$2)</f>
        <v/>
      </c>
      <c r="D356" s="126">
        <f t="array" ref="D356">IF(A356="","",IFERROR(SMALL(IF((('KG1-1'!$AD26:$IM26="غياب بدون عذر")+('KG1-1'!$AD26:$IM26="غياب بعذر"))*('KG1-1'!$AD$7:$IM$7="✓"),'KG1-1'!$AD$5:$IM$5),15),""))</f>
        <v/>
      </c>
      <c r="E356">
        <f>IF(D356="","",INDEX('KG1-1'!$AD26:$IM26,MATCH(D356,'KG1-1'!$AD$5:$IM$5,0)))</f>
        <v/>
      </c>
      <c r="F356">
        <f>IF(D356="","",COUNTIFS('KG1-1'!$AD26:$IM26,"غياب بدون عذر",'KG1-1'!$AD$7:$IM$7,"✓",'KG1-1'!$AD$5:$IM$5,"&lt;="&amp;D356))</f>
        <v/>
      </c>
      <c r="G356">
        <f>G355+IF(D356="",0,1)</f>
        <v/>
      </c>
    </row>
    <row r="357">
      <c r="A357">
        <f>IF('KG1-1'!$B26="","",'KG1-1'!$B26)</f>
        <v/>
      </c>
      <c r="B357">
        <f>IF(A357="","",'KG1-1'!$C26)</f>
        <v/>
      </c>
      <c r="C357">
        <f>IF(A357="","",'KG1-1'!$B$2)</f>
        <v/>
      </c>
      <c r="D357" s="126">
        <f t="array" ref="D357">IF(A357="","",IFERROR(SMALL(IF((('KG1-1'!$AD26:$IM26="غياب بدون عذر")+('KG1-1'!$AD26:$IM26="غياب بعذر"))*('KG1-1'!$AD$7:$IM$7="✓"),'KG1-1'!$AD$5:$IM$5),16),""))</f>
        <v/>
      </c>
      <c r="E357">
        <f>IF(D357="","",INDEX('KG1-1'!$AD26:$IM26,MATCH(D357,'KG1-1'!$AD$5:$IM$5,0)))</f>
        <v/>
      </c>
      <c r="F357">
        <f>IF(D357="","",COUNTIFS('KG1-1'!$AD26:$IM26,"غياب بدون عذر",'KG1-1'!$AD$7:$IM$7,"✓",'KG1-1'!$AD$5:$IM$5,"&lt;="&amp;D357))</f>
        <v/>
      </c>
      <c r="G357">
        <f>G356+IF(D357="",0,1)</f>
        <v/>
      </c>
    </row>
    <row r="358">
      <c r="A358">
        <f>IF('KG1-1'!$B26="","",'KG1-1'!$B26)</f>
        <v/>
      </c>
      <c r="B358">
        <f>IF(A358="","",'KG1-1'!$C26)</f>
        <v/>
      </c>
      <c r="C358">
        <f>IF(A358="","",'KG1-1'!$B$2)</f>
        <v/>
      </c>
      <c r="D358" s="126">
        <f t="array" ref="D358">IF(A358="","",IFERROR(SMALL(IF((('KG1-1'!$AD26:$IM26="غياب بدون عذر")+('KG1-1'!$AD26:$IM26="غياب بعذر"))*('KG1-1'!$AD$7:$IM$7="✓"),'KG1-1'!$AD$5:$IM$5),17),""))</f>
        <v/>
      </c>
      <c r="E358">
        <f>IF(D358="","",INDEX('KG1-1'!$AD26:$IM26,MATCH(D358,'KG1-1'!$AD$5:$IM$5,0)))</f>
        <v/>
      </c>
      <c r="F358">
        <f>IF(D358="","",COUNTIFS('KG1-1'!$AD26:$IM26,"غياب بدون عذر",'KG1-1'!$AD$7:$IM$7,"✓",'KG1-1'!$AD$5:$IM$5,"&lt;="&amp;D358))</f>
        <v/>
      </c>
      <c r="G358">
        <f>G357+IF(D358="",0,1)</f>
        <v/>
      </c>
    </row>
    <row r="359">
      <c r="A359">
        <f>IF('KG1-1'!$B26="","",'KG1-1'!$B26)</f>
        <v/>
      </c>
      <c r="B359">
        <f>IF(A359="","",'KG1-1'!$C26)</f>
        <v/>
      </c>
      <c r="C359">
        <f>IF(A359="","",'KG1-1'!$B$2)</f>
        <v/>
      </c>
      <c r="D359" s="126">
        <f t="array" ref="D359">IF(A359="","",IFERROR(SMALL(IF((('KG1-1'!$AD26:$IM26="غياب بدون عذر")+('KG1-1'!$AD26:$IM26="غياب بعذر"))*('KG1-1'!$AD$7:$IM$7="✓"),'KG1-1'!$AD$5:$IM$5),18),""))</f>
        <v/>
      </c>
      <c r="E359">
        <f>IF(D359="","",INDEX('KG1-1'!$AD26:$IM26,MATCH(D359,'KG1-1'!$AD$5:$IM$5,0)))</f>
        <v/>
      </c>
      <c r="F359">
        <f>IF(D359="","",COUNTIFS('KG1-1'!$AD26:$IM26,"غياب بدون عذر",'KG1-1'!$AD$7:$IM$7,"✓",'KG1-1'!$AD$5:$IM$5,"&lt;="&amp;D359))</f>
        <v/>
      </c>
      <c r="G359">
        <f>G358+IF(D359="",0,1)</f>
        <v/>
      </c>
    </row>
    <row r="360">
      <c r="A360">
        <f>IF('KG1-1'!$B26="","",'KG1-1'!$B26)</f>
        <v/>
      </c>
      <c r="B360">
        <f>IF(A360="","",'KG1-1'!$C26)</f>
        <v/>
      </c>
      <c r="C360">
        <f>IF(A360="","",'KG1-1'!$B$2)</f>
        <v/>
      </c>
      <c r="D360" s="126">
        <f t="array" ref="D360">IF(A360="","",IFERROR(SMALL(IF((('KG1-1'!$AD26:$IM26="غياب بدون عذر")+('KG1-1'!$AD26:$IM26="غياب بعذر"))*('KG1-1'!$AD$7:$IM$7="✓"),'KG1-1'!$AD$5:$IM$5),19),""))</f>
        <v/>
      </c>
      <c r="E360">
        <f>IF(D360="","",INDEX('KG1-1'!$AD26:$IM26,MATCH(D360,'KG1-1'!$AD$5:$IM$5,0)))</f>
        <v/>
      </c>
      <c r="F360">
        <f>IF(D360="","",COUNTIFS('KG1-1'!$AD26:$IM26,"غياب بدون عذر",'KG1-1'!$AD$7:$IM$7,"✓",'KG1-1'!$AD$5:$IM$5,"&lt;="&amp;D360))</f>
        <v/>
      </c>
      <c r="G360">
        <f>G359+IF(D360="",0,1)</f>
        <v/>
      </c>
    </row>
    <row r="361">
      <c r="A361">
        <f>IF('KG1-1'!$B26="","",'KG1-1'!$B26)</f>
        <v/>
      </c>
      <c r="B361">
        <f>IF(A361="","",'KG1-1'!$C26)</f>
        <v/>
      </c>
      <c r="C361">
        <f>IF(A361="","",'KG1-1'!$B$2)</f>
        <v/>
      </c>
      <c r="D361" s="126">
        <f t="array" ref="D361">IF(A361="","",IFERROR(SMALL(IF((('KG1-1'!$AD26:$IM26="غياب بدون عذر")+('KG1-1'!$AD26:$IM26="غياب بعذر"))*('KG1-1'!$AD$7:$IM$7="✓"),'KG1-1'!$AD$5:$IM$5),20),""))</f>
        <v/>
      </c>
      <c r="E361">
        <f>IF(D361="","",INDEX('KG1-1'!$AD26:$IM26,MATCH(D361,'KG1-1'!$AD$5:$IM$5,0)))</f>
        <v/>
      </c>
      <c r="F361">
        <f>IF(D361="","",COUNTIFS('KG1-1'!$AD26:$IM26,"غياب بدون عذر",'KG1-1'!$AD$7:$IM$7,"✓",'KG1-1'!$AD$5:$IM$5,"&lt;="&amp;D361))</f>
        <v/>
      </c>
      <c r="G361">
        <f>G360+IF(D361="",0,1)</f>
        <v/>
      </c>
    </row>
    <row r="362">
      <c r="A362">
        <f>IF('KG1-1'!$B27="","",'KG1-1'!$B27)</f>
        <v/>
      </c>
      <c r="B362">
        <f>IF(A362="","",'KG1-1'!$C27)</f>
        <v/>
      </c>
      <c r="C362">
        <f>IF(A362="","",'KG1-1'!$B$2)</f>
        <v/>
      </c>
      <c r="D362" s="126">
        <f t="array" ref="D362">IF(A362="","",IFERROR(SMALL(IF((('KG1-1'!$AD27:$IM27="غياب بدون عذر")+('KG1-1'!$AD27:$IM27="غياب بعذر"))*('KG1-1'!$AD$7:$IM$7="✓"),'KG1-1'!$AD$5:$IM$5),1),""))</f>
        <v/>
      </c>
      <c r="E362">
        <f>IF(D362="","",INDEX('KG1-1'!$AD27:$IM27,MATCH(D362,'KG1-1'!$AD$5:$IM$5,0)))</f>
        <v/>
      </c>
      <c r="F362">
        <f>IF(D362="","",COUNTIFS('KG1-1'!$AD27:$IM27,"غياب بدون عذر",'KG1-1'!$AD$7:$IM$7,"✓",'KG1-1'!$AD$5:$IM$5,"&lt;="&amp;D362))</f>
        <v/>
      </c>
      <c r="G362">
        <f>G361+IF(D362="",0,1)</f>
        <v/>
      </c>
    </row>
    <row r="363">
      <c r="A363">
        <f>IF('KG1-1'!$B27="","",'KG1-1'!$B27)</f>
        <v/>
      </c>
      <c r="B363">
        <f>IF(A363="","",'KG1-1'!$C27)</f>
        <v/>
      </c>
      <c r="C363">
        <f>IF(A363="","",'KG1-1'!$B$2)</f>
        <v/>
      </c>
      <c r="D363" s="126">
        <f t="array" ref="D363">IF(A363="","",IFERROR(SMALL(IF((('KG1-1'!$AD27:$IM27="غياب بدون عذر")+('KG1-1'!$AD27:$IM27="غياب بعذر"))*('KG1-1'!$AD$7:$IM$7="✓"),'KG1-1'!$AD$5:$IM$5),2),""))</f>
        <v/>
      </c>
      <c r="E363">
        <f>IF(D363="","",INDEX('KG1-1'!$AD27:$IM27,MATCH(D363,'KG1-1'!$AD$5:$IM$5,0)))</f>
        <v/>
      </c>
      <c r="F363">
        <f>IF(D363="","",COUNTIFS('KG1-1'!$AD27:$IM27,"غياب بدون عذر",'KG1-1'!$AD$7:$IM$7,"✓",'KG1-1'!$AD$5:$IM$5,"&lt;="&amp;D363))</f>
        <v/>
      </c>
      <c r="G363">
        <f>G362+IF(D363="",0,1)</f>
        <v/>
      </c>
    </row>
    <row r="364">
      <c r="A364">
        <f>IF('KG1-1'!$B27="","",'KG1-1'!$B27)</f>
        <v/>
      </c>
      <c r="B364">
        <f>IF(A364="","",'KG1-1'!$C27)</f>
        <v/>
      </c>
      <c r="C364">
        <f>IF(A364="","",'KG1-1'!$B$2)</f>
        <v/>
      </c>
      <c r="D364" s="126">
        <f t="array" ref="D364">IF(A364="","",IFERROR(SMALL(IF((('KG1-1'!$AD27:$IM27="غياب بدون عذر")+('KG1-1'!$AD27:$IM27="غياب بعذر"))*('KG1-1'!$AD$7:$IM$7="✓"),'KG1-1'!$AD$5:$IM$5),3),""))</f>
        <v/>
      </c>
      <c r="E364">
        <f>IF(D364="","",INDEX('KG1-1'!$AD27:$IM27,MATCH(D364,'KG1-1'!$AD$5:$IM$5,0)))</f>
        <v/>
      </c>
      <c r="F364">
        <f>IF(D364="","",COUNTIFS('KG1-1'!$AD27:$IM27,"غياب بدون عذر",'KG1-1'!$AD$7:$IM$7,"✓",'KG1-1'!$AD$5:$IM$5,"&lt;="&amp;D364))</f>
        <v/>
      </c>
      <c r="G364">
        <f>G363+IF(D364="",0,1)</f>
        <v/>
      </c>
    </row>
    <row r="365">
      <c r="A365">
        <f>IF('KG1-1'!$B27="","",'KG1-1'!$B27)</f>
        <v/>
      </c>
      <c r="B365">
        <f>IF(A365="","",'KG1-1'!$C27)</f>
        <v/>
      </c>
      <c r="C365">
        <f>IF(A365="","",'KG1-1'!$B$2)</f>
        <v/>
      </c>
      <c r="D365" s="126">
        <f t="array" ref="D365">IF(A365="","",IFERROR(SMALL(IF((('KG1-1'!$AD27:$IM27="غياب بدون عذر")+('KG1-1'!$AD27:$IM27="غياب بعذر"))*('KG1-1'!$AD$7:$IM$7="✓"),'KG1-1'!$AD$5:$IM$5),4),""))</f>
        <v/>
      </c>
      <c r="E365">
        <f>IF(D365="","",INDEX('KG1-1'!$AD27:$IM27,MATCH(D365,'KG1-1'!$AD$5:$IM$5,0)))</f>
        <v/>
      </c>
      <c r="F365">
        <f>IF(D365="","",COUNTIFS('KG1-1'!$AD27:$IM27,"غياب بدون عذر",'KG1-1'!$AD$7:$IM$7,"✓",'KG1-1'!$AD$5:$IM$5,"&lt;="&amp;D365))</f>
        <v/>
      </c>
      <c r="G365">
        <f>G364+IF(D365="",0,1)</f>
        <v/>
      </c>
    </row>
    <row r="366">
      <c r="A366">
        <f>IF('KG1-1'!$B27="","",'KG1-1'!$B27)</f>
        <v/>
      </c>
      <c r="B366">
        <f>IF(A366="","",'KG1-1'!$C27)</f>
        <v/>
      </c>
      <c r="C366">
        <f>IF(A366="","",'KG1-1'!$B$2)</f>
        <v/>
      </c>
      <c r="D366" s="126">
        <f t="array" ref="D366">IF(A366="","",IFERROR(SMALL(IF((('KG1-1'!$AD27:$IM27="غياب بدون عذر")+('KG1-1'!$AD27:$IM27="غياب بعذر"))*('KG1-1'!$AD$7:$IM$7="✓"),'KG1-1'!$AD$5:$IM$5),5),""))</f>
        <v/>
      </c>
      <c r="E366">
        <f>IF(D366="","",INDEX('KG1-1'!$AD27:$IM27,MATCH(D366,'KG1-1'!$AD$5:$IM$5,0)))</f>
        <v/>
      </c>
      <c r="F366">
        <f>IF(D366="","",COUNTIFS('KG1-1'!$AD27:$IM27,"غياب بدون عذر",'KG1-1'!$AD$7:$IM$7,"✓",'KG1-1'!$AD$5:$IM$5,"&lt;="&amp;D366))</f>
        <v/>
      </c>
      <c r="G366">
        <f>G365+IF(D366="",0,1)</f>
        <v/>
      </c>
    </row>
    <row r="367">
      <c r="A367">
        <f>IF('KG1-1'!$B27="","",'KG1-1'!$B27)</f>
        <v/>
      </c>
      <c r="B367">
        <f>IF(A367="","",'KG1-1'!$C27)</f>
        <v/>
      </c>
      <c r="C367">
        <f>IF(A367="","",'KG1-1'!$B$2)</f>
        <v/>
      </c>
      <c r="D367" s="126">
        <f t="array" ref="D367">IF(A367="","",IFERROR(SMALL(IF((('KG1-1'!$AD27:$IM27="غياب بدون عذر")+('KG1-1'!$AD27:$IM27="غياب بعذر"))*('KG1-1'!$AD$7:$IM$7="✓"),'KG1-1'!$AD$5:$IM$5),6),""))</f>
        <v/>
      </c>
      <c r="E367">
        <f>IF(D367="","",INDEX('KG1-1'!$AD27:$IM27,MATCH(D367,'KG1-1'!$AD$5:$IM$5,0)))</f>
        <v/>
      </c>
      <c r="F367">
        <f>IF(D367="","",COUNTIFS('KG1-1'!$AD27:$IM27,"غياب بدون عذر",'KG1-1'!$AD$7:$IM$7,"✓",'KG1-1'!$AD$5:$IM$5,"&lt;="&amp;D367))</f>
        <v/>
      </c>
      <c r="G367">
        <f>G366+IF(D367="",0,1)</f>
        <v/>
      </c>
    </row>
    <row r="368">
      <c r="A368">
        <f>IF('KG1-1'!$B27="","",'KG1-1'!$B27)</f>
        <v/>
      </c>
      <c r="B368">
        <f>IF(A368="","",'KG1-1'!$C27)</f>
        <v/>
      </c>
      <c r="C368">
        <f>IF(A368="","",'KG1-1'!$B$2)</f>
        <v/>
      </c>
      <c r="D368" s="126">
        <f t="array" ref="D368">IF(A368="","",IFERROR(SMALL(IF((('KG1-1'!$AD27:$IM27="غياب بدون عذر")+('KG1-1'!$AD27:$IM27="غياب بعذر"))*('KG1-1'!$AD$7:$IM$7="✓"),'KG1-1'!$AD$5:$IM$5),7),""))</f>
        <v/>
      </c>
      <c r="E368">
        <f>IF(D368="","",INDEX('KG1-1'!$AD27:$IM27,MATCH(D368,'KG1-1'!$AD$5:$IM$5,0)))</f>
        <v/>
      </c>
      <c r="F368">
        <f>IF(D368="","",COUNTIFS('KG1-1'!$AD27:$IM27,"غياب بدون عذر",'KG1-1'!$AD$7:$IM$7,"✓",'KG1-1'!$AD$5:$IM$5,"&lt;="&amp;D368))</f>
        <v/>
      </c>
      <c r="G368">
        <f>G367+IF(D368="",0,1)</f>
        <v/>
      </c>
    </row>
    <row r="369">
      <c r="A369">
        <f>IF('KG1-1'!$B27="","",'KG1-1'!$B27)</f>
        <v/>
      </c>
      <c r="B369">
        <f>IF(A369="","",'KG1-1'!$C27)</f>
        <v/>
      </c>
      <c r="C369">
        <f>IF(A369="","",'KG1-1'!$B$2)</f>
        <v/>
      </c>
      <c r="D369" s="126">
        <f t="array" ref="D369">IF(A369="","",IFERROR(SMALL(IF((('KG1-1'!$AD27:$IM27="غياب بدون عذر")+('KG1-1'!$AD27:$IM27="غياب بعذر"))*('KG1-1'!$AD$7:$IM$7="✓"),'KG1-1'!$AD$5:$IM$5),8),""))</f>
        <v/>
      </c>
      <c r="E369">
        <f>IF(D369="","",INDEX('KG1-1'!$AD27:$IM27,MATCH(D369,'KG1-1'!$AD$5:$IM$5,0)))</f>
        <v/>
      </c>
      <c r="F369">
        <f>IF(D369="","",COUNTIFS('KG1-1'!$AD27:$IM27,"غياب بدون عذر",'KG1-1'!$AD$7:$IM$7,"✓",'KG1-1'!$AD$5:$IM$5,"&lt;="&amp;D369))</f>
        <v/>
      </c>
      <c r="G369">
        <f>G368+IF(D369="",0,1)</f>
        <v/>
      </c>
    </row>
    <row r="370">
      <c r="A370">
        <f>IF('KG1-1'!$B27="","",'KG1-1'!$B27)</f>
        <v/>
      </c>
      <c r="B370">
        <f>IF(A370="","",'KG1-1'!$C27)</f>
        <v/>
      </c>
      <c r="C370">
        <f>IF(A370="","",'KG1-1'!$B$2)</f>
        <v/>
      </c>
      <c r="D370" s="126">
        <f t="array" ref="D370">IF(A370="","",IFERROR(SMALL(IF((('KG1-1'!$AD27:$IM27="غياب بدون عذر")+('KG1-1'!$AD27:$IM27="غياب بعذر"))*('KG1-1'!$AD$7:$IM$7="✓"),'KG1-1'!$AD$5:$IM$5),9),""))</f>
        <v/>
      </c>
      <c r="E370">
        <f>IF(D370="","",INDEX('KG1-1'!$AD27:$IM27,MATCH(D370,'KG1-1'!$AD$5:$IM$5,0)))</f>
        <v/>
      </c>
      <c r="F370">
        <f>IF(D370="","",COUNTIFS('KG1-1'!$AD27:$IM27,"غياب بدون عذر",'KG1-1'!$AD$7:$IM$7,"✓",'KG1-1'!$AD$5:$IM$5,"&lt;="&amp;D370))</f>
        <v/>
      </c>
      <c r="G370">
        <f>G369+IF(D370="",0,1)</f>
        <v/>
      </c>
    </row>
    <row r="371">
      <c r="A371">
        <f>IF('KG1-1'!$B27="","",'KG1-1'!$B27)</f>
        <v/>
      </c>
      <c r="B371">
        <f>IF(A371="","",'KG1-1'!$C27)</f>
        <v/>
      </c>
      <c r="C371">
        <f>IF(A371="","",'KG1-1'!$B$2)</f>
        <v/>
      </c>
      <c r="D371" s="126">
        <f t="array" ref="D371">IF(A371="","",IFERROR(SMALL(IF((('KG1-1'!$AD27:$IM27="غياب بدون عذر")+('KG1-1'!$AD27:$IM27="غياب بعذر"))*('KG1-1'!$AD$7:$IM$7="✓"),'KG1-1'!$AD$5:$IM$5),10),""))</f>
        <v/>
      </c>
      <c r="E371">
        <f>IF(D371="","",INDEX('KG1-1'!$AD27:$IM27,MATCH(D371,'KG1-1'!$AD$5:$IM$5,0)))</f>
        <v/>
      </c>
      <c r="F371">
        <f>IF(D371="","",COUNTIFS('KG1-1'!$AD27:$IM27,"غياب بدون عذر",'KG1-1'!$AD$7:$IM$7,"✓",'KG1-1'!$AD$5:$IM$5,"&lt;="&amp;D371))</f>
        <v/>
      </c>
      <c r="G371">
        <f>G370+IF(D371="",0,1)</f>
        <v/>
      </c>
    </row>
    <row r="372">
      <c r="A372">
        <f>IF('KG1-1'!$B27="","",'KG1-1'!$B27)</f>
        <v/>
      </c>
      <c r="B372">
        <f>IF(A372="","",'KG1-1'!$C27)</f>
        <v/>
      </c>
      <c r="C372">
        <f>IF(A372="","",'KG1-1'!$B$2)</f>
        <v/>
      </c>
      <c r="D372" s="126">
        <f t="array" ref="D372">IF(A372="","",IFERROR(SMALL(IF((('KG1-1'!$AD27:$IM27="غياب بدون عذر")+('KG1-1'!$AD27:$IM27="غياب بعذر"))*('KG1-1'!$AD$7:$IM$7="✓"),'KG1-1'!$AD$5:$IM$5),11),""))</f>
        <v/>
      </c>
      <c r="E372">
        <f>IF(D372="","",INDEX('KG1-1'!$AD27:$IM27,MATCH(D372,'KG1-1'!$AD$5:$IM$5,0)))</f>
        <v/>
      </c>
      <c r="F372">
        <f>IF(D372="","",COUNTIFS('KG1-1'!$AD27:$IM27,"غياب بدون عذر",'KG1-1'!$AD$7:$IM$7,"✓",'KG1-1'!$AD$5:$IM$5,"&lt;="&amp;D372))</f>
        <v/>
      </c>
      <c r="G372">
        <f>G371+IF(D372="",0,1)</f>
        <v/>
      </c>
    </row>
    <row r="373">
      <c r="A373">
        <f>IF('KG1-1'!$B27="","",'KG1-1'!$B27)</f>
        <v/>
      </c>
      <c r="B373">
        <f>IF(A373="","",'KG1-1'!$C27)</f>
        <v/>
      </c>
      <c r="C373">
        <f>IF(A373="","",'KG1-1'!$B$2)</f>
        <v/>
      </c>
      <c r="D373" s="126">
        <f t="array" ref="D373">IF(A373="","",IFERROR(SMALL(IF((('KG1-1'!$AD27:$IM27="غياب بدون عذر")+('KG1-1'!$AD27:$IM27="غياب بعذر"))*('KG1-1'!$AD$7:$IM$7="✓"),'KG1-1'!$AD$5:$IM$5),12),""))</f>
        <v/>
      </c>
      <c r="E373">
        <f>IF(D373="","",INDEX('KG1-1'!$AD27:$IM27,MATCH(D373,'KG1-1'!$AD$5:$IM$5,0)))</f>
        <v/>
      </c>
      <c r="F373">
        <f>IF(D373="","",COUNTIFS('KG1-1'!$AD27:$IM27,"غياب بدون عذر",'KG1-1'!$AD$7:$IM$7,"✓",'KG1-1'!$AD$5:$IM$5,"&lt;="&amp;D373))</f>
        <v/>
      </c>
      <c r="G373">
        <f>G372+IF(D373="",0,1)</f>
        <v/>
      </c>
    </row>
    <row r="374">
      <c r="A374">
        <f>IF('KG1-1'!$B27="","",'KG1-1'!$B27)</f>
        <v/>
      </c>
      <c r="B374">
        <f>IF(A374="","",'KG1-1'!$C27)</f>
        <v/>
      </c>
      <c r="C374">
        <f>IF(A374="","",'KG1-1'!$B$2)</f>
        <v/>
      </c>
      <c r="D374" s="126">
        <f t="array" ref="D374">IF(A374="","",IFERROR(SMALL(IF((('KG1-1'!$AD27:$IM27="غياب بدون عذر")+('KG1-1'!$AD27:$IM27="غياب بعذر"))*('KG1-1'!$AD$7:$IM$7="✓"),'KG1-1'!$AD$5:$IM$5),13),""))</f>
        <v/>
      </c>
      <c r="E374">
        <f>IF(D374="","",INDEX('KG1-1'!$AD27:$IM27,MATCH(D374,'KG1-1'!$AD$5:$IM$5,0)))</f>
        <v/>
      </c>
      <c r="F374">
        <f>IF(D374="","",COUNTIFS('KG1-1'!$AD27:$IM27,"غياب بدون عذر",'KG1-1'!$AD$7:$IM$7,"✓",'KG1-1'!$AD$5:$IM$5,"&lt;="&amp;D374))</f>
        <v/>
      </c>
      <c r="G374">
        <f>G373+IF(D374="",0,1)</f>
        <v/>
      </c>
    </row>
    <row r="375">
      <c r="A375">
        <f>IF('KG1-1'!$B27="","",'KG1-1'!$B27)</f>
        <v/>
      </c>
      <c r="B375">
        <f>IF(A375="","",'KG1-1'!$C27)</f>
        <v/>
      </c>
      <c r="C375">
        <f>IF(A375="","",'KG1-1'!$B$2)</f>
        <v/>
      </c>
      <c r="D375" s="126">
        <f t="array" ref="D375">IF(A375="","",IFERROR(SMALL(IF((('KG1-1'!$AD27:$IM27="غياب بدون عذر")+('KG1-1'!$AD27:$IM27="غياب بعذر"))*('KG1-1'!$AD$7:$IM$7="✓"),'KG1-1'!$AD$5:$IM$5),14),""))</f>
        <v/>
      </c>
      <c r="E375">
        <f>IF(D375="","",INDEX('KG1-1'!$AD27:$IM27,MATCH(D375,'KG1-1'!$AD$5:$IM$5,0)))</f>
        <v/>
      </c>
      <c r="F375">
        <f>IF(D375="","",COUNTIFS('KG1-1'!$AD27:$IM27,"غياب بدون عذر",'KG1-1'!$AD$7:$IM$7,"✓",'KG1-1'!$AD$5:$IM$5,"&lt;="&amp;D375))</f>
        <v/>
      </c>
      <c r="G375">
        <f>G374+IF(D375="",0,1)</f>
        <v/>
      </c>
    </row>
    <row r="376">
      <c r="A376">
        <f>IF('KG1-1'!$B27="","",'KG1-1'!$B27)</f>
        <v/>
      </c>
      <c r="B376">
        <f>IF(A376="","",'KG1-1'!$C27)</f>
        <v/>
      </c>
      <c r="C376">
        <f>IF(A376="","",'KG1-1'!$B$2)</f>
        <v/>
      </c>
      <c r="D376" s="126">
        <f t="array" ref="D376">IF(A376="","",IFERROR(SMALL(IF((('KG1-1'!$AD27:$IM27="غياب بدون عذر")+('KG1-1'!$AD27:$IM27="غياب بعذر"))*('KG1-1'!$AD$7:$IM$7="✓"),'KG1-1'!$AD$5:$IM$5),15),""))</f>
        <v/>
      </c>
      <c r="E376">
        <f>IF(D376="","",INDEX('KG1-1'!$AD27:$IM27,MATCH(D376,'KG1-1'!$AD$5:$IM$5,0)))</f>
        <v/>
      </c>
      <c r="F376">
        <f>IF(D376="","",COUNTIFS('KG1-1'!$AD27:$IM27,"غياب بدون عذر",'KG1-1'!$AD$7:$IM$7,"✓",'KG1-1'!$AD$5:$IM$5,"&lt;="&amp;D376))</f>
        <v/>
      </c>
      <c r="G376">
        <f>G375+IF(D376="",0,1)</f>
        <v/>
      </c>
    </row>
    <row r="377">
      <c r="A377">
        <f>IF('KG1-1'!$B27="","",'KG1-1'!$B27)</f>
        <v/>
      </c>
      <c r="B377">
        <f>IF(A377="","",'KG1-1'!$C27)</f>
        <v/>
      </c>
      <c r="C377">
        <f>IF(A377="","",'KG1-1'!$B$2)</f>
        <v/>
      </c>
      <c r="D377" s="126">
        <f t="array" ref="D377">IF(A377="","",IFERROR(SMALL(IF((('KG1-1'!$AD27:$IM27="غياب بدون عذر")+('KG1-1'!$AD27:$IM27="غياب بعذر"))*('KG1-1'!$AD$7:$IM$7="✓"),'KG1-1'!$AD$5:$IM$5),16),""))</f>
        <v/>
      </c>
      <c r="E377">
        <f>IF(D377="","",INDEX('KG1-1'!$AD27:$IM27,MATCH(D377,'KG1-1'!$AD$5:$IM$5,0)))</f>
        <v/>
      </c>
      <c r="F377">
        <f>IF(D377="","",COUNTIFS('KG1-1'!$AD27:$IM27,"غياب بدون عذر",'KG1-1'!$AD$7:$IM$7,"✓",'KG1-1'!$AD$5:$IM$5,"&lt;="&amp;D377))</f>
        <v/>
      </c>
      <c r="G377">
        <f>G376+IF(D377="",0,1)</f>
        <v/>
      </c>
    </row>
    <row r="378">
      <c r="A378">
        <f>IF('KG1-1'!$B27="","",'KG1-1'!$B27)</f>
        <v/>
      </c>
      <c r="B378">
        <f>IF(A378="","",'KG1-1'!$C27)</f>
        <v/>
      </c>
      <c r="C378">
        <f>IF(A378="","",'KG1-1'!$B$2)</f>
        <v/>
      </c>
      <c r="D378" s="126">
        <f t="array" ref="D378">IF(A378="","",IFERROR(SMALL(IF((('KG1-1'!$AD27:$IM27="غياب بدون عذر")+('KG1-1'!$AD27:$IM27="غياب بعذر"))*('KG1-1'!$AD$7:$IM$7="✓"),'KG1-1'!$AD$5:$IM$5),17),""))</f>
        <v/>
      </c>
      <c r="E378">
        <f>IF(D378="","",INDEX('KG1-1'!$AD27:$IM27,MATCH(D378,'KG1-1'!$AD$5:$IM$5,0)))</f>
        <v/>
      </c>
      <c r="F378">
        <f>IF(D378="","",COUNTIFS('KG1-1'!$AD27:$IM27,"غياب بدون عذر",'KG1-1'!$AD$7:$IM$7,"✓",'KG1-1'!$AD$5:$IM$5,"&lt;="&amp;D378))</f>
        <v/>
      </c>
      <c r="G378">
        <f>G377+IF(D378="",0,1)</f>
        <v/>
      </c>
    </row>
    <row r="379">
      <c r="A379">
        <f>IF('KG1-1'!$B27="","",'KG1-1'!$B27)</f>
        <v/>
      </c>
      <c r="B379">
        <f>IF(A379="","",'KG1-1'!$C27)</f>
        <v/>
      </c>
      <c r="C379">
        <f>IF(A379="","",'KG1-1'!$B$2)</f>
        <v/>
      </c>
      <c r="D379" s="126">
        <f t="array" ref="D379">IF(A379="","",IFERROR(SMALL(IF((('KG1-1'!$AD27:$IM27="غياب بدون عذر")+('KG1-1'!$AD27:$IM27="غياب بعذر"))*('KG1-1'!$AD$7:$IM$7="✓"),'KG1-1'!$AD$5:$IM$5),18),""))</f>
        <v/>
      </c>
      <c r="E379">
        <f>IF(D379="","",INDEX('KG1-1'!$AD27:$IM27,MATCH(D379,'KG1-1'!$AD$5:$IM$5,0)))</f>
        <v/>
      </c>
      <c r="F379">
        <f>IF(D379="","",COUNTIFS('KG1-1'!$AD27:$IM27,"غياب بدون عذر",'KG1-1'!$AD$7:$IM$7,"✓",'KG1-1'!$AD$5:$IM$5,"&lt;="&amp;D379))</f>
        <v/>
      </c>
      <c r="G379">
        <f>G378+IF(D379="",0,1)</f>
        <v/>
      </c>
    </row>
    <row r="380">
      <c r="A380">
        <f>IF('KG1-1'!$B27="","",'KG1-1'!$B27)</f>
        <v/>
      </c>
      <c r="B380">
        <f>IF(A380="","",'KG1-1'!$C27)</f>
        <v/>
      </c>
      <c r="C380">
        <f>IF(A380="","",'KG1-1'!$B$2)</f>
        <v/>
      </c>
      <c r="D380" s="126">
        <f t="array" ref="D380">IF(A380="","",IFERROR(SMALL(IF((('KG1-1'!$AD27:$IM27="غياب بدون عذر")+('KG1-1'!$AD27:$IM27="غياب بعذر"))*('KG1-1'!$AD$7:$IM$7="✓"),'KG1-1'!$AD$5:$IM$5),19),""))</f>
        <v/>
      </c>
      <c r="E380">
        <f>IF(D380="","",INDEX('KG1-1'!$AD27:$IM27,MATCH(D380,'KG1-1'!$AD$5:$IM$5,0)))</f>
        <v/>
      </c>
      <c r="F380">
        <f>IF(D380="","",COUNTIFS('KG1-1'!$AD27:$IM27,"غياب بدون عذر",'KG1-1'!$AD$7:$IM$7,"✓",'KG1-1'!$AD$5:$IM$5,"&lt;="&amp;D380))</f>
        <v/>
      </c>
      <c r="G380">
        <f>G379+IF(D380="",0,1)</f>
        <v/>
      </c>
    </row>
    <row r="381">
      <c r="A381">
        <f>IF('KG1-1'!$B27="","",'KG1-1'!$B27)</f>
        <v/>
      </c>
      <c r="B381">
        <f>IF(A381="","",'KG1-1'!$C27)</f>
        <v/>
      </c>
      <c r="C381">
        <f>IF(A381="","",'KG1-1'!$B$2)</f>
        <v/>
      </c>
      <c r="D381" s="126">
        <f t="array" ref="D381">IF(A381="","",IFERROR(SMALL(IF((('KG1-1'!$AD27:$IM27="غياب بدون عذر")+('KG1-1'!$AD27:$IM27="غياب بعذر"))*('KG1-1'!$AD$7:$IM$7="✓"),'KG1-1'!$AD$5:$IM$5),20),""))</f>
        <v/>
      </c>
      <c r="E381">
        <f>IF(D381="","",INDEX('KG1-1'!$AD27:$IM27,MATCH(D381,'KG1-1'!$AD$5:$IM$5,0)))</f>
        <v/>
      </c>
      <c r="F381">
        <f>IF(D381="","",COUNTIFS('KG1-1'!$AD27:$IM27,"غياب بدون عذر",'KG1-1'!$AD$7:$IM$7,"✓",'KG1-1'!$AD$5:$IM$5,"&lt;="&amp;D381))</f>
        <v/>
      </c>
      <c r="G381">
        <f>G380+IF(D381="",0,1)</f>
        <v/>
      </c>
    </row>
    <row r="382">
      <c r="A382">
        <f>IF('KG1-1'!$B28="","",'KG1-1'!$B28)</f>
        <v/>
      </c>
      <c r="B382">
        <f>IF(A382="","",'KG1-1'!$C28)</f>
        <v/>
      </c>
      <c r="C382">
        <f>IF(A382="","",'KG1-1'!$B$2)</f>
        <v/>
      </c>
      <c r="D382" s="126">
        <f t="array" ref="D382">IF(A382="","",IFERROR(SMALL(IF((('KG1-1'!$AD28:$IM28="غياب بدون عذر")+('KG1-1'!$AD28:$IM28="غياب بعذر"))*('KG1-1'!$AD$7:$IM$7="✓"),'KG1-1'!$AD$5:$IM$5),1),""))</f>
        <v/>
      </c>
      <c r="E382">
        <f>IF(D382="","",INDEX('KG1-1'!$AD28:$IM28,MATCH(D382,'KG1-1'!$AD$5:$IM$5,0)))</f>
        <v/>
      </c>
      <c r="F382">
        <f>IF(D382="","",COUNTIFS('KG1-1'!$AD28:$IM28,"غياب بدون عذر",'KG1-1'!$AD$7:$IM$7,"✓",'KG1-1'!$AD$5:$IM$5,"&lt;="&amp;D382))</f>
        <v/>
      </c>
      <c r="G382">
        <f>G381+IF(D382="",0,1)</f>
        <v/>
      </c>
    </row>
    <row r="383">
      <c r="A383">
        <f>IF('KG1-1'!$B28="","",'KG1-1'!$B28)</f>
        <v/>
      </c>
      <c r="B383">
        <f>IF(A383="","",'KG1-1'!$C28)</f>
        <v/>
      </c>
      <c r="C383">
        <f>IF(A383="","",'KG1-1'!$B$2)</f>
        <v/>
      </c>
      <c r="D383" s="126">
        <f t="array" ref="D383">IF(A383="","",IFERROR(SMALL(IF((('KG1-1'!$AD28:$IM28="غياب بدون عذر")+('KG1-1'!$AD28:$IM28="غياب بعذر"))*('KG1-1'!$AD$7:$IM$7="✓"),'KG1-1'!$AD$5:$IM$5),2),""))</f>
        <v/>
      </c>
      <c r="E383">
        <f>IF(D383="","",INDEX('KG1-1'!$AD28:$IM28,MATCH(D383,'KG1-1'!$AD$5:$IM$5,0)))</f>
        <v/>
      </c>
      <c r="F383">
        <f>IF(D383="","",COUNTIFS('KG1-1'!$AD28:$IM28,"غياب بدون عذر",'KG1-1'!$AD$7:$IM$7,"✓",'KG1-1'!$AD$5:$IM$5,"&lt;="&amp;D383))</f>
        <v/>
      </c>
      <c r="G383">
        <f>G382+IF(D383="",0,1)</f>
        <v/>
      </c>
    </row>
    <row r="384">
      <c r="A384">
        <f>IF('KG1-1'!$B28="","",'KG1-1'!$B28)</f>
        <v/>
      </c>
      <c r="B384">
        <f>IF(A384="","",'KG1-1'!$C28)</f>
        <v/>
      </c>
      <c r="C384">
        <f>IF(A384="","",'KG1-1'!$B$2)</f>
        <v/>
      </c>
      <c r="D384" s="126">
        <f t="array" ref="D384">IF(A384="","",IFERROR(SMALL(IF((('KG1-1'!$AD28:$IM28="غياب بدون عذر")+('KG1-1'!$AD28:$IM28="غياب بعذر"))*('KG1-1'!$AD$7:$IM$7="✓"),'KG1-1'!$AD$5:$IM$5),3),""))</f>
        <v/>
      </c>
      <c r="E384">
        <f>IF(D384="","",INDEX('KG1-1'!$AD28:$IM28,MATCH(D384,'KG1-1'!$AD$5:$IM$5,0)))</f>
        <v/>
      </c>
      <c r="F384">
        <f>IF(D384="","",COUNTIFS('KG1-1'!$AD28:$IM28,"غياب بدون عذر",'KG1-1'!$AD$7:$IM$7,"✓",'KG1-1'!$AD$5:$IM$5,"&lt;="&amp;D384))</f>
        <v/>
      </c>
      <c r="G384">
        <f>G383+IF(D384="",0,1)</f>
        <v/>
      </c>
    </row>
    <row r="385">
      <c r="A385">
        <f>IF('KG1-1'!$B28="","",'KG1-1'!$B28)</f>
        <v/>
      </c>
      <c r="B385">
        <f>IF(A385="","",'KG1-1'!$C28)</f>
        <v/>
      </c>
      <c r="C385">
        <f>IF(A385="","",'KG1-1'!$B$2)</f>
        <v/>
      </c>
      <c r="D385" s="126">
        <f t="array" ref="D385">IF(A385="","",IFERROR(SMALL(IF((('KG1-1'!$AD28:$IM28="غياب بدون عذر")+('KG1-1'!$AD28:$IM28="غياب بعذر"))*('KG1-1'!$AD$7:$IM$7="✓"),'KG1-1'!$AD$5:$IM$5),4),""))</f>
        <v/>
      </c>
      <c r="E385">
        <f>IF(D385="","",INDEX('KG1-1'!$AD28:$IM28,MATCH(D385,'KG1-1'!$AD$5:$IM$5,0)))</f>
        <v/>
      </c>
      <c r="F385">
        <f>IF(D385="","",COUNTIFS('KG1-1'!$AD28:$IM28,"غياب بدون عذر",'KG1-1'!$AD$7:$IM$7,"✓",'KG1-1'!$AD$5:$IM$5,"&lt;="&amp;D385))</f>
        <v/>
      </c>
      <c r="G385">
        <f>G384+IF(D385="",0,1)</f>
        <v/>
      </c>
    </row>
    <row r="386">
      <c r="A386">
        <f>IF('KG1-1'!$B28="","",'KG1-1'!$B28)</f>
        <v/>
      </c>
      <c r="B386">
        <f>IF(A386="","",'KG1-1'!$C28)</f>
        <v/>
      </c>
      <c r="C386">
        <f>IF(A386="","",'KG1-1'!$B$2)</f>
        <v/>
      </c>
      <c r="D386" s="126">
        <f t="array" ref="D386">IF(A386="","",IFERROR(SMALL(IF((('KG1-1'!$AD28:$IM28="غياب بدون عذر")+('KG1-1'!$AD28:$IM28="غياب بعذر"))*('KG1-1'!$AD$7:$IM$7="✓"),'KG1-1'!$AD$5:$IM$5),5),""))</f>
        <v/>
      </c>
      <c r="E386">
        <f>IF(D386="","",INDEX('KG1-1'!$AD28:$IM28,MATCH(D386,'KG1-1'!$AD$5:$IM$5,0)))</f>
        <v/>
      </c>
      <c r="F386">
        <f>IF(D386="","",COUNTIFS('KG1-1'!$AD28:$IM28,"غياب بدون عذر",'KG1-1'!$AD$7:$IM$7,"✓",'KG1-1'!$AD$5:$IM$5,"&lt;="&amp;D386))</f>
        <v/>
      </c>
      <c r="G386">
        <f>G385+IF(D386="",0,1)</f>
        <v/>
      </c>
    </row>
    <row r="387">
      <c r="A387">
        <f>IF('KG1-1'!$B28="","",'KG1-1'!$B28)</f>
        <v/>
      </c>
      <c r="B387">
        <f>IF(A387="","",'KG1-1'!$C28)</f>
        <v/>
      </c>
      <c r="C387">
        <f>IF(A387="","",'KG1-1'!$B$2)</f>
        <v/>
      </c>
      <c r="D387" s="126">
        <f t="array" ref="D387">IF(A387="","",IFERROR(SMALL(IF((('KG1-1'!$AD28:$IM28="غياب بدون عذر")+('KG1-1'!$AD28:$IM28="غياب بعذر"))*('KG1-1'!$AD$7:$IM$7="✓"),'KG1-1'!$AD$5:$IM$5),6),""))</f>
        <v/>
      </c>
      <c r="E387">
        <f>IF(D387="","",INDEX('KG1-1'!$AD28:$IM28,MATCH(D387,'KG1-1'!$AD$5:$IM$5,0)))</f>
        <v/>
      </c>
      <c r="F387">
        <f>IF(D387="","",COUNTIFS('KG1-1'!$AD28:$IM28,"غياب بدون عذر",'KG1-1'!$AD$7:$IM$7,"✓",'KG1-1'!$AD$5:$IM$5,"&lt;="&amp;D387))</f>
        <v/>
      </c>
      <c r="G387">
        <f>G386+IF(D387="",0,1)</f>
        <v/>
      </c>
    </row>
    <row r="388">
      <c r="A388">
        <f>IF('KG1-1'!$B28="","",'KG1-1'!$B28)</f>
        <v/>
      </c>
      <c r="B388">
        <f>IF(A388="","",'KG1-1'!$C28)</f>
        <v/>
      </c>
      <c r="C388">
        <f>IF(A388="","",'KG1-1'!$B$2)</f>
        <v/>
      </c>
      <c r="D388" s="126">
        <f t="array" ref="D388">IF(A388="","",IFERROR(SMALL(IF((('KG1-1'!$AD28:$IM28="غياب بدون عذر")+('KG1-1'!$AD28:$IM28="غياب بعذر"))*('KG1-1'!$AD$7:$IM$7="✓"),'KG1-1'!$AD$5:$IM$5),7),""))</f>
        <v/>
      </c>
      <c r="E388">
        <f>IF(D388="","",INDEX('KG1-1'!$AD28:$IM28,MATCH(D388,'KG1-1'!$AD$5:$IM$5,0)))</f>
        <v/>
      </c>
      <c r="F388">
        <f>IF(D388="","",COUNTIFS('KG1-1'!$AD28:$IM28,"غياب بدون عذر",'KG1-1'!$AD$7:$IM$7,"✓",'KG1-1'!$AD$5:$IM$5,"&lt;="&amp;D388))</f>
        <v/>
      </c>
      <c r="G388">
        <f>G387+IF(D388="",0,1)</f>
        <v/>
      </c>
    </row>
    <row r="389">
      <c r="A389">
        <f>IF('KG1-1'!$B28="","",'KG1-1'!$B28)</f>
        <v/>
      </c>
      <c r="B389">
        <f>IF(A389="","",'KG1-1'!$C28)</f>
        <v/>
      </c>
      <c r="C389">
        <f>IF(A389="","",'KG1-1'!$B$2)</f>
        <v/>
      </c>
      <c r="D389" s="126">
        <f t="array" ref="D389">IF(A389="","",IFERROR(SMALL(IF((('KG1-1'!$AD28:$IM28="غياب بدون عذر")+('KG1-1'!$AD28:$IM28="غياب بعذر"))*('KG1-1'!$AD$7:$IM$7="✓"),'KG1-1'!$AD$5:$IM$5),8),""))</f>
        <v/>
      </c>
      <c r="E389">
        <f>IF(D389="","",INDEX('KG1-1'!$AD28:$IM28,MATCH(D389,'KG1-1'!$AD$5:$IM$5,0)))</f>
        <v/>
      </c>
      <c r="F389">
        <f>IF(D389="","",COUNTIFS('KG1-1'!$AD28:$IM28,"غياب بدون عذر",'KG1-1'!$AD$7:$IM$7,"✓",'KG1-1'!$AD$5:$IM$5,"&lt;="&amp;D389))</f>
        <v/>
      </c>
      <c r="G389">
        <f>G388+IF(D389="",0,1)</f>
        <v/>
      </c>
    </row>
    <row r="390">
      <c r="A390">
        <f>IF('KG1-1'!$B28="","",'KG1-1'!$B28)</f>
        <v/>
      </c>
      <c r="B390">
        <f>IF(A390="","",'KG1-1'!$C28)</f>
        <v/>
      </c>
      <c r="C390">
        <f>IF(A390="","",'KG1-1'!$B$2)</f>
        <v/>
      </c>
      <c r="D390" s="126">
        <f t="array" ref="D390">IF(A390="","",IFERROR(SMALL(IF((('KG1-1'!$AD28:$IM28="غياب بدون عذر")+('KG1-1'!$AD28:$IM28="غياب بعذر"))*('KG1-1'!$AD$7:$IM$7="✓"),'KG1-1'!$AD$5:$IM$5),9),""))</f>
        <v/>
      </c>
      <c r="E390">
        <f>IF(D390="","",INDEX('KG1-1'!$AD28:$IM28,MATCH(D390,'KG1-1'!$AD$5:$IM$5,0)))</f>
        <v/>
      </c>
      <c r="F390">
        <f>IF(D390="","",COUNTIFS('KG1-1'!$AD28:$IM28,"غياب بدون عذر",'KG1-1'!$AD$7:$IM$7,"✓",'KG1-1'!$AD$5:$IM$5,"&lt;="&amp;D390))</f>
        <v/>
      </c>
      <c r="G390">
        <f>G389+IF(D390="",0,1)</f>
        <v/>
      </c>
    </row>
    <row r="391">
      <c r="A391">
        <f>IF('KG1-1'!$B28="","",'KG1-1'!$B28)</f>
        <v/>
      </c>
      <c r="B391">
        <f>IF(A391="","",'KG1-1'!$C28)</f>
        <v/>
      </c>
      <c r="C391">
        <f>IF(A391="","",'KG1-1'!$B$2)</f>
        <v/>
      </c>
      <c r="D391" s="126">
        <f t="array" ref="D391">IF(A391="","",IFERROR(SMALL(IF((('KG1-1'!$AD28:$IM28="غياب بدون عذر")+('KG1-1'!$AD28:$IM28="غياب بعذر"))*('KG1-1'!$AD$7:$IM$7="✓"),'KG1-1'!$AD$5:$IM$5),10),""))</f>
        <v/>
      </c>
      <c r="E391">
        <f>IF(D391="","",INDEX('KG1-1'!$AD28:$IM28,MATCH(D391,'KG1-1'!$AD$5:$IM$5,0)))</f>
        <v/>
      </c>
      <c r="F391">
        <f>IF(D391="","",COUNTIFS('KG1-1'!$AD28:$IM28,"غياب بدون عذر",'KG1-1'!$AD$7:$IM$7,"✓",'KG1-1'!$AD$5:$IM$5,"&lt;="&amp;D391))</f>
        <v/>
      </c>
      <c r="G391">
        <f>G390+IF(D391="",0,1)</f>
        <v/>
      </c>
    </row>
    <row r="392">
      <c r="A392">
        <f>IF('KG1-1'!$B28="","",'KG1-1'!$B28)</f>
        <v/>
      </c>
      <c r="B392">
        <f>IF(A392="","",'KG1-1'!$C28)</f>
        <v/>
      </c>
      <c r="C392">
        <f>IF(A392="","",'KG1-1'!$B$2)</f>
        <v/>
      </c>
      <c r="D392" s="126">
        <f t="array" ref="D392">IF(A392="","",IFERROR(SMALL(IF((('KG1-1'!$AD28:$IM28="غياب بدون عذر")+('KG1-1'!$AD28:$IM28="غياب بعذر"))*('KG1-1'!$AD$7:$IM$7="✓"),'KG1-1'!$AD$5:$IM$5),11),""))</f>
        <v/>
      </c>
      <c r="E392">
        <f>IF(D392="","",INDEX('KG1-1'!$AD28:$IM28,MATCH(D392,'KG1-1'!$AD$5:$IM$5,0)))</f>
        <v/>
      </c>
      <c r="F392">
        <f>IF(D392="","",COUNTIFS('KG1-1'!$AD28:$IM28,"غياب بدون عذر",'KG1-1'!$AD$7:$IM$7,"✓",'KG1-1'!$AD$5:$IM$5,"&lt;="&amp;D392))</f>
        <v/>
      </c>
      <c r="G392">
        <f>G391+IF(D392="",0,1)</f>
        <v/>
      </c>
    </row>
    <row r="393">
      <c r="A393">
        <f>IF('KG1-1'!$B28="","",'KG1-1'!$B28)</f>
        <v/>
      </c>
      <c r="B393">
        <f>IF(A393="","",'KG1-1'!$C28)</f>
        <v/>
      </c>
      <c r="C393">
        <f>IF(A393="","",'KG1-1'!$B$2)</f>
        <v/>
      </c>
      <c r="D393" s="126">
        <f t="array" ref="D393">IF(A393="","",IFERROR(SMALL(IF((('KG1-1'!$AD28:$IM28="غياب بدون عذر")+('KG1-1'!$AD28:$IM28="غياب بعذر"))*('KG1-1'!$AD$7:$IM$7="✓"),'KG1-1'!$AD$5:$IM$5),12),""))</f>
        <v/>
      </c>
      <c r="E393">
        <f>IF(D393="","",INDEX('KG1-1'!$AD28:$IM28,MATCH(D393,'KG1-1'!$AD$5:$IM$5,0)))</f>
        <v/>
      </c>
      <c r="F393">
        <f>IF(D393="","",COUNTIFS('KG1-1'!$AD28:$IM28,"غياب بدون عذر",'KG1-1'!$AD$7:$IM$7,"✓",'KG1-1'!$AD$5:$IM$5,"&lt;="&amp;D393))</f>
        <v/>
      </c>
      <c r="G393">
        <f>G392+IF(D393="",0,1)</f>
        <v/>
      </c>
    </row>
    <row r="394">
      <c r="A394">
        <f>IF('KG1-1'!$B28="","",'KG1-1'!$B28)</f>
        <v/>
      </c>
      <c r="B394">
        <f>IF(A394="","",'KG1-1'!$C28)</f>
        <v/>
      </c>
      <c r="C394">
        <f>IF(A394="","",'KG1-1'!$B$2)</f>
        <v/>
      </c>
      <c r="D394" s="126">
        <f t="array" ref="D394">IF(A394="","",IFERROR(SMALL(IF((('KG1-1'!$AD28:$IM28="غياب بدون عذر")+('KG1-1'!$AD28:$IM28="غياب بعذر"))*('KG1-1'!$AD$7:$IM$7="✓"),'KG1-1'!$AD$5:$IM$5),13),""))</f>
        <v/>
      </c>
      <c r="E394">
        <f>IF(D394="","",INDEX('KG1-1'!$AD28:$IM28,MATCH(D394,'KG1-1'!$AD$5:$IM$5,0)))</f>
        <v/>
      </c>
      <c r="F394">
        <f>IF(D394="","",COUNTIFS('KG1-1'!$AD28:$IM28,"غياب بدون عذر",'KG1-1'!$AD$7:$IM$7,"✓",'KG1-1'!$AD$5:$IM$5,"&lt;="&amp;D394))</f>
        <v/>
      </c>
      <c r="G394">
        <f>G393+IF(D394="",0,1)</f>
        <v/>
      </c>
    </row>
    <row r="395">
      <c r="A395">
        <f>IF('KG1-1'!$B28="","",'KG1-1'!$B28)</f>
        <v/>
      </c>
      <c r="B395">
        <f>IF(A395="","",'KG1-1'!$C28)</f>
        <v/>
      </c>
      <c r="C395">
        <f>IF(A395="","",'KG1-1'!$B$2)</f>
        <v/>
      </c>
      <c r="D395" s="126">
        <f t="array" ref="D395">IF(A395="","",IFERROR(SMALL(IF((('KG1-1'!$AD28:$IM28="غياب بدون عذر")+('KG1-1'!$AD28:$IM28="غياب بعذر"))*('KG1-1'!$AD$7:$IM$7="✓"),'KG1-1'!$AD$5:$IM$5),14),""))</f>
        <v/>
      </c>
      <c r="E395">
        <f>IF(D395="","",INDEX('KG1-1'!$AD28:$IM28,MATCH(D395,'KG1-1'!$AD$5:$IM$5,0)))</f>
        <v/>
      </c>
      <c r="F395">
        <f>IF(D395="","",COUNTIFS('KG1-1'!$AD28:$IM28,"غياب بدون عذر",'KG1-1'!$AD$7:$IM$7,"✓",'KG1-1'!$AD$5:$IM$5,"&lt;="&amp;D395))</f>
        <v/>
      </c>
      <c r="G395">
        <f>G394+IF(D395="",0,1)</f>
        <v/>
      </c>
    </row>
    <row r="396">
      <c r="A396">
        <f>IF('KG1-1'!$B28="","",'KG1-1'!$B28)</f>
        <v/>
      </c>
      <c r="B396">
        <f>IF(A396="","",'KG1-1'!$C28)</f>
        <v/>
      </c>
      <c r="C396">
        <f>IF(A396="","",'KG1-1'!$B$2)</f>
        <v/>
      </c>
      <c r="D396" s="126">
        <f t="array" ref="D396">IF(A396="","",IFERROR(SMALL(IF((('KG1-1'!$AD28:$IM28="غياب بدون عذر")+('KG1-1'!$AD28:$IM28="غياب بعذر"))*('KG1-1'!$AD$7:$IM$7="✓"),'KG1-1'!$AD$5:$IM$5),15),""))</f>
        <v/>
      </c>
      <c r="E396">
        <f>IF(D396="","",INDEX('KG1-1'!$AD28:$IM28,MATCH(D396,'KG1-1'!$AD$5:$IM$5,0)))</f>
        <v/>
      </c>
      <c r="F396">
        <f>IF(D396="","",COUNTIFS('KG1-1'!$AD28:$IM28,"غياب بدون عذر",'KG1-1'!$AD$7:$IM$7,"✓",'KG1-1'!$AD$5:$IM$5,"&lt;="&amp;D396))</f>
        <v/>
      </c>
      <c r="G396">
        <f>G395+IF(D396="",0,1)</f>
        <v/>
      </c>
    </row>
    <row r="397">
      <c r="A397">
        <f>IF('KG1-1'!$B28="","",'KG1-1'!$B28)</f>
        <v/>
      </c>
      <c r="B397">
        <f>IF(A397="","",'KG1-1'!$C28)</f>
        <v/>
      </c>
      <c r="C397">
        <f>IF(A397="","",'KG1-1'!$B$2)</f>
        <v/>
      </c>
      <c r="D397" s="126">
        <f t="array" ref="D397">IF(A397="","",IFERROR(SMALL(IF((('KG1-1'!$AD28:$IM28="غياب بدون عذر")+('KG1-1'!$AD28:$IM28="غياب بعذر"))*('KG1-1'!$AD$7:$IM$7="✓"),'KG1-1'!$AD$5:$IM$5),16),""))</f>
        <v/>
      </c>
      <c r="E397">
        <f>IF(D397="","",INDEX('KG1-1'!$AD28:$IM28,MATCH(D397,'KG1-1'!$AD$5:$IM$5,0)))</f>
        <v/>
      </c>
      <c r="F397">
        <f>IF(D397="","",COUNTIFS('KG1-1'!$AD28:$IM28,"غياب بدون عذر",'KG1-1'!$AD$7:$IM$7,"✓",'KG1-1'!$AD$5:$IM$5,"&lt;="&amp;D397))</f>
        <v/>
      </c>
      <c r="G397">
        <f>G396+IF(D397="",0,1)</f>
        <v/>
      </c>
    </row>
    <row r="398">
      <c r="A398">
        <f>IF('KG1-1'!$B28="","",'KG1-1'!$B28)</f>
        <v/>
      </c>
      <c r="B398">
        <f>IF(A398="","",'KG1-1'!$C28)</f>
        <v/>
      </c>
      <c r="C398">
        <f>IF(A398="","",'KG1-1'!$B$2)</f>
        <v/>
      </c>
      <c r="D398" s="126">
        <f t="array" ref="D398">IF(A398="","",IFERROR(SMALL(IF((('KG1-1'!$AD28:$IM28="غياب بدون عذر")+('KG1-1'!$AD28:$IM28="غياب بعذر"))*('KG1-1'!$AD$7:$IM$7="✓"),'KG1-1'!$AD$5:$IM$5),17),""))</f>
        <v/>
      </c>
      <c r="E398">
        <f>IF(D398="","",INDEX('KG1-1'!$AD28:$IM28,MATCH(D398,'KG1-1'!$AD$5:$IM$5,0)))</f>
        <v/>
      </c>
      <c r="F398">
        <f>IF(D398="","",COUNTIFS('KG1-1'!$AD28:$IM28,"غياب بدون عذر",'KG1-1'!$AD$7:$IM$7,"✓",'KG1-1'!$AD$5:$IM$5,"&lt;="&amp;D398))</f>
        <v/>
      </c>
      <c r="G398">
        <f>G397+IF(D398="",0,1)</f>
        <v/>
      </c>
    </row>
    <row r="399">
      <c r="A399">
        <f>IF('KG1-1'!$B28="","",'KG1-1'!$B28)</f>
        <v/>
      </c>
      <c r="B399">
        <f>IF(A399="","",'KG1-1'!$C28)</f>
        <v/>
      </c>
      <c r="C399">
        <f>IF(A399="","",'KG1-1'!$B$2)</f>
        <v/>
      </c>
      <c r="D399" s="126">
        <f t="array" ref="D399">IF(A399="","",IFERROR(SMALL(IF((('KG1-1'!$AD28:$IM28="غياب بدون عذر")+('KG1-1'!$AD28:$IM28="غياب بعذر"))*('KG1-1'!$AD$7:$IM$7="✓"),'KG1-1'!$AD$5:$IM$5),18),""))</f>
        <v/>
      </c>
      <c r="E399">
        <f>IF(D399="","",INDEX('KG1-1'!$AD28:$IM28,MATCH(D399,'KG1-1'!$AD$5:$IM$5,0)))</f>
        <v/>
      </c>
      <c r="F399">
        <f>IF(D399="","",COUNTIFS('KG1-1'!$AD28:$IM28,"غياب بدون عذر",'KG1-1'!$AD$7:$IM$7,"✓",'KG1-1'!$AD$5:$IM$5,"&lt;="&amp;D399))</f>
        <v/>
      </c>
      <c r="G399">
        <f>G398+IF(D399="",0,1)</f>
        <v/>
      </c>
    </row>
    <row r="400">
      <c r="A400">
        <f>IF('KG1-1'!$B28="","",'KG1-1'!$B28)</f>
        <v/>
      </c>
      <c r="B400">
        <f>IF(A400="","",'KG1-1'!$C28)</f>
        <v/>
      </c>
      <c r="C400">
        <f>IF(A400="","",'KG1-1'!$B$2)</f>
        <v/>
      </c>
      <c r="D400" s="126">
        <f t="array" ref="D400">IF(A400="","",IFERROR(SMALL(IF((('KG1-1'!$AD28:$IM28="غياب بدون عذر")+('KG1-1'!$AD28:$IM28="غياب بعذر"))*('KG1-1'!$AD$7:$IM$7="✓"),'KG1-1'!$AD$5:$IM$5),19),""))</f>
        <v/>
      </c>
      <c r="E400">
        <f>IF(D400="","",INDEX('KG1-1'!$AD28:$IM28,MATCH(D400,'KG1-1'!$AD$5:$IM$5,0)))</f>
        <v/>
      </c>
      <c r="F400">
        <f>IF(D400="","",COUNTIFS('KG1-1'!$AD28:$IM28,"غياب بدون عذر",'KG1-1'!$AD$7:$IM$7,"✓",'KG1-1'!$AD$5:$IM$5,"&lt;="&amp;D400))</f>
        <v/>
      </c>
      <c r="G400">
        <f>G399+IF(D400="",0,1)</f>
        <v/>
      </c>
    </row>
    <row r="401">
      <c r="A401">
        <f>IF('KG1-1'!$B28="","",'KG1-1'!$B28)</f>
        <v/>
      </c>
      <c r="B401">
        <f>IF(A401="","",'KG1-1'!$C28)</f>
        <v/>
      </c>
      <c r="C401">
        <f>IF(A401="","",'KG1-1'!$B$2)</f>
        <v/>
      </c>
      <c r="D401" s="126">
        <f t="array" ref="D401">IF(A401="","",IFERROR(SMALL(IF((('KG1-1'!$AD28:$IM28="غياب بدون عذر")+('KG1-1'!$AD28:$IM28="غياب بعذر"))*('KG1-1'!$AD$7:$IM$7="✓"),'KG1-1'!$AD$5:$IM$5),20),""))</f>
        <v/>
      </c>
      <c r="E401">
        <f>IF(D401="","",INDEX('KG1-1'!$AD28:$IM28,MATCH(D401,'KG1-1'!$AD$5:$IM$5,0)))</f>
        <v/>
      </c>
      <c r="F401">
        <f>IF(D401="","",COUNTIFS('KG1-1'!$AD28:$IM28,"غياب بدون عذر",'KG1-1'!$AD$7:$IM$7,"✓",'KG1-1'!$AD$5:$IM$5,"&lt;="&amp;D401))</f>
        <v/>
      </c>
      <c r="G401">
        <f>G400+IF(D401="",0,1)</f>
        <v/>
      </c>
    </row>
    <row r="402">
      <c r="A402">
        <f>IF('KG1-1'!$B29="","",'KG1-1'!$B29)</f>
        <v/>
      </c>
      <c r="B402">
        <f>IF(A402="","",'KG1-1'!$C29)</f>
        <v/>
      </c>
      <c r="C402">
        <f>IF(A402="","",'KG1-1'!$B$2)</f>
        <v/>
      </c>
      <c r="D402" s="126">
        <f t="array" ref="D402">IF(A402="","",IFERROR(SMALL(IF((('KG1-1'!$AD29:$IM29="غياب بدون عذر")+('KG1-1'!$AD29:$IM29="غياب بعذر"))*('KG1-1'!$AD$7:$IM$7="✓"),'KG1-1'!$AD$5:$IM$5),1),""))</f>
        <v/>
      </c>
      <c r="E402">
        <f>IF(D402="","",INDEX('KG1-1'!$AD29:$IM29,MATCH(D402,'KG1-1'!$AD$5:$IM$5,0)))</f>
        <v/>
      </c>
      <c r="F402">
        <f>IF(D402="","",COUNTIFS('KG1-1'!$AD29:$IM29,"غياب بدون عذر",'KG1-1'!$AD$7:$IM$7,"✓",'KG1-1'!$AD$5:$IM$5,"&lt;="&amp;D402))</f>
        <v/>
      </c>
      <c r="G402">
        <f>G401+IF(D402="",0,1)</f>
        <v/>
      </c>
    </row>
    <row r="403">
      <c r="A403">
        <f>IF('KG1-1'!$B29="","",'KG1-1'!$B29)</f>
        <v/>
      </c>
      <c r="B403">
        <f>IF(A403="","",'KG1-1'!$C29)</f>
        <v/>
      </c>
      <c r="C403">
        <f>IF(A403="","",'KG1-1'!$B$2)</f>
        <v/>
      </c>
      <c r="D403" s="126">
        <f t="array" ref="D403">IF(A403="","",IFERROR(SMALL(IF((('KG1-1'!$AD29:$IM29="غياب بدون عذر")+('KG1-1'!$AD29:$IM29="غياب بعذر"))*('KG1-1'!$AD$7:$IM$7="✓"),'KG1-1'!$AD$5:$IM$5),2),""))</f>
        <v/>
      </c>
      <c r="E403">
        <f>IF(D403="","",INDEX('KG1-1'!$AD29:$IM29,MATCH(D403,'KG1-1'!$AD$5:$IM$5,0)))</f>
        <v/>
      </c>
      <c r="F403">
        <f>IF(D403="","",COUNTIFS('KG1-1'!$AD29:$IM29,"غياب بدون عذر",'KG1-1'!$AD$7:$IM$7,"✓",'KG1-1'!$AD$5:$IM$5,"&lt;="&amp;D403))</f>
        <v/>
      </c>
      <c r="G403">
        <f>G402+IF(D403="",0,1)</f>
        <v/>
      </c>
    </row>
    <row r="404">
      <c r="A404">
        <f>IF('KG1-1'!$B29="","",'KG1-1'!$B29)</f>
        <v/>
      </c>
      <c r="B404">
        <f>IF(A404="","",'KG1-1'!$C29)</f>
        <v/>
      </c>
      <c r="C404">
        <f>IF(A404="","",'KG1-1'!$B$2)</f>
        <v/>
      </c>
      <c r="D404" s="126">
        <f t="array" ref="D404">IF(A404="","",IFERROR(SMALL(IF((('KG1-1'!$AD29:$IM29="غياب بدون عذر")+('KG1-1'!$AD29:$IM29="غياب بعذر"))*('KG1-1'!$AD$7:$IM$7="✓"),'KG1-1'!$AD$5:$IM$5),3),""))</f>
        <v/>
      </c>
      <c r="E404">
        <f>IF(D404="","",INDEX('KG1-1'!$AD29:$IM29,MATCH(D404,'KG1-1'!$AD$5:$IM$5,0)))</f>
        <v/>
      </c>
      <c r="F404">
        <f>IF(D404="","",COUNTIFS('KG1-1'!$AD29:$IM29,"غياب بدون عذر",'KG1-1'!$AD$7:$IM$7,"✓",'KG1-1'!$AD$5:$IM$5,"&lt;="&amp;D404))</f>
        <v/>
      </c>
      <c r="G404">
        <f>G403+IF(D404="",0,1)</f>
        <v/>
      </c>
    </row>
    <row r="405">
      <c r="A405">
        <f>IF('KG1-1'!$B29="","",'KG1-1'!$B29)</f>
        <v/>
      </c>
      <c r="B405">
        <f>IF(A405="","",'KG1-1'!$C29)</f>
        <v/>
      </c>
      <c r="C405">
        <f>IF(A405="","",'KG1-1'!$B$2)</f>
        <v/>
      </c>
      <c r="D405" s="126">
        <f t="array" ref="D405">IF(A405="","",IFERROR(SMALL(IF((('KG1-1'!$AD29:$IM29="غياب بدون عذر")+('KG1-1'!$AD29:$IM29="غياب بعذر"))*('KG1-1'!$AD$7:$IM$7="✓"),'KG1-1'!$AD$5:$IM$5),4),""))</f>
        <v/>
      </c>
      <c r="E405">
        <f>IF(D405="","",INDEX('KG1-1'!$AD29:$IM29,MATCH(D405,'KG1-1'!$AD$5:$IM$5,0)))</f>
        <v/>
      </c>
      <c r="F405">
        <f>IF(D405="","",COUNTIFS('KG1-1'!$AD29:$IM29,"غياب بدون عذر",'KG1-1'!$AD$7:$IM$7,"✓",'KG1-1'!$AD$5:$IM$5,"&lt;="&amp;D405))</f>
        <v/>
      </c>
      <c r="G405">
        <f>G404+IF(D405="",0,1)</f>
        <v/>
      </c>
    </row>
    <row r="406">
      <c r="A406">
        <f>IF('KG1-1'!$B29="","",'KG1-1'!$B29)</f>
        <v/>
      </c>
      <c r="B406">
        <f>IF(A406="","",'KG1-1'!$C29)</f>
        <v/>
      </c>
      <c r="C406">
        <f>IF(A406="","",'KG1-1'!$B$2)</f>
        <v/>
      </c>
      <c r="D406" s="126">
        <f t="array" ref="D406">IF(A406="","",IFERROR(SMALL(IF((('KG1-1'!$AD29:$IM29="غياب بدون عذر")+('KG1-1'!$AD29:$IM29="غياب بعذر"))*('KG1-1'!$AD$7:$IM$7="✓"),'KG1-1'!$AD$5:$IM$5),5),""))</f>
        <v/>
      </c>
      <c r="E406">
        <f>IF(D406="","",INDEX('KG1-1'!$AD29:$IM29,MATCH(D406,'KG1-1'!$AD$5:$IM$5,0)))</f>
        <v/>
      </c>
      <c r="F406">
        <f>IF(D406="","",COUNTIFS('KG1-1'!$AD29:$IM29,"غياب بدون عذر",'KG1-1'!$AD$7:$IM$7,"✓",'KG1-1'!$AD$5:$IM$5,"&lt;="&amp;D406))</f>
        <v/>
      </c>
      <c r="G406">
        <f>G405+IF(D406="",0,1)</f>
        <v/>
      </c>
    </row>
    <row r="407">
      <c r="A407">
        <f>IF('KG1-1'!$B29="","",'KG1-1'!$B29)</f>
        <v/>
      </c>
      <c r="B407">
        <f>IF(A407="","",'KG1-1'!$C29)</f>
        <v/>
      </c>
      <c r="C407">
        <f>IF(A407="","",'KG1-1'!$B$2)</f>
        <v/>
      </c>
      <c r="D407" s="126">
        <f t="array" ref="D407">IF(A407="","",IFERROR(SMALL(IF((('KG1-1'!$AD29:$IM29="غياب بدون عذر")+('KG1-1'!$AD29:$IM29="غياب بعذر"))*('KG1-1'!$AD$7:$IM$7="✓"),'KG1-1'!$AD$5:$IM$5),6),""))</f>
        <v/>
      </c>
      <c r="E407">
        <f>IF(D407="","",INDEX('KG1-1'!$AD29:$IM29,MATCH(D407,'KG1-1'!$AD$5:$IM$5,0)))</f>
        <v/>
      </c>
      <c r="F407">
        <f>IF(D407="","",COUNTIFS('KG1-1'!$AD29:$IM29,"غياب بدون عذر",'KG1-1'!$AD$7:$IM$7,"✓",'KG1-1'!$AD$5:$IM$5,"&lt;="&amp;D407))</f>
        <v/>
      </c>
      <c r="G407">
        <f>G406+IF(D407="",0,1)</f>
        <v/>
      </c>
    </row>
    <row r="408">
      <c r="A408">
        <f>IF('KG1-1'!$B29="","",'KG1-1'!$B29)</f>
        <v/>
      </c>
      <c r="B408">
        <f>IF(A408="","",'KG1-1'!$C29)</f>
        <v/>
      </c>
      <c r="C408">
        <f>IF(A408="","",'KG1-1'!$B$2)</f>
        <v/>
      </c>
      <c r="D408" s="126">
        <f t="array" ref="D408">IF(A408="","",IFERROR(SMALL(IF((('KG1-1'!$AD29:$IM29="غياب بدون عذر")+('KG1-1'!$AD29:$IM29="غياب بعذر"))*('KG1-1'!$AD$7:$IM$7="✓"),'KG1-1'!$AD$5:$IM$5),7),""))</f>
        <v/>
      </c>
      <c r="E408">
        <f>IF(D408="","",INDEX('KG1-1'!$AD29:$IM29,MATCH(D408,'KG1-1'!$AD$5:$IM$5,0)))</f>
        <v/>
      </c>
      <c r="F408">
        <f>IF(D408="","",COUNTIFS('KG1-1'!$AD29:$IM29,"غياب بدون عذر",'KG1-1'!$AD$7:$IM$7,"✓",'KG1-1'!$AD$5:$IM$5,"&lt;="&amp;D408))</f>
        <v/>
      </c>
      <c r="G408">
        <f>G407+IF(D408="",0,1)</f>
        <v/>
      </c>
    </row>
    <row r="409">
      <c r="A409">
        <f>IF('KG1-1'!$B29="","",'KG1-1'!$B29)</f>
        <v/>
      </c>
      <c r="B409">
        <f>IF(A409="","",'KG1-1'!$C29)</f>
        <v/>
      </c>
      <c r="C409">
        <f>IF(A409="","",'KG1-1'!$B$2)</f>
        <v/>
      </c>
      <c r="D409" s="126">
        <f t="array" ref="D409">IF(A409="","",IFERROR(SMALL(IF((('KG1-1'!$AD29:$IM29="غياب بدون عذر")+('KG1-1'!$AD29:$IM29="غياب بعذر"))*('KG1-1'!$AD$7:$IM$7="✓"),'KG1-1'!$AD$5:$IM$5),8),""))</f>
        <v/>
      </c>
      <c r="E409">
        <f>IF(D409="","",INDEX('KG1-1'!$AD29:$IM29,MATCH(D409,'KG1-1'!$AD$5:$IM$5,0)))</f>
        <v/>
      </c>
      <c r="F409">
        <f>IF(D409="","",COUNTIFS('KG1-1'!$AD29:$IM29,"غياب بدون عذر",'KG1-1'!$AD$7:$IM$7,"✓",'KG1-1'!$AD$5:$IM$5,"&lt;="&amp;D409))</f>
        <v/>
      </c>
      <c r="G409">
        <f>G408+IF(D409="",0,1)</f>
        <v/>
      </c>
    </row>
    <row r="410">
      <c r="A410">
        <f>IF('KG1-1'!$B29="","",'KG1-1'!$B29)</f>
        <v/>
      </c>
      <c r="B410">
        <f>IF(A410="","",'KG1-1'!$C29)</f>
        <v/>
      </c>
      <c r="C410">
        <f>IF(A410="","",'KG1-1'!$B$2)</f>
        <v/>
      </c>
      <c r="D410" s="126">
        <f t="array" ref="D410">IF(A410="","",IFERROR(SMALL(IF((('KG1-1'!$AD29:$IM29="غياب بدون عذر")+('KG1-1'!$AD29:$IM29="غياب بعذر"))*('KG1-1'!$AD$7:$IM$7="✓"),'KG1-1'!$AD$5:$IM$5),9),""))</f>
        <v/>
      </c>
      <c r="E410">
        <f>IF(D410="","",INDEX('KG1-1'!$AD29:$IM29,MATCH(D410,'KG1-1'!$AD$5:$IM$5,0)))</f>
        <v/>
      </c>
      <c r="F410">
        <f>IF(D410="","",COUNTIFS('KG1-1'!$AD29:$IM29,"غياب بدون عذر",'KG1-1'!$AD$7:$IM$7,"✓",'KG1-1'!$AD$5:$IM$5,"&lt;="&amp;D410))</f>
        <v/>
      </c>
      <c r="G410">
        <f>G409+IF(D410="",0,1)</f>
        <v/>
      </c>
    </row>
    <row r="411">
      <c r="A411">
        <f>IF('KG1-1'!$B29="","",'KG1-1'!$B29)</f>
        <v/>
      </c>
      <c r="B411">
        <f>IF(A411="","",'KG1-1'!$C29)</f>
        <v/>
      </c>
      <c r="C411">
        <f>IF(A411="","",'KG1-1'!$B$2)</f>
        <v/>
      </c>
      <c r="D411" s="126">
        <f t="array" ref="D411">IF(A411="","",IFERROR(SMALL(IF((('KG1-1'!$AD29:$IM29="غياب بدون عذر")+('KG1-1'!$AD29:$IM29="غياب بعذر"))*('KG1-1'!$AD$7:$IM$7="✓"),'KG1-1'!$AD$5:$IM$5),10),""))</f>
        <v/>
      </c>
      <c r="E411">
        <f>IF(D411="","",INDEX('KG1-1'!$AD29:$IM29,MATCH(D411,'KG1-1'!$AD$5:$IM$5,0)))</f>
        <v/>
      </c>
      <c r="F411">
        <f>IF(D411="","",COUNTIFS('KG1-1'!$AD29:$IM29,"غياب بدون عذر",'KG1-1'!$AD$7:$IM$7,"✓",'KG1-1'!$AD$5:$IM$5,"&lt;="&amp;D411))</f>
        <v/>
      </c>
      <c r="G411">
        <f>G410+IF(D411="",0,1)</f>
        <v/>
      </c>
    </row>
    <row r="412">
      <c r="A412">
        <f>IF('KG1-1'!$B29="","",'KG1-1'!$B29)</f>
        <v/>
      </c>
      <c r="B412">
        <f>IF(A412="","",'KG1-1'!$C29)</f>
        <v/>
      </c>
      <c r="C412">
        <f>IF(A412="","",'KG1-1'!$B$2)</f>
        <v/>
      </c>
      <c r="D412" s="126">
        <f t="array" ref="D412">IF(A412="","",IFERROR(SMALL(IF((('KG1-1'!$AD29:$IM29="غياب بدون عذر")+('KG1-1'!$AD29:$IM29="غياب بعذر"))*('KG1-1'!$AD$7:$IM$7="✓"),'KG1-1'!$AD$5:$IM$5),11),""))</f>
        <v/>
      </c>
      <c r="E412">
        <f>IF(D412="","",INDEX('KG1-1'!$AD29:$IM29,MATCH(D412,'KG1-1'!$AD$5:$IM$5,0)))</f>
        <v/>
      </c>
      <c r="F412">
        <f>IF(D412="","",COUNTIFS('KG1-1'!$AD29:$IM29,"غياب بدون عذر",'KG1-1'!$AD$7:$IM$7,"✓",'KG1-1'!$AD$5:$IM$5,"&lt;="&amp;D412))</f>
        <v/>
      </c>
      <c r="G412">
        <f>G411+IF(D412="",0,1)</f>
        <v/>
      </c>
    </row>
    <row r="413">
      <c r="A413">
        <f>IF('KG1-1'!$B29="","",'KG1-1'!$B29)</f>
        <v/>
      </c>
      <c r="B413">
        <f>IF(A413="","",'KG1-1'!$C29)</f>
        <v/>
      </c>
      <c r="C413">
        <f>IF(A413="","",'KG1-1'!$B$2)</f>
        <v/>
      </c>
      <c r="D413" s="126">
        <f t="array" ref="D413">IF(A413="","",IFERROR(SMALL(IF((('KG1-1'!$AD29:$IM29="غياب بدون عذر")+('KG1-1'!$AD29:$IM29="غياب بعذر"))*('KG1-1'!$AD$7:$IM$7="✓"),'KG1-1'!$AD$5:$IM$5),12),""))</f>
        <v/>
      </c>
      <c r="E413">
        <f>IF(D413="","",INDEX('KG1-1'!$AD29:$IM29,MATCH(D413,'KG1-1'!$AD$5:$IM$5,0)))</f>
        <v/>
      </c>
      <c r="F413">
        <f>IF(D413="","",COUNTIFS('KG1-1'!$AD29:$IM29,"غياب بدون عذر",'KG1-1'!$AD$7:$IM$7,"✓",'KG1-1'!$AD$5:$IM$5,"&lt;="&amp;D413))</f>
        <v/>
      </c>
      <c r="G413">
        <f>G412+IF(D413="",0,1)</f>
        <v/>
      </c>
    </row>
    <row r="414">
      <c r="A414">
        <f>IF('KG1-1'!$B29="","",'KG1-1'!$B29)</f>
        <v/>
      </c>
      <c r="B414">
        <f>IF(A414="","",'KG1-1'!$C29)</f>
        <v/>
      </c>
      <c r="C414">
        <f>IF(A414="","",'KG1-1'!$B$2)</f>
        <v/>
      </c>
      <c r="D414" s="126">
        <f t="array" ref="D414">IF(A414="","",IFERROR(SMALL(IF((('KG1-1'!$AD29:$IM29="غياب بدون عذر")+('KG1-1'!$AD29:$IM29="غياب بعذر"))*('KG1-1'!$AD$7:$IM$7="✓"),'KG1-1'!$AD$5:$IM$5),13),""))</f>
        <v/>
      </c>
      <c r="E414">
        <f>IF(D414="","",INDEX('KG1-1'!$AD29:$IM29,MATCH(D414,'KG1-1'!$AD$5:$IM$5,0)))</f>
        <v/>
      </c>
      <c r="F414">
        <f>IF(D414="","",COUNTIFS('KG1-1'!$AD29:$IM29,"غياب بدون عذر",'KG1-1'!$AD$7:$IM$7,"✓",'KG1-1'!$AD$5:$IM$5,"&lt;="&amp;D414))</f>
        <v/>
      </c>
      <c r="G414">
        <f>G413+IF(D414="",0,1)</f>
        <v/>
      </c>
    </row>
    <row r="415">
      <c r="A415">
        <f>IF('KG1-1'!$B29="","",'KG1-1'!$B29)</f>
        <v/>
      </c>
      <c r="B415">
        <f>IF(A415="","",'KG1-1'!$C29)</f>
        <v/>
      </c>
      <c r="C415">
        <f>IF(A415="","",'KG1-1'!$B$2)</f>
        <v/>
      </c>
      <c r="D415" s="126">
        <f t="array" ref="D415">IF(A415="","",IFERROR(SMALL(IF((('KG1-1'!$AD29:$IM29="غياب بدون عذر")+('KG1-1'!$AD29:$IM29="غياب بعذر"))*('KG1-1'!$AD$7:$IM$7="✓"),'KG1-1'!$AD$5:$IM$5),14),""))</f>
        <v/>
      </c>
      <c r="E415">
        <f>IF(D415="","",INDEX('KG1-1'!$AD29:$IM29,MATCH(D415,'KG1-1'!$AD$5:$IM$5,0)))</f>
        <v/>
      </c>
      <c r="F415">
        <f>IF(D415="","",COUNTIFS('KG1-1'!$AD29:$IM29,"غياب بدون عذر",'KG1-1'!$AD$7:$IM$7,"✓",'KG1-1'!$AD$5:$IM$5,"&lt;="&amp;D415))</f>
        <v/>
      </c>
      <c r="G415">
        <f>G414+IF(D415="",0,1)</f>
        <v/>
      </c>
    </row>
    <row r="416">
      <c r="A416">
        <f>IF('KG1-1'!$B29="","",'KG1-1'!$B29)</f>
        <v/>
      </c>
      <c r="B416">
        <f>IF(A416="","",'KG1-1'!$C29)</f>
        <v/>
      </c>
      <c r="C416">
        <f>IF(A416="","",'KG1-1'!$B$2)</f>
        <v/>
      </c>
      <c r="D416" s="126">
        <f t="array" ref="D416">IF(A416="","",IFERROR(SMALL(IF((('KG1-1'!$AD29:$IM29="غياب بدون عذر")+('KG1-1'!$AD29:$IM29="غياب بعذر"))*('KG1-1'!$AD$7:$IM$7="✓"),'KG1-1'!$AD$5:$IM$5),15),""))</f>
        <v/>
      </c>
      <c r="E416">
        <f>IF(D416="","",INDEX('KG1-1'!$AD29:$IM29,MATCH(D416,'KG1-1'!$AD$5:$IM$5,0)))</f>
        <v/>
      </c>
      <c r="F416">
        <f>IF(D416="","",COUNTIFS('KG1-1'!$AD29:$IM29,"غياب بدون عذر",'KG1-1'!$AD$7:$IM$7,"✓",'KG1-1'!$AD$5:$IM$5,"&lt;="&amp;D416))</f>
        <v/>
      </c>
      <c r="G416">
        <f>G415+IF(D416="",0,1)</f>
        <v/>
      </c>
    </row>
    <row r="417">
      <c r="A417">
        <f>IF('KG1-1'!$B29="","",'KG1-1'!$B29)</f>
        <v/>
      </c>
      <c r="B417">
        <f>IF(A417="","",'KG1-1'!$C29)</f>
        <v/>
      </c>
      <c r="C417">
        <f>IF(A417="","",'KG1-1'!$B$2)</f>
        <v/>
      </c>
      <c r="D417" s="126">
        <f t="array" ref="D417">IF(A417="","",IFERROR(SMALL(IF((('KG1-1'!$AD29:$IM29="غياب بدون عذر")+('KG1-1'!$AD29:$IM29="غياب بعذر"))*('KG1-1'!$AD$7:$IM$7="✓"),'KG1-1'!$AD$5:$IM$5),16),""))</f>
        <v/>
      </c>
      <c r="E417">
        <f>IF(D417="","",INDEX('KG1-1'!$AD29:$IM29,MATCH(D417,'KG1-1'!$AD$5:$IM$5,0)))</f>
        <v/>
      </c>
      <c r="F417">
        <f>IF(D417="","",COUNTIFS('KG1-1'!$AD29:$IM29,"غياب بدون عذر",'KG1-1'!$AD$7:$IM$7,"✓",'KG1-1'!$AD$5:$IM$5,"&lt;="&amp;D417))</f>
        <v/>
      </c>
      <c r="G417">
        <f>G416+IF(D417="",0,1)</f>
        <v/>
      </c>
    </row>
    <row r="418">
      <c r="A418">
        <f>IF('KG1-1'!$B29="","",'KG1-1'!$B29)</f>
        <v/>
      </c>
      <c r="B418">
        <f>IF(A418="","",'KG1-1'!$C29)</f>
        <v/>
      </c>
      <c r="C418">
        <f>IF(A418="","",'KG1-1'!$B$2)</f>
        <v/>
      </c>
      <c r="D418" s="126">
        <f t="array" ref="D418">IF(A418="","",IFERROR(SMALL(IF((('KG1-1'!$AD29:$IM29="غياب بدون عذر")+('KG1-1'!$AD29:$IM29="غياب بعذر"))*('KG1-1'!$AD$7:$IM$7="✓"),'KG1-1'!$AD$5:$IM$5),17),""))</f>
        <v/>
      </c>
      <c r="E418">
        <f>IF(D418="","",INDEX('KG1-1'!$AD29:$IM29,MATCH(D418,'KG1-1'!$AD$5:$IM$5,0)))</f>
        <v/>
      </c>
      <c r="F418">
        <f>IF(D418="","",COUNTIFS('KG1-1'!$AD29:$IM29,"غياب بدون عذر",'KG1-1'!$AD$7:$IM$7,"✓",'KG1-1'!$AD$5:$IM$5,"&lt;="&amp;D418))</f>
        <v/>
      </c>
      <c r="G418">
        <f>G417+IF(D418="",0,1)</f>
        <v/>
      </c>
    </row>
    <row r="419">
      <c r="A419">
        <f>IF('KG1-1'!$B29="","",'KG1-1'!$B29)</f>
        <v/>
      </c>
      <c r="B419">
        <f>IF(A419="","",'KG1-1'!$C29)</f>
        <v/>
      </c>
      <c r="C419">
        <f>IF(A419="","",'KG1-1'!$B$2)</f>
        <v/>
      </c>
      <c r="D419" s="126">
        <f t="array" ref="D419">IF(A419="","",IFERROR(SMALL(IF((('KG1-1'!$AD29:$IM29="غياب بدون عذر")+('KG1-1'!$AD29:$IM29="غياب بعذر"))*('KG1-1'!$AD$7:$IM$7="✓"),'KG1-1'!$AD$5:$IM$5),18),""))</f>
        <v/>
      </c>
      <c r="E419">
        <f>IF(D419="","",INDEX('KG1-1'!$AD29:$IM29,MATCH(D419,'KG1-1'!$AD$5:$IM$5,0)))</f>
        <v/>
      </c>
      <c r="F419">
        <f>IF(D419="","",COUNTIFS('KG1-1'!$AD29:$IM29,"غياب بدون عذر",'KG1-1'!$AD$7:$IM$7,"✓",'KG1-1'!$AD$5:$IM$5,"&lt;="&amp;D419))</f>
        <v/>
      </c>
      <c r="G419">
        <f>G418+IF(D419="",0,1)</f>
        <v/>
      </c>
    </row>
    <row r="420">
      <c r="A420">
        <f>IF('KG1-1'!$B29="","",'KG1-1'!$B29)</f>
        <v/>
      </c>
      <c r="B420">
        <f>IF(A420="","",'KG1-1'!$C29)</f>
        <v/>
      </c>
      <c r="C420">
        <f>IF(A420="","",'KG1-1'!$B$2)</f>
        <v/>
      </c>
      <c r="D420" s="126">
        <f t="array" ref="D420">IF(A420="","",IFERROR(SMALL(IF((('KG1-1'!$AD29:$IM29="غياب بدون عذر")+('KG1-1'!$AD29:$IM29="غياب بعذر"))*('KG1-1'!$AD$7:$IM$7="✓"),'KG1-1'!$AD$5:$IM$5),19),""))</f>
        <v/>
      </c>
      <c r="E420">
        <f>IF(D420="","",INDEX('KG1-1'!$AD29:$IM29,MATCH(D420,'KG1-1'!$AD$5:$IM$5,0)))</f>
        <v/>
      </c>
      <c r="F420">
        <f>IF(D420="","",COUNTIFS('KG1-1'!$AD29:$IM29,"غياب بدون عذر",'KG1-1'!$AD$7:$IM$7,"✓",'KG1-1'!$AD$5:$IM$5,"&lt;="&amp;D420))</f>
        <v/>
      </c>
      <c r="G420">
        <f>G419+IF(D420="",0,1)</f>
        <v/>
      </c>
    </row>
    <row r="421">
      <c r="A421">
        <f>IF('KG1-1'!$B29="","",'KG1-1'!$B29)</f>
        <v/>
      </c>
      <c r="B421">
        <f>IF(A421="","",'KG1-1'!$C29)</f>
        <v/>
      </c>
      <c r="C421">
        <f>IF(A421="","",'KG1-1'!$B$2)</f>
        <v/>
      </c>
      <c r="D421" s="126">
        <f t="array" ref="D421">IF(A421="","",IFERROR(SMALL(IF((('KG1-1'!$AD29:$IM29="غياب بدون عذر")+('KG1-1'!$AD29:$IM29="غياب بعذر"))*('KG1-1'!$AD$7:$IM$7="✓"),'KG1-1'!$AD$5:$IM$5),20),""))</f>
        <v/>
      </c>
      <c r="E421">
        <f>IF(D421="","",INDEX('KG1-1'!$AD29:$IM29,MATCH(D421,'KG1-1'!$AD$5:$IM$5,0)))</f>
        <v/>
      </c>
      <c r="F421">
        <f>IF(D421="","",COUNTIFS('KG1-1'!$AD29:$IM29,"غياب بدون عذر",'KG1-1'!$AD$7:$IM$7,"✓",'KG1-1'!$AD$5:$IM$5,"&lt;="&amp;D421))</f>
        <v/>
      </c>
      <c r="G421">
        <f>G420+IF(D421="",0,1)</f>
        <v/>
      </c>
    </row>
    <row r="422">
      <c r="A422">
        <f>IF('KG1-1'!$B30="","",'KG1-1'!$B30)</f>
        <v/>
      </c>
      <c r="B422">
        <f>IF(A422="","",'KG1-1'!$C30)</f>
        <v/>
      </c>
      <c r="C422">
        <f>IF(A422="","",'KG1-1'!$B$2)</f>
        <v/>
      </c>
      <c r="D422" s="126">
        <f t="array" ref="D422">IF(A422="","",IFERROR(SMALL(IF((('KG1-1'!$AD30:$IM30="غياب بدون عذر")+('KG1-1'!$AD30:$IM30="غياب بعذر"))*('KG1-1'!$AD$7:$IM$7="✓"),'KG1-1'!$AD$5:$IM$5),1),""))</f>
        <v/>
      </c>
      <c r="E422">
        <f>IF(D422="","",INDEX('KG1-1'!$AD30:$IM30,MATCH(D422,'KG1-1'!$AD$5:$IM$5,0)))</f>
        <v/>
      </c>
      <c r="F422">
        <f>IF(D422="","",COUNTIFS('KG1-1'!$AD30:$IM30,"غياب بدون عذر",'KG1-1'!$AD$7:$IM$7,"✓",'KG1-1'!$AD$5:$IM$5,"&lt;="&amp;D422))</f>
        <v/>
      </c>
      <c r="G422">
        <f>G421+IF(D422="",0,1)</f>
        <v/>
      </c>
    </row>
    <row r="423">
      <c r="A423">
        <f>IF('KG1-1'!$B30="","",'KG1-1'!$B30)</f>
        <v/>
      </c>
      <c r="B423">
        <f>IF(A423="","",'KG1-1'!$C30)</f>
        <v/>
      </c>
      <c r="C423">
        <f>IF(A423="","",'KG1-1'!$B$2)</f>
        <v/>
      </c>
      <c r="D423" s="126">
        <f t="array" ref="D423">IF(A423="","",IFERROR(SMALL(IF((('KG1-1'!$AD30:$IM30="غياب بدون عذر")+('KG1-1'!$AD30:$IM30="غياب بعذر"))*('KG1-1'!$AD$7:$IM$7="✓"),'KG1-1'!$AD$5:$IM$5),2),""))</f>
        <v/>
      </c>
      <c r="E423">
        <f>IF(D423="","",INDEX('KG1-1'!$AD30:$IM30,MATCH(D423,'KG1-1'!$AD$5:$IM$5,0)))</f>
        <v/>
      </c>
      <c r="F423">
        <f>IF(D423="","",COUNTIFS('KG1-1'!$AD30:$IM30,"غياب بدون عذر",'KG1-1'!$AD$7:$IM$7,"✓",'KG1-1'!$AD$5:$IM$5,"&lt;="&amp;D423))</f>
        <v/>
      </c>
      <c r="G423">
        <f>G422+IF(D423="",0,1)</f>
        <v/>
      </c>
    </row>
    <row r="424">
      <c r="A424">
        <f>IF('KG1-1'!$B30="","",'KG1-1'!$B30)</f>
        <v/>
      </c>
      <c r="B424">
        <f>IF(A424="","",'KG1-1'!$C30)</f>
        <v/>
      </c>
      <c r="C424">
        <f>IF(A424="","",'KG1-1'!$B$2)</f>
        <v/>
      </c>
      <c r="D424" s="126">
        <f t="array" ref="D424">IF(A424="","",IFERROR(SMALL(IF((('KG1-1'!$AD30:$IM30="غياب بدون عذر")+('KG1-1'!$AD30:$IM30="غياب بعذر"))*('KG1-1'!$AD$7:$IM$7="✓"),'KG1-1'!$AD$5:$IM$5),3),""))</f>
        <v/>
      </c>
      <c r="E424">
        <f>IF(D424="","",INDEX('KG1-1'!$AD30:$IM30,MATCH(D424,'KG1-1'!$AD$5:$IM$5,0)))</f>
        <v/>
      </c>
      <c r="F424">
        <f>IF(D424="","",COUNTIFS('KG1-1'!$AD30:$IM30,"غياب بدون عذر",'KG1-1'!$AD$7:$IM$7,"✓",'KG1-1'!$AD$5:$IM$5,"&lt;="&amp;D424))</f>
        <v/>
      </c>
      <c r="G424">
        <f>G423+IF(D424="",0,1)</f>
        <v/>
      </c>
    </row>
    <row r="425">
      <c r="A425">
        <f>IF('KG1-1'!$B30="","",'KG1-1'!$B30)</f>
        <v/>
      </c>
      <c r="B425">
        <f>IF(A425="","",'KG1-1'!$C30)</f>
        <v/>
      </c>
      <c r="C425">
        <f>IF(A425="","",'KG1-1'!$B$2)</f>
        <v/>
      </c>
      <c r="D425" s="126">
        <f t="array" ref="D425">IF(A425="","",IFERROR(SMALL(IF((('KG1-1'!$AD30:$IM30="غياب بدون عذر")+('KG1-1'!$AD30:$IM30="غياب بعذر"))*('KG1-1'!$AD$7:$IM$7="✓"),'KG1-1'!$AD$5:$IM$5),4),""))</f>
        <v/>
      </c>
      <c r="E425">
        <f>IF(D425="","",INDEX('KG1-1'!$AD30:$IM30,MATCH(D425,'KG1-1'!$AD$5:$IM$5,0)))</f>
        <v/>
      </c>
      <c r="F425">
        <f>IF(D425="","",COUNTIFS('KG1-1'!$AD30:$IM30,"غياب بدون عذر",'KG1-1'!$AD$7:$IM$7,"✓",'KG1-1'!$AD$5:$IM$5,"&lt;="&amp;D425))</f>
        <v/>
      </c>
      <c r="G425">
        <f>G424+IF(D425="",0,1)</f>
        <v/>
      </c>
    </row>
    <row r="426">
      <c r="A426">
        <f>IF('KG1-1'!$B30="","",'KG1-1'!$B30)</f>
        <v/>
      </c>
      <c r="B426">
        <f>IF(A426="","",'KG1-1'!$C30)</f>
        <v/>
      </c>
      <c r="C426">
        <f>IF(A426="","",'KG1-1'!$B$2)</f>
        <v/>
      </c>
      <c r="D426" s="126">
        <f t="array" ref="D426">IF(A426="","",IFERROR(SMALL(IF((('KG1-1'!$AD30:$IM30="غياب بدون عذر")+('KG1-1'!$AD30:$IM30="غياب بعذر"))*('KG1-1'!$AD$7:$IM$7="✓"),'KG1-1'!$AD$5:$IM$5),5),""))</f>
        <v/>
      </c>
      <c r="E426">
        <f>IF(D426="","",INDEX('KG1-1'!$AD30:$IM30,MATCH(D426,'KG1-1'!$AD$5:$IM$5,0)))</f>
        <v/>
      </c>
      <c r="F426">
        <f>IF(D426="","",COUNTIFS('KG1-1'!$AD30:$IM30,"غياب بدون عذر",'KG1-1'!$AD$7:$IM$7,"✓",'KG1-1'!$AD$5:$IM$5,"&lt;="&amp;D426))</f>
        <v/>
      </c>
      <c r="G426">
        <f>G425+IF(D426="",0,1)</f>
        <v/>
      </c>
    </row>
    <row r="427">
      <c r="A427">
        <f>IF('KG1-1'!$B30="","",'KG1-1'!$B30)</f>
        <v/>
      </c>
      <c r="B427">
        <f>IF(A427="","",'KG1-1'!$C30)</f>
        <v/>
      </c>
      <c r="C427">
        <f>IF(A427="","",'KG1-1'!$B$2)</f>
        <v/>
      </c>
      <c r="D427" s="126">
        <f t="array" ref="D427">IF(A427="","",IFERROR(SMALL(IF((('KG1-1'!$AD30:$IM30="غياب بدون عذر")+('KG1-1'!$AD30:$IM30="غياب بعذر"))*('KG1-1'!$AD$7:$IM$7="✓"),'KG1-1'!$AD$5:$IM$5),6),""))</f>
        <v/>
      </c>
      <c r="E427">
        <f>IF(D427="","",INDEX('KG1-1'!$AD30:$IM30,MATCH(D427,'KG1-1'!$AD$5:$IM$5,0)))</f>
        <v/>
      </c>
      <c r="F427">
        <f>IF(D427="","",COUNTIFS('KG1-1'!$AD30:$IM30,"غياب بدون عذر",'KG1-1'!$AD$7:$IM$7,"✓",'KG1-1'!$AD$5:$IM$5,"&lt;="&amp;D427))</f>
        <v/>
      </c>
      <c r="G427">
        <f>G426+IF(D427="",0,1)</f>
        <v/>
      </c>
    </row>
    <row r="428">
      <c r="A428">
        <f>IF('KG1-1'!$B30="","",'KG1-1'!$B30)</f>
        <v/>
      </c>
      <c r="B428">
        <f>IF(A428="","",'KG1-1'!$C30)</f>
        <v/>
      </c>
      <c r="C428">
        <f>IF(A428="","",'KG1-1'!$B$2)</f>
        <v/>
      </c>
      <c r="D428" s="126">
        <f t="array" ref="D428">IF(A428="","",IFERROR(SMALL(IF((('KG1-1'!$AD30:$IM30="غياب بدون عذر")+('KG1-1'!$AD30:$IM30="غياب بعذر"))*('KG1-1'!$AD$7:$IM$7="✓"),'KG1-1'!$AD$5:$IM$5),7),""))</f>
        <v/>
      </c>
      <c r="E428">
        <f>IF(D428="","",INDEX('KG1-1'!$AD30:$IM30,MATCH(D428,'KG1-1'!$AD$5:$IM$5,0)))</f>
        <v/>
      </c>
      <c r="F428">
        <f>IF(D428="","",COUNTIFS('KG1-1'!$AD30:$IM30,"غياب بدون عذر",'KG1-1'!$AD$7:$IM$7,"✓",'KG1-1'!$AD$5:$IM$5,"&lt;="&amp;D428))</f>
        <v/>
      </c>
      <c r="G428">
        <f>G427+IF(D428="",0,1)</f>
        <v/>
      </c>
    </row>
    <row r="429">
      <c r="A429">
        <f>IF('KG1-1'!$B30="","",'KG1-1'!$B30)</f>
        <v/>
      </c>
      <c r="B429">
        <f>IF(A429="","",'KG1-1'!$C30)</f>
        <v/>
      </c>
      <c r="C429">
        <f>IF(A429="","",'KG1-1'!$B$2)</f>
        <v/>
      </c>
      <c r="D429" s="126">
        <f t="array" ref="D429">IF(A429="","",IFERROR(SMALL(IF((('KG1-1'!$AD30:$IM30="غياب بدون عذر")+('KG1-1'!$AD30:$IM30="غياب بعذر"))*('KG1-1'!$AD$7:$IM$7="✓"),'KG1-1'!$AD$5:$IM$5),8),""))</f>
        <v/>
      </c>
      <c r="E429">
        <f>IF(D429="","",INDEX('KG1-1'!$AD30:$IM30,MATCH(D429,'KG1-1'!$AD$5:$IM$5,0)))</f>
        <v/>
      </c>
      <c r="F429">
        <f>IF(D429="","",COUNTIFS('KG1-1'!$AD30:$IM30,"غياب بدون عذر",'KG1-1'!$AD$7:$IM$7,"✓",'KG1-1'!$AD$5:$IM$5,"&lt;="&amp;D429))</f>
        <v/>
      </c>
      <c r="G429">
        <f>G428+IF(D429="",0,1)</f>
        <v/>
      </c>
    </row>
    <row r="430">
      <c r="A430">
        <f>IF('KG1-1'!$B30="","",'KG1-1'!$B30)</f>
        <v/>
      </c>
      <c r="B430">
        <f>IF(A430="","",'KG1-1'!$C30)</f>
        <v/>
      </c>
      <c r="C430">
        <f>IF(A430="","",'KG1-1'!$B$2)</f>
        <v/>
      </c>
      <c r="D430" s="126">
        <f t="array" ref="D430">IF(A430="","",IFERROR(SMALL(IF((('KG1-1'!$AD30:$IM30="غياب بدون عذر")+('KG1-1'!$AD30:$IM30="غياب بعذر"))*('KG1-1'!$AD$7:$IM$7="✓"),'KG1-1'!$AD$5:$IM$5),9),""))</f>
        <v/>
      </c>
      <c r="E430">
        <f>IF(D430="","",INDEX('KG1-1'!$AD30:$IM30,MATCH(D430,'KG1-1'!$AD$5:$IM$5,0)))</f>
        <v/>
      </c>
      <c r="F430">
        <f>IF(D430="","",COUNTIFS('KG1-1'!$AD30:$IM30,"غياب بدون عذر",'KG1-1'!$AD$7:$IM$7,"✓",'KG1-1'!$AD$5:$IM$5,"&lt;="&amp;D430))</f>
        <v/>
      </c>
      <c r="G430">
        <f>G429+IF(D430="",0,1)</f>
        <v/>
      </c>
    </row>
    <row r="431">
      <c r="A431">
        <f>IF('KG1-1'!$B30="","",'KG1-1'!$B30)</f>
        <v/>
      </c>
      <c r="B431">
        <f>IF(A431="","",'KG1-1'!$C30)</f>
        <v/>
      </c>
      <c r="C431">
        <f>IF(A431="","",'KG1-1'!$B$2)</f>
        <v/>
      </c>
      <c r="D431" s="126">
        <f t="array" ref="D431">IF(A431="","",IFERROR(SMALL(IF((('KG1-1'!$AD30:$IM30="غياب بدون عذر")+('KG1-1'!$AD30:$IM30="غياب بعذر"))*('KG1-1'!$AD$7:$IM$7="✓"),'KG1-1'!$AD$5:$IM$5),10),""))</f>
        <v/>
      </c>
      <c r="E431">
        <f>IF(D431="","",INDEX('KG1-1'!$AD30:$IM30,MATCH(D431,'KG1-1'!$AD$5:$IM$5,0)))</f>
        <v/>
      </c>
      <c r="F431">
        <f>IF(D431="","",COUNTIFS('KG1-1'!$AD30:$IM30,"غياب بدون عذر",'KG1-1'!$AD$7:$IM$7,"✓",'KG1-1'!$AD$5:$IM$5,"&lt;="&amp;D431))</f>
        <v/>
      </c>
      <c r="G431">
        <f>G430+IF(D431="",0,1)</f>
        <v/>
      </c>
    </row>
    <row r="432">
      <c r="A432">
        <f>IF('KG1-1'!$B30="","",'KG1-1'!$B30)</f>
        <v/>
      </c>
      <c r="B432">
        <f>IF(A432="","",'KG1-1'!$C30)</f>
        <v/>
      </c>
      <c r="C432">
        <f>IF(A432="","",'KG1-1'!$B$2)</f>
        <v/>
      </c>
      <c r="D432" s="126">
        <f t="array" ref="D432">IF(A432="","",IFERROR(SMALL(IF((('KG1-1'!$AD30:$IM30="غياب بدون عذر")+('KG1-1'!$AD30:$IM30="غياب بعذر"))*('KG1-1'!$AD$7:$IM$7="✓"),'KG1-1'!$AD$5:$IM$5),11),""))</f>
        <v/>
      </c>
      <c r="E432">
        <f>IF(D432="","",INDEX('KG1-1'!$AD30:$IM30,MATCH(D432,'KG1-1'!$AD$5:$IM$5,0)))</f>
        <v/>
      </c>
      <c r="F432">
        <f>IF(D432="","",COUNTIFS('KG1-1'!$AD30:$IM30,"غياب بدون عذر",'KG1-1'!$AD$7:$IM$7,"✓",'KG1-1'!$AD$5:$IM$5,"&lt;="&amp;D432))</f>
        <v/>
      </c>
      <c r="G432">
        <f>G431+IF(D432="",0,1)</f>
        <v/>
      </c>
    </row>
    <row r="433">
      <c r="A433">
        <f>IF('KG1-1'!$B30="","",'KG1-1'!$B30)</f>
        <v/>
      </c>
      <c r="B433">
        <f>IF(A433="","",'KG1-1'!$C30)</f>
        <v/>
      </c>
      <c r="C433">
        <f>IF(A433="","",'KG1-1'!$B$2)</f>
        <v/>
      </c>
      <c r="D433" s="126">
        <f t="array" ref="D433">IF(A433="","",IFERROR(SMALL(IF((('KG1-1'!$AD30:$IM30="غياب بدون عذر")+('KG1-1'!$AD30:$IM30="غياب بعذر"))*('KG1-1'!$AD$7:$IM$7="✓"),'KG1-1'!$AD$5:$IM$5),12),""))</f>
        <v/>
      </c>
      <c r="E433">
        <f>IF(D433="","",INDEX('KG1-1'!$AD30:$IM30,MATCH(D433,'KG1-1'!$AD$5:$IM$5,0)))</f>
        <v/>
      </c>
      <c r="F433">
        <f>IF(D433="","",COUNTIFS('KG1-1'!$AD30:$IM30,"غياب بدون عذر",'KG1-1'!$AD$7:$IM$7,"✓",'KG1-1'!$AD$5:$IM$5,"&lt;="&amp;D433))</f>
        <v/>
      </c>
      <c r="G433">
        <f>G432+IF(D433="",0,1)</f>
        <v/>
      </c>
    </row>
    <row r="434">
      <c r="A434">
        <f>IF('KG1-1'!$B30="","",'KG1-1'!$B30)</f>
        <v/>
      </c>
      <c r="B434">
        <f>IF(A434="","",'KG1-1'!$C30)</f>
        <v/>
      </c>
      <c r="C434">
        <f>IF(A434="","",'KG1-1'!$B$2)</f>
        <v/>
      </c>
      <c r="D434" s="126">
        <f t="array" ref="D434">IF(A434="","",IFERROR(SMALL(IF((('KG1-1'!$AD30:$IM30="غياب بدون عذر")+('KG1-1'!$AD30:$IM30="غياب بعذر"))*('KG1-1'!$AD$7:$IM$7="✓"),'KG1-1'!$AD$5:$IM$5),13),""))</f>
        <v/>
      </c>
      <c r="E434">
        <f>IF(D434="","",INDEX('KG1-1'!$AD30:$IM30,MATCH(D434,'KG1-1'!$AD$5:$IM$5,0)))</f>
        <v/>
      </c>
      <c r="F434">
        <f>IF(D434="","",COUNTIFS('KG1-1'!$AD30:$IM30,"غياب بدون عذر",'KG1-1'!$AD$7:$IM$7,"✓",'KG1-1'!$AD$5:$IM$5,"&lt;="&amp;D434))</f>
        <v/>
      </c>
      <c r="G434">
        <f>G433+IF(D434="",0,1)</f>
        <v/>
      </c>
    </row>
    <row r="435">
      <c r="A435">
        <f>IF('KG1-1'!$B30="","",'KG1-1'!$B30)</f>
        <v/>
      </c>
      <c r="B435">
        <f>IF(A435="","",'KG1-1'!$C30)</f>
        <v/>
      </c>
      <c r="C435">
        <f>IF(A435="","",'KG1-1'!$B$2)</f>
        <v/>
      </c>
      <c r="D435" s="126">
        <f t="array" ref="D435">IF(A435="","",IFERROR(SMALL(IF((('KG1-1'!$AD30:$IM30="غياب بدون عذر")+('KG1-1'!$AD30:$IM30="غياب بعذر"))*('KG1-1'!$AD$7:$IM$7="✓"),'KG1-1'!$AD$5:$IM$5),14),""))</f>
        <v/>
      </c>
      <c r="E435">
        <f>IF(D435="","",INDEX('KG1-1'!$AD30:$IM30,MATCH(D435,'KG1-1'!$AD$5:$IM$5,0)))</f>
        <v/>
      </c>
      <c r="F435">
        <f>IF(D435="","",COUNTIFS('KG1-1'!$AD30:$IM30,"غياب بدون عذر",'KG1-1'!$AD$7:$IM$7,"✓",'KG1-1'!$AD$5:$IM$5,"&lt;="&amp;D435))</f>
        <v/>
      </c>
      <c r="G435">
        <f>G434+IF(D435="",0,1)</f>
        <v/>
      </c>
    </row>
    <row r="436">
      <c r="A436">
        <f>IF('KG1-1'!$B30="","",'KG1-1'!$B30)</f>
        <v/>
      </c>
      <c r="B436">
        <f>IF(A436="","",'KG1-1'!$C30)</f>
        <v/>
      </c>
      <c r="C436">
        <f>IF(A436="","",'KG1-1'!$B$2)</f>
        <v/>
      </c>
      <c r="D436" s="126">
        <f t="array" ref="D436">IF(A436="","",IFERROR(SMALL(IF((('KG1-1'!$AD30:$IM30="غياب بدون عذر")+('KG1-1'!$AD30:$IM30="غياب بعذر"))*('KG1-1'!$AD$7:$IM$7="✓"),'KG1-1'!$AD$5:$IM$5),15),""))</f>
        <v/>
      </c>
      <c r="E436">
        <f>IF(D436="","",INDEX('KG1-1'!$AD30:$IM30,MATCH(D436,'KG1-1'!$AD$5:$IM$5,0)))</f>
        <v/>
      </c>
      <c r="F436">
        <f>IF(D436="","",COUNTIFS('KG1-1'!$AD30:$IM30,"غياب بدون عذر",'KG1-1'!$AD$7:$IM$7,"✓",'KG1-1'!$AD$5:$IM$5,"&lt;="&amp;D436))</f>
        <v/>
      </c>
      <c r="G436">
        <f>G435+IF(D436="",0,1)</f>
        <v/>
      </c>
    </row>
    <row r="437">
      <c r="A437">
        <f>IF('KG1-1'!$B30="","",'KG1-1'!$B30)</f>
        <v/>
      </c>
      <c r="B437">
        <f>IF(A437="","",'KG1-1'!$C30)</f>
        <v/>
      </c>
      <c r="C437">
        <f>IF(A437="","",'KG1-1'!$B$2)</f>
        <v/>
      </c>
      <c r="D437" s="126">
        <f t="array" ref="D437">IF(A437="","",IFERROR(SMALL(IF((('KG1-1'!$AD30:$IM30="غياب بدون عذر")+('KG1-1'!$AD30:$IM30="غياب بعذر"))*('KG1-1'!$AD$7:$IM$7="✓"),'KG1-1'!$AD$5:$IM$5),16),""))</f>
        <v/>
      </c>
      <c r="E437">
        <f>IF(D437="","",INDEX('KG1-1'!$AD30:$IM30,MATCH(D437,'KG1-1'!$AD$5:$IM$5,0)))</f>
        <v/>
      </c>
      <c r="F437">
        <f>IF(D437="","",COUNTIFS('KG1-1'!$AD30:$IM30,"غياب بدون عذر",'KG1-1'!$AD$7:$IM$7,"✓",'KG1-1'!$AD$5:$IM$5,"&lt;="&amp;D437))</f>
        <v/>
      </c>
      <c r="G437">
        <f>G436+IF(D437="",0,1)</f>
        <v/>
      </c>
    </row>
    <row r="438">
      <c r="A438">
        <f>IF('KG1-1'!$B30="","",'KG1-1'!$B30)</f>
        <v/>
      </c>
      <c r="B438">
        <f>IF(A438="","",'KG1-1'!$C30)</f>
        <v/>
      </c>
      <c r="C438">
        <f>IF(A438="","",'KG1-1'!$B$2)</f>
        <v/>
      </c>
      <c r="D438" s="126">
        <f t="array" ref="D438">IF(A438="","",IFERROR(SMALL(IF((('KG1-1'!$AD30:$IM30="غياب بدون عذر")+('KG1-1'!$AD30:$IM30="غياب بعذر"))*('KG1-1'!$AD$7:$IM$7="✓"),'KG1-1'!$AD$5:$IM$5),17),""))</f>
        <v/>
      </c>
      <c r="E438">
        <f>IF(D438="","",INDEX('KG1-1'!$AD30:$IM30,MATCH(D438,'KG1-1'!$AD$5:$IM$5,0)))</f>
        <v/>
      </c>
      <c r="F438">
        <f>IF(D438="","",COUNTIFS('KG1-1'!$AD30:$IM30,"غياب بدون عذر",'KG1-1'!$AD$7:$IM$7,"✓",'KG1-1'!$AD$5:$IM$5,"&lt;="&amp;D438))</f>
        <v/>
      </c>
      <c r="G438">
        <f>G437+IF(D438="",0,1)</f>
        <v/>
      </c>
    </row>
    <row r="439">
      <c r="A439">
        <f>IF('KG1-1'!$B30="","",'KG1-1'!$B30)</f>
        <v/>
      </c>
      <c r="B439">
        <f>IF(A439="","",'KG1-1'!$C30)</f>
        <v/>
      </c>
      <c r="C439">
        <f>IF(A439="","",'KG1-1'!$B$2)</f>
        <v/>
      </c>
      <c r="D439" s="126">
        <f t="array" ref="D439">IF(A439="","",IFERROR(SMALL(IF((('KG1-1'!$AD30:$IM30="غياب بدون عذر")+('KG1-1'!$AD30:$IM30="غياب بعذر"))*('KG1-1'!$AD$7:$IM$7="✓"),'KG1-1'!$AD$5:$IM$5),18),""))</f>
        <v/>
      </c>
      <c r="E439">
        <f>IF(D439="","",INDEX('KG1-1'!$AD30:$IM30,MATCH(D439,'KG1-1'!$AD$5:$IM$5,0)))</f>
        <v/>
      </c>
      <c r="F439">
        <f>IF(D439="","",COUNTIFS('KG1-1'!$AD30:$IM30,"غياب بدون عذر",'KG1-1'!$AD$7:$IM$7,"✓",'KG1-1'!$AD$5:$IM$5,"&lt;="&amp;D439))</f>
        <v/>
      </c>
      <c r="G439">
        <f>G438+IF(D439="",0,1)</f>
        <v/>
      </c>
    </row>
    <row r="440">
      <c r="A440">
        <f>IF('KG1-1'!$B30="","",'KG1-1'!$B30)</f>
        <v/>
      </c>
      <c r="B440">
        <f>IF(A440="","",'KG1-1'!$C30)</f>
        <v/>
      </c>
      <c r="C440">
        <f>IF(A440="","",'KG1-1'!$B$2)</f>
        <v/>
      </c>
      <c r="D440" s="126">
        <f t="array" ref="D440">IF(A440="","",IFERROR(SMALL(IF((('KG1-1'!$AD30:$IM30="غياب بدون عذر")+('KG1-1'!$AD30:$IM30="غياب بعذر"))*('KG1-1'!$AD$7:$IM$7="✓"),'KG1-1'!$AD$5:$IM$5),19),""))</f>
        <v/>
      </c>
      <c r="E440">
        <f>IF(D440="","",INDEX('KG1-1'!$AD30:$IM30,MATCH(D440,'KG1-1'!$AD$5:$IM$5,0)))</f>
        <v/>
      </c>
      <c r="F440">
        <f>IF(D440="","",COUNTIFS('KG1-1'!$AD30:$IM30,"غياب بدون عذر",'KG1-1'!$AD$7:$IM$7,"✓",'KG1-1'!$AD$5:$IM$5,"&lt;="&amp;D440))</f>
        <v/>
      </c>
      <c r="G440">
        <f>G439+IF(D440="",0,1)</f>
        <v/>
      </c>
    </row>
    <row r="441">
      <c r="A441">
        <f>IF('KG1-1'!$B30="","",'KG1-1'!$B30)</f>
        <v/>
      </c>
      <c r="B441">
        <f>IF(A441="","",'KG1-1'!$C30)</f>
        <v/>
      </c>
      <c r="C441">
        <f>IF(A441="","",'KG1-1'!$B$2)</f>
        <v/>
      </c>
      <c r="D441" s="126">
        <f t="array" ref="D441">IF(A441="","",IFERROR(SMALL(IF((('KG1-1'!$AD30:$IM30="غياب بدون عذر")+('KG1-1'!$AD30:$IM30="غياب بعذر"))*('KG1-1'!$AD$7:$IM$7="✓"),'KG1-1'!$AD$5:$IM$5),20),""))</f>
        <v/>
      </c>
      <c r="E441">
        <f>IF(D441="","",INDEX('KG1-1'!$AD30:$IM30,MATCH(D441,'KG1-1'!$AD$5:$IM$5,0)))</f>
        <v/>
      </c>
      <c r="F441">
        <f>IF(D441="","",COUNTIFS('KG1-1'!$AD30:$IM30,"غياب بدون عذر",'KG1-1'!$AD$7:$IM$7,"✓",'KG1-1'!$AD$5:$IM$5,"&lt;="&amp;D441))</f>
        <v/>
      </c>
      <c r="G441">
        <f>G440+IF(D441="",0,1)</f>
        <v/>
      </c>
    </row>
    <row r="442">
      <c r="A442">
        <f>IF('KG1-1'!$B31="","",'KG1-1'!$B31)</f>
        <v/>
      </c>
      <c r="B442">
        <f>IF(A442="","",'KG1-1'!$C31)</f>
        <v/>
      </c>
      <c r="C442">
        <f>IF(A442="","",'KG1-1'!$B$2)</f>
        <v/>
      </c>
      <c r="D442" s="126">
        <f t="array" ref="D442">IF(A442="","",IFERROR(SMALL(IF((('KG1-1'!$AD31:$IM31="غياب بدون عذر")+('KG1-1'!$AD31:$IM31="غياب بعذر"))*('KG1-1'!$AD$7:$IM$7="✓"),'KG1-1'!$AD$5:$IM$5),1),""))</f>
        <v/>
      </c>
      <c r="E442">
        <f>IF(D442="","",INDEX('KG1-1'!$AD31:$IM31,MATCH(D442,'KG1-1'!$AD$5:$IM$5,0)))</f>
        <v/>
      </c>
      <c r="F442">
        <f>IF(D442="","",COUNTIFS('KG1-1'!$AD31:$IM31,"غياب بدون عذر",'KG1-1'!$AD$7:$IM$7,"✓",'KG1-1'!$AD$5:$IM$5,"&lt;="&amp;D442))</f>
        <v/>
      </c>
      <c r="G442">
        <f>G441+IF(D442="",0,1)</f>
        <v/>
      </c>
    </row>
    <row r="443">
      <c r="A443">
        <f>IF('KG1-1'!$B31="","",'KG1-1'!$B31)</f>
        <v/>
      </c>
      <c r="B443">
        <f>IF(A443="","",'KG1-1'!$C31)</f>
        <v/>
      </c>
      <c r="C443">
        <f>IF(A443="","",'KG1-1'!$B$2)</f>
        <v/>
      </c>
      <c r="D443" s="126">
        <f t="array" ref="D443">IF(A443="","",IFERROR(SMALL(IF((('KG1-1'!$AD31:$IM31="غياب بدون عذر")+('KG1-1'!$AD31:$IM31="غياب بعذر"))*('KG1-1'!$AD$7:$IM$7="✓"),'KG1-1'!$AD$5:$IM$5),2),""))</f>
        <v/>
      </c>
      <c r="E443">
        <f>IF(D443="","",INDEX('KG1-1'!$AD31:$IM31,MATCH(D443,'KG1-1'!$AD$5:$IM$5,0)))</f>
        <v/>
      </c>
      <c r="F443">
        <f>IF(D443="","",COUNTIFS('KG1-1'!$AD31:$IM31,"غياب بدون عذر",'KG1-1'!$AD$7:$IM$7,"✓",'KG1-1'!$AD$5:$IM$5,"&lt;="&amp;D443))</f>
        <v/>
      </c>
      <c r="G443">
        <f>G442+IF(D443="",0,1)</f>
        <v/>
      </c>
    </row>
    <row r="444">
      <c r="A444">
        <f>IF('KG1-1'!$B31="","",'KG1-1'!$B31)</f>
        <v/>
      </c>
      <c r="B444">
        <f>IF(A444="","",'KG1-1'!$C31)</f>
        <v/>
      </c>
      <c r="C444">
        <f>IF(A444="","",'KG1-1'!$B$2)</f>
        <v/>
      </c>
      <c r="D444" s="126">
        <f t="array" ref="D444">IF(A444="","",IFERROR(SMALL(IF((('KG1-1'!$AD31:$IM31="غياب بدون عذر")+('KG1-1'!$AD31:$IM31="غياب بعذر"))*('KG1-1'!$AD$7:$IM$7="✓"),'KG1-1'!$AD$5:$IM$5),3),""))</f>
        <v/>
      </c>
      <c r="E444">
        <f>IF(D444="","",INDEX('KG1-1'!$AD31:$IM31,MATCH(D444,'KG1-1'!$AD$5:$IM$5,0)))</f>
        <v/>
      </c>
      <c r="F444">
        <f>IF(D444="","",COUNTIFS('KG1-1'!$AD31:$IM31,"غياب بدون عذر",'KG1-1'!$AD$7:$IM$7,"✓",'KG1-1'!$AD$5:$IM$5,"&lt;="&amp;D444))</f>
        <v/>
      </c>
      <c r="G444">
        <f>G443+IF(D444="",0,1)</f>
        <v/>
      </c>
    </row>
    <row r="445">
      <c r="A445">
        <f>IF('KG1-1'!$B31="","",'KG1-1'!$B31)</f>
        <v/>
      </c>
      <c r="B445">
        <f>IF(A445="","",'KG1-1'!$C31)</f>
        <v/>
      </c>
      <c r="C445">
        <f>IF(A445="","",'KG1-1'!$B$2)</f>
        <v/>
      </c>
      <c r="D445" s="126">
        <f t="array" ref="D445">IF(A445="","",IFERROR(SMALL(IF((('KG1-1'!$AD31:$IM31="غياب بدون عذر")+('KG1-1'!$AD31:$IM31="غياب بعذر"))*('KG1-1'!$AD$7:$IM$7="✓"),'KG1-1'!$AD$5:$IM$5),4),""))</f>
        <v/>
      </c>
      <c r="E445">
        <f>IF(D445="","",INDEX('KG1-1'!$AD31:$IM31,MATCH(D445,'KG1-1'!$AD$5:$IM$5,0)))</f>
        <v/>
      </c>
      <c r="F445">
        <f>IF(D445="","",COUNTIFS('KG1-1'!$AD31:$IM31,"غياب بدون عذر",'KG1-1'!$AD$7:$IM$7,"✓",'KG1-1'!$AD$5:$IM$5,"&lt;="&amp;D445))</f>
        <v/>
      </c>
      <c r="G445">
        <f>G444+IF(D445="",0,1)</f>
        <v/>
      </c>
    </row>
    <row r="446">
      <c r="A446">
        <f>IF('KG1-1'!$B31="","",'KG1-1'!$B31)</f>
        <v/>
      </c>
      <c r="B446">
        <f>IF(A446="","",'KG1-1'!$C31)</f>
        <v/>
      </c>
      <c r="C446">
        <f>IF(A446="","",'KG1-1'!$B$2)</f>
        <v/>
      </c>
      <c r="D446" s="126">
        <f t="array" ref="D446">IF(A446="","",IFERROR(SMALL(IF((('KG1-1'!$AD31:$IM31="غياب بدون عذر")+('KG1-1'!$AD31:$IM31="غياب بعذر"))*('KG1-1'!$AD$7:$IM$7="✓"),'KG1-1'!$AD$5:$IM$5),5),""))</f>
        <v/>
      </c>
      <c r="E446">
        <f>IF(D446="","",INDEX('KG1-1'!$AD31:$IM31,MATCH(D446,'KG1-1'!$AD$5:$IM$5,0)))</f>
        <v/>
      </c>
      <c r="F446">
        <f>IF(D446="","",COUNTIFS('KG1-1'!$AD31:$IM31,"غياب بدون عذر",'KG1-1'!$AD$7:$IM$7,"✓",'KG1-1'!$AD$5:$IM$5,"&lt;="&amp;D446))</f>
        <v/>
      </c>
      <c r="G446">
        <f>G445+IF(D446="",0,1)</f>
        <v/>
      </c>
    </row>
    <row r="447">
      <c r="A447">
        <f>IF('KG1-1'!$B31="","",'KG1-1'!$B31)</f>
        <v/>
      </c>
      <c r="B447">
        <f>IF(A447="","",'KG1-1'!$C31)</f>
        <v/>
      </c>
      <c r="C447">
        <f>IF(A447="","",'KG1-1'!$B$2)</f>
        <v/>
      </c>
      <c r="D447" s="126">
        <f t="array" ref="D447">IF(A447="","",IFERROR(SMALL(IF((('KG1-1'!$AD31:$IM31="غياب بدون عذر")+('KG1-1'!$AD31:$IM31="غياب بعذر"))*('KG1-1'!$AD$7:$IM$7="✓"),'KG1-1'!$AD$5:$IM$5),6),""))</f>
        <v/>
      </c>
      <c r="E447">
        <f>IF(D447="","",INDEX('KG1-1'!$AD31:$IM31,MATCH(D447,'KG1-1'!$AD$5:$IM$5,0)))</f>
        <v/>
      </c>
      <c r="F447">
        <f>IF(D447="","",COUNTIFS('KG1-1'!$AD31:$IM31,"غياب بدون عذر",'KG1-1'!$AD$7:$IM$7,"✓",'KG1-1'!$AD$5:$IM$5,"&lt;="&amp;D447))</f>
        <v/>
      </c>
      <c r="G447">
        <f>G446+IF(D447="",0,1)</f>
        <v/>
      </c>
    </row>
    <row r="448">
      <c r="A448">
        <f>IF('KG1-1'!$B31="","",'KG1-1'!$B31)</f>
        <v/>
      </c>
      <c r="B448">
        <f>IF(A448="","",'KG1-1'!$C31)</f>
        <v/>
      </c>
      <c r="C448">
        <f>IF(A448="","",'KG1-1'!$B$2)</f>
        <v/>
      </c>
      <c r="D448" s="126">
        <f t="array" ref="D448">IF(A448="","",IFERROR(SMALL(IF((('KG1-1'!$AD31:$IM31="غياب بدون عذر")+('KG1-1'!$AD31:$IM31="غياب بعذر"))*('KG1-1'!$AD$7:$IM$7="✓"),'KG1-1'!$AD$5:$IM$5),7),""))</f>
        <v/>
      </c>
      <c r="E448">
        <f>IF(D448="","",INDEX('KG1-1'!$AD31:$IM31,MATCH(D448,'KG1-1'!$AD$5:$IM$5,0)))</f>
        <v/>
      </c>
      <c r="F448">
        <f>IF(D448="","",COUNTIFS('KG1-1'!$AD31:$IM31,"غياب بدون عذر",'KG1-1'!$AD$7:$IM$7,"✓",'KG1-1'!$AD$5:$IM$5,"&lt;="&amp;D448))</f>
        <v/>
      </c>
      <c r="G448">
        <f>G447+IF(D448="",0,1)</f>
        <v/>
      </c>
    </row>
    <row r="449">
      <c r="A449">
        <f>IF('KG1-1'!$B31="","",'KG1-1'!$B31)</f>
        <v/>
      </c>
      <c r="B449">
        <f>IF(A449="","",'KG1-1'!$C31)</f>
        <v/>
      </c>
      <c r="C449">
        <f>IF(A449="","",'KG1-1'!$B$2)</f>
        <v/>
      </c>
      <c r="D449" s="126">
        <f t="array" ref="D449">IF(A449="","",IFERROR(SMALL(IF((('KG1-1'!$AD31:$IM31="غياب بدون عذر")+('KG1-1'!$AD31:$IM31="غياب بعذر"))*('KG1-1'!$AD$7:$IM$7="✓"),'KG1-1'!$AD$5:$IM$5),8),""))</f>
        <v/>
      </c>
      <c r="E449">
        <f>IF(D449="","",INDEX('KG1-1'!$AD31:$IM31,MATCH(D449,'KG1-1'!$AD$5:$IM$5,0)))</f>
        <v/>
      </c>
      <c r="F449">
        <f>IF(D449="","",COUNTIFS('KG1-1'!$AD31:$IM31,"غياب بدون عذر",'KG1-1'!$AD$7:$IM$7,"✓",'KG1-1'!$AD$5:$IM$5,"&lt;="&amp;D449))</f>
        <v/>
      </c>
      <c r="G449">
        <f>G448+IF(D449="",0,1)</f>
        <v/>
      </c>
    </row>
    <row r="450">
      <c r="A450">
        <f>IF('KG1-1'!$B31="","",'KG1-1'!$B31)</f>
        <v/>
      </c>
      <c r="B450">
        <f>IF(A450="","",'KG1-1'!$C31)</f>
        <v/>
      </c>
      <c r="C450">
        <f>IF(A450="","",'KG1-1'!$B$2)</f>
        <v/>
      </c>
      <c r="D450" s="126">
        <f t="array" ref="D450">IF(A450="","",IFERROR(SMALL(IF((('KG1-1'!$AD31:$IM31="غياب بدون عذر")+('KG1-1'!$AD31:$IM31="غياب بعذر"))*('KG1-1'!$AD$7:$IM$7="✓"),'KG1-1'!$AD$5:$IM$5),9),""))</f>
        <v/>
      </c>
      <c r="E450">
        <f>IF(D450="","",INDEX('KG1-1'!$AD31:$IM31,MATCH(D450,'KG1-1'!$AD$5:$IM$5,0)))</f>
        <v/>
      </c>
      <c r="F450">
        <f>IF(D450="","",COUNTIFS('KG1-1'!$AD31:$IM31,"غياب بدون عذر",'KG1-1'!$AD$7:$IM$7,"✓",'KG1-1'!$AD$5:$IM$5,"&lt;="&amp;D450))</f>
        <v/>
      </c>
      <c r="G450">
        <f>G449+IF(D450="",0,1)</f>
        <v/>
      </c>
    </row>
    <row r="451">
      <c r="A451">
        <f>IF('KG1-1'!$B31="","",'KG1-1'!$B31)</f>
        <v/>
      </c>
      <c r="B451">
        <f>IF(A451="","",'KG1-1'!$C31)</f>
        <v/>
      </c>
      <c r="C451">
        <f>IF(A451="","",'KG1-1'!$B$2)</f>
        <v/>
      </c>
      <c r="D451" s="126">
        <f t="array" ref="D451">IF(A451="","",IFERROR(SMALL(IF((('KG1-1'!$AD31:$IM31="غياب بدون عذر")+('KG1-1'!$AD31:$IM31="غياب بعذر"))*('KG1-1'!$AD$7:$IM$7="✓"),'KG1-1'!$AD$5:$IM$5),10),""))</f>
        <v/>
      </c>
      <c r="E451">
        <f>IF(D451="","",INDEX('KG1-1'!$AD31:$IM31,MATCH(D451,'KG1-1'!$AD$5:$IM$5,0)))</f>
        <v/>
      </c>
      <c r="F451">
        <f>IF(D451="","",COUNTIFS('KG1-1'!$AD31:$IM31,"غياب بدون عذر",'KG1-1'!$AD$7:$IM$7,"✓",'KG1-1'!$AD$5:$IM$5,"&lt;="&amp;D451))</f>
        <v/>
      </c>
      <c r="G451">
        <f>G450+IF(D451="",0,1)</f>
        <v/>
      </c>
    </row>
    <row r="452">
      <c r="A452">
        <f>IF('KG1-1'!$B31="","",'KG1-1'!$B31)</f>
        <v/>
      </c>
      <c r="B452">
        <f>IF(A452="","",'KG1-1'!$C31)</f>
        <v/>
      </c>
      <c r="C452">
        <f>IF(A452="","",'KG1-1'!$B$2)</f>
        <v/>
      </c>
      <c r="D452" s="126">
        <f t="array" ref="D452">IF(A452="","",IFERROR(SMALL(IF((('KG1-1'!$AD31:$IM31="غياب بدون عذر")+('KG1-1'!$AD31:$IM31="غياب بعذر"))*('KG1-1'!$AD$7:$IM$7="✓"),'KG1-1'!$AD$5:$IM$5),11),""))</f>
        <v/>
      </c>
      <c r="E452">
        <f>IF(D452="","",INDEX('KG1-1'!$AD31:$IM31,MATCH(D452,'KG1-1'!$AD$5:$IM$5,0)))</f>
        <v/>
      </c>
      <c r="F452">
        <f>IF(D452="","",COUNTIFS('KG1-1'!$AD31:$IM31,"غياب بدون عذر",'KG1-1'!$AD$7:$IM$7,"✓",'KG1-1'!$AD$5:$IM$5,"&lt;="&amp;D452))</f>
        <v/>
      </c>
      <c r="G452">
        <f>G451+IF(D452="",0,1)</f>
        <v/>
      </c>
    </row>
    <row r="453">
      <c r="A453">
        <f>IF('KG1-1'!$B31="","",'KG1-1'!$B31)</f>
        <v/>
      </c>
      <c r="B453">
        <f>IF(A453="","",'KG1-1'!$C31)</f>
        <v/>
      </c>
      <c r="C453">
        <f>IF(A453="","",'KG1-1'!$B$2)</f>
        <v/>
      </c>
      <c r="D453" s="126">
        <f t="array" ref="D453">IF(A453="","",IFERROR(SMALL(IF((('KG1-1'!$AD31:$IM31="غياب بدون عذر")+('KG1-1'!$AD31:$IM31="غياب بعذر"))*('KG1-1'!$AD$7:$IM$7="✓"),'KG1-1'!$AD$5:$IM$5),12),""))</f>
        <v/>
      </c>
      <c r="E453">
        <f>IF(D453="","",INDEX('KG1-1'!$AD31:$IM31,MATCH(D453,'KG1-1'!$AD$5:$IM$5,0)))</f>
        <v/>
      </c>
      <c r="F453">
        <f>IF(D453="","",COUNTIFS('KG1-1'!$AD31:$IM31,"غياب بدون عذر",'KG1-1'!$AD$7:$IM$7,"✓",'KG1-1'!$AD$5:$IM$5,"&lt;="&amp;D453))</f>
        <v/>
      </c>
      <c r="G453">
        <f>G452+IF(D453="",0,1)</f>
        <v/>
      </c>
    </row>
    <row r="454">
      <c r="A454">
        <f>IF('KG1-1'!$B31="","",'KG1-1'!$B31)</f>
        <v/>
      </c>
      <c r="B454">
        <f>IF(A454="","",'KG1-1'!$C31)</f>
        <v/>
      </c>
      <c r="C454">
        <f>IF(A454="","",'KG1-1'!$B$2)</f>
        <v/>
      </c>
      <c r="D454" s="126">
        <f t="array" ref="D454">IF(A454="","",IFERROR(SMALL(IF((('KG1-1'!$AD31:$IM31="غياب بدون عذر")+('KG1-1'!$AD31:$IM31="غياب بعذر"))*('KG1-1'!$AD$7:$IM$7="✓"),'KG1-1'!$AD$5:$IM$5),13),""))</f>
        <v/>
      </c>
      <c r="E454">
        <f>IF(D454="","",INDEX('KG1-1'!$AD31:$IM31,MATCH(D454,'KG1-1'!$AD$5:$IM$5,0)))</f>
        <v/>
      </c>
      <c r="F454">
        <f>IF(D454="","",COUNTIFS('KG1-1'!$AD31:$IM31,"غياب بدون عذر",'KG1-1'!$AD$7:$IM$7,"✓",'KG1-1'!$AD$5:$IM$5,"&lt;="&amp;D454))</f>
        <v/>
      </c>
      <c r="G454">
        <f>G453+IF(D454="",0,1)</f>
        <v/>
      </c>
    </row>
    <row r="455">
      <c r="A455">
        <f>IF('KG1-1'!$B31="","",'KG1-1'!$B31)</f>
        <v/>
      </c>
      <c r="B455">
        <f>IF(A455="","",'KG1-1'!$C31)</f>
        <v/>
      </c>
      <c r="C455">
        <f>IF(A455="","",'KG1-1'!$B$2)</f>
        <v/>
      </c>
      <c r="D455" s="126">
        <f t="array" ref="D455">IF(A455="","",IFERROR(SMALL(IF((('KG1-1'!$AD31:$IM31="غياب بدون عذر")+('KG1-1'!$AD31:$IM31="غياب بعذر"))*('KG1-1'!$AD$7:$IM$7="✓"),'KG1-1'!$AD$5:$IM$5),14),""))</f>
        <v/>
      </c>
      <c r="E455">
        <f>IF(D455="","",INDEX('KG1-1'!$AD31:$IM31,MATCH(D455,'KG1-1'!$AD$5:$IM$5,0)))</f>
        <v/>
      </c>
      <c r="F455">
        <f>IF(D455="","",COUNTIFS('KG1-1'!$AD31:$IM31,"غياب بدون عذر",'KG1-1'!$AD$7:$IM$7,"✓",'KG1-1'!$AD$5:$IM$5,"&lt;="&amp;D455))</f>
        <v/>
      </c>
      <c r="G455">
        <f>G454+IF(D455="",0,1)</f>
        <v/>
      </c>
    </row>
    <row r="456">
      <c r="A456">
        <f>IF('KG1-1'!$B31="","",'KG1-1'!$B31)</f>
        <v/>
      </c>
      <c r="B456">
        <f>IF(A456="","",'KG1-1'!$C31)</f>
        <v/>
      </c>
      <c r="C456">
        <f>IF(A456="","",'KG1-1'!$B$2)</f>
        <v/>
      </c>
      <c r="D456" s="126">
        <f t="array" ref="D456">IF(A456="","",IFERROR(SMALL(IF((('KG1-1'!$AD31:$IM31="غياب بدون عذر")+('KG1-1'!$AD31:$IM31="غياب بعذر"))*('KG1-1'!$AD$7:$IM$7="✓"),'KG1-1'!$AD$5:$IM$5),15),""))</f>
        <v/>
      </c>
      <c r="E456">
        <f>IF(D456="","",INDEX('KG1-1'!$AD31:$IM31,MATCH(D456,'KG1-1'!$AD$5:$IM$5,0)))</f>
        <v/>
      </c>
      <c r="F456">
        <f>IF(D456="","",COUNTIFS('KG1-1'!$AD31:$IM31,"غياب بدون عذر",'KG1-1'!$AD$7:$IM$7,"✓",'KG1-1'!$AD$5:$IM$5,"&lt;="&amp;D456))</f>
        <v/>
      </c>
      <c r="G456">
        <f>G455+IF(D456="",0,1)</f>
        <v/>
      </c>
    </row>
    <row r="457">
      <c r="A457">
        <f>IF('KG1-1'!$B31="","",'KG1-1'!$B31)</f>
        <v/>
      </c>
      <c r="B457">
        <f>IF(A457="","",'KG1-1'!$C31)</f>
        <v/>
      </c>
      <c r="C457">
        <f>IF(A457="","",'KG1-1'!$B$2)</f>
        <v/>
      </c>
      <c r="D457" s="126">
        <f t="array" ref="D457">IF(A457="","",IFERROR(SMALL(IF((('KG1-1'!$AD31:$IM31="غياب بدون عذر")+('KG1-1'!$AD31:$IM31="غياب بعذر"))*('KG1-1'!$AD$7:$IM$7="✓"),'KG1-1'!$AD$5:$IM$5),16),""))</f>
        <v/>
      </c>
      <c r="E457">
        <f>IF(D457="","",INDEX('KG1-1'!$AD31:$IM31,MATCH(D457,'KG1-1'!$AD$5:$IM$5,0)))</f>
        <v/>
      </c>
      <c r="F457">
        <f>IF(D457="","",COUNTIFS('KG1-1'!$AD31:$IM31,"غياب بدون عذر",'KG1-1'!$AD$7:$IM$7,"✓",'KG1-1'!$AD$5:$IM$5,"&lt;="&amp;D457))</f>
        <v/>
      </c>
      <c r="G457">
        <f>G456+IF(D457="",0,1)</f>
        <v/>
      </c>
    </row>
    <row r="458">
      <c r="A458">
        <f>IF('KG1-1'!$B31="","",'KG1-1'!$B31)</f>
        <v/>
      </c>
      <c r="B458">
        <f>IF(A458="","",'KG1-1'!$C31)</f>
        <v/>
      </c>
      <c r="C458">
        <f>IF(A458="","",'KG1-1'!$B$2)</f>
        <v/>
      </c>
      <c r="D458" s="126">
        <f t="array" ref="D458">IF(A458="","",IFERROR(SMALL(IF((('KG1-1'!$AD31:$IM31="غياب بدون عذر")+('KG1-1'!$AD31:$IM31="غياب بعذر"))*('KG1-1'!$AD$7:$IM$7="✓"),'KG1-1'!$AD$5:$IM$5),17),""))</f>
        <v/>
      </c>
      <c r="E458">
        <f>IF(D458="","",INDEX('KG1-1'!$AD31:$IM31,MATCH(D458,'KG1-1'!$AD$5:$IM$5,0)))</f>
        <v/>
      </c>
      <c r="F458">
        <f>IF(D458="","",COUNTIFS('KG1-1'!$AD31:$IM31,"غياب بدون عذر",'KG1-1'!$AD$7:$IM$7,"✓",'KG1-1'!$AD$5:$IM$5,"&lt;="&amp;D458))</f>
        <v/>
      </c>
      <c r="G458">
        <f>G457+IF(D458="",0,1)</f>
        <v/>
      </c>
    </row>
    <row r="459">
      <c r="A459">
        <f>IF('KG1-1'!$B31="","",'KG1-1'!$B31)</f>
        <v/>
      </c>
      <c r="B459">
        <f>IF(A459="","",'KG1-1'!$C31)</f>
        <v/>
      </c>
      <c r="C459">
        <f>IF(A459="","",'KG1-1'!$B$2)</f>
        <v/>
      </c>
      <c r="D459" s="126">
        <f t="array" ref="D459">IF(A459="","",IFERROR(SMALL(IF((('KG1-1'!$AD31:$IM31="غياب بدون عذر")+('KG1-1'!$AD31:$IM31="غياب بعذر"))*('KG1-1'!$AD$7:$IM$7="✓"),'KG1-1'!$AD$5:$IM$5),18),""))</f>
        <v/>
      </c>
      <c r="E459">
        <f>IF(D459="","",INDEX('KG1-1'!$AD31:$IM31,MATCH(D459,'KG1-1'!$AD$5:$IM$5,0)))</f>
        <v/>
      </c>
      <c r="F459">
        <f>IF(D459="","",COUNTIFS('KG1-1'!$AD31:$IM31,"غياب بدون عذر",'KG1-1'!$AD$7:$IM$7,"✓",'KG1-1'!$AD$5:$IM$5,"&lt;="&amp;D459))</f>
        <v/>
      </c>
      <c r="G459">
        <f>G458+IF(D459="",0,1)</f>
        <v/>
      </c>
    </row>
    <row r="460">
      <c r="A460">
        <f>IF('KG1-1'!$B31="","",'KG1-1'!$B31)</f>
        <v/>
      </c>
      <c r="B460">
        <f>IF(A460="","",'KG1-1'!$C31)</f>
        <v/>
      </c>
      <c r="C460">
        <f>IF(A460="","",'KG1-1'!$B$2)</f>
        <v/>
      </c>
      <c r="D460" s="126">
        <f t="array" ref="D460">IF(A460="","",IFERROR(SMALL(IF((('KG1-1'!$AD31:$IM31="غياب بدون عذر")+('KG1-1'!$AD31:$IM31="غياب بعذر"))*('KG1-1'!$AD$7:$IM$7="✓"),'KG1-1'!$AD$5:$IM$5),19),""))</f>
        <v/>
      </c>
      <c r="E460">
        <f>IF(D460="","",INDEX('KG1-1'!$AD31:$IM31,MATCH(D460,'KG1-1'!$AD$5:$IM$5,0)))</f>
        <v/>
      </c>
      <c r="F460">
        <f>IF(D460="","",COUNTIFS('KG1-1'!$AD31:$IM31,"غياب بدون عذر",'KG1-1'!$AD$7:$IM$7,"✓",'KG1-1'!$AD$5:$IM$5,"&lt;="&amp;D460))</f>
        <v/>
      </c>
      <c r="G460">
        <f>G459+IF(D460="",0,1)</f>
        <v/>
      </c>
    </row>
    <row r="461">
      <c r="A461">
        <f>IF('KG1-1'!$B31="","",'KG1-1'!$B31)</f>
        <v/>
      </c>
      <c r="B461">
        <f>IF(A461="","",'KG1-1'!$C31)</f>
        <v/>
      </c>
      <c r="C461">
        <f>IF(A461="","",'KG1-1'!$B$2)</f>
        <v/>
      </c>
      <c r="D461" s="126">
        <f t="array" ref="D461">IF(A461="","",IFERROR(SMALL(IF((('KG1-1'!$AD31:$IM31="غياب بدون عذر")+('KG1-1'!$AD31:$IM31="غياب بعذر"))*('KG1-1'!$AD$7:$IM$7="✓"),'KG1-1'!$AD$5:$IM$5),20),""))</f>
        <v/>
      </c>
      <c r="E461">
        <f>IF(D461="","",INDEX('KG1-1'!$AD31:$IM31,MATCH(D461,'KG1-1'!$AD$5:$IM$5,0)))</f>
        <v/>
      </c>
      <c r="F461">
        <f>IF(D461="","",COUNTIFS('KG1-1'!$AD31:$IM31,"غياب بدون عذر",'KG1-1'!$AD$7:$IM$7,"✓",'KG1-1'!$AD$5:$IM$5,"&lt;="&amp;D461))</f>
        <v/>
      </c>
      <c r="G461">
        <f>G460+IF(D461="",0,1)</f>
        <v/>
      </c>
    </row>
    <row r="462">
      <c r="A462">
        <f>IF('KG1-1'!$B32="","",'KG1-1'!$B32)</f>
        <v/>
      </c>
      <c r="B462">
        <f>IF(A462="","",'KG1-1'!$C32)</f>
        <v/>
      </c>
      <c r="C462">
        <f>IF(A462="","",'KG1-1'!$B$2)</f>
        <v/>
      </c>
      <c r="D462" s="126">
        <f t="array" ref="D462">IF(A462="","",IFERROR(SMALL(IF((('KG1-1'!$AD32:$IM32="غياب بدون عذر")+('KG1-1'!$AD32:$IM32="غياب بعذر"))*('KG1-1'!$AD$7:$IM$7="✓"),'KG1-1'!$AD$5:$IM$5),1),""))</f>
        <v/>
      </c>
      <c r="E462">
        <f>IF(D462="","",INDEX('KG1-1'!$AD32:$IM32,MATCH(D462,'KG1-1'!$AD$5:$IM$5,0)))</f>
        <v/>
      </c>
      <c r="F462">
        <f>IF(D462="","",COUNTIFS('KG1-1'!$AD32:$IM32,"غياب بدون عذر",'KG1-1'!$AD$7:$IM$7,"✓",'KG1-1'!$AD$5:$IM$5,"&lt;="&amp;D462))</f>
        <v/>
      </c>
      <c r="G462">
        <f>G461+IF(D462="",0,1)</f>
        <v/>
      </c>
    </row>
    <row r="463">
      <c r="A463">
        <f>IF('KG1-1'!$B32="","",'KG1-1'!$B32)</f>
        <v/>
      </c>
      <c r="B463">
        <f>IF(A463="","",'KG1-1'!$C32)</f>
        <v/>
      </c>
      <c r="C463">
        <f>IF(A463="","",'KG1-1'!$B$2)</f>
        <v/>
      </c>
      <c r="D463" s="126">
        <f t="array" ref="D463">IF(A463="","",IFERROR(SMALL(IF((('KG1-1'!$AD32:$IM32="غياب بدون عذر")+('KG1-1'!$AD32:$IM32="غياب بعذر"))*('KG1-1'!$AD$7:$IM$7="✓"),'KG1-1'!$AD$5:$IM$5),2),""))</f>
        <v/>
      </c>
      <c r="E463">
        <f>IF(D463="","",INDEX('KG1-1'!$AD32:$IM32,MATCH(D463,'KG1-1'!$AD$5:$IM$5,0)))</f>
        <v/>
      </c>
      <c r="F463">
        <f>IF(D463="","",COUNTIFS('KG1-1'!$AD32:$IM32,"غياب بدون عذر",'KG1-1'!$AD$7:$IM$7,"✓",'KG1-1'!$AD$5:$IM$5,"&lt;="&amp;D463))</f>
        <v/>
      </c>
      <c r="G463">
        <f>G462+IF(D463="",0,1)</f>
        <v/>
      </c>
    </row>
    <row r="464">
      <c r="A464">
        <f>IF('KG1-1'!$B32="","",'KG1-1'!$B32)</f>
        <v/>
      </c>
      <c r="B464">
        <f>IF(A464="","",'KG1-1'!$C32)</f>
        <v/>
      </c>
      <c r="C464">
        <f>IF(A464="","",'KG1-1'!$B$2)</f>
        <v/>
      </c>
      <c r="D464" s="126">
        <f t="array" ref="D464">IF(A464="","",IFERROR(SMALL(IF((('KG1-1'!$AD32:$IM32="غياب بدون عذر")+('KG1-1'!$AD32:$IM32="غياب بعذر"))*('KG1-1'!$AD$7:$IM$7="✓"),'KG1-1'!$AD$5:$IM$5),3),""))</f>
        <v/>
      </c>
      <c r="E464">
        <f>IF(D464="","",INDEX('KG1-1'!$AD32:$IM32,MATCH(D464,'KG1-1'!$AD$5:$IM$5,0)))</f>
        <v/>
      </c>
      <c r="F464">
        <f>IF(D464="","",COUNTIFS('KG1-1'!$AD32:$IM32,"غياب بدون عذر",'KG1-1'!$AD$7:$IM$7,"✓",'KG1-1'!$AD$5:$IM$5,"&lt;="&amp;D464))</f>
        <v/>
      </c>
      <c r="G464">
        <f>G463+IF(D464="",0,1)</f>
        <v/>
      </c>
    </row>
    <row r="465">
      <c r="A465">
        <f>IF('KG1-1'!$B32="","",'KG1-1'!$B32)</f>
        <v/>
      </c>
      <c r="B465">
        <f>IF(A465="","",'KG1-1'!$C32)</f>
        <v/>
      </c>
      <c r="C465">
        <f>IF(A465="","",'KG1-1'!$B$2)</f>
        <v/>
      </c>
      <c r="D465" s="126">
        <f t="array" ref="D465">IF(A465="","",IFERROR(SMALL(IF((('KG1-1'!$AD32:$IM32="غياب بدون عذر")+('KG1-1'!$AD32:$IM32="غياب بعذر"))*('KG1-1'!$AD$7:$IM$7="✓"),'KG1-1'!$AD$5:$IM$5),4),""))</f>
        <v/>
      </c>
      <c r="E465">
        <f>IF(D465="","",INDEX('KG1-1'!$AD32:$IM32,MATCH(D465,'KG1-1'!$AD$5:$IM$5,0)))</f>
        <v/>
      </c>
      <c r="F465">
        <f>IF(D465="","",COUNTIFS('KG1-1'!$AD32:$IM32,"غياب بدون عذر",'KG1-1'!$AD$7:$IM$7,"✓",'KG1-1'!$AD$5:$IM$5,"&lt;="&amp;D465))</f>
        <v/>
      </c>
      <c r="G465">
        <f>G464+IF(D465="",0,1)</f>
        <v/>
      </c>
    </row>
    <row r="466">
      <c r="A466">
        <f>IF('KG1-1'!$B32="","",'KG1-1'!$B32)</f>
        <v/>
      </c>
      <c r="B466">
        <f>IF(A466="","",'KG1-1'!$C32)</f>
        <v/>
      </c>
      <c r="C466">
        <f>IF(A466="","",'KG1-1'!$B$2)</f>
        <v/>
      </c>
      <c r="D466" s="126">
        <f t="array" ref="D466">IF(A466="","",IFERROR(SMALL(IF((('KG1-1'!$AD32:$IM32="غياب بدون عذر")+('KG1-1'!$AD32:$IM32="غياب بعذر"))*('KG1-1'!$AD$7:$IM$7="✓"),'KG1-1'!$AD$5:$IM$5),5),""))</f>
        <v/>
      </c>
      <c r="E466">
        <f>IF(D466="","",INDEX('KG1-1'!$AD32:$IM32,MATCH(D466,'KG1-1'!$AD$5:$IM$5,0)))</f>
        <v/>
      </c>
      <c r="F466">
        <f>IF(D466="","",COUNTIFS('KG1-1'!$AD32:$IM32,"غياب بدون عذر",'KG1-1'!$AD$7:$IM$7,"✓",'KG1-1'!$AD$5:$IM$5,"&lt;="&amp;D466))</f>
        <v/>
      </c>
      <c r="G466">
        <f>G465+IF(D466="",0,1)</f>
        <v/>
      </c>
    </row>
    <row r="467">
      <c r="A467">
        <f>IF('KG1-1'!$B32="","",'KG1-1'!$B32)</f>
        <v/>
      </c>
      <c r="B467">
        <f>IF(A467="","",'KG1-1'!$C32)</f>
        <v/>
      </c>
      <c r="C467">
        <f>IF(A467="","",'KG1-1'!$B$2)</f>
        <v/>
      </c>
      <c r="D467" s="126">
        <f t="array" ref="D467">IF(A467="","",IFERROR(SMALL(IF((('KG1-1'!$AD32:$IM32="غياب بدون عذر")+('KG1-1'!$AD32:$IM32="غياب بعذر"))*('KG1-1'!$AD$7:$IM$7="✓"),'KG1-1'!$AD$5:$IM$5),6),""))</f>
        <v/>
      </c>
      <c r="E467">
        <f>IF(D467="","",INDEX('KG1-1'!$AD32:$IM32,MATCH(D467,'KG1-1'!$AD$5:$IM$5,0)))</f>
        <v/>
      </c>
      <c r="F467">
        <f>IF(D467="","",COUNTIFS('KG1-1'!$AD32:$IM32,"غياب بدون عذر",'KG1-1'!$AD$7:$IM$7,"✓",'KG1-1'!$AD$5:$IM$5,"&lt;="&amp;D467))</f>
        <v/>
      </c>
      <c r="G467">
        <f>G466+IF(D467="",0,1)</f>
        <v/>
      </c>
    </row>
    <row r="468">
      <c r="A468">
        <f>IF('KG1-1'!$B32="","",'KG1-1'!$B32)</f>
        <v/>
      </c>
      <c r="B468">
        <f>IF(A468="","",'KG1-1'!$C32)</f>
        <v/>
      </c>
      <c r="C468">
        <f>IF(A468="","",'KG1-1'!$B$2)</f>
        <v/>
      </c>
      <c r="D468" s="126">
        <f t="array" ref="D468">IF(A468="","",IFERROR(SMALL(IF((('KG1-1'!$AD32:$IM32="غياب بدون عذر")+('KG1-1'!$AD32:$IM32="غياب بعذر"))*('KG1-1'!$AD$7:$IM$7="✓"),'KG1-1'!$AD$5:$IM$5),7),""))</f>
        <v/>
      </c>
      <c r="E468">
        <f>IF(D468="","",INDEX('KG1-1'!$AD32:$IM32,MATCH(D468,'KG1-1'!$AD$5:$IM$5,0)))</f>
        <v/>
      </c>
      <c r="F468">
        <f>IF(D468="","",COUNTIFS('KG1-1'!$AD32:$IM32,"غياب بدون عذر",'KG1-1'!$AD$7:$IM$7,"✓",'KG1-1'!$AD$5:$IM$5,"&lt;="&amp;D468))</f>
        <v/>
      </c>
      <c r="G468">
        <f>G467+IF(D468="",0,1)</f>
        <v/>
      </c>
    </row>
    <row r="469">
      <c r="A469">
        <f>IF('KG1-1'!$B32="","",'KG1-1'!$B32)</f>
        <v/>
      </c>
      <c r="B469">
        <f>IF(A469="","",'KG1-1'!$C32)</f>
        <v/>
      </c>
      <c r="C469">
        <f>IF(A469="","",'KG1-1'!$B$2)</f>
        <v/>
      </c>
      <c r="D469" s="126">
        <f t="array" ref="D469">IF(A469="","",IFERROR(SMALL(IF((('KG1-1'!$AD32:$IM32="غياب بدون عذر")+('KG1-1'!$AD32:$IM32="غياب بعذر"))*('KG1-1'!$AD$7:$IM$7="✓"),'KG1-1'!$AD$5:$IM$5),8),""))</f>
        <v/>
      </c>
      <c r="E469">
        <f>IF(D469="","",INDEX('KG1-1'!$AD32:$IM32,MATCH(D469,'KG1-1'!$AD$5:$IM$5,0)))</f>
        <v/>
      </c>
      <c r="F469">
        <f>IF(D469="","",COUNTIFS('KG1-1'!$AD32:$IM32,"غياب بدون عذر",'KG1-1'!$AD$7:$IM$7,"✓",'KG1-1'!$AD$5:$IM$5,"&lt;="&amp;D469))</f>
        <v/>
      </c>
      <c r="G469">
        <f>G468+IF(D469="",0,1)</f>
        <v/>
      </c>
    </row>
    <row r="470">
      <c r="A470">
        <f>IF('KG1-1'!$B32="","",'KG1-1'!$B32)</f>
        <v/>
      </c>
      <c r="B470">
        <f>IF(A470="","",'KG1-1'!$C32)</f>
        <v/>
      </c>
      <c r="C470">
        <f>IF(A470="","",'KG1-1'!$B$2)</f>
        <v/>
      </c>
      <c r="D470" s="126">
        <f t="array" ref="D470">IF(A470="","",IFERROR(SMALL(IF((('KG1-1'!$AD32:$IM32="غياب بدون عذر")+('KG1-1'!$AD32:$IM32="غياب بعذر"))*('KG1-1'!$AD$7:$IM$7="✓"),'KG1-1'!$AD$5:$IM$5),9),""))</f>
        <v/>
      </c>
      <c r="E470">
        <f>IF(D470="","",INDEX('KG1-1'!$AD32:$IM32,MATCH(D470,'KG1-1'!$AD$5:$IM$5,0)))</f>
        <v/>
      </c>
      <c r="F470">
        <f>IF(D470="","",COUNTIFS('KG1-1'!$AD32:$IM32,"غياب بدون عذر",'KG1-1'!$AD$7:$IM$7,"✓",'KG1-1'!$AD$5:$IM$5,"&lt;="&amp;D470))</f>
        <v/>
      </c>
      <c r="G470">
        <f>G469+IF(D470="",0,1)</f>
        <v/>
      </c>
    </row>
    <row r="471">
      <c r="A471">
        <f>IF('KG1-1'!$B32="","",'KG1-1'!$B32)</f>
        <v/>
      </c>
      <c r="B471">
        <f>IF(A471="","",'KG1-1'!$C32)</f>
        <v/>
      </c>
      <c r="C471">
        <f>IF(A471="","",'KG1-1'!$B$2)</f>
        <v/>
      </c>
      <c r="D471" s="126">
        <f t="array" ref="D471">IF(A471="","",IFERROR(SMALL(IF((('KG1-1'!$AD32:$IM32="غياب بدون عذر")+('KG1-1'!$AD32:$IM32="غياب بعذر"))*('KG1-1'!$AD$7:$IM$7="✓"),'KG1-1'!$AD$5:$IM$5),10),""))</f>
        <v/>
      </c>
      <c r="E471">
        <f>IF(D471="","",INDEX('KG1-1'!$AD32:$IM32,MATCH(D471,'KG1-1'!$AD$5:$IM$5,0)))</f>
        <v/>
      </c>
      <c r="F471">
        <f>IF(D471="","",COUNTIFS('KG1-1'!$AD32:$IM32,"غياب بدون عذر",'KG1-1'!$AD$7:$IM$7,"✓",'KG1-1'!$AD$5:$IM$5,"&lt;="&amp;D471))</f>
        <v/>
      </c>
      <c r="G471">
        <f>G470+IF(D471="",0,1)</f>
        <v/>
      </c>
    </row>
    <row r="472">
      <c r="A472">
        <f>IF('KG1-1'!$B32="","",'KG1-1'!$B32)</f>
        <v/>
      </c>
      <c r="B472">
        <f>IF(A472="","",'KG1-1'!$C32)</f>
        <v/>
      </c>
      <c r="C472">
        <f>IF(A472="","",'KG1-1'!$B$2)</f>
        <v/>
      </c>
      <c r="D472" s="126">
        <f t="array" ref="D472">IF(A472="","",IFERROR(SMALL(IF((('KG1-1'!$AD32:$IM32="غياب بدون عذر")+('KG1-1'!$AD32:$IM32="غياب بعذر"))*('KG1-1'!$AD$7:$IM$7="✓"),'KG1-1'!$AD$5:$IM$5),11),""))</f>
        <v/>
      </c>
      <c r="E472">
        <f>IF(D472="","",INDEX('KG1-1'!$AD32:$IM32,MATCH(D472,'KG1-1'!$AD$5:$IM$5,0)))</f>
        <v/>
      </c>
      <c r="F472">
        <f>IF(D472="","",COUNTIFS('KG1-1'!$AD32:$IM32,"غياب بدون عذر",'KG1-1'!$AD$7:$IM$7,"✓",'KG1-1'!$AD$5:$IM$5,"&lt;="&amp;D472))</f>
        <v/>
      </c>
      <c r="G472">
        <f>G471+IF(D472="",0,1)</f>
        <v/>
      </c>
    </row>
    <row r="473">
      <c r="A473">
        <f>IF('KG1-1'!$B32="","",'KG1-1'!$B32)</f>
        <v/>
      </c>
      <c r="B473">
        <f>IF(A473="","",'KG1-1'!$C32)</f>
        <v/>
      </c>
      <c r="C473">
        <f>IF(A473="","",'KG1-1'!$B$2)</f>
        <v/>
      </c>
      <c r="D473" s="126">
        <f t="array" ref="D473">IF(A473="","",IFERROR(SMALL(IF((('KG1-1'!$AD32:$IM32="غياب بدون عذر")+('KG1-1'!$AD32:$IM32="غياب بعذر"))*('KG1-1'!$AD$7:$IM$7="✓"),'KG1-1'!$AD$5:$IM$5),12),""))</f>
        <v/>
      </c>
      <c r="E473">
        <f>IF(D473="","",INDEX('KG1-1'!$AD32:$IM32,MATCH(D473,'KG1-1'!$AD$5:$IM$5,0)))</f>
        <v/>
      </c>
      <c r="F473">
        <f>IF(D473="","",COUNTIFS('KG1-1'!$AD32:$IM32,"غياب بدون عذر",'KG1-1'!$AD$7:$IM$7,"✓",'KG1-1'!$AD$5:$IM$5,"&lt;="&amp;D473))</f>
        <v/>
      </c>
      <c r="G473">
        <f>G472+IF(D473="",0,1)</f>
        <v/>
      </c>
    </row>
    <row r="474">
      <c r="A474">
        <f>IF('KG1-1'!$B32="","",'KG1-1'!$B32)</f>
        <v/>
      </c>
      <c r="B474">
        <f>IF(A474="","",'KG1-1'!$C32)</f>
        <v/>
      </c>
      <c r="C474">
        <f>IF(A474="","",'KG1-1'!$B$2)</f>
        <v/>
      </c>
      <c r="D474" s="126">
        <f t="array" ref="D474">IF(A474="","",IFERROR(SMALL(IF((('KG1-1'!$AD32:$IM32="غياب بدون عذر")+('KG1-1'!$AD32:$IM32="غياب بعذر"))*('KG1-1'!$AD$7:$IM$7="✓"),'KG1-1'!$AD$5:$IM$5),13),""))</f>
        <v/>
      </c>
      <c r="E474">
        <f>IF(D474="","",INDEX('KG1-1'!$AD32:$IM32,MATCH(D474,'KG1-1'!$AD$5:$IM$5,0)))</f>
        <v/>
      </c>
      <c r="F474">
        <f>IF(D474="","",COUNTIFS('KG1-1'!$AD32:$IM32,"غياب بدون عذر",'KG1-1'!$AD$7:$IM$7,"✓",'KG1-1'!$AD$5:$IM$5,"&lt;="&amp;D474))</f>
        <v/>
      </c>
      <c r="G474">
        <f>G473+IF(D474="",0,1)</f>
        <v/>
      </c>
    </row>
    <row r="475">
      <c r="A475">
        <f>IF('KG1-1'!$B32="","",'KG1-1'!$B32)</f>
        <v/>
      </c>
      <c r="B475">
        <f>IF(A475="","",'KG1-1'!$C32)</f>
        <v/>
      </c>
      <c r="C475">
        <f>IF(A475="","",'KG1-1'!$B$2)</f>
        <v/>
      </c>
      <c r="D475" s="126">
        <f t="array" ref="D475">IF(A475="","",IFERROR(SMALL(IF((('KG1-1'!$AD32:$IM32="غياب بدون عذر")+('KG1-1'!$AD32:$IM32="غياب بعذر"))*('KG1-1'!$AD$7:$IM$7="✓"),'KG1-1'!$AD$5:$IM$5),14),""))</f>
        <v/>
      </c>
      <c r="E475">
        <f>IF(D475="","",INDEX('KG1-1'!$AD32:$IM32,MATCH(D475,'KG1-1'!$AD$5:$IM$5,0)))</f>
        <v/>
      </c>
      <c r="F475">
        <f>IF(D475="","",COUNTIFS('KG1-1'!$AD32:$IM32,"غياب بدون عذر",'KG1-1'!$AD$7:$IM$7,"✓",'KG1-1'!$AD$5:$IM$5,"&lt;="&amp;D475))</f>
        <v/>
      </c>
      <c r="G475">
        <f>G474+IF(D475="",0,1)</f>
        <v/>
      </c>
    </row>
    <row r="476">
      <c r="A476">
        <f>IF('KG1-1'!$B32="","",'KG1-1'!$B32)</f>
        <v/>
      </c>
      <c r="B476">
        <f>IF(A476="","",'KG1-1'!$C32)</f>
        <v/>
      </c>
      <c r="C476">
        <f>IF(A476="","",'KG1-1'!$B$2)</f>
        <v/>
      </c>
      <c r="D476" s="126">
        <f t="array" ref="D476">IF(A476="","",IFERROR(SMALL(IF((('KG1-1'!$AD32:$IM32="غياب بدون عذر")+('KG1-1'!$AD32:$IM32="غياب بعذر"))*('KG1-1'!$AD$7:$IM$7="✓"),'KG1-1'!$AD$5:$IM$5),15),""))</f>
        <v/>
      </c>
      <c r="E476">
        <f>IF(D476="","",INDEX('KG1-1'!$AD32:$IM32,MATCH(D476,'KG1-1'!$AD$5:$IM$5,0)))</f>
        <v/>
      </c>
      <c r="F476">
        <f>IF(D476="","",COUNTIFS('KG1-1'!$AD32:$IM32,"غياب بدون عذر",'KG1-1'!$AD$7:$IM$7,"✓",'KG1-1'!$AD$5:$IM$5,"&lt;="&amp;D476))</f>
        <v/>
      </c>
      <c r="G476">
        <f>G475+IF(D476="",0,1)</f>
        <v/>
      </c>
    </row>
    <row r="477">
      <c r="A477">
        <f>IF('KG1-1'!$B32="","",'KG1-1'!$B32)</f>
        <v/>
      </c>
      <c r="B477">
        <f>IF(A477="","",'KG1-1'!$C32)</f>
        <v/>
      </c>
      <c r="C477">
        <f>IF(A477="","",'KG1-1'!$B$2)</f>
        <v/>
      </c>
      <c r="D477" s="126">
        <f t="array" ref="D477">IF(A477="","",IFERROR(SMALL(IF((('KG1-1'!$AD32:$IM32="غياب بدون عذر")+('KG1-1'!$AD32:$IM32="غياب بعذر"))*('KG1-1'!$AD$7:$IM$7="✓"),'KG1-1'!$AD$5:$IM$5),16),""))</f>
        <v/>
      </c>
      <c r="E477">
        <f>IF(D477="","",INDEX('KG1-1'!$AD32:$IM32,MATCH(D477,'KG1-1'!$AD$5:$IM$5,0)))</f>
        <v/>
      </c>
      <c r="F477">
        <f>IF(D477="","",COUNTIFS('KG1-1'!$AD32:$IM32,"غياب بدون عذر",'KG1-1'!$AD$7:$IM$7,"✓",'KG1-1'!$AD$5:$IM$5,"&lt;="&amp;D477))</f>
        <v/>
      </c>
      <c r="G477">
        <f>G476+IF(D477="",0,1)</f>
        <v/>
      </c>
    </row>
    <row r="478">
      <c r="A478">
        <f>IF('KG1-1'!$B32="","",'KG1-1'!$B32)</f>
        <v/>
      </c>
      <c r="B478">
        <f>IF(A478="","",'KG1-1'!$C32)</f>
        <v/>
      </c>
      <c r="C478">
        <f>IF(A478="","",'KG1-1'!$B$2)</f>
        <v/>
      </c>
      <c r="D478" s="126">
        <f t="array" ref="D478">IF(A478="","",IFERROR(SMALL(IF((('KG1-1'!$AD32:$IM32="غياب بدون عذر")+('KG1-1'!$AD32:$IM32="غياب بعذر"))*('KG1-1'!$AD$7:$IM$7="✓"),'KG1-1'!$AD$5:$IM$5),17),""))</f>
        <v/>
      </c>
      <c r="E478">
        <f>IF(D478="","",INDEX('KG1-1'!$AD32:$IM32,MATCH(D478,'KG1-1'!$AD$5:$IM$5,0)))</f>
        <v/>
      </c>
      <c r="F478">
        <f>IF(D478="","",COUNTIFS('KG1-1'!$AD32:$IM32,"غياب بدون عذر",'KG1-1'!$AD$7:$IM$7,"✓",'KG1-1'!$AD$5:$IM$5,"&lt;="&amp;D478))</f>
        <v/>
      </c>
      <c r="G478">
        <f>G477+IF(D478="",0,1)</f>
        <v/>
      </c>
    </row>
    <row r="479">
      <c r="A479">
        <f>IF('KG1-1'!$B32="","",'KG1-1'!$B32)</f>
        <v/>
      </c>
      <c r="B479">
        <f>IF(A479="","",'KG1-1'!$C32)</f>
        <v/>
      </c>
      <c r="C479">
        <f>IF(A479="","",'KG1-1'!$B$2)</f>
        <v/>
      </c>
      <c r="D479" s="126">
        <f t="array" ref="D479">IF(A479="","",IFERROR(SMALL(IF((('KG1-1'!$AD32:$IM32="غياب بدون عذر")+('KG1-1'!$AD32:$IM32="غياب بعذر"))*('KG1-1'!$AD$7:$IM$7="✓"),'KG1-1'!$AD$5:$IM$5),18),""))</f>
        <v/>
      </c>
      <c r="E479">
        <f>IF(D479="","",INDEX('KG1-1'!$AD32:$IM32,MATCH(D479,'KG1-1'!$AD$5:$IM$5,0)))</f>
        <v/>
      </c>
      <c r="F479">
        <f>IF(D479="","",COUNTIFS('KG1-1'!$AD32:$IM32,"غياب بدون عذر",'KG1-1'!$AD$7:$IM$7,"✓",'KG1-1'!$AD$5:$IM$5,"&lt;="&amp;D479))</f>
        <v/>
      </c>
      <c r="G479">
        <f>G478+IF(D479="",0,1)</f>
        <v/>
      </c>
    </row>
    <row r="480">
      <c r="A480">
        <f>IF('KG1-1'!$B32="","",'KG1-1'!$B32)</f>
        <v/>
      </c>
      <c r="B480">
        <f>IF(A480="","",'KG1-1'!$C32)</f>
        <v/>
      </c>
      <c r="C480">
        <f>IF(A480="","",'KG1-1'!$B$2)</f>
        <v/>
      </c>
      <c r="D480" s="126">
        <f t="array" ref="D480">IF(A480="","",IFERROR(SMALL(IF((('KG1-1'!$AD32:$IM32="غياب بدون عذر")+('KG1-1'!$AD32:$IM32="غياب بعذر"))*('KG1-1'!$AD$7:$IM$7="✓"),'KG1-1'!$AD$5:$IM$5),19),""))</f>
        <v/>
      </c>
      <c r="E480">
        <f>IF(D480="","",INDEX('KG1-1'!$AD32:$IM32,MATCH(D480,'KG1-1'!$AD$5:$IM$5,0)))</f>
        <v/>
      </c>
      <c r="F480">
        <f>IF(D480="","",COUNTIFS('KG1-1'!$AD32:$IM32,"غياب بدون عذر",'KG1-1'!$AD$7:$IM$7,"✓",'KG1-1'!$AD$5:$IM$5,"&lt;="&amp;D480))</f>
        <v/>
      </c>
      <c r="G480">
        <f>G479+IF(D480="",0,1)</f>
        <v/>
      </c>
    </row>
    <row r="481">
      <c r="A481">
        <f>IF('KG1-1'!$B32="","",'KG1-1'!$B32)</f>
        <v/>
      </c>
      <c r="B481">
        <f>IF(A481="","",'KG1-1'!$C32)</f>
        <v/>
      </c>
      <c r="C481">
        <f>IF(A481="","",'KG1-1'!$B$2)</f>
        <v/>
      </c>
      <c r="D481" s="126">
        <f t="array" ref="D481">IF(A481="","",IFERROR(SMALL(IF((('KG1-1'!$AD32:$IM32="غياب بدون عذر")+('KG1-1'!$AD32:$IM32="غياب بعذر"))*('KG1-1'!$AD$7:$IM$7="✓"),'KG1-1'!$AD$5:$IM$5),20),""))</f>
        <v/>
      </c>
      <c r="E481">
        <f>IF(D481="","",INDEX('KG1-1'!$AD32:$IM32,MATCH(D481,'KG1-1'!$AD$5:$IM$5,0)))</f>
        <v/>
      </c>
      <c r="F481">
        <f>IF(D481="","",COUNTIFS('KG1-1'!$AD32:$IM32,"غياب بدون عذر",'KG1-1'!$AD$7:$IM$7,"✓",'KG1-1'!$AD$5:$IM$5,"&lt;="&amp;D481))</f>
        <v/>
      </c>
      <c r="G481">
        <f>G480+IF(D481="",0,1)</f>
        <v/>
      </c>
    </row>
    <row r="482">
      <c r="A482">
        <f>IF('KG1-1'!$B33="","",'KG1-1'!$B33)</f>
        <v/>
      </c>
      <c r="B482">
        <f>IF(A482="","",'KG1-1'!$C33)</f>
        <v/>
      </c>
      <c r="C482">
        <f>IF(A482="","",'KG1-1'!$B$2)</f>
        <v/>
      </c>
      <c r="D482" s="126">
        <f t="array" ref="D482">IF(A482="","",IFERROR(SMALL(IF((('KG1-1'!$AD33:$IM33="غياب بدون عذر")+('KG1-1'!$AD33:$IM33="غياب بعذر"))*('KG1-1'!$AD$7:$IM$7="✓"),'KG1-1'!$AD$5:$IM$5),1),""))</f>
        <v/>
      </c>
      <c r="E482">
        <f>IF(D482="","",INDEX('KG1-1'!$AD33:$IM33,MATCH(D482,'KG1-1'!$AD$5:$IM$5,0)))</f>
        <v/>
      </c>
      <c r="F482">
        <f>IF(D482="","",COUNTIFS('KG1-1'!$AD33:$IM33,"غياب بدون عذر",'KG1-1'!$AD$7:$IM$7,"✓",'KG1-1'!$AD$5:$IM$5,"&lt;="&amp;D482))</f>
        <v/>
      </c>
      <c r="G482">
        <f>G481+IF(D482="",0,1)</f>
        <v/>
      </c>
    </row>
    <row r="483">
      <c r="A483">
        <f>IF('KG1-1'!$B33="","",'KG1-1'!$B33)</f>
        <v/>
      </c>
      <c r="B483">
        <f>IF(A483="","",'KG1-1'!$C33)</f>
        <v/>
      </c>
      <c r="C483">
        <f>IF(A483="","",'KG1-1'!$B$2)</f>
        <v/>
      </c>
      <c r="D483" s="126">
        <f t="array" ref="D483">IF(A483="","",IFERROR(SMALL(IF((('KG1-1'!$AD33:$IM33="غياب بدون عذر")+('KG1-1'!$AD33:$IM33="غياب بعذر"))*('KG1-1'!$AD$7:$IM$7="✓"),'KG1-1'!$AD$5:$IM$5),2),""))</f>
        <v/>
      </c>
      <c r="E483">
        <f>IF(D483="","",INDEX('KG1-1'!$AD33:$IM33,MATCH(D483,'KG1-1'!$AD$5:$IM$5,0)))</f>
        <v/>
      </c>
      <c r="F483">
        <f>IF(D483="","",COUNTIFS('KG1-1'!$AD33:$IM33,"غياب بدون عذر",'KG1-1'!$AD$7:$IM$7,"✓",'KG1-1'!$AD$5:$IM$5,"&lt;="&amp;D483))</f>
        <v/>
      </c>
      <c r="G483">
        <f>G482+IF(D483="",0,1)</f>
        <v/>
      </c>
    </row>
    <row r="484">
      <c r="A484">
        <f>IF('KG1-1'!$B33="","",'KG1-1'!$B33)</f>
        <v/>
      </c>
      <c r="B484">
        <f>IF(A484="","",'KG1-1'!$C33)</f>
        <v/>
      </c>
      <c r="C484">
        <f>IF(A484="","",'KG1-1'!$B$2)</f>
        <v/>
      </c>
      <c r="D484" s="126">
        <f t="array" ref="D484">IF(A484="","",IFERROR(SMALL(IF((('KG1-1'!$AD33:$IM33="غياب بدون عذر")+('KG1-1'!$AD33:$IM33="غياب بعذر"))*('KG1-1'!$AD$7:$IM$7="✓"),'KG1-1'!$AD$5:$IM$5),3),""))</f>
        <v/>
      </c>
      <c r="E484">
        <f>IF(D484="","",INDEX('KG1-1'!$AD33:$IM33,MATCH(D484,'KG1-1'!$AD$5:$IM$5,0)))</f>
        <v/>
      </c>
      <c r="F484">
        <f>IF(D484="","",COUNTIFS('KG1-1'!$AD33:$IM33,"غياب بدون عذر",'KG1-1'!$AD$7:$IM$7,"✓",'KG1-1'!$AD$5:$IM$5,"&lt;="&amp;D484))</f>
        <v/>
      </c>
      <c r="G484">
        <f>G483+IF(D484="",0,1)</f>
        <v/>
      </c>
    </row>
    <row r="485">
      <c r="A485">
        <f>IF('KG1-1'!$B33="","",'KG1-1'!$B33)</f>
        <v/>
      </c>
      <c r="B485">
        <f>IF(A485="","",'KG1-1'!$C33)</f>
        <v/>
      </c>
      <c r="C485">
        <f>IF(A485="","",'KG1-1'!$B$2)</f>
        <v/>
      </c>
      <c r="D485" s="126">
        <f t="array" ref="D485">IF(A485="","",IFERROR(SMALL(IF((('KG1-1'!$AD33:$IM33="غياب بدون عذر")+('KG1-1'!$AD33:$IM33="غياب بعذر"))*('KG1-1'!$AD$7:$IM$7="✓"),'KG1-1'!$AD$5:$IM$5),4),""))</f>
        <v/>
      </c>
      <c r="E485">
        <f>IF(D485="","",INDEX('KG1-1'!$AD33:$IM33,MATCH(D485,'KG1-1'!$AD$5:$IM$5,0)))</f>
        <v/>
      </c>
      <c r="F485">
        <f>IF(D485="","",COUNTIFS('KG1-1'!$AD33:$IM33,"غياب بدون عذر",'KG1-1'!$AD$7:$IM$7,"✓",'KG1-1'!$AD$5:$IM$5,"&lt;="&amp;D485))</f>
        <v/>
      </c>
      <c r="G485">
        <f>G484+IF(D485="",0,1)</f>
        <v/>
      </c>
    </row>
    <row r="486">
      <c r="A486">
        <f>IF('KG1-1'!$B33="","",'KG1-1'!$B33)</f>
        <v/>
      </c>
      <c r="B486">
        <f>IF(A486="","",'KG1-1'!$C33)</f>
        <v/>
      </c>
      <c r="C486">
        <f>IF(A486="","",'KG1-1'!$B$2)</f>
        <v/>
      </c>
      <c r="D486" s="126">
        <f t="array" ref="D486">IF(A486="","",IFERROR(SMALL(IF((('KG1-1'!$AD33:$IM33="غياب بدون عذر")+('KG1-1'!$AD33:$IM33="غياب بعذر"))*('KG1-1'!$AD$7:$IM$7="✓"),'KG1-1'!$AD$5:$IM$5),5),""))</f>
        <v/>
      </c>
      <c r="E486">
        <f>IF(D486="","",INDEX('KG1-1'!$AD33:$IM33,MATCH(D486,'KG1-1'!$AD$5:$IM$5,0)))</f>
        <v/>
      </c>
      <c r="F486">
        <f>IF(D486="","",COUNTIFS('KG1-1'!$AD33:$IM33,"غياب بدون عذر",'KG1-1'!$AD$7:$IM$7,"✓",'KG1-1'!$AD$5:$IM$5,"&lt;="&amp;D486))</f>
        <v/>
      </c>
      <c r="G486">
        <f>G485+IF(D486="",0,1)</f>
        <v/>
      </c>
    </row>
    <row r="487">
      <c r="A487">
        <f>IF('KG1-1'!$B33="","",'KG1-1'!$B33)</f>
        <v/>
      </c>
      <c r="B487">
        <f>IF(A487="","",'KG1-1'!$C33)</f>
        <v/>
      </c>
      <c r="C487">
        <f>IF(A487="","",'KG1-1'!$B$2)</f>
        <v/>
      </c>
      <c r="D487" s="126">
        <f t="array" ref="D487">IF(A487="","",IFERROR(SMALL(IF((('KG1-1'!$AD33:$IM33="غياب بدون عذر")+('KG1-1'!$AD33:$IM33="غياب بعذر"))*('KG1-1'!$AD$7:$IM$7="✓"),'KG1-1'!$AD$5:$IM$5),6),""))</f>
        <v/>
      </c>
      <c r="E487">
        <f>IF(D487="","",INDEX('KG1-1'!$AD33:$IM33,MATCH(D487,'KG1-1'!$AD$5:$IM$5,0)))</f>
        <v/>
      </c>
      <c r="F487">
        <f>IF(D487="","",COUNTIFS('KG1-1'!$AD33:$IM33,"غياب بدون عذر",'KG1-1'!$AD$7:$IM$7,"✓",'KG1-1'!$AD$5:$IM$5,"&lt;="&amp;D487))</f>
        <v/>
      </c>
      <c r="G487">
        <f>G486+IF(D487="",0,1)</f>
        <v/>
      </c>
    </row>
    <row r="488">
      <c r="A488">
        <f>IF('KG1-1'!$B33="","",'KG1-1'!$B33)</f>
        <v/>
      </c>
      <c r="B488">
        <f>IF(A488="","",'KG1-1'!$C33)</f>
        <v/>
      </c>
      <c r="C488">
        <f>IF(A488="","",'KG1-1'!$B$2)</f>
        <v/>
      </c>
      <c r="D488" s="126">
        <f t="array" ref="D488">IF(A488="","",IFERROR(SMALL(IF((('KG1-1'!$AD33:$IM33="غياب بدون عذر")+('KG1-1'!$AD33:$IM33="غياب بعذر"))*('KG1-1'!$AD$7:$IM$7="✓"),'KG1-1'!$AD$5:$IM$5),7),""))</f>
        <v/>
      </c>
      <c r="E488">
        <f>IF(D488="","",INDEX('KG1-1'!$AD33:$IM33,MATCH(D488,'KG1-1'!$AD$5:$IM$5,0)))</f>
        <v/>
      </c>
      <c r="F488">
        <f>IF(D488="","",COUNTIFS('KG1-1'!$AD33:$IM33,"غياب بدون عذر",'KG1-1'!$AD$7:$IM$7,"✓",'KG1-1'!$AD$5:$IM$5,"&lt;="&amp;D488))</f>
        <v/>
      </c>
      <c r="G488">
        <f>G487+IF(D488="",0,1)</f>
        <v/>
      </c>
    </row>
    <row r="489">
      <c r="A489">
        <f>IF('KG1-1'!$B33="","",'KG1-1'!$B33)</f>
        <v/>
      </c>
      <c r="B489">
        <f>IF(A489="","",'KG1-1'!$C33)</f>
        <v/>
      </c>
      <c r="C489">
        <f>IF(A489="","",'KG1-1'!$B$2)</f>
        <v/>
      </c>
      <c r="D489" s="126">
        <f t="array" ref="D489">IF(A489="","",IFERROR(SMALL(IF((('KG1-1'!$AD33:$IM33="غياب بدون عذر")+('KG1-1'!$AD33:$IM33="غياب بعذر"))*('KG1-1'!$AD$7:$IM$7="✓"),'KG1-1'!$AD$5:$IM$5),8),""))</f>
        <v/>
      </c>
      <c r="E489">
        <f>IF(D489="","",INDEX('KG1-1'!$AD33:$IM33,MATCH(D489,'KG1-1'!$AD$5:$IM$5,0)))</f>
        <v/>
      </c>
      <c r="F489">
        <f>IF(D489="","",COUNTIFS('KG1-1'!$AD33:$IM33,"غياب بدون عذر",'KG1-1'!$AD$7:$IM$7,"✓",'KG1-1'!$AD$5:$IM$5,"&lt;="&amp;D489))</f>
        <v/>
      </c>
      <c r="G489">
        <f>G488+IF(D489="",0,1)</f>
        <v/>
      </c>
    </row>
    <row r="490">
      <c r="A490">
        <f>IF('KG1-1'!$B33="","",'KG1-1'!$B33)</f>
        <v/>
      </c>
      <c r="B490">
        <f>IF(A490="","",'KG1-1'!$C33)</f>
        <v/>
      </c>
      <c r="C490">
        <f>IF(A490="","",'KG1-1'!$B$2)</f>
        <v/>
      </c>
      <c r="D490" s="126">
        <f t="array" ref="D490">IF(A490="","",IFERROR(SMALL(IF((('KG1-1'!$AD33:$IM33="غياب بدون عذر")+('KG1-1'!$AD33:$IM33="غياب بعذر"))*('KG1-1'!$AD$7:$IM$7="✓"),'KG1-1'!$AD$5:$IM$5),9),""))</f>
        <v/>
      </c>
      <c r="E490">
        <f>IF(D490="","",INDEX('KG1-1'!$AD33:$IM33,MATCH(D490,'KG1-1'!$AD$5:$IM$5,0)))</f>
        <v/>
      </c>
      <c r="F490">
        <f>IF(D490="","",COUNTIFS('KG1-1'!$AD33:$IM33,"غياب بدون عذر",'KG1-1'!$AD$7:$IM$7,"✓",'KG1-1'!$AD$5:$IM$5,"&lt;="&amp;D490))</f>
        <v/>
      </c>
      <c r="G490">
        <f>G489+IF(D490="",0,1)</f>
        <v/>
      </c>
    </row>
    <row r="491">
      <c r="A491">
        <f>IF('KG1-1'!$B33="","",'KG1-1'!$B33)</f>
        <v/>
      </c>
      <c r="B491">
        <f>IF(A491="","",'KG1-1'!$C33)</f>
        <v/>
      </c>
      <c r="C491">
        <f>IF(A491="","",'KG1-1'!$B$2)</f>
        <v/>
      </c>
      <c r="D491" s="126">
        <f t="array" ref="D491">IF(A491="","",IFERROR(SMALL(IF((('KG1-1'!$AD33:$IM33="غياب بدون عذر")+('KG1-1'!$AD33:$IM33="غياب بعذر"))*('KG1-1'!$AD$7:$IM$7="✓"),'KG1-1'!$AD$5:$IM$5),10),""))</f>
        <v/>
      </c>
      <c r="E491">
        <f>IF(D491="","",INDEX('KG1-1'!$AD33:$IM33,MATCH(D491,'KG1-1'!$AD$5:$IM$5,0)))</f>
        <v/>
      </c>
      <c r="F491">
        <f>IF(D491="","",COUNTIFS('KG1-1'!$AD33:$IM33,"غياب بدون عذر",'KG1-1'!$AD$7:$IM$7,"✓",'KG1-1'!$AD$5:$IM$5,"&lt;="&amp;D491))</f>
        <v/>
      </c>
      <c r="G491">
        <f>G490+IF(D491="",0,1)</f>
        <v/>
      </c>
    </row>
    <row r="492">
      <c r="A492">
        <f>IF('KG1-1'!$B33="","",'KG1-1'!$B33)</f>
        <v/>
      </c>
      <c r="B492">
        <f>IF(A492="","",'KG1-1'!$C33)</f>
        <v/>
      </c>
      <c r="C492">
        <f>IF(A492="","",'KG1-1'!$B$2)</f>
        <v/>
      </c>
      <c r="D492" s="126">
        <f t="array" ref="D492">IF(A492="","",IFERROR(SMALL(IF((('KG1-1'!$AD33:$IM33="غياب بدون عذر")+('KG1-1'!$AD33:$IM33="غياب بعذر"))*('KG1-1'!$AD$7:$IM$7="✓"),'KG1-1'!$AD$5:$IM$5),11),""))</f>
        <v/>
      </c>
      <c r="E492">
        <f>IF(D492="","",INDEX('KG1-1'!$AD33:$IM33,MATCH(D492,'KG1-1'!$AD$5:$IM$5,0)))</f>
        <v/>
      </c>
      <c r="F492">
        <f>IF(D492="","",COUNTIFS('KG1-1'!$AD33:$IM33,"غياب بدون عذر",'KG1-1'!$AD$7:$IM$7,"✓",'KG1-1'!$AD$5:$IM$5,"&lt;="&amp;D492))</f>
        <v/>
      </c>
      <c r="G492">
        <f>G491+IF(D492="",0,1)</f>
        <v/>
      </c>
    </row>
    <row r="493">
      <c r="A493">
        <f>IF('KG1-1'!$B33="","",'KG1-1'!$B33)</f>
        <v/>
      </c>
      <c r="B493">
        <f>IF(A493="","",'KG1-1'!$C33)</f>
        <v/>
      </c>
      <c r="C493">
        <f>IF(A493="","",'KG1-1'!$B$2)</f>
        <v/>
      </c>
      <c r="D493" s="126">
        <f t="array" ref="D493">IF(A493="","",IFERROR(SMALL(IF((('KG1-1'!$AD33:$IM33="غياب بدون عذر")+('KG1-1'!$AD33:$IM33="غياب بعذر"))*('KG1-1'!$AD$7:$IM$7="✓"),'KG1-1'!$AD$5:$IM$5),12),""))</f>
        <v/>
      </c>
      <c r="E493">
        <f>IF(D493="","",INDEX('KG1-1'!$AD33:$IM33,MATCH(D493,'KG1-1'!$AD$5:$IM$5,0)))</f>
        <v/>
      </c>
      <c r="F493">
        <f>IF(D493="","",COUNTIFS('KG1-1'!$AD33:$IM33,"غياب بدون عذر",'KG1-1'!$AD$7:$IM$7,"✓",'KG1-1'!$AD$5:$IM$5,"&lt;="&amp;D493))</f>
        <v/>
      </c>
      <c r="G493">
        <f>G492+IF(D493="",0,1)</f>
        <v/>
      </c>
    </row>
    <row r="494">
      <c r="A494">
        <f>IF('KG1-1'!$B33="","",'KG1-1'!$B33)</f>
        <v/>
      </c>
      <c r="B494">
        <f>IF(A494="","",'KG1-1'!$C33)</f>
        <v/>
      </c>
      <c r="C494">
        <f>IF(A494="","",'KG1-1'!$B$2)</f>
        <v/>
      </c>
      <c r="D494" s="126">
        <f t="array" ref="D494">IF(A494="","",IFERROR(SMALL(IF((('KG1-1'!$AD33:$IM33="غياب بدون عذر")+('KG1-1'!$AD33:$IM33="غياب بعذر"))*('KG1-1'!$AD$7:$IM$7="✓"),'KG1-1'!$AD$5:$IM$5),13),""))</f>
        <v/>
      </c>
      <c r="E494">
        <f>IF(D494="","",INDEX('KG1-1'!$AD33:$IM33,MATCH(D494,'KG1-1'!$AD$5:$IM$5,0)))</f>
        <v/>
      </c>
      <c r="F494">
        <f>IF(D494="","",COUNTIFS('KG1-1'!$AD33:$IM33,"غياب بدون عذر",'KG1-1'!$AD$7:$IM$7,"✓",'KG1-1'!$AD$5:$IM$5,"&lt;="&amp;D494))</f>
        <v/>
      </c>
      <c r="G494">
        <f>G493+IF(D494="",0,1)</f>
        <v/>
      </c>
    </row>
    <row r="495">
      <c r="A495">
        <f>IF('KG1-1'!$B33="","",'KG1-1'!$B33)</f>
        <v/>
      </c>
      <c r="B495">
        <f>IF(A495="","",'KG1-1'!$C33)</f>
        <v/>
      </c>
      <c r="C495">
        <f>IF(A495="","",'KG1-1'!$B$2)</f>
        <v/>
      </c>
      <c r="D495" s="126">
        <f t="array" ref="D495">IF(A495="","",IFERROR(SMALL(IF((('KG1-1'!$AD33:$IM33="غياب بدون عذر")+('KG1-1'!$AD33:$IM33="غياب بعذر"))*('KG1-1'!$AD$7:$IM$7="✓"),'KG1-1'!$AD$5:$IM$5),14),""))</f>
        <v/>
      </c>
      <c r="E495">
        <f>IF(D495="","",INDEX('KG1-1'!$AD33:$IM33,MATCH(D495,'KG1-1'!$AD$5:$IM$5,0)))</f>
        <v/>
      </c>
      <c r="F495">
        <f>IF(D495="","",COUNTIFS('KG1-1'!$AD33:$IM33,"غياب بدون عذر",'KG1-1'!$AD$7:$IM$7,"✓",'KG1-1'!$AD$5:$IM$5,"&lt;="&amp;D495))</f>
        <v/>
      </c>
      <c r="G495">
        <f>G494+IF(D495="",0,1)</f>
        <v/>
      </c>
    </row>
    <row r="496">
      <c r="A496">
        <f>IF('KG1-1'!$B33="","",'KG1-1'!$B33)</f>
        <v/>
      </c>
      <c r="B496">
        <f>IF(A496="","",'KG1-1'!$C33)</f>
        <v/>
      </c>
      <c r="C496">
        <f>IF(A496="","",'KG1-1'!$B$2)</f>
        <v/>
      </c>
      <c r="D496" s="126">
        <f t="array" ref="D496">IF(A496="","",IFERROR(SMALL(IF((('KG1-1'!$AD33:$IM33="غياب بدون عذر")+('KG1-1'!$AD33:$IM33="غياب بعذر"))*('KG1-1'!$AD$7:$IM$7="✓"),'KG1-1'!$AD$5:$IM$5),15),""))</f>
        <v/>
      </c>
      <c r="E496">
        <f>IF(D496="","",INDEX('KG1-1'!$AD33:$IM33,MATCH(D496,'KG1-1'!$AD$5:$IM$5,0)))</f>
        <v/>
      </c>
      <c r="F496">
        <f>IF(D496="","",COUNTIFS('KG1-1'!$AD33:$IM33,"غياب بدون عذر",'KG1-1'!$AD$7:$IM$7,"✓",'KG1-1'!$AD$5:$IM$5,"&lt;="&amp;D496))</f>
        <v/>
      </c>
      <c r="G496">
        <f>G495+IF(D496="",0,1)</f>
        <v/>
      </c>
    </row>
    <row r="497">
      <c r="A497">
        <f>IF('KG1-1'!$B33="","",'KG1-1'!$B33)</f>
        <v/>
      </c>
      <c r="B497">
        <f>IF(A497="","",'KG1-1'!$C33)</f>
        <v/>
      </c>
      <c r="C497">
        <f>IF(A497="","",'KG1-1'!$B$2)</f>
        <v/>
      </c>
      <c r="D497" s="126">
        <f t="array" ref="D497">IF(A497="","",IFERROR(SMALL(IF((('KG1-1'!$AD33:$IM33="غياب بدون عذر")+('KG1-1'!$AD33:$IM33="غياب بعذر"))*('KG1-1'!$AD$7:$IM$7="✓"),'KG1-1'!$AD$5:$IM$5),16),""))</f>
        <v/>
      </c>
      <c r="E497">
        <f>IF(D497="","",INDEX('KG1-1'!$AD33:$IM33,MATCH(D497,'KG1-1'!$AD$5:$IM$5,0)))</f>
        <v/>
      </c>
      <c r="F497">
        <f>IF(D497="","",COUNTIFS('KG1-1'!$AD33:$IM33,"غياب بدون عذر",'KG1-1'!$AD$7:$IM$7,"✓",'KG1-1'!$AD$5:$IM$5,"&lt;="&amp;D497))</f>
        <v/>
      </c>
      <c r="G497">
        <f>G496+IF(D497="",0,1)</f>
        <v/>
      </c>
    </row>
    <row r="498">
      <c r="A498">
        <f>IF('KG1-1'!$B33="","",'KG1-1'!$B33)</f>
        <v/>
      </c>
      <c r="B498">
        <f>IF(A498="","",'KG1-1'!$C33)</f>
        <v/>
      </c>
      <c r="C498">
        <f>IF(A498="","",'KG1-1'!$B$2)</f>
        <v/>
      </c>
      <c r="D498" s="126">
        <f t="array" ref="D498">IF(A498="","",IFERROR(SMALL(IF((('KG1-1'!$AD33:$IM33="غياب بدون عذر")+('KG1-1'!$AD33:$IM33="غياب بعذر"))*('KG1-1'!$AD$7:$IM$7="✓"),'KG1-1'!$AD$5:$IM$5),17),""))</f>
        <v/>
      </c>
      <c r="E498">
        <f>IF(D498="","",INDEX('KG1-1'!$AD33:$IM33,MATCH(D498,'KG1-1'!$AD$5:$IM$5,0)))</f>
        <v/>
      </c>
      <c r="F498">
        <f>IF(D498="","",COUNTIFS('KG1-1'!$AD33:$IM33,"غياب بدون عذر",'KG1-1'!$AD$7:$IM$7,"✓",'KG1-1'!$AD$5:$IM$5,"&lt;="&amp;D498))</f>
        <v/>
      </c>
      <c r="G498">
        <f>G497+IF(D498="",0,1)</f>
        <v/>
      </c>
    </row>
    <row r="499">
      <c r="A499">
        <f>IF('KG1-1'!$B33="","",'KG1-1'!$B33)</f>
        <v/>
      </c>
      <c r="B499">
        <f>IF(A499="","",'KG1-1'!$C33)</f>
        <v/>
      </c>
      <c r="C499">
        <f>IF(A499="","",'KG1-1'!$B$2)</f>
        <v/>
      </c>
      <c r="D499" s="126">
        <f t="array" ref="D499">IF(A499="","",IFERROR(SMALL(IF((('KG1-1'!$AD33:$IM33="غياب بدون عذر")+('KG1-1'!$AD33:$IM33="غياب بعذر"))*('KG1-1'!$AD$7:$IM$7="✓"),'KG1-1'!$AD$5:$IM$5),18),""))</f>
        <v/>
      </c>
      <c r="E499">
        <f>IF(D499="","",INDEX('KG1-1'!$AD33:$IM33,MATCH(D499,'KG1-1'!$AD$5:$IM$5,0)))</f>
        <v/>
      </c>
      <c r="F499">
        <f>IF(D499="","",COUNTIFS('KG1-1'!$AD33:$IM33,"غياب بدون عذر",'KG1-1'!$AD$7:$IM$7,"✓",'KG1-1'!$AD$5:$IM$5,"&lt;="&amp;D499))</f>
        <v/>
      </c>
      <c r="G499">
        <f>G498+IF(D499="",0,1)</f>
        <v/>
      </c>
    </row>
    <row r="500">
      <c r="A500">
        <f>IF('KG1-1'!$B33="","",'KG1-1'!$B33)</f>
        <v/>
      </c>
      <c r="B500">
        <f>IF(A500="","",'KG1-1'!$C33)</f>
        <v/>
      </c>
      <c r="C500">
        <f>IF(A500="","",'KG1-1'!$B$2)</f>
        <v/>
      </c>
      <c r="D500" s="126">
        <f t="array" ref="D500">IF(A500="","",IFERROR(SMALL(IF((('KG1-1'!$AD33:$IM33="غياب بدون عذر")+('KG1-1'!$AD33:$IM33="غياب بعذر"))*('KG1-1'!$AD$7:$IM$7="✓"),'KG1-1'!$AD$5:$IM$5),19),""))</f>
        <v/>
      </c>
      <c r="E500">
        <f>IF(D500="","",INDEX('KG1-1'!$AD33:$IM33,MATCH(D500,'KG1-1'!$AD$5:$IM$5,0)))</f>
        <v/>
      </c>
      <c r="F500">
        <f>IF(D500="","",COUNTIFS('KG1-1'!$AD33:$IM33,"غياب بدون عذر",'KG1-1'!$AD$7:$IM$7,"✓",'KG1-1'!$AD$5:$IM$5,"&lt;="&amp;D500))</f>
        <v/>
      </c>
      <c r="G500">
        <f>G499+IF(D500="",0,1)</f>
        <v/>
      </c>
    </row>
    <row r="501">
      <c r="A501">
        <f>IF('KG1-1'!$B33="","",'KG1-1'!$B33)</f>
        <v/>
      </c>
      <c r="B501">
        <f>IF(A501="","",'KG1-1'!$C33)</f>
        <v/>
      </c>
      <c r="C501">
        <f>IF(A501="","",'KG1-1'!$B$2)</f>
        <v/>
      </c>
      <c r="D501" s="126">
        <f t="array" ref="D501">IF(A501="","",IFERROR(SMALL(IF((('KG1-1'!$AD33:$IM33="غياب بدون عذر")+('KG1-1'!$AD33:$IM33="غياب بعذر"))*('KG1-1'!$AD$7:$IM$7="✓"),'KG1-1'!$AD$5:$IM$5),20),""))</f>
        <v/>
      </c>
      <c r="E501">
        <f>IF(D501="","",INDEX('KG1-1'!$AD33:$IM33,MATCH(D501,'KG1-1'!$AD$5:$IM$5,0)))</f>
        <v/>
      </c>
      <c r="F501">
        <f>IF(D501="","",COUNTIFS('KG1-1'!$AD33:$IM33,"غياب بدون عذر",'KG1-1'!$AD$7:$IM$7,"✓",'KG1-1'!$AD$5:$IM$5,"&lt;="&amp;D501))</f>
        <v/>
      </c>
      <c r="G501">
        <f>G500+IF(D501="",0,1)</f>
        <v/>
      </c>
    </row>
    <row r="502">
      <c r="A502">
        <f>IF('KG1-1'!$B34="","",'KG1-1'!$B34)</f>
        <v/>
      </c>
      <c r="B502">
        <f>IF(A502="","",'KG1-1'!$C34)</f>
        <v/>
      </c>
      <c r="C502">
        <f>IF(A502="","",'KG1-1'!$B$2)</f>
        <v/>
      </c>
      <c r="D502" s="126">
        <f t="array" ref="D502">IF(A502="","",IFERROR(SMALL(IF((('KG1-1'!$AD34:$IM34="غياب بدون عذر")+('KG1-1'!$AD34:$IM34="غياب بعذر"))*('KG1-1'!$AD$7:$IM$7="✓"),'KG1-1'!$AD$5:$IM$5),1),""))</f>
        <v/>
      </c>
      <c r="E502">
        <f>IF(D502="","",INDEX('KG1-1'!$AD34:$IM34,MATCH(D502,'KG1-1'!$AD$5:$IM$5,0)))</f>
        <v/>
      </c>
      <c r="F502">
        <f>IF(D502="","",COUNTIFS('KG1-1'!$AD34:$IM34,"غياب بدون عذر",'KG1-1'!$AD$7:$IM$7,"✓",'KG1-1'!$AD$5:$IM$5,"&lt;="&amp;D502))</f>
        <v/>
      </c>
      <c r="G502">
        <f>G501+IF(D502="",0,1)</f>
        <v/>
      </c>
    </row>
    <row r="503">
      <c r="A503">
        <f>IF('KG1-1'!$B34="","",'KG1-1'!$B34)</f>
        <v/>
      </c>
      <c r="B503">
        <f>IF(A503="","",'KG1-1'!$C34)</f>
        <v/>
      </c>
      <c r="C503">
        <f>IF(A503="","",'KG1-1'!$B$2)</f>
        <v/>
      </c>
      <c r="D503" s="126">
        <f t="array" ref="D503">IF(A503="","",IFERROR(SMALL(IF((('KG1-1'!$AD34:$IM34="غياب بدون عذر")+('KG1-1'!$AD34:$IM34="غياب بعذر"))*('KG1-1'!$AD$7:$IM$7="✓"),'KG1-1'!$AD$5:$IM$5),2),""))</f>
        <v/>
      </c>
      <c r="E503">
        <f>IF(D503="","",INDEX('KG1-1'!$AD34:$IM34,MATCH(D503,'KG1-1'!$AD$5:$IM$5,0)))</f>
        <v/>
      </c>
      <c r="F503">
        <f>IF(D503="","",COUNTIFS('KG1-1'!$AD34:$IM34,"غياب بدون عذر",'KG1-1'!$AD$7:$IM$7,"✓",'KG1-1'!$AD$5:$IM$5,"&lt;="&amp;D503))</f>
        <v/>
      </c>
      <c r="G503">
        <f>G502+IF(D503="",0,1)</f>
        <v/>
      </c>
    </row>
    <row r="504">
      <c r="A504">
        <f>IF('KG1-1'!$B34="","",'KG1-1'!$B34)</f>
        <v/>
      </c>
      <c r="B504">
        <f>IF(A504="","",'KG1-1'!$C34)</f>
        <v/>
      </c>
      <c r="C504">
        <f>IF(A504="","",'KG1-1'!$B$2)</f>
        <v/>
      </c>
      <c r="D504" s="126">
        <f t="array" ref="D504">IF(A504="","",IFERROR(SMALL(IF((('KG1-1'!$AD34:$IM34="غياب بدون عذر")+('KG1-1'!$AD34:$IM34="غياب بعذر"))*('KG1-1'!$AD$7:$IM$7="✓"),'KG1-1'!$AD$5:$IM$5),3),""))</f>
        <v/>
      </c>
      <c r="E504">
        <f>IF(D504="","",INDEX('KG1-1'!$AD34:$IM34,MATCH(D504,'KG1-1'!$AD$5:$IM$5,0)))</f>
        <v/>
      </c>
      <c r="F504">
        <f>IF(D504="","",COUNTIFS('KG1-1'!$AD34:$IM34,"غياب بدون عذر",'KG1-1'!$AD$7:$IM$7,"✓",'KG1-1'!$AD$5:$IM$5,"&lt;="&amp;D504))</f>
        <v/>
      </c>
      <c r="G504">
        <f>G503+IF(D504="",0,1)</f>
        <v/>
      </c>
    </row>
    <row r="505">
      <c r="A505">
        <f>IF('KG1-1'!$B34="","",'KG1-1'!$B34)</f>
        <v/>
      </c>
      <c r="B505">
        <f>IF(A505="","",'KG1-1'!$C34)</f>
        <v/>
      </c>
      <c r="C505">
        <f>IF(A505="","",'KG1-1'!$B$2)</f>
        <v/>
      </c>
      <c r="D505" s="126">
        <f t="array" ref="D505">IF(A505="","",IFERROR(SMALL(IF((('KG1-1'!$AD34:$IM34="غياب بدون عذر")+('KG1-1'!$AD34:$IM34="غياب بعذر"))*('KG1-1'!$AD$7:$IM$7="✓"),'KG1-1'!$AD$5:$IM$5),4),""))</f>
        <v/>
      </c>
      <c r="E505">
        <f>IF(D505="","",INDEX('KG1-1'!$AD34:$IM34,MATCH(D505,'KG1-1'!$AD$5:$IM$5,0)))</f>
        <v/>
      </c>
      <c r="F505">
        <f>IF(D505="","",COUNTIFS('KG1-1'!$AD34:$IM34,"غياب بدون عذر",'KG1-1'!$AD$7:$IM$7,"✓",'KG1-1'!$AD$5:$IM$5,"&lt;="&amp;D505))</f>
        <v/>
      </c>
      <c r="G505">
        <f>G504+IF(D505="",0,1)</f>
        <v/>
      </c>
    </row>
    <row r="506">
      <c r="A506">
        <f>IF('KG1-1'!$B34="","",'KG1-1'!$B34)</f>
        <v/>
      </c>
      <c r="B506">
        <f>IF(A506="","",'KG1-1'!$C34)</f>
        <v/>
      </c>
      <c r="C506">
        <f>IF(A506="","",'KG1-1'!$B$2)</f>
        <v/>
      </c>
      <c r="D506" s="126">
        <f t="array" ref="D506">IF(A506="","",IFERROR(SMALL(IF((('KG1-1'!$AD34:$IM34="غياب بدون عذر")+('KG1-1'!$AD34:$IM34="غياب بعذر"))*('KG1-1'!$AD$7:$IM$7="✓"),'KG1-1'!$AD$5:$IM$5),5),""))</f>
        <v/>
      </c>
      <c r="E506">
        <f>IF(D506="","",INDEX('KG1-1'!$AD34:$IM34,MATCH(D506,'KG1-1'!$AD$5:$IM$5,0)))</f>
        <v/>
      </c>
      <c r="F506">
        <f>IF(D506="","",COUNTIFS('KG1-1'!$AD34:$IM34,"غياب بدون عذر",'KG1-1'!$AD$7:$IM$7,"✓",'KG1-1'!$AD$5:$IM$5,"&lt;="&amp;D506))</f>
        <v/>
      </c>
      <c r="G506">
        <f>G505+IF(D506="",0,1)</f>
        <v/>
      </c>
    </row>
    <row r="507">
      <c r="A507">
        <f>IF('KG1-1'!$B34="","",'KG1-1'!$B34)</f>
        <v/>
      </c>
      <c r="B507">
        <f>IF(A507="","",'KG1-1'!$C34)</f>
        <v/>
      </c>
      <c r="C507">
        <f>IF(A507="","",'KG1-1'!$B$2)</f>
        <v/>
      </c>
      <c r="D507" s="126">
        <f t="array" ref="D507">IF(A507="","",IFERROR(SMALL(IF((('KG1-1'!$AD34:$IM34="غياب بدون عذر")+('KG1-1'!$AD34:$IM34="غياب بعذر"))*('KG1-1'!$AD$7:$IM$7="✓"),'KG1-1'!$AD$5:$IM$5),6),""))</f>
        <v/>
      </c>
      <c r="E507">
        <f>IF(D507="","",INDEX('KG1-1'!$AD34:$IM34,MATCH(D507,'KG1-1'!$AD$5:$IM$5,0)))</f>
        <v/>
      </c>
      <c r="F507">
        <f>IF(D507="","",COUNTIFS('KG1-1'!$AD34:$IM34,"غياب بدون عذر",'KG1-1'!$AD$7:$IM$7,"✓",'KG1-1'!$AD$5:$IM$5,"&lt;="&amp;D507))</f>
        <v/>
      </c>
      <c r="G507">
        <f>G506+IF(D507="",0,1)</f>
        <v/>
      </c>
    </row>
    <row r="508">
      <c r="A508">
        <f>IF('KG1-1'!$B34="","",'KG1-1'!$B34)</f>
        <v/>
      </c>
      <c r="B508">
        <f>IF(A508="","",'KG1-1'!$C34)</f>
        <v/>
      </c>
      <c r="C508">
        <f>IF(A508="","",'KG1-1'!$B$2)</f>
        <v/>
      </c>
      <c r="D508" s="126">
        <f t="array" ref="D508">IF(A508="","",IFERROR(SMALL(IF((('KG1-1'!$AD34:$IM34="غياب بدون عذر")+('KG1-1'!$AD34:$IM34="غياب بعذر"))*('KG1-1'!$AD$7:$IM$7="✓"),'KG1-1'!$AD$5:$IM$5),7),""))</f>
        <v/>
      </c>
      <c r="E508">
        <f>IF(D508="","",INDEX('KG1-1'!$AD34:$IM34,MATCH(D508,'KG1-1'!$AD$5:$IM$5,0)))</f>
        <v/>
      </c>
      <c r="F508">
        <f>IF(D508="","",COUNTIFS('KG1-1'!$AD34:$IM34,"غياب بدون عذر",'KG1-1'!$AD$7:$IM$7,"✓",'KG1-1'!$AD$5:$IM$5,"&lt;="&amp;D508))</f>
        <v/>
      </c>
      <c r="G508">
        <f>G507+IF(D508="",0,1)</f>
        <v/>
      </c>
    </row>
    <row r="509">
      <c r="A509">
        <f>IF('KG1-1'!$B34="","",'KG1-1'!$B34)</f>
        <v/>
      </c>
      <c r="B509">
        <f>IF(A509="","",'KG1-1'!$C34)</f>
        <v/>
      </c>
      <c r="C509">
        <f>IF(A509="","",'KG1-1'!$B$2)</f>
        <v/>
      </c>
      <c r="D509" s="126">
        <f t="array" ref="D509">IF(A509="","",IFERROR(SMALL(IF((('KG1-1'!$AD34:$IM34="غياب بدون عذر")+('KG1-1'!$AD34:$IM34="غياب بعذر"))*('KG1-1'!$AD$7:$IM$7="✓"),'KG1-1'!$AD$5:$IM$5),8),""))</f>
        <v/>
      </c>
      <c r="E509">
        <f>IF(D509="","",INDEX('KG1-1'!$AD34:$IM34,MATCH(D509,'KG1-1'!$AD$5:$IM$5,0)))</f>
        <v/>
      </c>
      <c r="F509">
        <f>IF(D509="","",COUNTIFS('KG1-1'!$AD34:$IM34,"غياب بدون عذر",'KG1-1'!$AD$7:$IM$7,"✓",'KG1-1'!$AD$5:$IM$5,"&lt;="&amp;D509))</f>
        <v/>
      </c>
      <c r="G509">
        <f>G508+IF(D509="",0,1)</f>
        <v/>
      </c>
    </row>
    <row r="510">
      <c r="A510">
        <f>IF('KG1-1'!$B34="","",'KG1-1'!$B34)</f>
        <v/>
      </c>
      <c r="B510">
        <f>IF(A510="","",'KG1-1'!$C34)</f>
        <v/>
      </c>
      <c r="C510">
        <f>IF(A510="","",'KG1-1'!$B$2)</f>
        <v/>
      </c>
      <c r="D510" s="126">
        <f t="array" ref="D510">IF(A510="","",IFERROR(SMALL(IF((('KG1-1'!$AD34:$IM34="غياب بدون عذر")+('KG1-1'!$AD34:$IM34="غياب بعذر"))*('KG1-1'!$AD$7:$IM$7="✓"),'KG1-1'!$AD$5:$IM$5),9),""))</f>
        <v/>
      </c>
      <c r="E510">
        <f>IF(D510="","",INDEX('KG1-1'!$AD34:$IM34,MATCH(D510,'KG1-1'!$AD$5:$IM$5,0)))</f>
        <v/>
      </c>
      <c r="F510">
        <f>IF(D510="","",COUNTIFS('KG1-1'!$AD34:$IM34,"غياب بدون عذر",'KG1-1'!$AD$7:$IM$7,"✓",'KG1-1'!$AD$5:$IM$5,"&lt;="&amp;D510))</f>
        <v/>
      </c>
      <c r="G510">
        <f>G509+IF(D510="",0,1)</f>
        <v/>
      </c>
    </row>
    <row r="511">
      <c r="A511">
        <f>IF('KG1-1'!$B34="","",'KG1-1'!$B34)</f>
        <v/>
      </c>
      <c r="B511">
        <f>IF(A511="","",'KG1-1'!$C34)</f>
        <v/>
      </c>
      <c r="C511">
        <f>IF(A511="","",'KG1-1'!$B$2)</f>
        <v/>
      </c>
      <c r="D511" s="126">
        <f t="array" ref="D511">IF(A511="","",IFERROR(SMALL(IF((('KG1-1'!$AD34:$IM34="غياب بدون عذر")+('KG1-1'!$AD34:$IM34="غياب بعذر"))*('KG1-1'!$AD$7:$IM$7="✓"),'KG1-1'!$AD$5:$IM$5),10),""))</f>
        <v/>
      </c>
      <c r="E511">
        <f>IF(D511="","",INDEX('KG1-1'!$AD34:$IM34,MATCH(D511,'KG1-1'!$AD$5:$IM$5,0)))</f>
        <v/>
      </c>
      <c r="F511">
        <f>IF(D511="","",COUNTIFS('KG1-1'!$AD34:$IM34,"غياب بدون عذر",'KG1-1'!$AD$7:$IM$7,"✓",'KG1-1'!$AD$5:$IM$5,"&lt;="&amp;D511))</f>
        <v/>
      </c>
      <c r="G511">
        <f>G510+IF(D511="",0,1)</f>
        <v/>
      </c>
    </row>
    <row r="512">
      <c r="A512">
        <f>IF('KG1-1'!$B34="","",'KG1-1'!$B34)</f>
        <v/>
      </c>
      <c r="B512">
        <f>IF(A512="","",'KG1-1'!$C34)</f>
        <v/>
      </c>
      <c r="C512">
        <f>IF(A512="","",'KG1-1'!$B$2)</f>
        <v/>
      </c>
      <c r="D512" s="126">
        <f t="array" ref="D512">IF(A512="","",IFERROR(SMALL(IF((('KG1-1'!$AD34:$IM34="غياب بدون عذر")+('KG1-1'!$AD34:$IM34="غياب بعذر"))*('KG1-1'!$AD$7:$IM$7="✓"),'KG1-1'!$AD$5:$IM$5),11),""))</f>
        <v/>
      </c>
      <c r="E512">
        <f>IF(D512="","",INDEX('KG1-1'!$AD34:$IM34,MATCH(D512,'KG1-1'!$AD$5:$IM$5,0)))</f>
        <v/>
      </c>
      <c r="F512">
        <f>IF(D512="","",COUNTIFS('KG1-1'!$AD34:$IM34,"غياب بدون عذر",'KG1-1'!$AD$7:$IM$7,"✓",'KG1-1'!$AD$5:$IM$5,"&lt;="&amp;D512))</f>
        <v/>
      </c>
      <c r="G512">
        <f>G511+IF(D512="",0,1)</f>
        <v/>
      </c>
    </row>
    <row r="513">
      <c r="A513">
        <f>IF('KG1-1'!$B34="","",'KG1-1'!$B34)</f>
        <v/>
      </c>
      <c r="B513">
        <f>IF(A513="","",'KG1-1'!$C34)</f>
        <v/>
      </c>
      <c r="C513">
        <f>IF(A513="","",'KG1-1'!$B$2)</f>
        <v/>
      </c>
      <c r="D513" s="126">
        <f t="array" ref="D513">IF(A513="","",IFERROR(SMALL(IF((('KG1-1'!$AD34:$IM34="غياب بدون عذر")+('KG1-1'!$AD34:$IM34="غياب بعذر"))*('KG1-1'!$AD$7:$IM$7="✓"),'KG1-1'!$AD$5:$IM$5),12),""))</f>
        <v/>
      </c>
      <c r="E513">
        <f>IF(D513="","",INDEX('KG1-1'!$AD34:$IM34,MATCH(D513,'KG1-1'!$AD$5:$IM$5,0)))</f>
        <v/>
      </c>
      <c r="F513">
        <f>IF(D513="","",COUNTIFS('KG1-1'!$AD34:$IM34,"غياب بدون عذر",'KG1-1'!$AD$7:$IM$7,"✓",'KG1-1'!$AD$5:$IM$5,"&lt;="&amp;D513))</f>
        <v/>
      </c>
      <c r="G513">
        <f>G512+IF(D513="",0,1)</f>
        <v/>
      </c>
    </row>
    <row r="514">
      <c r="A514">
        <f>IF('KG1-1'!$B34="","",'KG1-1'!$B34)</f>
        <v/>
      </c>
      <c r="B514">
        <f>IF(A514="","",'KG1-1'!$C34)</f>
        <v/>
      </c>
      <c r="C514">
        <f>IF(A514="","",'KG1-1'!$B$2)</f>
        <v/>
      </c>
      <c r="D514" s="126">
        <f t="array" ref="D514">IF(A514="","",IFERROR(SMALL(IF((('KG1-1'!$AD34:$IM34="غياب بدون عذر")+('KG1-1'!$AD34:$IM34="غياب بعذر"))*('KG1-1'!$AD$7:$IM$7="✓"),'KG1-1'!$AD$5:$IM$5),13),""))</f>
        <v/>
      </c>
      <c r="E514">
        <f>IF(D514="","",INDEX('KG1-1'!$AD34:$IM34,MATCH(D514,'KG1-1'!$AD$5:$IM$5,0)))</f>
        <v/>
      </c>
      <c r="F514">
        <f>IF(D514="","",COUNTIFS('KG1-1'!$AD34:$IM34,"غياب بدون عذر",'KG1-1'!$AD$7:$IM$7,"✓",'KG1-1'!$AD$5:$IM$5,"&lt;="&amp;D514))</f>
        <v/>
      </c>
      <c r="G514">
        <f>G513+IF(D514="",0,1)</f>
        <v/>
      </c>
    </row>
    <row r="515">
      <c r="A515">
        <f>IF('KG1-1'!$B34="","",'KG1-1'!$B34)</f>
        <v/>
      </c>
      <c r="B515">
        <f>IF(A515="","",'KG1-1'!$C34)</f>
        <v/>
      </c>
      <c r="C515">
        <f>IF(A515="","",'KG1-1'!$B$2)</f>
        <v/>
      </c>
      <c r="D515" s="126">
        <f t="array" ref="D515">IF(A515="","",IFERROR(SMALL(IF((('KG1-1'!$AD34:$IM34="غياب بدون عذر")+('KG1-1'!$AD34:$IM34="غياب بعذر"))*('KG1-1'!$AD$7:$IM$7="✓"),'KG1-1'!$AD$5:$IM$5),14),""))</f>
        <v/>
      </c>
      <c r="E515">
        <f>IF(D515="","",INDEX('KG1-1'!$AD34:$IM34,MATCH(D515,'KG1-1'!$AD$5:$IM$5,0)))</f>
        <v/>
      </c>
      <c r="F515">
        <f>IF(D515="","",COUNTIFS('KG1-1'!$AD34:$IM34,"غياب بدون عذر",'KG1-1'!$AD$7:$IM$7,"✓",'KG1-1'!$AD$5:$IM$5,"&lt;="&amp;D515))</f>
        <v/>
      </c>
      <c r="G515">
        <f>G514+IF(D515="",0,1)</f>
        <v/>
      </c>
    </row>
    <row r="516">
      <c r="A516">
        <f>IF('KG1-1'!$B34="","",'KG1-1'!$B34)</f>
        <v/>
      </c>
      <c r="B516">
        <f>IF(A516="","",'KG1-1'!$C34)</f>
        <v/>
      </c>
      <c r="C516">
        <f>IF(A516="","",'KG1-1'!$B$2)</f>
        <v/>
      </c>
      <c r="D516" s="126">
        <f t="array" ref="D516">IF(A516="","",IFERROR(SMALL(IF((('KG1-1'!$AD34:$IM34="غياب بدون عذر")+('KG1-1'!$AD34:$IM34="غياب بعذر"))*('KG1-1'!$AD$7:$IM$7="✓"),'KG1-1'!$AD$5:$IM$5),15),""))</f>
        <v/>
      </c>
      <c r="E516">
        <f>IF(D516="","",INDEX('KG1-1'!$AD34:$IM34,MATCH(D516,'KG1-1'!$AD$5:$IM$5,0)))</f>
        <v/>
      </c>
      <c r="F516">
        <f>IF(D516="","",COUNTIFS('KG1-1'!$AD34:$IM34,"غياب بدون عذر",'KG1-1'!$AD$7:$IM$7,"✓",'KG1-1'!$AD$5:$IM$5,"&lt;="&amp;D516))</f>
        <v/>
      </c>
      <c r="G516">
        <f>G515+IF(D516="",0,1)</f>
        <v/>
      </c>
    </row>
    <row r="517">
      <c r="A517">
        <f>IF('KG1-1'!$B34="","",'KG1-1'!$B34)</f>
        <v/>
      </c>
      <c r="B517">
        <f>IF(A517="","",'KG1-1'!$C34)</f>
        <v/>
      </c>
      <c r="C517">
        <f>IF(A517="","",'KG1-1'!$B$2)</f>
        <v/>
      </c>
      <c r="D517" s="126">
        <f t="array" ref="D517">IF(A517="","",IFERROR(SMALL(IF((('KG1-1'!$AD34:$IM34="غياب بدون عذر")+('KG1-1'!$AD34:$IM34="غياب بعذر"))*('KG1-1'!$AD$7:$IM$7="✓"),'KG1-1'!$AD$5:$IM$5),16),""))</f>
        <v/>
      </c>
      <c r="E517">
        <f>IF(D517="","",INDEX('KG1-1'!$AD34:$IM34,MATCH(D517,'KG1-1'!$AD$5:$IM$5,0)))</f>
        <v/>
      </c>
      <c r="F517">
        <f>IF(D517="","",COUNTIFS('KG1-1'!$AD34:$IM34,"غياب بدون عذر",'KG1-1'!$AD$7:$IM$7,"✓",'KG1-1'!$AD$5:$IM$5,"&lt;="&amp;D517))</f>
        <v/>
      </c>
      <c r="G517">
        <f>G516+IF(D517="",0,1)</f>
        <v/>
      </c>
    </row>
    <row r="518">
      <c r="A518">
        <f>IF('KG1-1'!$B34="","",'KG1-1'!$B34)</f>
        <v/>
      </c>
      <c r="B518">
        <f>IF(A518="","",'KG1-1'!$C34)</f>
        <v/>
      </c>
      <c r="C518">
        <f>IF(A518="","",'KG1-1'!$B$2)</f>
        <v/>
      </c>
      <c r="D518" s="126">
        <f t="array" ref="D518">IF(A518="","",IFERROR(SMALL(IF((('KG1-1'!$AD34:$IM34="غياب بدون عذر")+('KG1-1'!$AD34:$IM34="غياب بعذر"))*('KG1-1'!$AD$7:$IM$7="✓"),'KG1-1'!$AD$5:$IM$5),17),""))</f>
        <v/>
      </c>
      <c r="E518">
        <f>IF(D518="","",INDEX('KG1-1'!$AD34:$IM34,MATCH(D518,'KG1-1'!$AD$5:$IM$5,0)))</f>
        <v/>
      </c>
      <c r="F518">
        <f>IF(D518="","",COUNTIFS('KG1-1'!$AD34:$IM34,"غياب بدون عذر",'KG1-1'!$AD$7:$IM$7,"✓",'KG1-1'!$AD$5:$IM$5,"&lt;="&amp;D518))</f>
        <v/>
      </c>
      <c r="G518">
        <f>G517+IF(D518="",0,1)</f>
        <v/>
      </c>
    </row>
    <row r="519">
      <c r="A519">
        <f>IF('KG1-1'!$B34="","",'KG1-1'!$B34)</f>
        <v/>
      </c>
      <c r="B519">
        <f>IF(A519="","",'KG1-1'!$C34)</f>
        <v/>
      </c>
      <c r="C519">
        <f>IF(A519="","",'KG1-1'!$B$2)</f>
        <v/>
      </c>
      <c r="D519" s="126">
        <f t="array" ref="D519">IF(A519="","",IFERROR(SMALL(IF((('KG1-1'!$AD34:$IM34="غياب بدون عذر")+('KG1-1'!$AD34:$IM34="غياب بعذر"))*('KG1-1'!$AD$7:$IM$7="✓"),'KG1-1'!$AD$5:$IM$5),18),""))</f>
        <v/>
      </c>
      <c r="E519">
        <f>IF(D519="","",INDEX('KG1-1'!$AD34:$IM34,MATCH(D519,'KG1-1'!$AD$5:$IM$5,0)))</f>
        <v/>
      </c>
      <c r="F519">
        <f>IF(D519="","",COUNTIFS('KG1-1'!$AD34:$IM34,"غياب بدون عذر",'KG1-1'!$AD$7:$IM$7,"✓",'KG1-1'!$AD$5:$IM$5,"&lt;="&amp;D519))</f>
        <v/>
      </c>
      <c r="G519">
        <f>G518+IF(D519="",0,1)</f>
        <v/>
      </c>
    </row>
    <row r="520">
      <c r="A520">
        <f>IF('KG1-1'!$B34="","",'KG1-1'!$B34)</f>
        <v/>
      </c>
      <c r="B520">
        <f>IF(A520="","",'KG1-1'!$C34)</f>
        <v/>
      </c>
      <c r="C520">
        <f>IF(A520="","",'KG1-1'!$B$2)</f>
        <v/>
      </c>
      <c r="D520" s="126">
        <f t="array" ref="D520">IF(A520="","",IFERROR(SMALL(IF((('KG1-1'!$AD34:$IM34="غياب بدون عذر")+('KG1-1'!$AD34:$IM34="غياب بعذر"))*('KG1-1'!$AD$7:$IM$7="✓"),'KG1-1'!$AD$5:$IM$5),19),""))</f>
        <v/>
      </c>
      <c r="E520">
        <f>IF(D520="","",INDEX('KG1-1'!$AD34:$IM34,MATCH(D520,'KG1-1'!$AD$5:$IM$5,0)))</f>
        <v/>
      </c>
      <c r="F520">
        <f>IF(D520="","",COUNTIFS('KG1-1'!$AD34:$IM34,"غياب بدون عذر",'KG1-1'!$AD$7:$IM$7,"✓",'KG1-1'!$AD$5:$IM$5,"&lt;="&amp;D520))</f>
        <v/>
      </c>
      <c r="G520">
        <f>G519+IF(D520="",0,1)</f>
        <v/>
      </c>
    </row>
    <row r="521">
      <c r="A521">
        <f>IF('KG1-1'!$B34="","",'KG1-1'!$B34)</f>
        <v/>
      </c>
      <c r="B521">
        <f>IF(A521="","",'KG1-1'!$C34)</f>
        <v/>
      </c>
      <c r="C521">
        <f>IF(A521="","",'KG1-1'!$B$2)</f>
        <v/>
      </c>
      <c r="D521" s="126">
        <f t="array" ref="D521">IF(A521="","",IFERROR(SMALL(IF((('KG1-1'!$AD34:$IM34="غياب بدون عذر")+('KG1-1'!$AD34:$IM34="غياب بعذر"))*('KG1-1'!$AD$7:$IM$7="✓"),'KG1-1'!$AD$5:$IM$5),20),""))</f>
        <v/>
      </c>
      <c r="E521">
        <f>IF(D521="","",INDEX('KG1-1'!$AD34:$IM34,MATCH(D521,'KG1-1'!$AD$5:$IM$5,0)))</f>
        <v/>
      </c>
      <c r="F521">
        <f>IF(D521="","",COUNTIFS('KG1-1'!$AD34:$IM34,"غياب بدون عذر",'KG1-1'!$AD$7:$IM$7,"✓",'KG1-1'!$AD$5:$IM$5,"&lt;="&amp;D521))</f>
        <v/>
      </c>
      <c r="G521">
        <f>G520+IF(D521="",0,1)</f>
        <v/>
      </c>
    </row>
    <row r="522">
      <c r="A522">
        <f>IF('KG1-1'!$B35="","",'KG1-1'!$B35)</f>
        <v/>
      </c>
      <c r="B522">
        <f>IF(A522="","",'KG1-1'!$C35)</f>
        <v/>
      </c>
      <c r="C522">
        <f>IF(A522="","",'KG1-1'!$B$2)</f>
        <v/>
      </c>
      <c r="D522" s="126">
        <f t="array" ref="D522">IF(A522="","",IFERROR(SMALL(IF((('KG1-1'!$AD35:$IM35="غياب بدون عذر")+('KG1-1'!$AD35:$IM35="غياب بعذر"))*('KG1-1'!$AD$7:$IM$7="✓"),'KG1-1'!$AD$5:$IM$5),1),""))</f>
        <v/>
      </c>
      <c r="E522">
        <f>IF(D522="","",INDEX('KG1-1'!$AD35:$IM35,MATCH(D522,'KG1-1'!$AD$5:$IM$5,0)))</f>
        <v/>
      </c>
      <c r="F522">
        <f>IF(D522="","",COUNTIFS('KG1-1'!$AD35:$IM35,"غياب بدون عذر",'KG1-1'!$AD$7:$IM$7,"✓",'KG1-1'!$AD$5:$IM$5,"&lt;="&amp;D522))</f>
        <v/>
      </c>
      <c r="G522">
        <f>G521+IF(D522="",0,1)</f>
        <v/>
      </c>
    </row>
    <row r="523">
      <c r="A523">
        <f>IF('KG1-1'!$B35="","",'KG1-1'!$B35)</f>
        <v/>
      </c>
      <c r="B523">
        <f>IF(A523="","",'KG1-1'!$C35)</f>
        <v/>
      </c>
      <c r="C523">
        <f>IF(A523="","",'KG1-1'!$B$2)</f>
        <v/>
      </c>
      <c r="D523" s="126">
        <f t="array" ref="D523">IF(A523="","",IFERROR(SMALL(IF((('KG1-1'!$AD35:$IM35="غياب بدون عذر")+('KG1-1'!$AD35:$IM35="غياب بعذر"))*('KG1-1'!$AD$7:$IM$7="✓"),'KG1-1'!$AD$5:$IM$5),2),""))</f>
        <v/>
      </c>
      <c r="E523">
        <f>IF(D523="","",INDEX('KG1-1'!$AD35:$IM35,MATCH(D523,'KG1-1'!$AD$5:$IM$5,0)))</f>
        <v/>
      </c>
      <c r="F523">
        <f>IF(D523="","",COUNTIFS('KG1-1'!$AD35:$IM35,"غياب بدون عذر",'KG1-1'!$AD$7:$IM$7,"✓",'KG1-1'!$AD$5:$IM$5,"&lt;="&amp;D523))</f>
        <v/>
      </c>
      <c r="G523">
        <f>G522+IF(D523="",0,1)</f>
        <v/>
      </c>
    </row>
    <row r="524">
      <c r="A524">
        <f>IF('KG1-1'!$B35="","",'KG1-1'!$B35)</f>
        <v/>
      </c>
      <c r="B524">
        <f>IF(A524="","",'KG1-1'!$C35)</f>
        <v/>
      </c>
      <c r="C524">
        <f>IF(A524="","",'KG1-1'!$B$2)</f>
        <v/>
      </c>
      <c r="D524" s="126">
        <f t="array" ref="D524">IF(A524="","",IFERROR(SMALL(IF((('KG1-1'!$AD35:$IM35="غياب بدون عذر")+('KG1-1'!$AD35:$IM35="غياب بعذر"))*('KG1-1'!$AD$7:$IM$7="✓"),'KG1-1'!$AD$5:$IM$5),3),""))</f>
        <v/>
      </c>
      <c r="E524">
        <f>IF(D524="","",INDEX('KG1-1'!$AD35:$IM35,MATCH(D524,'KG1-1'!$AD$5:$IM$5,0)))</f>
        <v/>
      </c>
      <c r="F524">
        <f>IF(D524="","",COUNTIFS('KG1-1'!$AD35:$IM35,"غياب بدون عذر",'KG1-1'!$AD$7:$IM$7,"✓",'KG1-1'!$AD$5:$IM$5,"&lt;="&amp;D524))</f>
        <v/>
      </c>
      <c r="G524">
        <f>G523+IF(D524="",0,1)</f>
        <v/>
      </c>
    </row>
    <row r="525">
      <c r="A525">
        <f>IF('KG1-1'!$B35="","",'KG1-1'!$B35)</f>
        <v/>
      </c>
      <c r="B525">
        <f>IF(A525="","",'KG1-1'!$C35)</f>
        <v/>
      </c>
      <c r="C525">
        <f>IF(A525="","",'KG1-1'!$B$2)</f>
        <v/>
      </c>
      <c r="D525" s="126">
        <f t="array" ref="D525">IF(A525="","",IFERROR(SMALL(IF((('KG1-1'!$AD35:$IM35="غياب بدون عذر")+('KG1-1'!$AD35:$IM35="غياب بعذر"))*('KG1-1'!$AD$7:$IM$7="✓"),'KG1-1'!$AD$5:$IM$5),4),""))</f>
        <v/>
      </c>
      <c r="E525">
        <f>IF(D525="","",INDEX('KG1-1'!$AD35:$IM35,MATCH(D525,'KG1-1'!$AD$5:$IM$5,0)))</f>
        <v/>
      </c>
      <c r="F525">
        <f>IF(D525="","",COUNTIFS('KG1-1'!$AD35:$IM35,"غياب بدون عذر",'KG1-1'!$AD$7:$IM$7,"✓",'KG1-1'!$AD$5:$IM$5,"&lt;="&amp;D525))</f>
        <v/>
      </c>
      <c r="G525">
        <f>G524+IF(D525="",0,1)</f>
        <v/>
      </c>
    </row>
    <row r="526">
      <c r="A526">
        <f>IF('KG1-1'!$B35="","",'KG1-1'!$B35)</f>
        <v/>
      </c>
      <c r="B526">
        <f>IF(A526="","",'KG1-1'!$C35)</f>
        <v/>
      </c>
      <c r="C526">
        <f>IF(A526="","",'KG1-1'!$B$2)</f>
        <v/>
      </c>
      <c r="D526" s="126">
        <f t="array" ref="D526">IF(A526="","",IFERROR(SMALL(IF((('KG1-1'!$AD35:$IM35="غياب بدون عذر")+('KG1-1'!$AD35:$IM35="غياب بعذر"))*('KG1-1'!$AD$7:$IM$7="✓"),'KG1-1'!$AD$5:$IM$5),5),""))</f>
        <v/>
      </c>
      <c r="E526">
        <f>IF(D526="","",INDEX('KG1-1'!$AD35:$IM35,MATCH(D526,'KG1-1'!$AD$5:$IM$5,0)))</f>
        <v/>
      </c>
      <c r="F526">
        <f>IF(D526="","",COUNTIFS('KG1-1'!$AD35:$IM35,"غياب بدون عذر",'KG1-1'!$AD$7:$IM$7,"✓",'KG1-1'!$AD$5:$IM$5,"&lt;="&amp;D526))</f>
        <v/>
      </c>
      <c r="G526">
        <f>G525+IF(D526="",0,1)</f>
        <v/>
      </c>
    </row>
    <row r="527">
      <c r="A527">
        <f>IF('KG1-1'!$B35="","",'KG1-1'!$B35)</f>
        <v/>
      </c>
      <c r="B527">
        <f>IF(A527="","",'KG1-1'!$C35)</f>
        <v/>
      </c>
      <c r="C527">
        <f>IF(A527="","",'KG1-1'!$B$2)</f>
        <v/>
      </c>
      <c r="D527" s="126">
        <f t="array" ref="D527">IF(A527="","",IFERROR(SMALL(IF((('KG1-1'!$AD35:$IM35="غياب بدون عذر")+('KG1-1'!$AD35:$IM35="غياب بعذر"))*('KG1-1'!$AD$7:$IM$7="✓"),'KG1-1'!$AD$5:$IM$5),6),""))</f>
        <v/>
      </c>
      <c r="E527">
        <f>IF(D527="","",INDEX('KG1-1'!$AD35:$IM35,MATCH(D527,'KG1-1'!$AD$5:$IM$5,0)))</f>
        <v/>
      </c>
      <c r="F527">
        <f>IF(D527="","",COUNTIFS('KG1-1'!$AD35:$IM35,"غياب بدون عذر",'KG1-1'!$AD$7:$IM$7,"✓",'KG1-1'!$AD$5:$IM$5,"&lt;="&amp;D527))</f>
        <v/>
      </c>
      <c r="G527">
        <f>G526+IF(D527="",0,1)</f>
        <v/>
      </c>
    </row>
    <row r="528">
      <c r="A528">
        <f>IF('KG1-1'!$B35="","",'KG1-1'!$B35)</f>
        <v/>
      </c>
      <c r="B528">
        <f>IF(A528="","",'KG1-1'!$C35)</f>
        <v/>
      </c>
      <c r="C528">
        <f>IF(A528="","",'KG1-1'!$B$2)</f>
        <v/>
      </c>
      <c r="D528" s="126">
        <f t="array" ref="D528">IF(A528="","",IFERROR(SMALL(IF((('KG1-1'!$AD35:$IM35="غياب بدون عذر")+('KG1-1'!$AD35:$IM35="غياب بعذر"))*('KG1-1'!$AD$7:$IM$7="✓"),'KG1-1'!$AD$5:$IM$5),7),""))</f>
        <v/>
      </c>
      <c r="E528">
        <f>IF(D528="","",INDEX('KG1-1'!$AD35:$IM35,MATCH(D528,'KG1-1'!$AD$5:$IM$5,0)))</f>
        <v/>
      </c>
      <c r="F528">
        <f>IF(D528="","",COUNTIFS('KG1-1'!$AD35:$IM35,"غياب بدون عذر",'KG1-1'!$AD$7:$IM$7,"✓",'KG1-1'!$AD$5:$IM$5,"&lt;="&amp;D528))</f>
        <v/>
      </c>
      <c r="G528">
        <f>G527+IF(D528="",0,1)</f>
        <v/>
      </c>
    </row>
    <row r="529">
      <c r="A529">
        <f>IF('KG1-1'!$B35="","",'KG1-1'!$B35)</f>
        <v/>
      </c>
      <c r="B529">
        <f>IF(A529="","",'KG1-1'!$C35)</f>
        <v/>
      </c>
      <c r="C529">
        <f>IF(A529="","",'KG1-1'!$B$2)</f>
        <v/>
      </c>
      <c r="D529" s="126">
        <f t="array" ref="D529">IF(A529="","",IFERROR(SMALL(IF((('KG1-1'!$AD35:$IM35="غياب بدون عذر")+('KG1-1'!$AD35:$IM35="غياب بعذر"))*('KG1-1'!$AD$7:$IM$7="✓"),'KG1-1'!$AD$5:$IM$5),8),""))</f>
        <v/>
      </c>
      <c r="E529">
        <f>IF(D529="","",INDEX('KG1-1'!$AD35:$IM35,MATCH(D529,'KG1-1'!$AD$5:$IM$5,0)))</f>
        <v/>
      </c>
      <c r="F529">
        <f>IF(D529="","",COUNTIFS('KG1-1'!$AD35:$IM35,"غياب بدون عذر",'KG1-1'!$AD$7:$IM$7,"✓",'KG1-1'!$AD$5:$IM$5,"&lt;="&amp;D529))</f>
        <v/>
      </c>
      <c r="G529">
        <f>G528+IF(D529="",0,1)</f>
        <v/>
      </c>
    </row>
    <row r="530">
      <c r="A530">
        <f>IF('KG1-1'!$B35="","",'KG1-1'!$B35)</f>
        <v/>
      </c>
      <c r="B530">
        <f>IF(A530="","",'KG1-1'!$C35)</f>
        <v/>
      </c>
      <c r="C530">
        <f>IF(A530="","",'KG1-1'!$B$2)</f>
        <v/>
      </c>
      <c r="D530" s="126">
        <f t="array" ref="D530">IF(A530="","",IFERROR(SMALL(IF((('KG1-1'!$AD35:$IM35="غياب بدون عذر")+('KG1-1'!$AD35:$IM35="غياب بعذر"))*('KG1-1'!$AD$7:$IM$7="✓"),'KG1-1'!$AD$5:$IM$5),9),""))</f>
        <v/>
      </c>
      <c r="E530">
        <f>IF(D530="","",INDEX('KG1-1'!$AD35:$IM35,MATCH(D530,'KG1-1'!$AD$5:$IM$5,0)))</f>
        <v/>
      </c>
      <c r="F530">
        <f>IF(D530="","",COUNTIFS('KG1-1'!$AD35:$IM35,"غياب بدون عذر",'KG1-1'!$AD$7:$IM$7,"✓",'KG1-1'!$AD$5:$IM$5,"&lt;="&amp;D530))</f>
        <v/>
      </c>
      <c r="G530">
        <f>G529+IF(D530="",0,1)</f>
        <v/>
      </c>
    </row>
    <row r="531">
      <c r="A531">
        <f>IF('KG1-1'!$B35="","",'KG1-1'!$B35)</f>
        <v/>
      </c>
      <c r="B531">
        <f>IF(A531="","",'KG1-1'!$C35)</f>
        <v/>
      </c>
      <c r="C531">
        <f>IF(A531="","",'KG1-1'!$B$2)</f>
        <v/>
      </c>
      <c r="D531" s="126">
        <f t="array" ref="D531">IF(A531="","",IFERROR(SMALL(IF((('KG1-1'!$AD35:$IM35="غياب بدون عذر")+('KG1-1'!$AD35:$IM35="غياب بعذر"))*('KG1-1'!$AD$7:$IM$7="✓"),'KG1-1'!$AD$5:$IM$5),10),""))</f>
        <v/>
      </c>
      <c r="E531">
        <f>IF(D531="","",INDEX('KG1-1'!$AD35:$IM35,MATCH(D531,'KG1-1'!$AD$5:$IM$5,0)))</f>
        <v/>
      </c>
      <c r="F531">
        <f>IF(D531="","",COUNTIFS('KG1-1'!$AD35:$IM35,"غياب بدون عذر",'KG1-1'!$AD$7:$IM$7,"✓",'KG1-1'!$AD$5:$IM$5,"&lt;="&amp;D531))</f>
        <v/>
      </c>
      <c r="G531">
        <f>G530+IF(D531="",0,1)</f>
        <v/>
      </c>
    </row>
    <row r="532">
      <c r="A532">
        <f>IF('KG1-1'!$B35="","",'KG1-1'!$B35)</f>
        <v/>
      </c>
      <c r="B532">
        <f>IF(A532="","",'KG1-1'!$C35)</f>
        <v/>
      </c>
      <c r="C532">
        <f>IF(A532="","",'KG1-1'!$B$2)</f>
        <v/>
      </c>
      <c r="D532" s="126">
        <f t="array" ref="D532">IF(A532="","",IFERROR(SMALL(IF((('KG1-1'!$AD35:$IM35="غياب بدون عذر")+('KG1-1'!$AD35:$IM35="غياب بعذر"))*('KG1-1'!$AD$7:$IM$7="✓"),'KG1-1'!$AD$5:$IM$5),11),""))</f>
        <v/>
      </c>
      <c r="E532">
        <f>IF(D532="","",INDEX('KG1-1'!$AD35:$IM35,MATCH(D532,'KG1-1'!$AD$5:$IM$5,0)))</f>
        <v/>
      </c>
      <c r="F532">
        <f>IF(D532="","",COUNTIFS('KG1-1'!$AD35:$IM35,"غياب بدون عذر",'KG1-1'!$AD$7:$IM$7,"✓",'KG1-1'!$AD$5:$IM$5,"&lt;="&amp;D532))</f>
        <v/>
      </c>
      <c r="G532">
        <f>G531+IF(D532="",0,1)</f>
        <v/>
      </c>
    </row>
    <row r="533">
      <c r="A533">
        <f>IF('KG1-1'!$B35="","",'KG1-1'!$B35)</f>
        <v/>
      </c>
      <c r="B533">
        <f>IF(A533="","",'KG1-1'!$C35)</f>
        <v/>
      </c>
      <c r="C533">
        <f>IF(A533="","",'KG1-1'!$B$2)</f>
        <v/>
      </c>
      <c r="D533" s="126">
        <f t="array" ref="D533">IF(A533="","",IFERROR(SMALL(IF((('KG1-1'!$AD35:$IM35="غياب بدون عذر")+('KG1-1'!$AD35:$IM35="غياب بعذر"))*('KG1-1'!$AD$7:$IM$7="✓"),'KG1-1'!$AD$5:$IM$5),12),""))</f>
        <v/>
      </c>
      <c r="E533">
        <f>IF(D533="","",INDEX('KG1-1'!$AD35:$IM35,MATCH(D533,'KG1-1'!$AD$5:$IM$5,0)))</f>
        <v/>
      </c>
      <c r="F533">
        <f>IF(D533="","",COUNTIFS('KG1-1'!$AD35:$IM35,"غياب بدون عذر",'KG1-1'!$AD$7:$IM$7,"✓",'KG1-1'!$AD$5:$IM$5,"&lt;="&amp;D533))</f>
        <v/>
      </c>
      <c r="G533">
        <f>G532+IF(D533="",0,1)</f>
        <v/>
      </c>
    </row>
    <row r="534">
      <c r="A534">
        <f>IF('KG1-1'!$B35="","",'KG1-1'!$B35)</f>
        <v/>
      </c>
      <c r="B534">
        <f>IF(A534="","",'KG1-1'!$C35)</f>
        <v/>
      </c>
      <c r="C534">
        <f>IF(A534="","",'KG1-1'!$B$2)</f>
        <v/>
      </c>
      <c r="D534" s="126">
        <f t="array" ref="D534">IF(A534="","",IFERROR(SMALL(IF((('KG1-1'!$AD35:$IM35="غياب بدون عذر")+('KG1-1'!$AD35:$IM35="غياب بعذر"))*('KG1-1'!$AD$7:$IM$7="✓"),'KG1-1'!$AD$5:$IM$5),13),""))</f>
        <v/>
      </c>
      <c r="E534">
        <f>IF(D534="","",INDEX('KG1-1'!$AD35:$IM35,MATCH(D534,'KG1-1'!$AD$5:$IM$5,0)))</f>
        <v/>
      </c>
      <c r="F534">
        <f>IF(D534="","",COUNTIFS('KG1-1'!$AD35:$IM35,"غياب بدون عذر",'KG1-1'!$AD$7:$IM$7,"✓",'KG1-1'!$AD$5:$IM$5,"&lt;="&amp;D534))</f>
        <v/>
      </c>
      <c r="G534">
        <f>G533+IF(D534="",0,1)</f>
        <v/>
      </c>
    </row>
    <row r="535">
      <c r="A535">
        <f>IF('KG1-1'!$B35="","",'KG1-1'!$B35)</f>
        <v/>
      </c>
      <c r="B535">
        <f>IF(A535="","",'KG1-1'!$C35)</f>
        <v/>
      </c>
      <c r="C535">
        <f>IF(A535="","",'KG1-1'!$B$2)</f>
        <v/>
      </c>
      <c r="D535" s="126">
        <f t="array" ref="D535">IF(A535="","",IFERROR(SMALL(IF((('KG1-1'!$AD35:$IM35="غياب بدون عذر")+('KG1-1'!$AD35:$IM35="غياب بعذر"))*('KG1-1'!$AD$7:$IM$7="✓"),'KG1-1'!$AD$5:$IM$5),14),""))</f>
        <v/>
      </c>
      <c r="E535">
        <f>IF(D535="","",INDEX('KG1-1'!$AD35:$IM35,MATCH(D535,'KG1-1'!$AD$5:$IM$5,0)))</f>
        <v/>
      </c>
      <c r="F535">
        <f>IF(D535="","",COUNTIFS('KG1-1'!$AD35:$IM35,"غياب بدون عذر",'KG1-1'!$AD$7:$IM$7,"✓",'KG1-1'!$AD$5:$IM$5,"&lt;="&amp;D535))</f>
        <v/>
      </c>
      <c r="G535">
        <f>G534+IF(D535="",0,1)</f>
        <v/>
      </c>
    </row>
    <row r="536">
      <c r="A536">
        <f>IF('KG1-1'!$B35="","",'KG1-1'!$B35)</f>
        <v/>
      </c>
      <c r="B536">
        <f>IF(A536="","",'KG1-1'!$C35)</f>
        <v/>
      </c>
      <c r="C536">
        <f>IF(A536="","",'KG1-1'!$B$2)</f>
        <v/>
      </c>
      <c r="D536" s="126">
        <f t="array" ref="D536">IF(A536="","",IFERROR(SMALL(IF((('KG1-1'!$AD35:$IM35="غياب بدون عذر")+('KG1-1'!$AD35:$IM35="غياب بعذر"))*('KG1-1'!$AD$7:$IM$7="✓"),'KG1-1'!$AD$5:$IM$5),15),""))</f>
        <v/>
      </c>
      <c r="E536">
        <f>IF(D536="","",INDEX('KG1-1'!$AD35:$IM35,MATCH(D536,'KG1-1'!$AD$5:$IM$5,0)))</f>
        <v/>
      </c>
      <c r="F536">
        <f>IF(D536="","",COUNTIFS('KG1-1'!$AD35:$IM35,"غياب بدون عذر",'KG1-1'!$AD$7:$IM$7,"✓",'KG1-1'!$AD$5:$IM$5,"&lt;="&amp;D536))</f>
        <v/>
      </c>
      <c r="G536">
        <f>G535+IF(D536="",0,1)</f>
        <v/>
      </c>
    </row>
    <row r="537">
      <c r="A537">
        <f>IF('KG1-1'!$B35="","",'KG1-1'!$B35)</f>
        <v/>
      </c>
      <c r="B537">
        <f>IF(A537="","",'KG1-1'!$C35)</f>
        <v/>
      </c>
      <c r="C537">
        <f>IF(A537="","",'KG1-1'!$B$2)</f>
        <v/>
      </c>
      <c r="D537" s="126">
        <f t="array" ref="D537">IF(A537="","",IFERROR(SMALL(IF((('KG1-1'!$AD35:$IM35="غياب بدون عذر")+('KG1-1'!$AD35:$IM35="غياب بعذر"))*('KG1-1'!$AD$7:$IM$7="✓"),'KG1-1'!$AD$5:$IM$5),16),""))</f>
        <v/>
      </c>
      <c r="E537">
        <f>IF(D537="","",INDEX('KG1-1'!$AD35:$IM35,MATCH(D537,'KG1-1'!$AD$5:$IM$5,0)))</f>
        <v/>
      </c>
      <c r="F537">
        <f>IF(D537="","",COUNTIFS('KG1-1'!$AD35:$IM35,"غياب بدون عذر",'KG1-1'!$AD$7:$IM$7,"✓",'KG1-1'!$AD$5:$IM$5,"&lt;="&amp;D537))</f>
        <v/>
      </c>
      <c r="G537">
        <f>G536+IF(D537="",0,1)</f>
        <v/>
      </c>
    </row>
    <row r="538">
      <c r="A538">
        <f>IF('KG1-1'!$B35="","",'KG1-1'!$B35)</f>
        <v/>
      </c>
      <c r="B538">
        <f>IF(A538="","",'KG1-1'!$C35)</f>
        <v/>
      </c>
      <c r="C538">
        <f>IF(A538="","",'KG1-1'!$B$2)</f>
        <v/>
      </c>
      <c r="D538" s="126">
        <f t="array" ref="D538">IF(A538="","",IFERROR(SMALL(IF((('KG1-1'!$AD35:$IM35="غياب بدون عذر")+('KG1-1'!$AD35:$IM35="غياب بعذر"))*('KG1-1'!$AD$7:$IM$7="✓"),'KG1-1'!$AD$5:$IM$5),17),""))</f>
        <v/>
      </c>
      <c r="E538">
        <f>IF(D538="","",INDEX('KG1-1'!$AD35:$IM35,MATCH(D538,'KG1-1'!$AD$5:$IM$5,0)))</f>
        <v/>
      </c>
      <c r="F538">
        <f>IF(D538="","",COUNTIFS('KG1-1'!$AD35:$IM35,"غياب بدون عذر",'KG1-1'!$AD$7:$IM$7,"✓",'KG1-1'!$AD$5:$IM$5,"&lt;="&amp;D538))</f>
        <v/>
      </c>
      <c r="G538">
        <f>G537+IF(D538="",0,1)</f>
        <v/>
      </c>
    </row>
    <row r="539">
      <c r="A539">
        <f>IF('KG1-1'!$B35="","",'KG1-1'!$B35)</f>
        <v/>
      </c>
      <c r="B539">
        <f>IF(A539="","",'KG1-1'!$C35)</f>
        <v/>
      </c>
      <c r="C539">
        <f>IF(A539="","",'KG1-1'!$B$2)</f>
        <v/>
      </c>
      <c r="D539" s="126">
        <f t="array" ref="D539">IF(A539="","",IFERROR(SMALL(IF((('KG1-1'!$AD35:$IM35="غياب بدون عذر")+('KG1-1'!$AD35:$IM35="غياب بعذر"))*('KG1-1'!$AD$7:$IM$7="✓"),'KG1-1'!$AD$5:$IM$5),18),""))</f>
        <v/>
      </c>
      <c r="E539">
        <f>IF(D539="","",INDEX('KG1-1'!$AD35:$IM35,MATCH(D539,'KG1-1'!$AD$5:$IM$5,0)))</f>
        <v/>
      </c>
      <c r="F539">
        <f>IF(D539="","",COUNTIFS('KG1-1'!$AD35:$IM35,"غياب بدون عذر",'KG1-1'!$AD$7:$IM$7,"✓",'KG1-1'!$AD$5:$IM$5,"&lt;="&amp;D539))</f>
        <v/>
      </c>
      <c r="G539">
        <f>G538+IF(D539="",0,1)</f>
        <v/>
      </c>
    </row>
    <row r="540">
      <c r="A540">
        <f>IF('KG1-1'!$B35="","",'KG1-1'!$B35)</f>
        <v/>
      </c>
      <c r="B540">
        <f>IF(A540="","",'KG1-1'!$C35)</f>
        <v/>
      </c>
      <c r="C540">
        <f>IF(A540="","",'KG1-1'!$B$2)</f>
        <v/>
      </c>
      <c r="D540" s="126">
        <f t="array" ref="D540">IF(A540="","",IFERROR(SMALL(IF((('KG1-1'!$AD35:$IM35="غياب بدون عذر")+('KG1-1'!$AD35:$IM35="غياب بعذر"))*('KG1-1'!$AD$7:$IM$7="✓"),'KG1-1'!$AD$5:$IM$5),19),""))</f>
        <v/>
      </c>
      <c r="E540">
        <f>IF(D540="","",INDEX('KG1-1'!$AD35:$IM35,MATCH(D540,'KG1-1'!$AD$5:$IM$5,0)))</f>
        <v/>
      </c>
      <c r="F540">
        <f>IF(D540="","",COUNTIFS('KG1-1'!$AD35:$IM35,"غياب بدون عذر",'KG1-1'!$AD$7:$IM$7,"✓",'KG1-1'!$AD$5:$IM$5,"&lt;="&amp;D540))</f>
        <v/>
      </c>
      <c r="G540">
        <f>G539+IF(D540="",0,1)</f>
        <v/>
      </c>
    </row>
    <row r="541">
      <c r="A541">
        <f>IF('KG1-1'!$B35="","",'KG1-1'!$B35)</f>
        <v/>
      </c>
      <c r="B541">
        <f>IF(A541="","",'KG1-1'!$C35)</f>
        <v/>
      </c>
      <c r="C541">
        <f>IF(A541="","",'KG1-1'!$B$2)</f>
        <v/>
      </c>
      <c r="D541" s="126">
        <f t="array" ref="D541">IF(A541="","",IFERROR(SMALL(IF((('KG1-1'!$AD35:$IM35="غياب بدون عذر")+('KG1-1'!$AD35:$IM35="غياب بعذر"))*('KG1-1'!$AD$7:$IM$7="✓"),'KG1-1'!$AD$5:$IM$5),20),""))</f>
        <v/>
      </c>
      <c r="E541">
        <f>IF(D541="","",INDEX('KG1-1'!$AD35:$IM35,MATCH(D541,'KG1-1'!$AD$5:$IM$5,0)))</f>
        <v/>
      </c>
      <c r="F541">
        <f>IF(D541="","",COUNTIFS('KG1-1'!$AD35:$IM35,"غياب بدون عذر",'KG1-1'!$AD$7:$IM$7,"✓",'KG1-1'!$AD$5:$IM$5,"&lt;="&amp;D541))</f>
        <v/>
      </c>
      <c r="G541">
        <f>G540+IF(D541="",0,1)</f>
        <v/>
      </c>
    </row>
    <row r="542">
      <c r="A542">
        <f>IF('KG1-1'!$B36="","",'KG1-1'!$B36)</f>
        <v/>
      </c>
      <c r="B542">
        <f>IF(A542="","",'KG1-1'!$C36)</f>
        <v/>
      </c>
      <c r="C542">
        <f>IF(A542="","",'KG1-1'!$B$2)</f>
        <v/>
      </c>
      <c r="D542" s="126">
        <f t="array" ref="D542">IF(A542="","",IFERROR(SMALL(IF((('KG1-1'!$AD36:$IM36="غياب بدون عذر")+('KG1-1'!$AD36:$IM36="غياب بعذر"))*('KG1-1'!$AD$7:$IM$7="✓"),'KG1-1'!$AD$5:$IM$5),1),""))</f>
        <v/>
      </c>
      <c r="E542">
        <f>IF(D542="","",INDEX('KG1-1'!$AD36:$IM36,MATCH(D542,'KG1-1'!$AD$5:$IM$5,0)))</f>
        <v/>
      </c>
      <c r="F542">
        <f>IF(D542="","",COUNTIFS('KG1-1'!$AD36:$IM36,"غياب بدون عذر",'KG1-1'!$AD$7:$IM$7,"✓",'KG1-1'!$AD$5:$IM$5,"&lt;="&amp;D542))</f>
        <v/>
      </c>
      <c r="G542">
        <f>G541+IF(D542="",0,1)</f>
        <v/>
      </c>
    </row>
    <row r="543">
      <c r="A543">
        <f>IF('KG1-1'!$B36="","",'KG1-1'!$B36)</f>
        <v/>
      </c>
      <c r="B543">
        <f>IF(A543="","",'KG1-1'!$C36)</f>
        <v/>
      </c>
      <c r="C543">
        <f>IF(A543="","",'KG1-1'!$B$2)</f>
        <v/>
      </c>
      <c r="D543" s="126">
        <f t="array" ref="D543">IF(A543="","",IFERROR(SMALL(IF((('KG1-1'!$AD36:$IM36="غياب بدون عذر")+('KG1-1'!$AD36:$IM36="غياب بعذر"))*('KG1-1'!$AD$7:$IM$7="✓"),'KG1-1'!$AD$5:$IM$5),2),""))</f>
        <v/>
      </c>
      <c r="E543">
        <f>IF(D543="","",INDEX('KG1-1'!$AD36:$IM36,MATCH(D543,'KG1-1'!$AD$5:$IM$5,0)))</f>
        <v/>
      </c>
      <c r="F543">
        <f>IF(D543="","",COUNTIFS('KG1-1'!$AD36:$IM36,"غياب بدون عذر",'KG1-1'!$AD$7:$IM$7,"✓",'KG1-1'!$AD$5:$IM$5,"&lt;="&amp;D543))</f>
        <v/>
      </c>
      <c r="G543">
        <f>G542+IF(D543="",0,1)</f>
        <v/>
      </c>
    </row>
    <row r="544">
      <c r="A544">
        <f>IF('KG1-1'!$B36="","",'KG1-1'!$B36)</f>
        <v/>
      </c>
      <c r="B544">
        <f>IF(A544="","",'KG1-1'!$C36)</f>
        <v/>
      </c>
      <c r="C544">
        <f>IF(A544="","",'KG1-1'!$B$2)</f>
        <v/>
      </c>
      <c r="D544" s="126">
        <f t="array" ref="D544">IF(A544="","",IFERROR(SMALL(IF((('KG1-1'!$AD36:$IM36="غياب بدون عذر")+('KG1-1'!$AD36:$IM36="غياب بعذر"))*('KG1-1'!$AD$7:$IM$7="✓"),'KG1-1'!$AD$5:$IM$5),3),""))</f>
        <v/>
      </c>
      <c r="E544">
        <f>IF(D544="","",INDEX('KG1-1'!$AD36:$IM36,MATCH(D544,'KG1-1'!$AD$5:$IM$5,0)))</f>
        <v/>
      </c>
      <c r="F544">
        <f>IF(D544="","",COUNTIFS('KG1-1'!$AD36:$IM36,"غياب بدون عذر",'KG1-1'!$AD$7:$IM$7,"✓",'KG1-1'!$AD$5:$IM$5,"&lt;="&amp;D544))</f>
        <v/>
      </c>
      <c r="G544">
        <f>G543+IF(D544="",0,1)</f>
        <v/>
      </c>
    </row>
    <row r="545">
      <c r="A545">
        <f>IF('KG1-1'!$B36="","",'KG1-1'!$B36)</f>
        <v/>
      </c>
      <c r="B545">
        <f>IF(A545="","",'KG1-1'!$C36)</f>
        <v/>
      </c>
      <c r="C545">
        <f>IF(A545="","",'KG1-1'!$B$2)</f>
        <v/>
      </c>
      <c r="D545" s="126">
        <f t="array" ref="D545">IF(A545="","",IFERROR(SMALL(IF((('KG1-1'!$AD36:$IM36="غياب بدون عذر")+('KG1-1'!$AD36:$IM36="غياب بعذر"))*('KG1-1'!$AD$7:$IM$7="✓"),'KG1-1'!$AD$5:$IM$5),4),""))</f>
        <v/>
      </c>
      <c r="E545">
        <f>IF(D545="","",INDEX('KG1-1'!$AD36:$IM36,MATCH(D545,'KG1-1'!$AD$5:$IM$5,0)))</f>
        <v/>
      </c>
      <c r="F545">
        <f>IF(D545="","",COUNTIFS('KG1-1'!$AD36:$IM36,"غياب بدون عذر",'KG1-1'!$AD$7:$IM$7,"✓",'KG1-1'!$AD$5:$IM$5,"&lt;="&amp;D545))</f>
        <v/>
      </c>
      <c r="G545">
        <f>G544+IF(D545="",0,1)</f>
        <v/>
      </c>
    </row>
    <row r="546">
      <c r="A546">
        <f>IF('KG1-1'!$B36="","",'KG1-1'!$B36)</f>
        <v/>
      </c>
      <c r="B546">
        <f>IF(A546="","",'KG1-1'!$C36)</f>
        <v/>
      </c>
      <c r="C546">
        <f>IF(A546="","",'KG1-1'!$B$2)</f>
        <v/>
      </c>
      <c r="D546" s="126">
        <f t="array" ref="D546">IF(A546="","",IFERROR(SMALL(IF((('KG1-1'!$AD36:$IM36="غياب بدون عذر")+('KG1-1'!$AD36:$IM36="غياب بعذر"))*('KG1-1'!$AD$7:$IM$7="✓"),'KG1-1'!$AD$5:$IM$5),5),""))</f>
        <v/>
      </c>
      <c r="E546">
        <f>IF(D546="","",INDEX('KG1-1'!$AD36:$IM36,MATCH(D546,'KG1-1'!$AD$5:$IM$5,0)))</f>
        <v/>
      </c>
      <c r="F546">
        <f>IF(D546="","",COUNTIFS('KG1-1'!$AD36:$IM36,"غياب بدون عذر",'KG1-1'!$AD$7:$IM$7,"✓",'KG1-1'!$AD$5:$IM$5,"&lt;="&amp;D546))</f>
        <v/>
      </c>
      <c r="G546">
        <f>G545+IF(D546="",0,1)</f>
        <v/>
      </c>
    </row>
    <row r="547">
      <c r="A547">
        <f>IF('KG1-1'!$B36="","",'KG1-1'!$B36)</f>
        <v/>
      </c>
      <c r="B547">
        <f>IF(A547="","",'KG1-1'!$C36)</f>
        <v/>
      </c>
      <c r="C547">
        <f>IF(A547="","",'KG1-1'!$B$2)</f>
        <v/>
      </c>
      <c r="D547" s="126">
        <f t="array" ref="D547">IF(A547="","",IFERROR(SMALL(IF((('KG1-1'!$AD36:$IM36="غياب بدون عذر")+('KG1-1'!$AD36:$IM36="غياب بعذر"))*('KG1-1'!$AD$7:$IM$7="✓"),'KG1-1'!$AD$5:$IM$5),6),""))</f>
        <v/>
      </c>
      <c r="E547">
        <f>IF(D547="","",INDEX('KG1-1'!$AD36:$IM36,MATCH(D547,'KG1-1'!$AD$5:$IM$5,0)))</f>
        <v/>
      </c>
      <c r="F547">
        <f>IF(D547="","",COUNTIFS('KG1-1'!$AD36:$IM36,"غياب بدون عذر",'KG1-1'!$AD$7:$IM$7,"✓",'KG1-1'!$AD$5:$IM$5,"&lt;="&amp;D547))</f>
        <v/>
      </c>
      <c r="G547">
        <f>G546+IF(D547="",0,1)</f>
        <v/>
      </c>
    </row>
    <row r="548">
      <c r="A548">
        <f>IF('KG1-1'!$B36="","",'KG1-1'!$B36)</f>
        <v/>
      </c>
      <c r="B548">
        <f>IF(A548="","",'KG1-1'!$C36)</f>
        <v/>
      </c>
      <c r="C548">
        <f>IF(A548="","",'KG1-1'!$B$2)</f>
        <v/>
      </c>
      <c r="D548" s="126">
        <f t="array" ref="D548">IF(A548="","",IFERROR(SMALL(IF((('KG1-1'!$AD36:$IM36="غياب بدون عذر")+('KG1-1'!$AD36:$IM36="غياب بعذر"))*('KG1-1'!$AD$7:$IM$7="✓"),'KG1-1'!$AD$5:$IM$5),7),""))</f>
        <v/>
      </c>
      <c r="E548">
        <f>IF(D548="","",INDEX('KG1-1'!$AD36:$IM36,MATCH(D548,'KG1-1'!$AD$5:$IM$5,0)))</f>
        <v/>
      </c>
      <c r="F548">
        <f>IF(D548="","",COUNTIFS('KG1-1'!$AD36:$IM36,"غياب بدون عذر",'KG1-1'!$AD$7:$IM$7,"✓",'KG1-1'!$AD$5:$IM$5,"&lt;="&amp;D548))</f>
        <v/>
      </c>
      <c r="G548">
        <f>G547+IF(D548="",0,1)</f>
        <v/>
      </c>
    </row>
    <row r="549">
      <c r="A549">
        <f>IF('KG1-1'!$B36="","",'KG1-1'!$B36)</f>
        <v/>
      </c>
      <c r="B549">
        <f>IF(A549="","",'KG1-1'!$C36)</f>
        <v/>
      </c>
      <c r="C549">
        <f>IF(A549="","",'KG1-1'!$B$2)</f>
        <v/>
      </c>
      <c r="D549" s="126">
        <f t="array" ref="D549">IF(A549="","",IFERROR(SMALL(IF((('KG1-1'!$AD36:$IM36="غياب بدون عذر")+('KG1-1'!$AD36:$IM36="غياب بعذر"))*('KG1-1'!$AD$7:$IM$7="✓"),'KG1-1'!$AD$5:$IM$5),8),""))</f>
        <v/>
      </c>
      <c r="E549">
        <f>IF(D549="","",INDEX('KG1-1'!$AD36:$IM36,MATCH(D549,'KG1-1'!$AD$5:$IM$5,0)))</f>
        <v/>
      </c>
      <c r="F549">
        <f>IF(D549="","",COUNTIFS('KG1-1'!$AD36:$IM36,"غياب بدون عذر",'KG1-1'!$AD$7:$IM$7,"✓",'KG1-1'!$AD$5:$IM$5,"&lt;="&amp;D549))</f>
        <v/>
      </c>
      <c r="G549">
        <f>G548+IF(D549="",0,1)</f>
        <v/>
      </c>
    </row>
    <row r="550">
      <c r="A550">
        <f>IF('KG1-1'!$B36="","",'KG1-1'!$B36)</f>
        <v/>
      </c>
      <c r="B550">
        <f>IF(A550="","",'KG1-1'!$C36)</f>
        <v/>
      </c>
      <c r="C550">
        <f>IF(A550="","",'KG1-1'!$B$2)</f>
        <v/>
      </c>
      <c r="D550" s="126">
        <f t="array" ref="D550">IF(A550="","",IFERROR(SMALL(IF((('KG1-1'!$AD36:$IM36="غياب بدون عذر")+('KG1-1'!$AD36:$IM36="غياب بعذر"))*('KG1-1'!$AD$7:$IM$7="✓"),'KG1-1'!$AD$5:$IM$5),9),""))</f>
        <v/>
      </c>
      <c r="E550">
        <f>IF(D550="","",INDEX('KG1-1'!$AD36:$IM36,MATCH(D550,'KG1-1'!$AD$5:$IM$5,0)))</f>
        <v/>
      </c>
      <c r="F550">
        <f>IF(D550="","",COUNTIFS('KG1-1'!$AD36:$IM36,"غياب بدون عذر",'KG1-1'!$AD$7:$IM$7,"✓",'KG1-1'!$AD$5:$IM$5,"&lt;="&amp;D550))</f>
        <v/>
      </c>
      <c r="G550">
        <f>G549+IF(D550="",0,1)</f>
        <v/>
      </c>
    </row>
    <row r="551">
      <c r="A551">
        <f>IF('KG1-1'!$B36="","",'KG1-1'!$B36)</f>
        <v/>
      </c>
      <c r="B551">
        <f>IF(A551="","",'KG1-1'!$C36)</f>
        <v/>
      </c>
      <c r="C551">
        <f>IF(A551="","",'KG1-1'!$B$2)</f>
        <v/>
      </c>
      <c r="D551" s="126">
        <f t="array" ref="D551">IF(A551="","",IFERROR(SMALL(IF((('KG1-1'!$AD36:$IM36="غياب بدون عذر")+('KG1-1'!$AD36:$IM36="غياب بعذر"))*('KG1-1'!$AD$7:$IM$7="✓"),'KG1-1'!$AD$5:$IM$5),10),""))</f>
        <v/>
      </c>
      <c r="E551">
        <f>IF(D551="","",INDEX('KG1-1'!$AD36:$IM36,MATCH(D551,'KG1-1'!$AD$5:$IM$5,0)))</f>
        <v/>
      </c>
      <c r="F551">
        <f>IF(D551="","",COUNTIFS('KG1-1'!$AD36:$IM36,"غياب بدون عذر",'KG1-1'!$AD$7:$IM$7,"✓",'KG1-1'!$AD$5:$IM$5,"&lt;="&amp;D551))</f>
        <v/>
      </c>
      <c r="G551">
        <f>G550+IF(D551="",0,1)</f>
        <v/>
      </c>
    </row>
    <row r="552">
      <c r="A552">
        <f>IF('KG1-1'!$B36="","",'KG1-1'!$B36)</f>
        <v/>
      </c>
      <c r="B552">
        <f>IF(A552="","",'KG1-1'!$C36)</f>
        <v/>
      </c>
      <c r="C552">
        <f>IF(A552="","",'KG1-1'!$B$2)</f>
        <v/>
      </c>
      <c r="D552" s="126">
        <f t="array" ref="D552">IF(A552="","",IFERROR(SMALL(IF((('KG1-1'!$AD36:$IM36="غياب بدون عذر")+('KG1-1'!$AD36:$IM36="غياب بعذر"))*('KG1-1'!$AD$7:$IM$7="✓"),'KG1-1'!$AD$5:$IM$5),11),""))</f>
        <v/>
      </c>
      <c r="E552">
        <f>IF(D552="","",INDEX('KG1-1'!$AD36:$IM36,MATCH(D552,'KG1-1'!$AD$5:$IM$5,0)))</f>
        <v/>
      </c>
      <c r="F552">
        <f>IF(D552="","",COUNTIFS('KG1-1'!$AD36:$IM36,"غياب بدون عذر",'KG1-1'!$AD$7:$IM$7,"✓",'KG1-1'!$AD$5:$IM$5,"&lt;="&amp;D552))</f>
        <v/>
      </c>
      <c r="G552">
        <f>G551+IF(D552="",0,1)</f>
        <v/>
      </c>
    </row>
    <row r="553">
      <c r="A553">
        <f>IF('KG1-1'!$B36="","",'KG1-1'!$B36)</f>
        <v/>
      </c>
      <c r="B553">
        <f>IF(A553="","",'KG1-1'!$C36)</f>
        <v/>
      </c>
      <c r="C553">
        <f>IF(A553="","",'KG1-1'!$B$2)</f>
        <v/>
      </c>
      <c r="D553" s="126">
        <f t="array" ref="D553">IF(A553="","",IFERROR(SMALL(IF((('KG1-1'!$AD36:$IM36="غياب بدون عذر")+('KG1-1'!$AD36:$IM36="غياب بعذر"))*('KG1-1'!$AD$7:$IM$7="✓"),'KG1-1'!$AD$5:$IM$5),12),""))</f>
        <v/>
      </c>
      <c r="E553">
        <f>IF(D553="","",INDEX('KG1-1'!$AD36:$IM36,MATCH(D553,'KG1-1'!$AD$5:$IM$5,0)))</f>
        <v/>
      </c>
      <c r="F553">
        <f>IF(D553="","",COUNTIFS('KG1-1'!$AD36:$IM36,"غياب بدون عذر",'KG1-1'!$AD$7:$IM$7,"✓",'KG1-1'!$AD$5:$IM$5,"&lt;="&amp;D553))</f>
        <v/>
      </c>
      <c r="G553">
        <f>G552+IF(D553="",0,1)</f>
        <v/>
      </c>
    </row>
    <row r="554">
      <c r="A554">
        <f>IF('KG1-1'!$B36="","",'KG1-1'!$B36)</f>
        <v/>
      </c>
      <c r="B554">
        <f>IF(A554="","",'KG1-1'!$C36)</f>
        <v/>
      </c>
      <c r="C554">
        <f>IF(A554="","",'KG1-1'!$B$2)</f>
        <v/>
      </c>
      <c r="D554" s="126">
        <f t="array" ref="D554">IF(A554="","",IFERROR(SMALL(IF((('KG1-1'!$AD36:$IM36="غياب بدون عذر")+('KG1-1'!$AD36:$IM36="غياب بعذر"))*('KG1-1'!$AD$7:$IM$7="✓"),'KG1-1'!$AD$5:$IM$5),13),""))</f>
        <v/>
      </c>
      <c r="E554">
        <f>IF(D554="","",INDEX('KG1-1'!$AD36:$IM36,MATCH(D554,'KG1-1'!$AD$5:$IM$5,0)))</f>
        <v/>
      </c>
      <c r="F554">
        <f>IF(D554="","",COUNTIFS('KG1-1'!$AD36:$IM36,"غياب بدون عذر",'KG1-1'!$AD$7:$IM$7,"✓",'KG1-1'!$AD$5:$IM$5,"&lt;="&amp;D554))</f>
        <v/>
      </c>
      <c r="G554">
        <f>G553+IF(D554="",0,1)</f>
        <v/>
      </c>
    </row>
    <row r="555">
      <c r="A555">
        <f>IF('KG1-1'!$B36="","",'KG1-1'!$B36)</f>
        <v/>
      </c>
      <c r="B555">
        <f>IF(A555="","",'KG1-1'!$C36)</f>
        <v/>
      </c>
      <c r="C555">
        <f>IF(A555="","",'KG1-1'!$B$2)</f>
        <v/>
      </c>
      <c r="D555" s="126">
        <f t="array" ref="D555">IF(A555="","",IFERROR(SMALL(IF((('KG1-1'!$AD36:$IM36="غياب بدون عذر")+('KG1-1'!$AD36:$IM36="غياب بعذر"))*('KG1-1'!$AD$7:$IM$7="✓"),'KG1-1'!$AD$5:$IM$5),14),""))</f>
        <v/>
      </c>
      <c r="E555">
        <f>IF(D555="","",INDEX('KG1-1'!$AD36:$IM36,MATCH(D555,'KG1-1'!$AD$5:$IM$5,0)))</f>
        <v/>
      </c>
      <c r="F555">
        <f>IF(D555="","",COUNTIFS('KG1-1'!$AD36:$IM36,"غياب بدون عذر",'KG1-1'!$AD$7:$IM$7,"✓",'KG1-1'!$AD$5:$IM$5,"&lt;="&amp;D555))</f>
        <v/>
      </c>
      <c r="G555">
        <f>G554+IF(D555="",0,1)</f>
        <v/>
      </c>
    </row>
    <row r="556">
      <c r="A556">
        <f>IF('KG1-1'!$B36="","",'KG1-1'!$B36)</f>
        <v/>
      </c>
      <c r="B556">
        <f>IF(A556="","",'KG1-1'!$C36)</f>
        <v/>
      </c>
      <c r="C556">
        <f>IF(A556="","",'KG1-1'!$B$2)</f>
        <v/>
      </c>
      <c r="D556" s="126">
        <f t="array" ref="D556">IF(A556="","",IFERROR(SMALL(IF((('KG1-1'!$AD36:$IM36="غياب بدون عذر")+('KG1-1'!$AD36:$IM36="غياب بعذر"))*('KG1-1'!$AD$7:$IM$7="✓"),'KG1-1'!$AD$5:$IM$5),15),""))</f>
        <v/>
      </c>
      <c r="E556">
        <f>IF(D556="","",INDEX('KG1-1'!$AD36:$IM36,MATCH(D556,'KG1-1'!$AD$5:$IM$5,0)))</f>
        <v/>
      </c>
      <c r="F556">
        <f>IF(D556="","",COUNTIFS('KG1-1'!$AD36:$IM36,"غياب بدون عذر",'KG1-1'!$AD$7:$IM$7,"✓",'KG1-1'!$AD$5:$IM$5,"&lt;="&amp;D556))</f>
        <v/>
      </c>
      <c r="G556">
        <f>G555+IF(D556="",0,1)</f>
        <v/>
      </c>
    </row>
    <row r="557">
      <c r="A557">
        <f>IF('KG1-1'!$B36="","",'KG1-1'!$B36)</f>
        <v/>
      </c>
      <c r="B557">
        <f>IF(A557="","",'KG1-1'!$C36)</f>
        <v/>
      </c>
      <c r="C557">
        <f>IF(A557="","",'KG1-1'!$B$2)</f>
        <v/>
      </c>
      <c r="D557" s="126">
        <f t="array" ref="D557">IF(A557="","",IFERROR(SMALL(IF((('KG1-1'!$AD36:$IM36="غياب بدون عذر")+('KG1-1'!$AD36:$IM36="غياب بعذر"))*('KG1-1'!$AD$7:$IM$7="✓"),'KG1-1'!$AD$5:$IM$5),16),""))</f>
        <v/>
      </c>
      <c r="E557">
        <f>IF(D557="","",INDEX('KG1-1'!$AD36:$IM36,MATCH(D557,'KG1-1'!$AD$5:$IM$5,0)))</f>
        <v/>
      </c>
      <c r="F557">
        <f>IF(D557="","",COUNTIFS('KG1-1'!$AD36:$IM36,"غياب بدون عذر",'KG1-1'!$AD$7:$IM$7,"✓",'KG1-1'!$AD$5:$IM$5,"&lt;="&amp;D557))</f>
        <v/>
      </c>
      <c r="G557">
        <f>G556+IF(D557="",0,1)</f>
        <v/>
      </c>
    </row>
    <row r="558">
      <c r="A558">
        <f>IF('KG1-1'!$B36="","",'KG1-1'!$B36)</f>
        <v/>
      </c>
      <c r="B558">
        <f>IF(A558="","",'KG1-1'!$C36)</f>
        <v/>
      </c>
      <c r="C558">
        <f>IF(A558="","",'KG1-1'!$B$2)</f>
        <v/>
      </c>
      <c r="D558" s="126">
        <f t="array" ref="D558">IF(A558="","",IFERROR(SMALL(IF((('KG1-1'!$AD36:$IM36="غياب بدون عذر")+('KG1-1'!$AD36:$IM36="غياب بعذر"))*('KG1-1'!$AD$7:$IM$7="✓"),'KG1-1'!$AD$5:$IM$5),17),""))</f>
        <v/>
      </c>
      <c r="E558">
        <f>IF(D558="","",INDEX('KG1-1'!$AD36:$IM36,MATCH(D558,'KG1-1'!$AD$5:$IM$5,0)))</f>
        <v/>
      </c>
      <c r="F558">
        <f>IF(D558="","",COUNTIFS('KG1-1'!$AD36:$IM36,"غياب بدون عذر",'KG1-1'!$AD$7:$IM$7,"✓",'KG1-1'!$AD$5:$IM$5,"&lt;="&amp;D558))</f>
        <v/>
      </c>
      <c r="G558">
        <f>G557+IF(D558="",0,1)</f>
        <v/>
      </c>
    </row>
    <row r="559">
      <c r="A559">
        <f>IF('KG1-1'!$B36="","",'KG1-1'!$B36)</f>
        <v/>
      </c>
      <c r="B559">
        <f>IF(A559="","",'KG1-1'!$C36)</f>
        <v/>
      </c>
      <c r="C559">
        <f>IF(A559="","",'KG1-1'!$B$2)</f>
        <v/>
      </c>
      <c r="D559" s="126">
        <f t="array" ref="D559">IF(A559="","",IFERROR(SMALL(IF((('KG1-1'!$AD36:$IM36="غياب بدون عذر")+('KG1-1'!$AD36:$IM36="غياب بعذر"))*('KG1-1'!$AD$7:$IM$7="✓"),'KG1-1'!$AD$5:$IM$5),18),""))</f>
        <v/>
      </c>
      <c r="E559">
        <f>IF(D559="","",INDEX('KG1-1'!$AD36:$IM36,MATCH(D559,'KG1-1'!$AD$5:$IM$5,0)))</f>
        <v/>
      </c>
      <c r="F559">
        <f>IF(D559="","",COUNTIFS('KG1-1'!$AD36:$IM36,"غياب بدون عذر",'KG1-1'!$AD$7:$IM$7,"✓",'KG1-1'!$AD$5:$IM$5,"&lt;="&amp;D559))</f>
        <v/>
      </c>
      <c r="G559">
        <f>G558+IF(D559="",0,1)</f>
        <v/>
      </c>
    </row>
    <row r="560">
      <c r="A560">
        <f>IF('KG1-1'!$B36="","",'KG1-1'!$B36)</f>
        <v/>
      </c>
      <c r="B560">
        <f>IF(A560="","",'KG1-1'!$C36)</f>
        <v/>
      </c>
      <c r="C560">
        <f>IF(A560="","",'KG1-1'!$B$2)</f>
        <v/>
      </c>
      <c r="D560" s="126">
        <f t="array" ref="D560">IF(A560="","",IFERROR(SMALL(IF((('KG1-1'!$AD36:$IM36="غياب بدون عذر")+('KG1-1'!$AD36:$IM36="غياب بعذر"))*('KG1-1'!$AD$7:$IM$7="✓"),'KG1-1'!$AD$5:$IM$5),19),""))</f>
        <v/>
      </c>
      <c r="E560">
        <f>IF(D560="","",INDEX('KG1-1'!$AD36:$IM36,MATCH(D560,'KG1-1'!$AD$5:$IM$5,0)))</f>
        <v/>
      </c>
      <c r="F560">
        <f>IF(D560="","",COUNTIFS('KG1-1'!$AD36:$IM36,"غياب بدون عذر",'KG1-1'!$AD$7:$IM$7,"✓",'KG1-1'!$AD$5:$IM$5,"&lt;="&amp;D560))</f>
        <v/>
      </c>
      <c r="G560">
        <f>G559+IF(D560="",0,1)</f>
        <v/>
      </c>
    </row>
    <row r="561">
      <c r="A561">
        <f>IF('KG1-1'!$B36="","",'KG1-1'!$B36)</f>
        <v/>
      </c>
      <c r="B561">
        <f>IF(A561="","",'KG1-1'!$C36)</f>
        <v/>
      </c>
      <c r="C561">
        <f>IF(A561="","",'KG1-1'!$B$2)</f>
        <v/>
      </c>
      <c r="D561" s="126">
        <f t="array" ref="D561">IF(A561="","",IFERROR(SMALL(IF((('KG1-1'!$AD36:$IM36="غياب بدون عذر")+('KG1-1'!$AD36:$IM36="غياب بعذر"))*('KG1-1'!$AD$7:$IM$7="✓"),'KG1-1'!$AD$5:$IM$5),20),""))</f>
        <v/>
      </c>
      <c r="E561">
        <f>IF(D561="","",INDEX('KG1-1'!$AD36:$IM36,MATCH(D561,'KG1-1'!$AD$5:$IM$5,0)))</f>
        <v/>
      </c>
      <c r="F561">
        <f>IF(D561="","",COUNTIFS('KG1-1'!$AD36:$IM36,"غياب بدون عذر",'KG1-1'!$AD$7:$IM$7,"✓",'KG1-1'!$AD$5:$IM$5,"&lt;="&amp;D561))</f>
        <v/>
      </c>
      <c r="G561">
        <f>G560+IF(D561="",0,1)</f>
        <v/>
      </c>
    </row>
    <row r="562">
      <c r="A562">
        <f>IF('KG1-1'!$B37="","",'KG1-1'!$B37)</f>
        <v/>
      </c>
      <c r="B562">
        <f>IF(A562="","",'KG1-1'!$C37)</f>
        <v/>
      </c>
      <c r="C562">
        <f>IF(A562="","",'KG1-1'!$B$2)</f>
        <v/>
      </c>
      <c r="D562" s="126">
        <f t="array" ref="D562">IF(A562="","",IFERROR(SMALL(IF((('KG1-1'!$AD37:$IM37="غياب بدون عذر")+('KG1-1'!$AD37:$IM37="غياب بعذر"))*('KG1-1'!$AD$7:$IM$7="✓"),'KG1-1'!$AD$5:$IM$5),1),""))</f>
        <v/>
      </c>
      <c r="E562">
        <f>IF(D562="","",INDEX('KG1-1'!$AD37:$IM37,MATCH(D562,'KG1-1'!$AD$5:$IM$5,0)))</f>
        <v/>
      </c>
      <c r="F562">
        <f>IF(D562="","",COUNTIFS('KG1-1'!$AD37:$IM37,"غياب بدون عذر",'KG1-1'!$AD$7:$IM$7,"✓",'KG1-1'!$AD$5:$IM$5,"&lt;="&amp;D562))</f>
        <v/>
      </c>
      <c r="G562">
        <f>G561+IF(D562="",0,1)</f>
        <v/>
      </c>
    </row>
    <row r="563">
      <c r="A563">
        <f>IF('KG1-1'!$B37="","",'KG1-1'!$B37)</f>
        <v/>
      </c>
      <c r="B563">
        <f>IF(A563="","",'KG1-1'!$C37)</f>
        <v/>
      </c>
      <c r="C563">
        <f>IF(A563="","",'KG1-1'!$B$2)</f>
        <v/>
      </c>
      <c r="D563" s="126">
        <f t="array" ref="D563">IF(A563="","",IFERROR(SMALL(IF((('KG1-1'!$AD37:$IM37="غياب بدون عذر")+('KG1-1'!$AD37:$IM37="غياب بعذر"))*('KG1-1'!$AD$7:$IM$7="✓"),'KG1-1'!$AD$5:$IM$5),2),""))</f>
        <v/>
      </c>
      <c r="E563">
        <f>IF(D563="","",INDEX('KG1-1'!$AD37:$IM37,MATCH(D563,'KG1-1'!$AD$5:$IM$5,0)))</f>
        <v/>
      </c>
      <c r="F563">
        <f>IF(D563="","",COUNTIFS('KG1-1'!$AD37:$IM37,"غياب بدون عذر",'KG1-1'!$AD$7:$IM$7,"✓",'KG1-1'!$AD$5:$IM$5,"&lt;="&amp;D563))</f>
        <v/>
      </c>
      <c r="G563">
        <f>G562+IF(D563="",0,1)</f>
        <v/>
      </c>
    </row>
    <row r="564">
      <c r="A564">
        <f>IF('KG1-1'!$B37="","",'KG1-1'!$B37)</f>
        <v/>
      </c>
      <c r="B564">
        <f>IF(A564="","",'KG1-1'!$C37)</f>
        <v/>
      </c>
      <c r="C564">
        <f>IF(A564="","",'KG1-1'!$B$2)</f>
        <v/>
      </c>
      <c r="D564" s="126">
        <f t="array" ref="D564">IF(A564="","",IFERROR(SMALL(IF((('KG1-1'!$AD37:$IM37="غياب بدون عذر")+('KG1-1'!$AD37:$IM37="غياب بعذر"))*('KG1-1'!$AD$7:$IM$7="✓"),'KG1-1'!$AD$5:$IM$5),3),""))</f>
        <v/>
      </c>
      <c r="E564">
        <f>IF(D564="","",INDEX('KG1-1'!$AD37:$IM37,MATCH(D564,'KG1-1'!$AD$5:$IM$5,0)))</f>
        <v/>
      </c>
      <c r="F564">
        <f>IF(D564="","",COUNTIFS('KG1-1'!$AD37:$IM37,"غياب بدون عذر",'KG1-1'!$AD$7:$IM$7,"✓",'KG1-1'!$AD$5:$IM$5,"&lt;="&amp;D564))</f>
        <v/>
      </c>
      <c r="G564">
        <f>G563+IF(D564="",0,1)</f>
        <v/>
      </c>
    </row>
    <row r="565">
      <c r="A565">
        <f>IF('KG1-1'!$B37="","",'KG1-1'!$B37)</f>
        <v/>
      </c>
      <c r="B565">
        <f>IF(A565="","",'KG1-1'!$C37)</f>
        <v/>
      </c>
      <c r="C565">
        <f>IF(A565="","",'KG1-1'!$B$2)</f>
        <v/>
      </c>
      <c r="D565" s="126">
        <f t="array" ref="D565">IF(A565="","",IFERROR(SMALL(IF((('KG1-1'!$AD37:$IM37="غياب بدون عذر")+('KG1-1'!$AD37:$IM37="غياب بعذر"))*('KG1-1'!$AD$7:$IM$7="✓"),'KG1-1'!$AD$5:$IM$5),4),""))</f>
        <v/>
      </c>
      <c r="E565">
        <f>IF(D565="","",INDEX('KG1-1'!$AD37:$IM37,MATCH(D565,'KG1-1'!$AD$5:$IM$5,0)))</f>
        <v/>
      </c>
      <c r="F565">
        <f>IF(D565="","",COUNTIFS('KG1-1'!$AD37:$IM37,"غياب بدون عذر",'KG1-1'!$AD$7:$IM$7,"✓",'KG1-1'!$AD$5:$IM$5,"&lt;="&amp;D565))</f>
        <v/>
      </c>
      <c r="G565">
        <f>G564+IF(D565="",0,1)</f>
        <v/>
      </c>
    </row>
    <row r="566">
      <c r="A566">
        <f>IF('KG1-1'!$B37="","",'KG1-1'!$B37)</f>
        <v/>
      </c>
      <c r="B566">
        <f>IF(A566="","",'KG1-1'!$C37)</f>
        <v/>
      </c>
      <c r="C566">
        <f>IF(A566="","",'KG1-1'!$B$2)</f>
        <v/>
      </c>
      <c r="D566" s="126">
        <f t="array" ref="D566">IF(A566="","",IFERROR(SMALL(IF((('KG1-1'!$AD37:$IM37="غياب بدون عذر")+('KG1-1'!$AD37:$IM37="غياب بعذر"))*('KG1-1'!$AD$7:$IM$7="✓"),'KG1-1'!$AD$5:$IM$5),5),""))</f>
        <v/>
      </c>
      <c r="E566">
        <f>IF(D566="","",INDEX('KG1-1'!$AD37:$IM37,MATCH(D566,'KG1-1'!$AD$5:$IM$5,0)))</f>
        <v/>
      </c>
      <c r="F566">
        <f>IF(D566="","",COUNTIFS('KG1-1'!$AD37:$IM37,"غياب بدون عذر",'KG1-1'!$AD$7:$IM$7,"✓",'KG1-1'!$AD$5:$IM$5,"&lt;="&amp;D566))</f>
        <v/>
      </c>
      <c r="G566">
        <f>G565+IF(D566="",0,1)</f>
        <v/>
      </c>
    </row>
    <row r="567">
      <c r="A567">
        <f>IF('KG1-1'!$B37="","",'KG1-1'!$B37)</f>
        <v/>
      </c>
      <c r="B567">
        <f>IF(A567="","",'KG1-1'!$C37)</f>
        <v/>
      </c>
      <c r="C567">
        <f>IF(A567="","",'KG1-1'!$B$2)</f>
        <v/>
      </c>
      <c r="D567" s="126">
        <f t="array" ref="D567">IF(A567="","",IFERROR(SMALL(IF((('KG1-1'!$AD37:$IM37="غياب بدون عذر")+('KG1-1'!$AD37:$IM37="غياب بعذر"))*('KG1-1'!$AD$7:$IM$7="✓"),'KG1-1'!$AD$5:$IM$5),6),""))</f>
        <v/>
      </c>
      <c r="E567">
        <f>IF(D567="","",INDEX('KG1-1'!$AD37:$IM37,MATCH(D567,'KG1-1'!$AD$5:$IM$5,0)))</f>
        <v/>
      </c>
      <c r="F567">
        <f>IF(D567="","",COUNTIFS('KG1-1'!$AD37:$IM37,"غياب بدون عذر",'KG1-1'!$AD$7:$IM$7,"✓",'KG1-1'!$AD$5:$IM$5,"&lt;="&amp;D567))</f>
        <v/>
      </c>
      <c r="G567">
        <f>G566+IF(D567="",0,1)</f>
        <v/>
      </c>
    </row>
    <row r="568">
      <c r="A568">
        <f>IF('KG1-1'!$B37="","",'KG1-1'!$B37)</f>
        <v/>
      </c>
      <c r="B568">
        <f>IF(A568="","",'KG1-1'!$C37)</f>
        <v/>
      </c>
      <c r="C568">
        <f>IF(A568="","",'KG1-1'!$B$2)</f>
        <v/>
      </c>
      <c r="D568" s="126">
        <f t="array" ref="D568">IF(A568="","",IFERROR(SMALL(IF((('KG1-1'!$AD37:$IM37="غياب بدون عذر")+('KG1-1'!$AD37:$IM37="غياب بعذر"))*('KG1-1'!$AD$7:$IM$7="✓"),'KG1-1'!$AD$5:$IM$5),7),""))</f>
        <v/>
      </c>
      <c r="E568">
        <f>IF(D568="","",INDEX('KG1-1'!$AD37:$IM37,MATCH(D568,'KG1-1'!$AD$5:$IM$5,0)))</f>
        <v/>
      </c>
      <c r="F568">
        <f>IF(D568="","",COUNTIFS('KG1-1'!$AD37:$IM37,"غياب بدون عذر",'KG1-1'!$AD$7:$IM$7,"✓",'KG1-1'!$AD$5:$IM$5,"&lt;="&amp;D568))</f>
        <v/>
      </c>
      <c r="G568">
        <f>G567+IF(D568="",0,1)</f>
        <v/>
      </c>
    </row>
    <row r="569">
      <c r="A569">
        <f>IF('KG1-1'!$B37="","",'KG1-1'!$B37)</f>
        <v/>
      </c>
      <c r="B569">
        <f>IF(A569="","",'KG1-1'!$C37)</f>
        <v/>
      </c>
      <c r="C569">
        <f>IF(A569="","",'KG1-1'!$B$2)</f>
        <v/>
      </c>
      <c r="D569" s="126">
        <f t="array" ref="D569">IF(A569="","",IFERROR(SMALL(IF((('KG1-1'!$AD37:$IM37="غياب بدون عذر")+('KG1-1'!$AD37:$IM37="غياب بعذر"))*('KG1-1'!$AD$7:$IM$7="✓"),'KG1-1'!$AD$5:$IM$5),8),""))</f>
        <v/>
      </c>
      <c r="E569">
        <f>IF(D569="","",INDEX('KG1-1'!$AD37:$IM37,MATCH(D569,'KG1-1'!$AD$5:$IM$5,0)))</f>
        <v/>
      </c>
      <c r="F569">
        <f>IF(D569="","",COUNTIFS('KG1-1'!$AD37:$IM37,"غياب بدون عذر",'KG1-1'!$AD$7:$IM$7,"✓",'KG1-1'!$AD$5:$IM$5,"&lt;="&amp;D569))</f>
        <v/>
      </c>
      <c r="G569">
        <f>G568+IF(D569="",0,1)</f>
        <v/>
      </c>
    </row>
    <row r="570">
      <c r="A570">
        <f>IF('KG1-1'!$B37="","",'KG1-1'!$B37)</f>
        <v/>
      </c>
      <c r="B570">
        <f>IF(A570="","",'KG1-1'!$C37)</f>
        <v/>
      </c>
      <c r="C570">
        <f>IF(A570="","",'KG1-1'!$B$2)</f>
        <v/>
      </c>
      <c r="D570" s="126">
        <f t="array" ref="D570">IF(A570="","",IFERROR(SMALL(IF((('KG1-1'!$AD37:$IM37="غياب بدون عذر")+('KG1-1'!$AD37:$IM37="غياب بعذر"))*('KG1-1'!$AD$7:$IM$7="✓"),'KG1-1'!$AD$5:$IM$5),9),""))</f>
        <v/>
      </c>
      <c r="E570">
        <f>IF(D570="","",INDEX('KG1-1'!$AD37:$IM37,MATCH(D570,'KG1-1'!$AD$5:$IM$5,0)))</f>
        <v/>
      </c>
      <c r="F570">
        <f>IF(D570="","",COUNTIFS('KG1-1'!$AD37:$IM37,"غياب بدون عذر",'KG1-1'!$AD$7:$IM$7,"✓",'KG1-1'!$AD$5:$IM$5,"&lt;="&amp;D570))</f>
        <v/>
      </c>
      <c r="G570">
        <f>G569+IF(D570="",0,1)</f>
        <v/>
      </c>
    </row>
    <row r="571">
      <c r="A571">
        <f>IF('KG1-1'!$B37="","",'KG1-1'!$B37)</f>
        <v/>
      </c>
      <c r="B571">
        <f>IF(A571="","",'KG1-1'!$C37)</f>
        <v/>
      </c>
      <c r="C571">
        <f>IF(A571="","",'KG1-1'!$B$2)</f>
        <v/>
      </c>
      <c r="D571" s="126">
        <f t="array" ref="D571">IF(A571="","",IFERROR(SMALL(IF((('KG1-1'!$AD37:$IM37="غياب بدون عذر")+('KG1-1'!$AD37:$IM37="غياب بعذر"))*('KG1-1'!$AD$7:$IM$7="✓"),'KG1-1'!$AD$5:$IM$5),10),""))</f>
        <v/>
      </c>
      <c r="E571">
        <f>IF(D571="","",INDEX('KG1-1'!$AD37:$IM37,MATCH(D571,'KG1-1'!$AD$5:$IM$5,0)))</f>
        <v/>
      </c>
      <c r="F571">
        <f>IF(D571="","",COUNTIFS('KG1-1'!$AD37:$IM37,"غياب بدون عذر",'KG1-1'!$AD$7:$IM$7,"✓",'KG1-1'!$AD$5:$IM$5,"&lt;="&amp;D571))</f>
        <v/>
      </c>
      <c r="G571">
        <f>G570+IF(D571="",0,1)</f>
        <v/>
      </c>
    </row>
    <row r="572">
      <c r="A572">
        <f>IF('KG1-1'!$B37="","",'KG1-1'!$B37)</f>
        <v/>
      </c>
      <c r="B572">
        <f>IF(A572="","",'KG1-1'!$C37)</f>
        <v/>
      </c>
      <c r="C572">
        <f>IF(A572="","",'KG1-1'!$B$2)</f>
        <v/>
      </c>
      <c r="D572" s="126">
        <f t="array" ref="D572">IF(A572="","",IFERROR(SMALL(IF((('KG1-1'!$AD37:$IM37="غياب بدون عذر")+('KG1-1'!$AD37:$IM37="غياب بعذر"))*('KG1-1'!$AD$7:$IM$7="✓"),'KG1-1'!$AD$5:$IM$5),11),""))</f>
        <v/>
      </c>
      <c r="E572">
        <f>IF(D572="","",INDEX('KG1-1'!$AD37:$IM37,MATCH(D572,'KG1-1'!$AD$5:$IM$5,0)))</f>
        <v/>
      </c>
      <c r="F572">
        <f>IF(D572="","",COUNTIFS('KG1-1'!$AD37:$IM37,"غياب بدون عذر",'KG1-1'!$AD$7:$IM$7,"✓",'KG1-1'!$AD$5:$IM$5,"&lt;="&amp;D572))</f>
        <v/>
      </c>
      <c r="G572">
        <f>G571+IF(D572="",0,1)</f>
        <v/>
      </c>
    </row>
    <row r="573">
      <c r="A573">
        <f>IF('KG1-1'!$B37="","",'KG1-1'!$B37)</f>
        <v/>
      </c>
      <c r="B573">
        <f>IF(A573="","",'KG1-1'!$C37)</f>
        <v/>
      </c>
      <c r="C573">
        <f>IF(A573="","",'KG1-1'!$B$2)</f>
        <v/>
      </c>
      <c r="D573" s="126">
        <f t="array" ref="D573">IF(A573="","",IFERROR(SMALL(IF((('KG1-1'!$AD37:$IM37="غياب بدون عذر")+('KG1-1'!$AD37:$IM37="غياب بعذر"))*('KG1-1'!$AD$7:$IM$7="✓"),'KG1-1'!$AD$5:$IM$5),12),""))</f>
        <v/>
      </c>
      <c r="E573">
        <f>IF(D573="","",INDEX('KG1-1'!$AD37:$IM37,MATCH(D573,'KG1-1'!$AD$5:$IM$5,0)))</f>
        <v/>
      </c>
      <c r="F573">
        <f>IF(D573="","",COUNTIFS('KG1-1'!$AD37:$IM37,"غياب بدون عذر",'KG1-1'!$AD$7:$IM$7,"✓",'KG1-1'!$AD$5:$IM$5,"&lt;="&amp;D573))</f>
        <v/>
      </c>
      <c r="G573">
        <f>G572+IF(D573="",0,1)</f>
        <v/>
      </c>
    </row>
    <row r="574">
      <c r="A574">
        <f>IF('KG1-1'!$B37="","",'KG1-1'!$B37)</f>
        <v/>
      </c>
      <c r="B574">
        <f>IF(A574="","",'KG1-1'!$C37)</f>
        <v/>
      </c>
      <c r="C574">
        <f>IF(A574="","",'KG1-1'!$B$2)</f>
        <v/>
      </c>
      <c r="D574" s="126">
        <f t="array" ref="D574">IF(A574="","",IFERROR(SMALL(IF((('KG1-1'!$AD37:$IM37="غياب بدون عذر")+('KG1-1'!$AD37:$IM37="غياب بعذر"))*('KG1-1'!$AD$7:$IM$7="✓"),'KG1-1'!$AD$5:$IM$5),13),""))</f>
        <v/>
      </c>
      <c r="E574">
        <f>IF(D574="","",INDEX('KG1-1'!$AD37:$IM37,MATCH(D574,'KG1-1'!$AD$5:$IM$5,0)))</f>
        <v/>
      </c>
      <c r="F574">
        <f>IF(D574="","",COUNTIFS('KG1-1'!$AD37:$IM37,"غياب بدون عذر",'KG1-1'!$AD$7:$IM$7,"✓",'KG1-1'!$AD$5:$IM$5,"&lt;="&amp;D574))</f>
        <v/>
      </c>
      <c r="G574">
        <f>G573+IF(D574="",0,1)</f>
        <v/>
      </c>
    </row>
    <row r="575">
      <c r="A575">
        <f>IF('KG1-1'!$B37="","",'KG1-1'!$B37)</f>
        <v/>
      </c>
      <c r="B575">
        <f>IF(A575="","",'KG1-1'!$C37)</f>
        <v/>
      </c>
      <c r="C575">
        <f>IF(A575="","",'KG1-1'!$B$2)</f>
        <v/>
      </c>
      <c r="D575" s="126">
        <f t="array" ref="D575">IF(A575="","",IFERROR(SMALL(IF((('KG1-1'!$AD37:$IM37="غياب بدون عذر")+('KG1-1'!$AD37:$IM37="غياب بعذر"))*('KG1-1'!$AD$7:$IM$7="✓"),'KG1-1'!$AD$5:$IM$5),14),""))</f>
        <v/>
      </c>
      <c r="E575">
        <f>IF(D575="","",INDEX('KG1-1'!$AD37:$IM37,MATCH(D575,'KG1-1'!$AD$5:$IM$5,0)))</f>
        <v/>
      </c>
      <c r="F575">
        <f>IF(D575="","",COUNTIFS('KG1-1'!$AD37:$IM37,"غياب بدون عذر",'KG1-1'!$AD$7:$IM$7,"✓",'KG1-1'!$AD$5:$IM$5,"&lt;="&amp;D575))</f>
        <v/>
      </c>
      <c r="G575">
        <f>G574+IF(D575="",0,1)</f>
        <v/>
      </c>
    </row>
    <row r="576">
      <c r="A576">
        <f>IF('KG1-1'!$B37="","",'KG1-1'!$B37)</f>
        <v/>
      </c>
      <c r="B576">
        <f>IF(A576="","",'KG1-1'!$C37)</f>
        <v/>
      </c>
      <c r="C576">
        <f>IF(A576="","",'KG1-1'!$B$2)</f>
        <v/>
      </c>
      <c r="D576" s="126">
        <f t="array" ref="D576">IF(A576="","",IFERROR(SMALL(IF((('KG1-1'!$AD37:$IM37="غياب بدون عذر")+('KG1-1'!$AD37:$IM37="غياب بعذر"))*('KG1-1'!$AD$7:$IM$7="✓"),'KG1-1'!$AD$5:$IM$5),15),""))</f>
        <v/>
      </c>
      <c r="E576">
        <f>IF(D576="","",INDEX('KG1-1'!$AD37:$IM37,MATCH(D576,'KG1-1'!$AD$5:$IM$5,0)))</f>
        <v/>
      </c>
      <c r="F576">
        <f>IF(D576="","",COUNTIFS('KG1-1'!$AD37:$IM37,"غياب بدون عذر",'KG1-1'!$AD$7:$IM$7,"✓",'KG1-1'!$AD$5:$IM$5,"&lt;="&amp;D576))</f>
        <v/>
      </c>
      <c r="G576">
        <f>G575+IF(D576="",0,1)</f>
        <v/>
      </c>
    </row>
    <row r="577">
      <c r="A577">
        <f>IF('KG1-1'!$B37="","",'KG1-1'!$B37)</f>
        <v/>
      </c>
      <c r="B577">
        <f>IF(A577="","",'KG1-1'!$C37)</f>
        <v/>
      </c>
      <c r="C577">
        <f>IF(A577="","",'KG1-1'!$B$2)</f>
        <v/>
      </c>
      <c r="D577" s="126">
        <f t="array" ref="D577">IF(A577="","",IFERROR(SMALL(IF((('KG1-1'!$AD37:$IM37="غياب بدون عذر")+('KG1-1'!$AD37:$IM37="غياب بعذر"))*('KG1-1'!$AD$7:$IM$7="✓"),'KG1-1'!$AD$5:$IM$5),16),""))</f>
        <v/>
      </c>
      <c r="E577">
        <f>IF(D577="","",INDEX('KG1-1'!$AD37:$IM37,MATCH(D577,'KG1-1'!$AD$5:$IM$5,0)))</f>
        <v/>
      </c>
      <c r="F577">
        <f>IF(D577="","",COUNTIFS('KG1-1'!$AD37:$IM37,"غياب بدون عذر",'KG1-1'!$AD$7:$IM$7,"✓",'KG1-1'!$AD$5:$IM$5,"&lt;="&amp;D577))</f>
        <v/>
      </c>
      <c r="G577">
        <f>G576+IF(D577="",0,1)</f>
        <v/>
      </c>
    </row>
    <row r="578">
      <c r="A578">
        <f>IF('KG1-1'!$B37="","",'KG1-1'!$B37)</f>
        <v/>
      </c>
      <c r="B578">
        <f>IF(A578="","",'KG1-1'!$C37)</f>
        <v/>
      </c>
      <c r="C578">
        <f>IF(A578="","",'KG1-1'!$B$2)</f>
        <v/>
      </c>
      <c r="D578" s="126">
        <f t="array" ref="D578">IF(A578="","",IFERROR(SMALL(IF((('KG1-1'!$AD37:$IM37="غياب بدون عذر")+('KG1-1'!$AD37:$IM37="غياب بعذر"))*('KG1-1'!$AD$7:$IM$7="✓"),'KG1-1'!$AD$5:$IM$5),17),""))</f>
        <v/>
      </c>
      <c r="E578">
        <f>IF(D578="","",INDEX('KG1-1'!$AD37:$IM37,MATCH(D578,'KG1-1'!$AD$5:$IM$5,0)))</f>
        <v/>
      </c>
      <c r="F578">
        <f>IF(D578="","",COUNTIFS('KG1-1'!$AD37:$IM37,"غياب بدون عذر",'KG1-1'!$AD$7:$IM$7,"✓",'KG1-1'!$AD$5:$IM$5,"&lt;="&amp;D578))</f>
        <v/>
      </c>
      <c r="G578">
        <f>G577+IF(D578="",0,1)</f>
        <v/>
      </c>
    </row>
    <row r="579">
      <c r="A579">
        <f>IF('KG1-1'!$B37="","",'KG1-1'!$B37)</f>
        <v/>
      </c>
      <c r="B579">
        <f>IF(A579="","",'KG1-1'!$C37)</f>
        <v/>
      </c>
      <c r="C579">
        <f>IF(A579="","",'KG1-1'!$B$2)</f>
        <v/>
      </c>
      <c r="D579" s="126">
        <f t="array" ref="D579">IF(A579="","",IFERROR(SMALL(IF((('KG1-1'!$AD37:$IM37="غياب بدون عذر")+('KG1-1'!$AD37:$IM37="غياب بعذر"))*('KG1-1'!$AD$7:$IM$7="✓"),'KG1-1'!$AD$5:$IM$5),18),""))</f>
        <v/>
      </c>
      <c r="E579">
        <f>IF(D579="","",INDEX('KG1-1'!$AD37:$IM37,MATCH(D579,'KG1-1'!$AD$5:$IM$5,0)))</f>
        <v/>
      </c>
      <c r="F579">
        <f>IF(D579="","",COUNTIFS('KG1-1'!$AD37:$IM37,"غياب بدون عذر",'KG1-1'!$AD$7:$IM$7,"✓",'KG1-1'!$AD$5:$IM$5,"&lt;="&amp;D579))</f>
        <v/>
      </c>
      <c r="G579">
        <f>G578+IF(D579="",0,1)</f>
        <v/>
      </c>
    </row>
    <row r="580">
      <c r="A580">
        <f>IF('KG1-1'!$B37="","",'KG1-1'!$B37)</f>
        <v/>
      </c>
      <c r="B580">
        <f>IF(A580="","",'KG1-1'!$C37)</f>
        <v/>
      </c>
      <c r="C580">
        <f>IF(A580="","",'KG1-1'!$B$2)</f>
        <v/>
      </c>
      <c r="D580" s="126">
        <f t="array" ref="D580">IF(A580="","",IFERROR(SMALL(IF((('KG1-1'!$AD37:$IM37="غياب بدون عذر")+('KG1-1'!$AD37:$IM37="غياب بعذر"))*('KG1-1'!$AD$7:$IM$7="✓"),'KG1-1'!$AD$5:$IM$5),19),""))</f>
        <v/>
      </c>
      <c r="E580">
        <f>IF(D580="","",INDEX('KG1-1'!$AD37:$IM37,MATCH(D580,'KG1-1'!$AD$5:$IM$5,0)))</f>
        <v/>
      </c>
      <c r="F580">
        <f>IF(D580="","",COUNTIFS('KG1-1'!$AD37:$IM37,"غياب بدون عذر",'KG1-1'!$AD$7:$IM$7,"✓",'KG1-1'!$AD$5:$IM$5,"&lt;="&amp;D580))</f>
        <v/>
      </c>
      <c r="G580">
        <f>G579+IF(D580="",0,1)</f>
        <v/>
      </c>
    </row>
    <row r="581">
      <c r="A581">
        <f>IF('KG1-1'!$B37="","",'KG1-1'!$B37)</f>
        <v/>
      </c>
      <c r="B581">
        <f>IF(A581="","",'KG1-1'!$C37)</f>
        <v/>
      </c>
      <c r="C581">
        <f>IF(A581="","",'KG1-1'!$B$2)</f>
        <v/>
      </c>
      <c r="D581" s="126">
        <f t="array" ref="D581">IF(A581="","",IFERROR(SMALL(IF((('KG1-1'!$AD37:$IM37="غياب بدون عذر")+('KG1-1'!$AD37:$IM37="غياب بعذر"))*('KG1-1'!$AD$7:$IM$7="✓"),'KG1-1'!$AD$5:$IM$5),20),""))</f>
        <v/>
      </c>
      <c r="E581">
        <f>IF(D581="","",INDEX('KG1-1'!$AD37:$IM37,MATCH(D581,'KG1-1'!$AD$5:$IM$5,0)))</f>
        <v/>
      </c>
      <c r="F581">
        <f>IF(D581="","",COUNTIFS('KG1-1'!$AD37:$IM37,"غياب بدون عذر",'KG1-1'!$AD$7:$IM$7,"✓",'KG1-1'!$AD$5:$IM$5,"&lt;="&amp;D581))</f>
        <v/>
      </c>
      <c r="G581">
        <f>G580+IF(D581="",0,1)</f>
        <v/>
      </c>
    </row>
    <row r="582">
      <c r="A582">
        <f>IF('KG1-1'!$B38="","",'KG1-1'!$B38)</f>
        <v/>
      </c>
      <c r="B582">
        <f>IF(A582="","",'KG1-1'!$C38)</f>
        <v/>
      </c>
      <c r="C582">
        <f>IF(A582="","",'KG1-1'!$B$2)</f>
        <v/>
      </c>
      <c r="D582" s="126">
        <f t="array" ref="D582">IF(A582="","",IFERROR(SMALL(IF((('KG1-1'!$AD38:$IM38="غياب بدون عذر")+('KG1-1'!$AD38:$IM38="غياب بعذر"))*('KG1-1'!$AD$7:$IM$7="✓"),'KG1-1'!$AD$5:$IM$5),1),""))</f>
        <v/>
      </c>
      <c r="E582">
        <f>IF(D582="","",INDEX('KG1-1'!$AD38:$IM38,MATCH(D582,'KG1-1'!$AD$5:$IM$5,0)))</f>
        <v/>
      </c>
      <c r="F582">
        <f>IF(D582="","",COUNTIFS('KG1-1'!$AD38:$IM38,"غياب بدون عذر",'KG1-1'!$AD$7:$IM$7,"✓",'KG1-1'!$AD$5:$IM$5,"&lt;="&amp;D582))</f>
        <v/>
      </c>
      <c r="G582">
        <f>G581+IF(D582="",0,1)</f>
        <v/>
      </c>
    </row>
    <row r="583">
      <c r="A583">
        <f>IF('KG1-1'!$B38="","",'KG1-1'!$B38)</f>
        <v/>
      </c>
      <c r="B583">
        <f>IF(A583="","",'KG1-1'!$C38)</f>
        <v/>
      </c>
      <c r="C583">
        <f>IF(A583="","",'KG1-1'!$B$2)</f>
        <v/>
      </c>
      <c r="D583" s="126">
        <f t="array" ref="D583">IF(A583="","",IFERROR(SMALL(IF((('KG1-1'!$AD38:$IM38="غياب بدون عذر")+('KG1-1'!$AD38:$IM38="غياب بعذر"))*('KG1-1'!$AD$7:$IM$7="✓"),'KG1-1'!$AD$5:$IM$5),2),""))</f>
        <v/>
      </c>
      <c r="E583">
        <f>IF(D583="","",INDEX('KG1-1'!$AD38:$IM38,MATCH(D583,'KG1-1'!$AD$5:$IM$5,0)))</f>
        <v/>
      </c>
      <c r="F583">
        <f>IF(D583="","",COUNTIFS('KG1-1'!$AD38:$IM38,"غياب بدون عذر",'KG1-1'!$AD$7:$IM$7,"✓",'KG1-1'!$AD$5:$IM$5,"&lt;="&amp;D583))</f>
        <v/>
      </c>
      <c r="G583">
        <f>G582+IF(D583="",0,1)</f>
        <v/>
      </c>
    </row>
    <row r="584">
      <c r="A584">
        <f>IF('KG1-1'!$B38="","",'KG1-1'!$B38)</f>
        <v/>
      </c>
      <c r="B584">
        <f>IF(A584="","",'KG1-1'!$C38)</f>
        <v/>
      </c>
      <c r="C584">
        <f>IF(A584="","",'KG1-1'!$B$2)</f>
        <v/>
      </c>
      <c r="D584" s="126">
        <f t="array" ref="D584">IF(A584="","",IFERROR(SMALL(IF((('KG1-1'!$AD38:$IM38="غياب بدون عذر")+('KG1-1'!$AD38:$IM38="غياب بعذر"))*('KG1-1'!$AD$7:$IM$7="✓"),'KG1-1'!$AD$5:$IM$5),3),""))</f>
        <v/>
      </c>
      <c r="E584">
        <f>IF(D584="","",INDEX('KG1-1'!$AD38:$IM38,MATCH(D584,'KG1-1'!$AD$5:$IM$5,0)))</f>
        <v/>
      </c>
      <c r="F584">
        <f>IF(D584="","",COUNTIFS('KG1-1'!$AD38:$IM38,"غياب بدون عذر",'KG1-1'!$AD$7:$IM$7,"✓",'KG1-1'!$AD$5:$IM$5,"&lt;="&amp;D584))</f>
        <v/>
      </c>
      <c r="G584">
        <f>G583+IF(D584="",0,1)</f>
        <v/>
      </c>
    </row>
    <row r="585">
      <c r="A585">
        <f>IF('KG1-1'!$B38="","",'KG1-1'!$B38)</f>
        <v/>
      </c>
      <c r="B585">
        <f>IF(A585="","",'KG1-1'!$C38)</f>
        <v/>
      </c>
      <c r="C585">
        <f>IF(A585="","",'KG1-1'!$B$2)</f>
        <v/>
      </c>
      <c r="D585" s="126">
        <f t="array" ref="D585">IF(A585="","",IFERROR(SMALL(IF((('KG1-1'!$AD38:$IM38="غياب بدون عذر")+('KG1-1'!$AD38:$IM38="غياب بعذر"))*('KG1-1'!$AD$7:$IM$7="✓"),'KG1-1'!$AD$5:$IM$5),4),""))</f>
        <v/>
      </c>
      <c r="E585">
        <f>IF(D585="","",INDEX('KG1-1'!$AD38:$IM38,MATCH(D585,'KG1-1'!$AD$5:$IM$5,0)))</f>
        <v/>
      </c>
      <c r="F585">
        <f>IF(D585="","",COUNTIFS('KG1-1'!$AD38:$IM38,"غياب بدون عذر",'KG1-1'!$AD$7:$IM$7,"✓",'KG1-1'!$AD$5:$IM$5,"&lt;="&amp;D585))</f>
        <v/>
      </c>
      <c r="G585">
        <f>G584+IF(D585="",0,1)</f>
        <v/>
      </c>
    </row>
    <row r="586">
      <c r="A586">
        <f>IF('KG1-1'!$B38="","",'KG1-1'!$B38)</f>
        <v/>
      </c>
      <c r="B586">
        <f>IF(A586="","",'KG1-1'!$C38)</f>
        <v/>
      </c>
      <c r="C586">
        <f>IF(A586="","",'KG1-1'!$B$2)</f>
        <v/>
      </c>
      <c r="D586" s="126">
        <f t="array" ref="D586">IF(A586="","",IFERROR(SMALL(IF((('KG1-1'!$AD38:$IM38="غياب بدون عذر")+('KG1-1'!$AD38:$IM38="غياب بعذر"))*('KG1-1'!$AD$7:$IM$7="✓"),'KG1-1'!$AD$5:$IM$5),5),""))</f>
        <v/>
      </c>
      <c r="E586">
        <f>IF(D586="","",INDEX('KG1-1'!$AD38:$IM38,MATCH(D586,'KG1-1'!$AD$5:$IM$5,0)))</f>
        <v/>
      </c>
      <c r="F586">
        <f>IF(D586="","",COUNTIFS('KG1-1'!$AD38:$IM38,"غياب بدون عذر",'KG1-1'!$AD$7:$IM$7,"✓",'KG1-1'!$AD$5:$IM$5,"&lt;="&amp;D586))</f>
        <v/>
      </c>
      <c r="G586">
        <f>G585+IF(D586="",0,1)</f>
        <v/>
      </c>
    </row>
    <row r="587">
      <c r="A587">
        <f>IF('KG1-1'!$B38="","",'KG1-1'!$B38)</f>
        <v/>
      </c>
      <c r="B587">
        <f>IF(A587="","",'KG1-1'!$C38)</f>
        <v/>
      </c>
      <c r="C587">
        <f>IF(A587="","",'KG1-1'!$B$2)</f>
        <v/>
      </c>
      <c r="D587" s="126">
        <f t="array" ref="D587">IF(A587="","",IFERROR(SMALL(IF((('KG1-1'!$AD38:$IM38="غياب بدون عذر")+('KG1-1'!$AD38:$IM38="غياب بعذر"))*('KG1-1'!$AD$7:$IM$7="✓"),'KG1-1'!$AD$5:$IM$5),6),""))</f>
        <v/>
      </c>
      <c r="E587">
        <f>IF(D587="","",INDEX('KG1-1'!$AD38:$IM38,MATCH(D587,'KG1-1'!$AD$5:$IM$5,0)))</f>
        <v/>
      </c>
      <c r="F587">
        <f>IF(D587="","",COUNTIFS('KG1-1'!$AD38:$IM38,"غياب بدون عذر",'KG1-1'!$AD$7:$IM$7,"✓",'KG1-1'!$AD$5:$IM$5,"&lt;="&amp;D587))</f>
        <v/>
      </c>
      <c r="G587">
        <f>G586+IF(D587="",0,1)</f>
        <v/>
      </c>
    </row>
    <row r="588">
      <c r="A588">
        <f>IF('KG1-1'!$B38="","",'KG1-1'!$B38)</f>
        <v/>
      </c>
      <c r="B588">
        <f>IF(A588="","",'KG1-1'!$C38)</f>
        <v/>
      </c>
      <c r="C588">
        <f>IF(A588="","",'KG1-1'!$B$2)</f>
        <v/>
      </c>
      <c r="D588" s="126">
        <f t="array" ref="D588">IF(A588="","",IFERROR(SMALL(IF((('KG1-1'!$AD38:$IM38="غياب بدون عذر")+('KG1-1'!$AD38:$IM38="غياب بعذر"))*('KG1-1'!$AD$7:$IM$7="✓"),'KG1-1'!$AD$5:$IM$5),7),""))</f>
        <v/>
      </c>
      <c r="E588">
        <f>IF(D588="","",INDEX('KG1-1'!$AD38:$IM38,MATCH(D588,'KG1-1'!$AD$5:$IM$5,0)))</f>
        <v/>
      </c>
      <c r="F588">
        <f>IF(D588="","",COUNTIFS('KG1-1'!$AD38:$IM38,"غياب بدون عذر",'KG1-1'!$AD$7:$IM$7,"✓",'KG1-1'!$AD$5:$IM$5,"&lt;="&amp;D588))</f>
        <v/>
      </c>
      <c r="G588">
        <f>G587+IF(D588="",0,1)</f>
        <v/>
      </c>
    </row>
    <row r="589">
      <c r="A589">
        <f>IF('KG1-1'!$B38="","",'KG1-1'!$B38)</f>
        <v/>
      </c>
      <c r="B589">
        <f>IF(A589="","",'KG1-1'!$C38)</f>
        <v/>
      </c>
      <c r="C589">
        <f>IF(A589="","",'KG1-1'!$B$2)</f>
        <v/>
      </c>
      <c r="D589" s="126">
        <f t="array" ref="D589">IF(A589="","",IFERROR(SMALL(IF((('KG1-1'!$AD38:$IM38="غياب بدون عذر")+('KG1-1'!$AD38:$IM38="غياب بعذر"))*('KG1-1'!$AD$7:$IM$7="✓"),'KG1-1'!$AD$5:$IM$5),8),""))</f>
        <v/>
      </c>
      <c r="E589">
        <f>IF(D589="","",INDEX('KG1-1'!$AD38:$IM38,MATCH(D589,'KG1-1'!$AD$5:$IM$5,0)))</f>
        <v/>
      </c>
      <c r="F589">
        <f>IF(D589="","",COUNTIFS('KG1-1'!$AD38:$IM38,"غياب بدون عذر",'KG1-1'!$AD$7:$IM$7,"✓",'KG1-1'!$AD$5:$IM$5,"&lt;="&amp;D589))</f>
        <v/>
      </c>
      <c r="G589">
        <f>G588+IF(D589="",0,1)</f>
        <v/>
      </c>
    </row>
    <row r="590">
      <c r="A590">
        <f>IF('KG1-1'!$B38="","",'KG1-1'!$B38)</f>
        <v/>
      </c>
      <c r="B590">
        <f>IF(A590="","",'KG1-1'!$C38)</f>
        <v/>
      </c>
      <c r="C590">
        <f>IF(A590="","",'KG1-1'!$B$2)</f>
        <v/>
      </c>
      <c r="D590" s="126">
        <f t="array" ref="D590">IF(A590="","",IFERROR(SMALL(IF((('KG1-1'!$AD38:$IM38="غياب بدون عذر")+('KG1-1'!$AD38:$IM38="غياب بعذر"))*('KG1-1'!$AD$7:$IM$7="✓"),'KG1-1'!$AD$5:$IM$5),9),""))</f>
        <v/>
      </c>
      <c r="E590">
        <f>IF(D590="","",INDEX('KG1-1'!$AD38:$IM38,MATCH(D590,'KG1-1'!$AD$5:$IM$5,0)))</f>
        <v/>
      </c>
      <c r="F590">
        <f>IF(D590="","",COUNTIFS('KG1-1'!$AD38:$IM38,"غياب بدون عذر",'KG1-1'!$AD$7:$IM$7,"✓",'KG1-1'!$AD$5:$IM$5,"&lt;="&amp;D590))</f>
        <v/>
      </c>
      <c r="G590">
        <f>G589+IF(D590="",0,1)</f>
        <v/>
      </c>
    </row>
    <row r="591">
      <c r="A591">
        <f>IF('KG1-1'!$B38="","",'KG1-1'!$B38)</f>
        <v/>
      </c>
      <c r="B591">
        <f>IF(A591="","",'KG1-1'!$C38)</f>
        <v/>
      </c>
      <c r="C591">
        <f>IF(A591="","",'KG1-1'!$B$2)</f>
        <v/>
      </c>
      <c r="D591" s="126">
        <f t="array" ref="D591">IF(A591="","",IFERROR(SMALL(IF((('KG1-1'!$AD38:$IM38="غياب بدون عذر")+('KG1-1'!$AD38:$IM38="غياب بعذر"))*('KG1-1'!$AD$7:$IM$7="✓"),'KG1-1'!$AD$5:$IM$5),10),""))</f>
        <v/>
      </c>
      <c r="E591">
        <f>IF(D591="","",INDEX('KG1-1'!$AD38:$IM38,MATCH(D591,'KG1-1'!$AD$5:$IM$5,0)))</f>
        <v/>
      </c>
      <c r="F591">
        <f>IF(D591="","",COUNTIFS('KG1-1'!$AD38:$IM38,"غياب بدون عذر",'KG1-1'!$AD$7:$IM$7,"✓",'KG1-1'!$AD$5:$IM$5,"&lt;="&amp;D591))</f>
        <v/>
      </c>
      <c r="G591">
        <f>G590+IF(D591="",0,1)</f>
        <v/>
      </c>
    </row>
    <row r="592">
      <c r="A592">
        <f>IF('KG1-1'!$B38="","",'KG1-1'!$B38)</f>
        <v/>
      </c>
      <c r="B592">
        <f>IF(A592="","",'KG1-1'!$C38)</f>
        <v/>
      </c>
      <c r="C592">
        <f>IF(A592="","",'KG1-1'!$B$2)</f>
        <v/>
      </c>
      <c r="D592" s="126">
        <f t="array" ref="D592">IF(A592="","",IFERROR(SMALL(IF((('KG1-1'!$AD38:$IM38="غياب بدون عذر")+('KG1-1'!$AD38:$IM38="غياب بعذر"))*('KG1-1'!$AD$7:$IM$7="✓"),'KG1-1'!$AD$5:$IM$5),11),""))</f>
        <v/>
      </c>
      <c r="E592">
        <f>IF(D592="","",INDEX('KG1-1'!$AD38:$IM38,MATCH(D592,'KG1-1'!$AD$5:$IM$5,0)))</f>
        <v/>
      </c>
      <c r="F592">
        <f>IF(D592="","",COUNTIFS('KG1-1'!$AD38:$IM38,"غياب بدون عذر",'KG1-1'!$AD$7:$IM$7,"✓",'KG1-1'!$AD$5:$IM$5,"&lt;="&amp;D592))</f>
        <v/>
      </c>
      <c r="G592">
        <f>G591+IF(D592="",0,1)</f>
        <v/>
      </c>
    </row>
    <row r="593">
      <c r="A593">
        <f>IF('KG1-1'!$B38="","",'KG1-1'!$B38)</f>
        <v/>
      </c>
      <c r="B593">
        <f>IF(A593="","",'KG1-1'!$C38)</f>
        <v/>
      </c>
      <c r="C593">
        <f>IF(A593="","",'KG1-1'!$B$2)</f>
        <v/>
      </c>
      <c r="D593" s="126">
        <f t="array" ref="D593">IF(A593="","",IFERROR(SMALL(IF((('KG1-1'!$AD38:$IM38="غياب بدون عذر")+('KG1-1'!$AD38:$IM38="غياب بعذر"))*('KG1-1'!$AD$7:$IM$7="✓"),'KG1-1'!$AD$5:$IM$5),12),""))</f>
        <v/>
      </c>
      <c r="E593">
        <f>IF(D593="","",INDEX('KG1-1'!$AD38:$IM38,MATCH(D593,'KG1-1'!$AD$5:$IM$5,0)))</f>
        <v/>
      </c>
      <c r="F593">
        <f>IF(D593="","",COUNTIFS('KG1-1'!$AD38:$IM38,"غياب بدون عذر",'KG1-1'!$AD$7:$IM$7,"✓",'KG1-1'!$AD$5:$IM$5,"&lt;="&amp;D593))</f>
        <v/>
      </c>
      <c r="G593">
        <f>G592+IF(D593="",0,1)</f>
        <v/>
      </c>
    </row>
    <row r="594">
      <c r="A594">
        <f>IF('KG1-1'!$B38="","",'KG1-1'!$B38)</f>
        <v/>
      </c>
      <c r="B594">
        <f>IF(A594="","",'KG1-1'!$C38)</f>
        <v/>
      </c>
      <c r="C594">
        <f>IF(A594="","",'KG1-1'!$B$2)</f>
        <v/>
      </c>
      <c r="D594" s="126">
        <f t="array" ref="D594">IF(A594="","",IFERROR(SMALL(IF((('KG1-1'!$AD38:$IM38="غياب بدون عذر")+('KG1-1'!$AD38:$IM38="غياب بعذر"))*('KG1-1'!$AD$7:$IM$7="✓"),'KG1-1'!$AD$5:$IM$5),13),""))</f>
        <v/>
      </c>
      <c r="E594">
        <f>IF(D594="","",INDEX('KG1-1'!$AD38:$IM38,MATCH(D594,'KG1-1'!$AD$5:$IM$5,0)))</f>
        <v/>
      </c>
      <c r="F594">
        <f>IF(D594="","",COUNTIFS('KG1-1'!$AD38:$IM38,"غياب بدون عذر",'KG1-1'!$AD$7:$IM$7,"✓",'KG1-1'!$AD$5:$IM$5,"&lt;="&amp;D594))</f>
        <v/>
      </c>
      <c r="G594">
        <f>G593+IF(D594="",0,1)</f>
        <v/>
      </c>
    </row>
    <row r="595">
      <c r="A595">
        <f>IF('KG1-1'!$B38="","",'KG1-1'!$B38)</f>
        <v/>
      </c>
      <c r="B595">
        <f>IF(A595="","",'KG1-1'!$C38)</f>
        <v/>
      </c>
      <c r="C595">
        <f>IF(A595="","",'KG1-1'!$B$2)</f>
        <v/>
      </c>
      <c r="D595" s="126">
        <f t="array" ref="D595">IF(A595="","",IFERROR(SMALL(IF((('KG1-1'!$AD38:$IM38="غياب بدون عذر")+('KG1-1'!$AD38:$IM38="غياب بعذر"))*('KG1-1'!$AD$7:$IM$7="✓"),'KG1-1'!$AD$5:$IM$5),14),""))</f>
        <v/>
      </c>
      <c r="E595">
        <f>IF(D595="","",INDEX('KG1-1'!$AD38:$IM38,MATCH(D595,'KG1-1'!$AD$5:$IM$5,0)))</f>
        <v/>
      </c>
      <c r="F595">
        <f>IF(D595="","",COUNTIFS('KG1-1'!$AD38:$IM38,"غياب بدون عذر",'KG1-1'!$AD$7:$IM$7,"✓",'KG1-1'!$AD$5:$IM$5,"&lt;="&amp;D595))</f>
        <v/>
      </c>
      <c r="G595">
        <f>G594+IF(D595="",0,1)</f>
        <v/>
      </c>
    </row>
    <row r="596">
      <c r="A596">
        <f>IF('KG1-1'!$B38="","",'KG1-1'!$B38)</f>
        <v/>
      </c>
      <c r="B596">
        <f>IF(A596="","",'KG1-1'!$C38)</f>
        <v/>
      </c>
      <c r="C596">
        <f>IF(A596="","",'KG1-1'!$B$2)</f>
        <v/>
      </c>
      <c r="D596" s="126">
        <f t="array" ref="D596">IF(A596="","",IFERROR(SMALL(IF((('KG1-1'!$AD38:$IM38="غياب بدون عذر")+('KG1-1'!$AD38:$IM38="غياب بعذر"))*('KG1-1'!$AD$7:$IM$7="✓"),'KG1-1'!$AD$5:$IM$5),15),""))</f>
        <v/>
      </c>
      <c r="E596">
        <f>IF(D596="","",INDEX('KG1-1'!$AD38:$IM38,MATCH(D596,'KG1-1'!$AD$5:$IM$5,0)))</f>
        <v/>
      </c>
      <c r="F596">
        <f>IF(D596="","",COUNTIFS('KG1-1'!$AD38:$IM38,"غياب بدون عذر",'KG1-1'!$AD$7:$IM$7,"✓",'KG1-1'!$AD$5:$IM$5,"&lt;="&amp;D596))</f>
        <v/>
      </c>
      <c r="G596">
        <f>G595+IF(D596="",0,1)</f>
        <v/>
      </c>
    </row>
    <row r="597">
      <c r="A597">
        <f>IF('KG1-1'!$B38="","",'KG1-1'!$B38)</f>
        <v/>
      </c>
      <c r="B597">
        <f>IF(A597="","",'KG1-1'!$C38)</f>
        <v/>
      </c>
      <c r="C597">
        <f>IF(A597="","",'KG1-1'!$B$2)</f>
        <v/>
      </c>
      <c r="D597" s="126">
        <f t="array" ref="D597">IF(A597="","",IFERROR(SMALL(IF((('KG1-1'!$AD38:$IM38="غياب بدون عذر")+('KG1-1'!$AD38:$IM38="غياب بعذر"))*('KG1-1'!$AD$7:$IM$7="✓"),'KG1-1'!$AD$5:$IM$5),16),""))</f>
        <v/>
      </c>
      <c r="E597">
        <f>IF(D597="","",INDEX('KG1-1'!$AD38:$IM38,MATCH(D597,'KG1-1'!$AD$5:$IM$5,0)))</f>
        <v/>
      </c>
      <c r="F597">
        <f>IF(D597="","",COUNTIFS('KG1-1'!$AD38:$IM38,"غياب بدون عذر",'KG1-1'!$AD$7:$IM$7,"✓",'KG1-1'!$AD$5:$IM$5,"&lt;="&amp;D597))</f>
        <v/>
      </c>
      <c r="G597">
        <f>G596+IF(D597="",0,1)</f>
        <v/>
      </c>
    </row>
    <row r="598">
      <c r="A598">
        <f>IF('KG1-1'!$B38="","",'KG1-1'!$B38)</f>
        <v/>
      </c>
      <c r="B598">
        <f>IF(A598="","",'KG1-1'!$C38)</f>
        <v/>
      </c>
      <c r="C598">
        <f>IF(A598="","",'KG1-1'!$B$2)</f>
        <v/>
      </c>
      <c r="D598" s="126">
        <f t="array" ref="D598">IF(A598="","",IFERROR(SMALL(IF((('KG1-1'!$AD38:$IM38="غياب بدون عذر")+('KG1-1'!$AD38:$IM38="غياب بعذر"))*('KG1-1'!$AD$7:$IM$7="✓"),'KG1-1'!$AD$5:$IM$5),17),""))</f>
        <v/>
      </c>
      <c r="E598">
        <f>IF(D598="","",INDEX('KG1-1'!$AD38:$IM38,MATCH(D598,'KG1-1'!$AD$5:$IM$5,0)))</f>
        <v/>
      </c>
      <c r="F598">
        <f>IF(D598="","",COUNTIFS('KG1-1'!$AD38:$IM38,"غياب بدون عذر",'KG1-1'!$AD$7:$IM$7,"✓",'KG1-1'!$AD$5:$IM$5,"&lt;="&amp;D598))</f>
        <v/>
      </c>
      <c r="G598">
        <f>G597+IF(D598="",0,1)</f>
        <v/>
      </c>
    </row>
    <row r="599">
      <c r="A599">
        <f>IF('KG1-1'!$B38="","",'KG1-1'!$B38)</f>
        <v/>
      </c>
      <c r="B599">
        <f>IF(A599="","",'KG1-1'!$C38)</f>
        <v/>
      </c>
      <c r="C599">
        <f>IF(A599="","",'KG1-1'!$B$2)</f>
        <v/>
      </c>
      <c r="D599" s="126">
        <f t="array" ref="D599">IF(A599="","",IFERROR(SMALL(IF((('KG1-1'!$AD38:$IM38="غياب بدون عذر")+('KG1-1'!$AD38:$IM38="غياب بعذر"))*('KG1-1'!$AD$7:$IM$7="✓"),'KG1-1'!$AD$5:$IM$5),18),""))</f>
        <v/>
      </c>
      <c r="E599">
        <f>IF(D599="","",INDEX('KG1-1'!$AD38:$IM38,MATCH(D599,'KG1-1'!$AD$5:$IM$5,0)))</f>
        <v/>
      </c>
      <c r="F599">
        <f>IF(D599="","",COUNTIFS('KG1-1'!$AD38:$IM38,"غياب بدون عذر",'KG1-1'!$AD$7:$IM$7,"✓",'KG1-1'!$AD$5:$IM$5,"&lt;="&amp;D599))</f>
        <v/>
      </c>
      <c r="G599">
        <f>G598+IF(D599="",0,1)</f>
        <v/>
      </c>
    </row>
    <row r="600">
      <c r="A600">
        <f>IF('KG1-1'!$B38="","",'KG1-1'!$B38)</f>
        <v/>
      </c>
      <c r="B600">
        <f>IF(A600="","",'KG1-1'!$C38)</f>
        <v/>
      </c>
      <c r="C600">
        <f>IF(A600="","",'KG1-1'!$B$2)</f>
        <v/>
      </c>
      <c r="D600" s="126">
        <f t="array" ref="D600">IF(A600="","",IFERROR(SMALL(IF((('KG1-1'!$AD38:$IM38="غياب بدون عذر")+('KG1-1'!$AD38:$IM38="غياب بعذر"))*('KG1-1'!$AD$7:$IM$7="✓"),'KG1-1'!$AD$5:$IM$5),19),""))</f>
        <v/>
      </c>
      <c r="E600">
        <f>IF(D600="","",INDEX('KG1-1'!$AD38:$IM38,MATCH(D600,'KG1-1'!$AD$5:$IM$5,0)))</f>
        <v/>
      </c>
      <c r="F600">
        <f>IF(D600="","",COUNTIFS('KG1-1'!$AD38:$IM38,"غياب بدون عذر",'KG1-1'!$AD$7:$IM$7,"✓",'KG1-1'!$AD$5:$IM$5,"&lt;="&amp;D600))</f>
        <v/>
      </c>
      <c r="G600">
        <f>G599+IF(D600="",0,1)</f>
        <v/>
      </c>
    </row>
    <row r="601">
      <c r="A601">
        <f>IF('KG1-1'!$B38="","",'KG1-1'!$B38)</f>
        <v/>
      </c>
      <c r="B601">
        <f>IF(A601="","",'KG1-1'!$C38)</f>
        <v/>
      </c>
      <c r="C601">
        <f>IF(A601="","",'KG1-1'!$B$2)</f>
        <v/>
      </c>
      <c r="D601" s="126">
        <f t="array" ref="D601">IF(A601="","",IFERROR(SMALL(IF((('KG1-1'!$AD38:$IM38="غياب بدون عذر")+('KG1-1'!$AD38:$IM38="غياب بعذر"))*('KG1-1'!$AD$7:$IM$7="✓"),'KG1-1'!$AD$5:$IM$5),20),""))</f>
        <v/>
      </c>
      <c r="E601">
        <f>IF(D601="","",INDEX('KG1-1'!$AD38:$IM38,MATCH(D601,'KG1-1'!$AD$5:$IM$5,0)))</f>
        <v/>
      </c>
      <c r="F601">
        <f>IF(D601="","",COUNTIFS('KG1-1'!$AD38:$IM38,"غياب بدون عذر",'KG1-1'!$AD$7:$IM$7,"✓",'KG1-1'!$AD$5:$IM$5,"&lt;="&amp;D601))</f>
        <v/>
      </c>
      <c r="G601">
        <f>G600+IF(D601="",0,1)</f>
        <v/>
      </c>
    </row>
    <row r="602">
      <c r="A602">
        <f>IF('KG1-2'!$B9="","",'KG1-2'!$B9)</f>
        <v/>
      </c>
      <c r="B602">
        <f>IF(A602="","",'KG1-2'!$C9)</f>
        <v/>
      </c>
      <c r="C602">
        <f>IF(A602="","",'KG1-2'!$B$2)</f>
        <v/>
      </c>
      <c r="D602" s="126">
        <f t="array" ref="D602">IF(A602="","",IFERROR(SMALL(IF((('KG1-2'!$AD9:$IM9="غياب بدون عذر")+('KG1-2'!$AD9:$IM9="غياب بعذر"))*('KG1-2'!$AD$7:$IM$7="✓"),'KG1-2'!$AD$5:$IM$5),1),""))</f>
        <v/>
      </c>
      <c r="E602">
        <f>IF(D602="","",INDEX('KG1-2'!$AD9:$IM9,MATCH(D602,'KG1-2'!$AD$5:$IM$5,0)))</f>
        <v/>
      </c>
      <c r="F602">
        <f>IF(D602="","",COUNTIFS('KG1-2'!$AD9:$IM9,"غياب بدون عذر",'KG1-2'!$AD$7:$IM$7,"✓",'KG1-2'!$AD$5:$IM$5,"&lt;="&amp;D602))</f>
        <v/>
      </c>
      <c r="G602">
        <f>G601+IF(D602="",0,1)</f>
        <v/>
      </c>
    </row>
    <row r="603">
      <c r="A603">
        <f>IF('KG1-2'!$B9="","",'KG1-2'!$B9)</f>
        <v/>
      </c>
      <c r="B603">
        <f>IF(A603="","",'KG1-2'!$C9)</f>
        <v/>
      </c>
      <c r="C603">
        <f>IF(A603="","",'KG1-2'!$B$2)</f>
        <v/>
      </c>
      <c r="D603" s="126">
        <f t="array" ref="D603">IF(A603="","",IFERROR(SMALL(IF((('KG1-2'!$AD9:$IM9="غياب بدون عذر")+('KG1-2'!$AD9:$IM9="غياب بعذر"))*('KG1-2'!$AD$7:$IM$7="✓"),'KG1-2'!$AD$5:$IM$5),2),""))</f>
        <v/>
      </c>
      <c r="E603">
        <f>IF(D603="","",INDEX('KG1-2'!$AD9:$IM9,MATCH(D603,'KG1-2'!$AD$5:$IM$5,0)))</f>
        <v/>
      </c>
      <c r="F603">
        <f>IF(D603="","",COUNTIFS('KG1-2'!$AD9:$IM9,"غياب بدون عذر",'KG1-2'!$AD$7:$IM$7,"✓",'KG1-2'!$AD$5:$IM$5,"&lt;="&amp;D603))</f>
        <v/>
      </c>
      <c r="G603">
        <f>G602+IF(D603="",0,1)</f>
        <v/>
      </c>
    </row>
    <row r="604">
      <c r="A604">
        <f>IF('KG1-2'!$B9="","",'KG1-2'!$B9)</f>
        <v/>
      </c>
      <c r="B604">
        <f>IF(A604="","",'KG1-2'!$C9)</f>
        <v/>
      </c>
      <c r="C604">
        <f>IF(A604="","",'KG1-2'!$B$2)</f>
        <v/>
      </c>
      <c r="D604" s="126">
        <f t="array" ref="D604">IF(A604="","",IFERROR(SMALL(IF((('KG1-2'!$AD9:$IM9="غياب بدون عذر")+('KG1-2'!$AD9:$IM9="غياب بعذر"))*('KG1-2'!$AD$7:$IM$7="✓"),'KG1-2'!$AD$5:$IM$5),3),""))</f>
        <v/>
      </c>
      <c r="E604">
        <f>IF(D604="","",INDEX('KG1-2'!$AD9:$IM9,MATCH(D604,'KG1-2'!$AD$5:$IM$5,0)))</f>
        <v/>
      </c>
      <c r="F604">
        <f>IF(D604="","",COUNTIFS('KG1-2'!$AD9:$IM9,"غياب بدون عذر",'KG1-2'!$AD$7:$IM$7,"✓",'KG1-2'!$AD$5:$IM$5,"&lt;="&amp;D604))</f>
        <v/>
      </c>
      <c r="G604">
        <f>G603+IF(D604="",0,1)</f>
        <v/>
      </c>
    </row>
    <row r="605">
      <c r="A605">
        <f>IF('KG1-2'!$B9="","",'KG1-2'!$B9)</f>
        <v/>
      </c>
      <c r="B605">
        <f>IF(A605="","",'KG1-2'!$C9)</f>
        <v/>
      </c>
      <c r="C605">
        <f>IF(A605="","",'KG1-2'!$B$2)</f>
        <v/>
      </c>
      <c r="D605" s="126">
        <f t="array" ref="D605">IF(A605="","",IFERROR(SMALL(IF((('KG1-2'!$AD9:$IM9="غياب بدون عذر")+('KG1-2'!$AD9:$IM9="غياب بعذر"))*('KG1-2'!$AD$7:$IM$7="✓"),'KG1-2'!$AD$5:$IM$5),4),""))</f>
        <v/>
      </c>
      <c r="E605">
        <f>IF(D605="","",INDEX('KG1-2'!$AD9:$IM9,MATCH(D605,'KG1-2'!$AD$5:$IM$5,0)))</f>
        <v/>
      </c>
      <c r="F605">
        <f>IF(D605="","",COUNTIFS('KG1-2'!$AD9:$IM9,"غياب بدون عذر",'KG1-2'!$AD$7:$IM$7,"✓",'KG1-2'!$AD$5:$IM$5,"&lt;="&amp;D605))</f>
        <v/>
      </c>
      <c r="G605">
        <f>G604+IF(D605="",0,1)</f>
        <v/>
      </c>
    </row>
    <row r="606">
      <c r="A606">
        <f>IF('KG1-2'!$B9="","",'KG1-2'!$B9)</f>
        <v/>
      </c>
      <c r="B606">
        <f>IF(A606="","",'KG1-2'!$C9)</f>
        <v/>
      </c>
      <c r="C606">
        <f>IF(A606="","",'KG1-2'!$B$2)</f>
        <v/>
      </c>
      <c r="D606" s="126">
        <f t="array" ref="D606">IF(A606="","",IFERROR(SMALL(IF((('KG1-2'!$AD9:$IM9="غياب بدون عذر")+('KG1-2'!$AD9:$IM9="غياب بعذر"))*('KG1-2'!$AD$7:$IM$7="✓"),'KG1-2'!$AD$5:$IM$5),5),""))</f>
        <v/>
      </c>
      <c r="E606">
        <f>IF(D606="","",INDEX('KG1-2'!$AD9:$IM9,MATCH(D606,'KG1-2'!$AD$5:$IM$5,0)))</f>
        <v/>
      </c>
      <c r="F606">
        <f>IF(D606="","",COUNTIFS('KG1-2'!$AD9:$IM9,"غياب بدون عذر",'KG1-2'!$AD$7:$IM$7,"✓",'KG1-2'!$AD$5:$IM$5,"&lt;="&amp;D606))</f>
        <v/>
      </c>
      <c r="G606">
        <f>G605+IF(D606="",0,1)</f>
        <v/>
      </c>
    </row>
    <row r="607">
      <c r="A607">
        <f>IF('KG1-2'!$B9="","",'KG1-2'!$B9)</f>
        <v/>
      </c>
      <c r="B607">
        <f>IF(A607="","",'KG1-2'!$C9)</f>
        <v/>
      </c>
      <c r="C607">
        <f>IF(A607="","",'KG1-2'!$B$2)</f>
        <v/>
      </c>
      <c r="D607" s="126">
        <f t="array" ref="D607">IF(A607="","",IFERROR(SMALL(IF((('KG1-2'!$AD9:$IM9="غياب بدون عذر")+('KG1-2'!$AD9:$IM9="غياب بعذر"))*('KG1-2'!$AD$7:$IM$7="✓"),'KG1-2'!$AD$5:$IM$5),6),""))</f>
        <v/>
      </c>
      <c r="E607">
        <f>IF(D607="","",INDEX('KG1-2'!$AD9:$IM9,MATCH(D607,'KG1-2'!$AD$5:$IM$5,0)))</f>
        <v/>
      </c>
      <c r="F607">
        <f>IF(D607="","",COUNTIFS('KG1-2'!$AD9:$IM9,"غياب بدون عذر",'KG1-2'!$AD$7:$IM$7,"✓",'KG1-2'!$AD$5:$IM$5,"&lt;="&amp;D607))</f>
        <v/>
      </c>
      <c r="G607">
        <f>G606+IF(D607="",0,1)</f>
        <v/>
      </c>
    </row>
    <row r="608">
      <c r="A608">
        <f>IF('KG1-2'!$B9="","",'KG1-2'!$B9)</f>
        <v/>
      </c>
      <c r="B608">
        <f>IF(A608="","",'KG1-2'!$C9)</f>
        <v/>
      </c>
      <c r="C608">
        <f>IF(A608="","",'KG1-2'!$B$2)</f>
        <v/>
      </c>
      <c r="D608" s="126">
        <f t="array" ref="D608">IF(A608="","",IFERROR(SMALL(IF((('KG1-2'!$AD9:$IM9="غياب بدون عذر")+('KG1-2'!$AD9:$IM9="غياب بعذر"))*('KG1-2'!$AD$7:$IM$7="✓"),'KG1-2'!$AD$5:$IM$5),7),""))</f>
        <v/>
      </c>
      <c r="E608">
        <f>IF(D608="","",INDEX('KG1-2'!$AD9:$IM9,MATCH(D608,'KG1-2'!$AD$5:$IM$5,0)))</f>
        <v/>
      </c>
      <c r="F608">
        <f>IF(D608="","",COUNTIFS('KG1-2'!$AD9:$IM9,"غياب بدون عذر",'KG1-2'!$AD$7:$IM$7,"✓",'KG1-2'!$AD$5:$IM$5,"&lt;="&amp;D608))</f>
        <v/>
      </c>
      <c r="G608">
        <f>G607+IF(D608="",0,1)</f>
        <v/>
      </c>
    </row>
    <row r="609">
      <c r="A609">
        <f>IF('KG1-2'!$B9="","",'KG1-2'!$B9)</f>
        <v/>
      </c>
      <c r="B609">
        <f>IF(A609="","",'KG1-2'!$C9)</f>
        <v/>
      </c>
      <c r="C609">
        <f>IF(A609="","",'KG1-2'!$B$2)</f>
        <v/>
      </c>
      <c r="D609" s="126">
        <f t="array" ref="D609">IF(A609="","",IFERROR(SMALL(IF((('KG1-2'!$AD9:$IM9="غياب بدون عذر")+('KG1-2'!$AD9:$IM9="غياب بعذر"))*('KG1-2'!$AD$7:$IM$7="✓"),'KG1-2'!$AD$5:$IM$5),8),""))</f>
        <v/>
      </c>
      <c r="E609">
        <f>IF(D609="","",INDEX('KG1-2'!$AD9:$IM9,MATCH(D609,'KG1-2'!$AD$5:$IM$5,0)))</f>
        <v/>
      </c>
      <c r="F609">
        <f>IF(D609="","",COUNTIFS('KG1-2'!$AD9:$IM9,"غياب بدون عذر",'KG1-2'!$AD$7:$IM$7,"✓",'KG1-2'!$AD$5:$IM$5,"&lt;="&amp;D609))</f>
        <v/>
      </c>
      <c r="G609">
        <f>G608+IF(D609="",0,1)</f>
        <v/>
      </c>
    </row>
    <row r="610">
      <c r="A610">
        <f>IF('KG1-2'!$B9="","",'KG1-2'!$B9)</f>
        <v/>
      </c>
      <c r="B610">
        <f>IF(A610="","",'KG1-2'!$C9)</f>
        <v/>
      </c>
      <c r="C610">
        <f>IF(A610="","",'KG1-2'!$B$2)</f>
        <v/>
      </c>
      <c r="D610" s="126">
        <f t="array" ref="D610">IF(A610="","",IFERROR(SMALL(IF((('KG1-2'!$AD9:$IM9="غياب بدون عذر")+('KG1-2'!$AD9:$IM9="غياب بعذر"))*('KG1-2'!$AD$7:$IM$7="✓"),'KG1-2'!$AD$5:$IM$5),9),""))</f>
        <v/>
      </c>
      <c r="E610">
        <f>IF(D610="","",INDEX('KG1-2'!$AD9:$IM9,MATCH(D610,'KG1-2'!$AD$5:$IM$5,0)))</f>
        <v/>
      </c>
      <c r="F610">
        <f>IF(D610="","",COUNTIFS('KG1-2'!$AD9:$IM9,"غياب بدون عذر",'KG1-2'!$AD$7:$IM$7,"✓",'KG1-2'!$AD$5:$IM$5,"&lt;="&amp;D610))</f>
        <v/>
      </c>
      <c r="G610">
        <f>G609+IF(D610="",0,1)</f>
        <v/>
      </c>
    </row>
    <row r="611">
      <c r="A611">
        <f>IF('KG1-2'!$B9="","",'KG1-2'!$B9)</f>
        <v/>
      </c>
      <c r="B611">
        <f>IF(A611="","",'KG1-2'!$C9)</f>
        <v/>
      </c>
      <c r="C611">
        <f>IF(A611="","",'KG1-2'!$B$2)</f>
        <v/>
      </c>
      <c r="D611" s="126">
        <f t="array" ref="D611">IF(A611="","",IFERROR(SMALL(IF((('KG1-2'!$AD9:$IM9="غياب بدون عذر")+('KG1-2'!$AD9:$IM9="غياب بعذر"))*('KG1-2'!$AD$7:$IM$7="✓"),'KG1-2'!$AD$5:$IM$5),10),""))</f>
        <v/>
      </c>
      <c r="E611">
        <f>IF(D611="","",INDEX('KG1-2'!$AD9:$IM9,MATCH(D611,'KG1-2'!$AD$5:$IM$5,0)))</f>
        <v/>
      </c>
      <c r="F611">
        <f>IF(D611="","",COUNTIFS('KG1-2'!$AD9:$IM9,"غياب بدون عذر",'KG1-2'!$AD$7:$IM$7,"✓",'KG1-2'!$AD$5:$IM$5,"&lt;="&amp;D611))</f>
        <v/>
      </c>
      <c r="G611">
        <f>G610+IF(D611="",0,1)</f>
        <v/>
      </c>
    </row>
    <row r="612">
      <c r="A612">
        <f>IF('KG1-2'!$B9="","",'KG1-2'!$B9)</f>
        <v/>
      </c>
      <c r="B612">
        <f>IF(A612="","",'KG1-2'!$C9)</f>
        <v/>
      </c>
      <c r="C612">
        <f>IF(A612="","",'KG1-2'!$B$2)</f>
        <v/>
      </c>
      <c r="D612" s="126">
        <f t="array" ref="D612">IF(A612="","",IFERROR(SMALL(IF((('KG1-2'!$AD9:$IM9="غياب بدون عذر")+('KG1-2'!$AD9:$IM9="غياب بعذر"))*('KG1-2'!$AD$7:$IM$7="✓"),'KG1-2'!$AD$5:$IM$5),11),""))</f>
        <v/>
      </c>
      <c r="E612">
        <f>IF(D612="","",INDEX('KG1-2'!$AD9:$IM9,MATCH(D612,'KG1-2'!$AD$5:$IM$5,0)))</f>
        <v/>
      </c>
      <c r="F612">
        <f>IF(D612="","",COUNTIFS('KG1-2'!$AD9:$IM9,"غياب بدون عذر",'KG1-2'!$AD$7:$IM$7,"✓",'KG1-2'!$AD$5:$IM$5,"&lt;="&amp;D612))</f>
        <v/>
      </c>
      <c r="G612">
        <f>G611+IF(D612="",0,1)</f>
        <v/>
      </c>
    </row>
    <row r="613">
      <c r="A613">
        <f>IF('KG1-2'!$B9="","",'KG1-2'!$B9)</f>
        <v/>
      </c>
      <c r="B613">
        <f>IF(A613="","",'KG1-2'!$C9)</f>
        <v/>
      </c>
      <c r="C613">
        <f>IF(A613="","",'KG1-2'!$B$2)</f>
        <v/>
      </c>
      <c r="D613" s="126">
        <f t="array" ref="D613">IF(A613="","",IFERROR(SMALL(IF((('KG1-2'!$AD9:$IM9="غياب بدون عذر")+('KG1-2'!$AD9:$IM9="غياب بعذر"))*('KG1-2'!$AD$7:$IM$7="✓"),'KG1-2'!$AD$5:$IM$5),12),""))</f>
        <v/>
      </c>
      <c r="E613">
        <f>IF(D613="","",INDEX('KG1-2'!$AD9:$IM9,MATCH(D613,'KG1-2'!$AD$5:$IM$5,0)))</f>
        <v/>
      </c>
      <c r="F613">
        <f>IF(D613="","",COUNTIFS('KG1-2'!$AD9:$IM9,"غياب بدون عذر",'KG1-2'!$AD$7:$IM$7,"✓",'KG1-2'!$AD$5:$IM$5,"&lt;="&amp;D613))</f>
        <v/>
      </c>
      <c r="G613">
        <f>G612+IF(D613="",0,1)</f>
        <v/>
      </c>
    </row>
    <row r="614">
      <c r="A614">
        <f>IF('KG1-2'!$B9="","",'KG1-2'!$B9)</f>
        <v/>
      </c>
      <c r="B614">
        <f>IF(A614="","",'KG1-2'!$C9)</f>
        <v/>
      </c>
      <c r="C614">
        <f>IF(A614="","",'KG1-2'!$B$2)</f>
        <v/>
      </c>
      <c r="D614" s="126">
        <f t="array" ref="D614">IF(A614="","",IFERROR(SMALL(IF((('KG1-2'!$AD9:$IM9="غياب بدون عذر")+('KG1-2'!$AD9:$IM9="غياب بعذر"))*('KG1-2'!$AD$7:$IM$7="✓"),'KG1-2'!$AD$5:$IM$5),13),""))</f>
        <v/>
      </c>
      <c r="E614">
        <f>IF(D614="","",INDEX('KG1-2'!$AD9:$IM9,MATCH(D614,'KG1-2'!$AD$5:$IM$5,0)))</f>
        <v/>
      </c>
      <c r="F614">
        <f>IF(D614="","",COUNTIFS('KG1-2'!$AD9:$IM9,"غياب بدون عذر",'KG1-2'!$AD$7:$IM$7,"✓",'KG1-2'!$AD$5:$IM$5,"&lt;="&amp;D614))</f>
        <v/>
      </c>
      <c r="G614">
        <f>G613+IF(D614="",0,1)</f>
        <v/>
      </c>
    </row>
    <row r="615">
      <c r="A615">
        <f>IF('KG1-2'!$B9="","",'KG1-2'!$B9)</f>
        <v/>
      </c>
      <c r="B615">
        <f>IF(A615="","",'KG1-2'!$C9)</f>
        <v/>
      </c>
      <c r="C615">
        <f>IF(A615="","",'KG1-2'!$B$2)</f>
        <v/>
      </c>
      <c r="D615" s="126">
        <f t="array" ref="D615">IF(A615="","",IFERROR(SMALL(IF((('KG1-2'!$AD9:$IM9="غياب بدون عذر")+('KG1-2'!$AD9:$IM9="غياب بعذر"))*('KG1-2'!$AD$7:$IM$7="✓"),'KG1-2'!$AD$5:$IM$5),14),""))</f>
        <v/>
      </c>
      <c r="E615">
        <f>IF(D615="","",INDEX('KG1-2'!$AD9:$IM9,MATCH(D615,'KG1-2'!$AD$5:$IM$5,0)))</f>
        <v/>
      </c>
      <c r="F615">
        <f>IF(D615="","",COUNTIFS('KG1-2'!$AD9:$IM9,"غياب بدون عذر",'KG1-2'!$AD$7:$IM$7,"✓",'KG1-2'!$AD$5:$IM$5,"&lt;="&amp;D615))</f>
        <v/>
      </c>
      <c r="G615">
        <f>G614+IF(D615="",0,1)</f>
        <v/>
      </c>
    </row>
    <row r="616">
      <c r="A616">
        <f>IF('KG1-2'!$B9="","",'KG1-2'!$B9)</f>
        <v/>
      </c>
      <c r="B616">
        <f>IF(A616="","",'KG1-2'!$C9)</f>
        <v/>
      </c>
      <c r="C616">
        <f>IF(A616="","",'KG1-2'!$B$2)</f>
        <v/>
      </c>
      <c r="D616" s="126">
        <f t="array" ref="D616">IF(A616="","",IFERROR(SMALL(IF((('KG1-2'!$AD9:$IM9="غياب بدون عذر")+('KG1-2'!$AD9:$IM9="غياب بعذر"))*('KG1-2'!$AD$7:$IM$7="✓"),'KG1-2'!$AD$5:$IM$5),15),""))</f>
        <v/>
      </c>
      <c r="E616">
        <f>IF(D616="","",INDEX('KG1-2'!$AD9:$IM9,MATCH(D616,'KG1-2'!$AD$5:$IM$5,0)))</f>
        <v/>
      </c>
      <c r="F616">
        <f>IF(D616="","",COUNTIFS('KG1-2'!$AD9:$IM9,"غياب بدون عذر",'KG1-2'!$AD$7:$IM$7,"✓",'KG1-2'!$AD$5:$IM$5,"&lt;="&amp;D616))</f>
        <v/>
      </c>
      <c r="G616">
        <f>G615+IF(D616="",0,1)</f>
        <v/>
      </c>
    </row>
    <row r="617">
      <c r="A617">
        <f>IF('KG1-2'!$B9="","",'KG1-2'!$B9)</f>
        <v/>
      </c>
      <c r="B617">
        <f>IF(A617="","",'KG1-2'!$C9)</f>
        <v/>
      </c>
      <c r="C617">
        <f>IF(A617="","",'KG1-2'!$B$2)</f>
        <v/>
      </c>
      <c r="D617" s="126">
        <f t="array" ref="D617">IF(A617="","",IFERROR(SMALL(IF((('KG1-2'!$AD9:$IM9="غياب بدون عذر")+('KG1-2'!$AD9:$IM9="غياب بعذر"))*('KG1-2'!$AD$7:$IM$7="✓"),'KG1-2'!$AD$5:$IM$5),16),""))</f>
        <v/>
      </c>
      <c r="E617">
        <f>IF(D617="","",INDEX('KG1-2'!$AD9:$IM9,MATCH(D617,'KG1-2'!$AD$5:$IM$5,0)))</f>
        <v/>
      </c>
      <c r="F617">
        <f>IF(D617="","",COUNTIFS('KG1-2'!$AD9:$IM9,"غياب بدون عذر",'KG1-2'!$AD$7:$IM$7,"✓",'KG1-2'!$AD$5:$IM$5,"&lt;="&amp;D617))</f>
        <v/>
      </c>
      <c r="G617">
        <f>G616+IF(D617="",0,1)</f>
        <v/>
      </c>
    </row>
    <row r="618">
      <c r="A618">
        <f>IF('KG1-2'!$B9="","",'KG1-2'!$B9)</f>
        <v/>
      </c>
      <c r="B618">
        <f>IF(A618="","",'KG1-2'!$C9)</f>
        <v/>
      </c>
      <c r="C618">
        <f>IF(A618="","",'KG1-2'!$B$2)</f>
        <v/>
      </c>
      <c r="D618" s="126">
        <f t="array" ref="D618">IF(A618="","",IFERROR(SMALL(IF((('KG1-2'!$AD9:$IM9="غياب بدون عذر")+('KG1-2'!$AD9:$IM9="غياب بعذر"))*('KG1-2'!$AD$7:$IM$7="✓"),'KG1-2'!$AD$5:$IM$5),17),""))</f>
        <v/>
      </c>
      <c r="E618">
        <f>IF(D618="","",INDEX('KG1-2'!$AD9:$IM9,MATCH(D618,'KG1-2'!$AD$5:$IM$5,0)))</f>
        <v/>
      </c>
      <c r="F618">
        <f>IF(D618="","",COUNTIFS('KG1-2'!$AD9:$IM9,"غياب بدون عذر",'KG1-2'!$AD$7:$IM$7,"✓",'KG1-2'!$AD$5:$IM$5,"&lt;="&amp;D618))</f>
        <v/>
      </c>
      <c r="G618">
        <f>G617+IF(D618="",0,1)</f>
        <v/>
      </c>
    </row>
    <row r="619">
      <c r="A619">
        <f>IF('KG1-2'!$B9="","",'KG1-2'!$B9)</f>
        <v/>
      </c>
      <c r="B619">
        <f>IF(A619="","",'KG1-2'!$C9)</f>
        <v/>
      </c>
      <c r="C619">
        <f>IF(A619="","",'KG1-2'!$B$2)</f>
        <v/>
      </c>
      <c r="D619" s="126">
        <f t="array" ref="D619">IF(A619="","",IFERROR(SMALL(IF((('KG1-2'!$AD9:$IM9="غياب بدون عذر")+('KG1-2'!$AD9:$IM9="غياب بعذر"))*('KG1-2'!$AD$7:$IM$7="✓"),'KG1-2'!$AD$5:$IM$5),18),""))</f>
        <v/>
      </c>
      <c r="E619">
        <f>IF(D619="","",INDEX('KG1-2'!$AD9:$IM9,MATCH(D619,'KG1-2'!$AD$5:$IM$5,0)))</f>
        <v/>
      </c>
      <c r="F619">
        <f>IF(D619="","",COUNTIFS('KG1-2'!$AD9:$IM9,"غياب بدون عذر",'KG1-2'!$AD$7:$IM$7,"✓",'KG1-2'!$AD$5:$IM$5,"&lt;="&amp;D619))</f>
        <v/>
      </c>
      <c r="G619">
        <f>G618+IF(D619="",0,1)</f>
        <v/>
      </c>
    </row>
    <row r="620">
      <c r="A620">
        <f>IF('KG1-2'!$B9="","",'KG1-2'!$B9)</f>
        <v/>
      </c>
      <c r="B620">
        <f>IF(A620="","",'KG1-2'!$C9)</f>
        <v/>
      </c>
      <c r="C620">
        <f>IF(A620="","",'KG1-2'!$B$2)</f>
        <v/>
      </c>
      <c r="D620" s="126">
        <f t="array" ref="D620">IF(A620="","",IFERROR(SMALL(IF((('KG1-2'!$AD9:$IM9="غياب بدون عذر")+('KG1-2'!$AD9:$IM9="غياب بعذر"))*('KG1-2'!$AD$7:$IM$7="✓"),'KG1-2'!$AD$5:$IM$5),19),""))</f>
        <v/>
      </c>
      <c r="E620">
        <f>IF(D620="","",INDEX('KG1-2'!$AD9:$IM9,MATCH(D620,'KG1-2'!$AD$5:$IM$5,0)))</f>
        <v/>
      </c>
      <c r="F620">
        <f>IF(D620="","",COUNTIFS('KG1-2'!$AD9:$IM9,"غياب بدون عذر",'KG1-2'!$AD$7:$IM$7,"✓",'KG1-2'!$AD$5:$IM$5,"&lt;="&amp;D620))</f>
        <v/>
      </c>
      <c r="G620">
        <f>G619+IF(D620="",0,1)</f>
        <v/>
      </c>
    </row>
    <row r="621">
      <c r="A621">
        <f>IF('KG1-2'!$B9="","",'KG1-2'!$B9)</f>
        <v/>
      </c>
      <c r="B621">
        <f>IF(A621="","",'KG1-2'!$C9)</f>
        <v/>
      </c>
      <c r="C621">
        <f>IF(A621="","",'KG1-2'!$B$2)</f>
        <v/>
      </c>
      <c r="D621" s="126">
        <f t="array" ref="D621">IF(A621="","",IFERROR(SMALL(IF((('KG1-2'!$AD9:$IM9="غياب بدون عذر")+('KG1-2'!$AD9:$IM9="غياب بعذر"))*('KG1-2'!$AD$7:$IM$7="✓"),'KG1-2'!$AD$5:$IM$5),20),""))</f>
        <v/>
      </c>
      <c r="E621">
        <f>IF(D621="","",INDEX('KG1-2'!$AD9:$IM9,MATCH(D621,'KG1-2'!$AD$5:$IM$5,0)))</f>
        <v/>
      </c>
      <c r="F621">
        <f>IF(D621="","",COUNTIFS('KG1-2'!$AD9:$IM9,"غياب بدون عذر",'KG1-2'!$AD$7:$IM$7,"✓",'KG1-2'!$AD$5:$IM$5,"&lt;="&amp;D621))</f>
        <v/>
      </c>
      <c r="G621">
        <f>G620+IF(D621="",0,1)</f>
        <v/>
      </c>
    </row>
    <row r="622">
      <c r="A622">
        <f>IF('KG1-2'!$B10="","",'KG1-2'!$B10)</f>
        <v/>
      </c>
      <c r="B622">
        <f>IF(A622="","",'KG1-2'!$C10)</f>
        <v/>
      </c>
      <c r="C622">
        <f>IF(A622="","",'KG1-2'!$B$2)</f>
        <v/>
      </c>
      <c r="D622" s="126">
        <f t="array" ref="D622">IF(A622="","",IFERROR(SMALL(IF((('KG1-2'!$AD10:$IM10="غياب بدون عذر")+('KG1-2'!$AD10:$IM10="غياب بعذر"))*('KG1-2'!$AD$7:$IM$7="✓"),'KG1-2'!$AD$5:$IM$5),1),""))</f>
        <v/>
      </c>
      <c r="E622">
        <f>IF(D622="","",INDEX('KG1-2'!$AD10:$IM10,MATCH(D622,'KG1-2'!$AD$5:$IM$5,0)))</f>
        <v/>
      </c>
      <c r="F622">
        <f>IF(D622="","",COUNTIFS('KG1-2'!$AD10:$IM10,"غياب بدون عذر",'KG1-2'!$AD$7:$IM$7,"✓",'KG1-2'!$AD$5:$IM$5,"&lt;="&amp;D622))</f>
        <v/>
      </c>
      <c r="G622">
        <f>G621+IF(D622="",0,1)</f>
        <v/>
      </c>
    </row>
    <row r="623">
      <c r="A623">
        <f>IF('KG1-2'!$B10="","",'KG1-2'!$B10)</f>
        <v/>
      </c>
      <c r="B623">
        <f>IF(A623="","",'KG1-2'!$C10)</f>
        <v/>
      </c>
      <c r="C623">
        <f>IF(A623="","",'KG1-2'!$B$2)</f>
        <v/>
      </c>
      <c r="D623" s="126">
        <f t="array" ref="D623">IF(A623="","",IFERROR(SMALL(IF((('KG1-2'!$AD10:$IM10="غياب بدون عذر")+('KG1-2'!$AD10:$IM10="غياب بعذر"))*('KG1-2'!$AD$7:$IM$7="✓"),'KG1-2'!$AD$5:$IM$5),2),""))</f>
        <v/>
      </c>
      <c r="E623">
        <f>IF(D623="","",INDEX('KG1-2'!$AD10:$IM10,MATCH(D623,'KG1-2'!$AD$5:$IM$5,0)))</f>
        <v/>
      </c>
      <c r="F623">
        <f>IF(D623="","",COUNTIFS('KG1-2'!$AD10:$IM10,"غياب بدون عذر",'KG1-2'!$AD$7:$IM$7,"✓",'KG1-2'!$AD$5:$IM$5,"&lt;="&amp;D623))</f>
        <v/>
      </c>
      <c r="G623">
        <f>G622+IF(D623="",0,1)</f>
        <v/>
      </c>
    </row>
    <row r="624">
      <c r="A624">
        <f>IF('KG1-2'!$B10="","",'KG1-2'!$B10)</f>
        <v/>
      </c>
      <c r="B624">
        <f>IF(A624="","",'KG1-2'!$C10)</f>
        <v/>
      </c>
      <c r="C624">
        <f>IF(A624="","",'KG1-2'!$B$2)</f>
        <v/>
      </c>
      <c r="D624" s="126">
        <f t="array" ref="D624">IF(A624="","",IFERROR(SMALL(IF((('KG1-2'!$AD10:$IM10="غياب بدون عذر")+('KG1-2'!$AD10:$IM10="غياب بعذر"))*('KG1-2'!$AD$7:$IM$7="✓"),'KG1-2'!$AD$5:$IM$5),3),""))</f>
        <v/>
      </c>
      <c r="E624">
        <f>IF(D624="","",INDEX('KG1-2'!$AD10:$IM10,MATCH(D624,'KG1-2'!$AD$5:$IM$5,0)))</f>
        <v/>
      </c>
      <c r="F624">
        <f>IF(D624="","",COUNTIFS('KG1-2'!$AD10:$IM10,"غياب بدون عذر",'KG1-2'!$AD$7:$IM$7,"✓",'KG1-2'!$AD$5:$IM$5,"&lt;="&amp;D624))</f>
        <v/>
      </c>
      <c r="G624">
        <f>G623+IF(D624="",0,1)</f>
        <v/>
      </c>
    </row>
    <row r="625">
      <c r="A625">
        <f>IF('KG1-2'!$B10="","",'KG1-2'!$B10)</f>
        <v/>
      </c>
      <c r="B625">
        <f>IF(A625="","",'KG1-2'!$C10)</f>
        <v/>
      </c>
      <c r="C625">
        <f>IF(A625="","",'KG1-2'!$B$2)</f>
        <v/>
      </c>
      <c r="D625" s="126">
        <f t="array" ref="D625">IF(A625="","",IFERROR(SMALL(IF((('KG1-2'!$AD10:$IM10="غياب بدون عذر")+('KG1-2'!$AD10:$IM10="غياب بعذر"))*('KG1-2'!$AD$7:$IM$7="✓"),'KG1-2'!$AD$5:$IM$5),4),""))</f>
        <v/>
      </c>
      <c r="E625">
        <f>IF(D625="","",INDEX('KG1-2'!$AD10:$IM10,MATCH(D625,'KG1-2'!$AD$5:$IM$5,0)))</f>
        <v/>
      </c>
      <c r="F625">
        <f>IF(D625="","",COUNTIFS('KG1-2'!$AD10:$IM10,"غياب بدون عذر",'KG1-2'!$AD$7:$IM$7,"✓",'KG1-2'!$AD$5:$IM$5,"&lt;="&amp;D625))</f>
        <v/>
      </c>
      <c r="G625">
        <f>G624+IF(D625="",0,1)</f>
        <v/>
      </c>
    </row>
    <row r="626">
      <c r="A626">
        <f>IF('KG1-2'!$B10="","",'KG1-2'!$B10)</f>
        <v/>
      </c>
      <c r="B626">
        <f>IF(A626="","",'KG1-2'!$C10)</f>
        <v/>
      </c>
      <c r="C626">
        <f>IF(A626="","",'KG1-2'!$B$2)</f>
        <v/>
      </c>
      <c r="D626" s="126">
        <f t="array" ref="D626">IF(A626="","",IFERROR(SMALL(IF((('KG1-2'!$AD10:$IM10="غياب بدون عذر")+('KG1-2'!$AD10:$IM10="غياب بعذر"))*('KG1-2'!$AD$7:$IM$7="✓"),'KG1-2'!$AD$5:$IM$5),5),""))</f>
        <v/>
      </c>
      <c r="E626">
        <f>IF(D626="","",INDEX('KG1-2'!$AD10:$IM10,MATCH(D626,'KG1-2'!$AD$5:$IM$5,0)))</f>
        <v/>
      </c>
      <c r="F626">
        <f>IF(D626="","",COUNTIFS('KG1-2'!$AD10:$IM10,"غياب بدون عذر",'KG1-2'!$AD$7:$IM$7,"✓",'KG1-2'!$AD$5:$IM$5,"&lt;="&amp;D626))</f>
        <v/>
      </c>
      <c r="G626">
        <f>G625+IF(D626="",0,1)</f>
        <v/>
      </c>
    </row>
    <row r="627">
      <c r="A627">
        <f>IF('KG1-2'!$B10="","",'KG1-2'!$B10)</f>
        <v/>
      </c>
      <c r="B627">
        <f>IF(A627="","",'KG1-2'!$C10)</f>
        <v/>
      </c>
      <c r="C627">
        <f>IF(A627="","",'KG1-2'!$B$2)</f>
        <v/>
      </c>
      <c r="D627" s="126">
        <f t="array" ref="D627">IF(A627="","",IFERROR(SMALL(IF((('KG1-2'!$AD10:$IM10="غياب بدون عذر")+('KG1-2'!$AD10:$IM10="غياب بعذر"))*('KG1-2'!$AD$7:$IM$7="✓"),'KG1-2'!$AD$5:$IM$5),6),""))</f>
        <v/>
      </c>
      <c r="E627">
        <f>IF(D627="","",INDEX('KG1-2'!$AD10:$IM10,MATCH(D627,'KG1-2'!$AD$5:$IM$5,0)))</f>
        <v/>
      </c>
      <c r="F627">
        <f>IF(D627="","",COUNTIFS('KG1-2'!$AD10:$IM10,"غياب بدون عذر",'KG1-2'!$AD$7:$IM$7,"✓",'KG1-2'!$AD$5:$IM$5,"&lt;="&amp;D627))</f>
        <v/>
      </c>
      <c r="G627">
        <f>G626+IF(D627="",0,1)</f>
        <v/>
      </c>
    </row>
    <row r="628">
      <c r="A628">
        <f>IF('KG1-2'!$B10="","",'KG1-2'!$B10)</f>
        <v/>
      </c>
      <c r="B628">
        <f>IF(A628="","",'KG1-2'!$C10)</f>
        <v/>
      </c>
      <c r="C628">
        <f>IF(A628="","",'KG1-2'!$B$2)</f>
        <v/>
      </c>
      <c r="D628" s="126">
        <f t="array" ref="D628">IF(A628="","",IFERROR(SMALL(IF((('KG1-2'!$AD10:$IM10="غياب بدون عذر")+('KG1-2'!$AD10:$IM10="غياب بعذر"))*('KG1-2'!$AD$7:$IM$7="✓"),'KG1-2'!$AD$5:$IM$5),7),""))</f>
        <v/>
      </c>
      <c r="E628">
        <f>IF(D628="","",INDEX('KG1-2'!$AD10:$IM10,MATCH(D628,'KG1-2'!$AD$5:$IM$5,0)))</f>
        <v/>
      </c>
      <c r="F628">
        <f>IF(D628="","",COUNTIFS('KG1-2'!$AD10:$IM10,"غياب بدون عذر",'KG1-2'!$AD$7:$IM$7,"✓",'KG1-2'!$AD$5:$IM$5,"&lt;="&amp;D628))</f>
        <v/>
      </c>
      <c r="G628">
        <f>G627+IF(D628="",0,1)</f>
        <v/>
      </c>
    </row>
    <row r="629">
      <c r="A629">
        <f>IF('KG1-2'!$B10="","",'KG1-2'!$B10)</f>
        <v/>
      </c>
      <c r="B629">
        <f>IF(A629="","",'KG1-2'!$C10)</f>
        <v/>
      </c>
      <c r="C629">
        <f>IF(A629="","",'KG1-2'!$B$2)</f>
        <v/>
      </c>
      <c r="D629" s="126">
        <f t="array" ref="D629">IF(A629="","",IFERROR(SMALL(IF((('KG1-2'!$AD10:$IM10="غياب بدون عذر")+('KG1-2'!$AD10:$IM10="غياب بعذر"))*('KG1-2'!$AD$7:$IM$7="✓"),'KG1-2'!$AD$5:$IM$5),8),""))</f>
        <v/>
      </c>
      <c r="E629">
        <f>IF(D629="","",INDEX('KG1-2'!$AD10:$IM10,MATCH(D629,'KG1-2'!$AD$5:$IM$5,0)))</f>
        <v/>
      </c>
      <c r="F629">
        <f>IF(D629="","",COUNTIFS('KG1-2'!$AD10:$IM10,"غياب بدون عذر",'KG1-2'!$AD$7:$IM$7,"✓",'KG1-2'!$AD$5:$IM$5,"&lt;="&amp;D629))</f>
        <v/>
      </c>
      <c r="G629">
        <f>G628+IF(D629="",0,1)</f>
        <v/>
      </c>
    </row>
    <row r="630">
      <c r="A630">
        <f>IF('KG1-2'!$B10="","",'KG1-2'!$B10)</f>
        <v/>
      </c>
      <c r="B630">
        <f>IF(A630="","",'KG1-2'!$C10)</f>
        <v/>
      </c>
      <c r="C630">
        <f>IF(A630="","",'KG1-2'!$B$2)</f>
        <v/>
      </c>
      <c r="D630" s="126">
        <f t="array" ref="D630">IF(A630="","",IFERROR(SMALL(IF((('KG1-2'!$AD10:$IM10="غياب بدون عذر")+('KG1-2'!$AD10:$IM10="غياب بعذر"))*('KG1-2'!$AD$7:$IM$7="✓"),'KG1-2'!$AD$5:$IM$5),9),""))</f>
        <v/>
      </c>
      <c r="E630">
        <f>IF(D630="","",INDEX('KG1-2'!$AD10:$IM10,MATCH(D630,'KG1-2'!$AD$5:$IM$5,0)))</f>
        <v/>
      </c>
      <c r="F630">
        <f>IF(D630="","",COUNTIFS('KG1-2'!$AD10:$IM10,"غياب بدون عذر",'KG1-2'!$AD$7:$IM$7,"✓",'KG1-2'!$AD$5:$IM$5,"&lt;="&amp;D630))</f>
        <v/>
      </c>
      <c r="G630">
        <f>G629+IF(D630="",0,1)</f>
        <v/>
      </c>
    </row>
    <row r="631">
      <c r="A631">
        <f>IF('KG1-2'!$B10="","",'KG1-2'!$B10)</f>
        <v/>
      </c>
      <c r="B631">
        <f>IF(A631="","",'KG1-2'!$C10)</f>
        <v/>
      </c>
      <c r="C631">
        <f>IF(A631="","",'KG1-2'!$B$2)</f>
        <v/>
      </c>
      <c r="D631" s="126">
        <f t="array" ref="D631">IF(A631="","",IFERROR(SMALL(IF((('KG1-2'!$AD10:$IM10="غياب بدون عذر")+('KG1-2'!$AD10:$IM10="غياب بعذر"))*('KG1-2'!$AD$7:$IM$7="✓"),'KG1-2'!$AD$5:$IM$5),10),""))</f>
        <v/>
      </c>
      <c r="E631">
        <f>IF(D631="","",INDEX('KG1-2'!$AD10:$IM10,MATCH(D631,'KG1-2'!$AD$5:$IM$5,0)))</f>
        <v/>
      </c>
      <c r="F631">
        <f>IF(D631="","",COUNTIFS('KG1-2'!$AD10:$IM10,"غياب بدون عذر",'KG1-2'!$AD$7:$IM$7,"✓",'KG1-2'!$AD$5:$IM$5,"&lt;="&amp;D631))</f>
        <v/>
      </c>
      <c r="G631">
        <f>G630+IF(D631="",0,1)</f>
        <v/>
      </c>
    </row>
    <row r="632">
      <c r="A632">
        <f>IF('KG1-2'!$B10="","",'KG1-2'!$B10)</f>
        <v/>
      </c>
      <c r="B632">
        <f>IF(A632="","",'KG1-2'!$C10)</f>
        <v/>
      </c>
      <c r="C632">
        <f>IF(A632="","",'KG1-2'!$B$2)</f>
        <v/>
      </c>
      <c r="D632" s="126">
        <f t="array" ref="D632">IF(A632="","",IFERROR(SMALL(IF((('KG1-2'!$AD10:$IM10="غياب بدون عذر")+('KG1-2'!$AD10:$IM10="غياب بعذر"))*('KG1-2'!$AD$7:$IM$7="✓"),'KG1-2'!$AD$5:$IM$5),11),""))</f>
        <v/>
      </c>
      <c r="E632">
        <f>IF(D632="","",INDEX('KG1-2'!$AD10:$IM10,MATCH(D632,'KG1-2'!$AD$5:$IM$5,0)))</f>
        <v/>
      </c>
      <c r="F632">
        <f>IF(D632="","",COUNTIFS('KG1-2'!$AD10:$IM10,"غياب بدون عذر",'KG1-2'!$AD$7:$IM$7,"✓",'KG1-2'!$AD$5:$IM$5,"&lt;="&amp;D632))</f>
        <v/>
      </c>
      <c r="G632">
        <f>G631+IF(D632="",0,1)</f>
        <v/>
      </c>
    </row>
    <row r="633">
      <c r="A633">
        <f>IF('KG1-2'!$B10="","",'KG1-2'!$B10)</f>
        <v/>
      </c>
      <c r="B633">
        <f>IF(A633="","",'KG1-2'!$C10)</f>
        <v/>
      </c>
      <c r="C633">
        <f>IF(A633="","",'KG1-2'!$B$2)</f>
        <v/>
      </c>
      <c r="D633" s="126">
        <f t="array" ref="D633">IF(A633="","",IFERROR(SMALL(IF((('KG1-2'!$AD10:$IM10="غياب بدون عذر")+('KG1-2'!$AD10:$IM10="غياب بعذر"))*('KG1-2'!$AD$7:$IM$7="✓"),'KG1-2'!$AD$5:$IM$5),12),""))</f>
        <v/>
      </c>
      <c r="E633">
        <f>IF(D633="","",INDEX('KG1-2'!$AD10:$IM10,MATCH(D633,'KG1-2'!$AD$5:$IM$5,0)))</f>
        <v/>
      </c>
      <c r="F633">
        <f>IF(D633="","",COUNTIFS('KG1-2'!$AD10:$IM10,"غياب بدون عذر",'KG1-2'!$AD$7:$IM$7,"✓",'KG1-2'!$AD$5:$IM$5,"&lt;="&amp;D633))</f>
        <v/>
      </c>
      <c r="G633">
        <f>G632+IF(D633="",0,1)</f>
        <v/>
      </c>
    </row>
    <row r="634">
      <c r="A634">
        <f>IF('KG1-2'!$B10="","",'KG1-2'!$B10)</f>
        <v/>
      </c>
      <c r="B634">
        <f>IF(A634="","",'KG1-2'!$C10)</f>
        <v/>
      </c>
      <c r="C634">
        <f>IF(A634="","",'KG1-2'!$B$2)</f>
        <v/>
      </c>
      <c r="D634" s="126">
        <f t="array" ref="D634">IF(A634="","",IFERROR(SMALL(IF((('KG1-2'!$AD10:$IM10="غياب بدون عذر")+('KG1-2'!$AD10:$IM10="غياب بعذر"))*('KG1-2'!$AD$7:$IM$7="✓"),'KG1-2'!$AD$5:$IM$5),13),""))</f>
        <v/>
      </c>
      <c r="E634">
        <f>IF(D634="","",INDEX('KG1-2'!$AD10:$IM10,MATCH(D634,'KG1-2'!$AD$5:$IM$5,0)))</f>
        <v/>
      </c>
      <c r="F634">
        <f>IF(D634="","",COUNTIFS('KG1-2'!$AD10:$IM10,"غياب بدون عذر",'KG1-2'!$AD$7:$IM$7,"✓",'KG1-2'!$AD$5:$IM$5,"&lt;="&amp;D634))</f>
        <v/>
      </c>
      <c r="G634">
        <f>G633+IF(D634="",0,1)</f>
        <v/>
      </c>
    </row>
    <row r="635">
      <c r="A635">
        <f>IF('KG1-2'!$B10="","",'KG1-2'!$B10)</f>
        <v/>
      </c>
      <c r="B635">
        <f>IF(A635="","",'KG1-2'!$C10)</f>
        <v/>
      </c>
      <c r="C635">
        <f>IF(A635="","",'KG1-2'!$B$2)</f>
        <v/>
      </c>
      <c r="D635" s="126">
        <f t="array" ref="D635">IF(A635="","",IFERROR(SMALL(IF((('KG1-2'!$AD10:$IM10="غياب بدون عذر")+('KG1-2'!$AD10:$IM10="غياب بعذر"))*('KG1-2'!$AD$7:$IM$7="✓"),'KG1-2'!$AD$5:$IM$5),14),""))</f>
        <v/>
      </c>
      <c r="E635">
        <f>IF(D635="","",INDEX('KG1-2'!$AD10:$IM10,MATCH(D635,'KG1-2'!$AD$5:$IM$5,0)))</f>
        <v/>
      </c>
      <c r="F635">
        <f>IF(D635="","",COUNTIFS('KG1-2'!$AD10:$IM10,"غياب بدون عذر",'KG1-2'!$AD$7:$IM$7,"✓",'KG1-2'!$AD$5:$IM$5,"&lt;="&amp;D635))</f>
        <v/>
      </c>
      <c r="G635">
        <f>G634+IF(D635="",0,1)</f>
        <v/>
      </c>
    </row>
    <row r="636">
      <c r="A636">
        <f>IF('KG1-2'!$B10="","",'KG1-2'!$B10)</f>
        <v/>
      </c>
      <c r="B636">
        <f>IF(A636="","",'KG1-2'!$C10)</f>
        <v/>
      </c>
      <c r="C636">
        <f>IF(A636="","",'KG1-2'!$B$2)</f>
        <v/>
      </c>
      <c r="D636" s="126">
        <f t="array" ref="D636">IF(A636="","",IFERROR(SMALL(IF((('KG1-2'!$AD10:$IM10="غياب بدون عذر")+('KG1-2'!$AD10:$IM10="غياب بعذر"))*('KG1-2'!$AD$7:$IM$7="✓"),'KG1-2'!$AD$5:$IM$5),15),""))</f>
        <v/>
      </c>
      <c r="E636">
        <f>IF(D636="","",INDEX('KG1-2'!$AD10:$IM10,MATCH(D636,'KG1-2'!$AD$5:$IM$5,0)))</f>
        <v/>
      </c>
      <c r="F636">
        <f>IF(D636="","",COUNTIFS('KG1-2'!$AD10:$IM10,"غياب بدون عذر",'KG1-2'!$AD$7:$IM$7,"✓",'KG1-2'!$AD$5:$IM$5,"&lt;="&amp;D636))</f>
        <v/>
      </c>
      <c r="G636">
        <f>G635+IF(D636="",0,1)</f>
        <v/>
      </c>
    </row>
    <row r="637">
      <c r="A637">
        <f>IF('KG1-2'!$B10="","",'KG1-2'!$B10)</f>
        <v/>
      </c>
      <c r="B637">
        <f>IF(A637="","",'KG1-2'!$C10)</f>
        <v/>
      </c>
      <c r="C637">
        <f>IF(A637="","",'KG1-2'!$B$2)</f>
        <v/>
      </c>
      <c r="D637" s="126">
        <f t="array" ref="D637">IF(A637="","",IFERROR(SMALL(IF((('KG1-2'!$AD10:$IM10="غياب بدون عذر")+('KG1-2'!$AD10:$IM10="غياب بعذر"))*('KG1-2'!$AD$7:$IM$7="✓"),'KG1-2'!$AD$5:$IM$5),16),""))</f>
        <v/>
      </c>
      <c r="E637">
        <f>IF(D637="","",INDEX('KG1-2'!$AD10:$IM10,MATCH(D637,'KG1-2'!$AD$5:$IM$5,0)))</f>
        <v/>
      </c>
      <c r="F637">
        <f>IF(D637="","",COUNTIFS('KG1-2'!$AD10:$IM10,"غياب بدون عذر",'KG1-2'!$AD$7:$IM$7,"✓",'KG1-2'!$AD$5:$IM$5,"&lt;="&amp;D637))</f>
        <v/>
      </c>
      <c r="G637">
        <f>G636+IF(D637="",0,1)</f>
        <v/>
      </c>
    </row>
    <row r="638">
      <c r="A638">
        <f>IF('KG1-2'!$B10="","",'KG1-2'!$B10)</f>
        <v/>
      </c>
      <c r="B638">
        <f>IF(A638="","",'KG1-2'!$C10)</f>
        <v/>
      </c>
      <c r="C638">
        <f>IF(A638="","",'KG1-2'!$B$2)</f>
        <v/>
      </c>
      <c r="D638" s="126">
        <f t="array" ref="D638">IF(A638="","",IFERROR(SMALL(IF((('KG1-2'!$AD10:$IM10="غياب بدون عذر")+('KG1-2'!$AD10:$IM10="غياب بعذر"))*('KG1-2'!$AD$7:$IM$7="✓"),'KG1-2'!$AD$5:$IM$5),17),""))</f>
        <v/>
      </c>
      <c r="E638">
        <f>IF(D638="","",INDEX('KG1-2'!$AD10:$IM10,MATCH(D638,'KG1-2'!$AD$5:$IM$5,0)))</f>
        <v/>
      </c>
      <c r="F638">
        <f>IF(D638="","",COUNTIFS('KG1-2'!$AD10:$IM10,"غياب بدون عذر",'KG1-2'!$AD$7:$IM$7,"✓",'KG1-2'!$AD$5:$IM$5,"&lt;="&amp;D638))</f>
        <v/>
      </c>
      <c r="G638">
        <f>G637+IF(D638="",0,1)</f>
        <v/>
      </c>
    </row>
    <row r="639">
      <c r="A639">
        <f>IF('KG1-2'!$B10="","",'KG1-2'!$B10)</f>
        <v/>
      </c>
      <c r="B639">
        <f>IF(A639="","",'KG1-2'!$C10)</f>
        <v/>
      </c>
      <c r="C639">
        <f>IF(A639="","",'KG1-2'!$B$2)</f>
        <v/>
      </c>
      <c r="D639" s="126">
        <f t="array" ref="D639">IF(A639="","",IFERROR(SMALL(IF((('KG1-2'!$AD10:$IM10="غياب بدون عذر")+('KG1-2'!$AD10:$IM10="غياب بعذر"))*('KG1-2'!$AD$7:$IM$7="✓"),'KG1-2'!$AD$5:$IM$5),18),""))</f>
        <v/>
      </c>
      <c r="E639">
        <f>IF(D639="","",INDEX('KG1-2'!$AD10:$IM10,MATCH(D639,'KG1-2'!$AD$5:$IM$5,0)))</f>
        <v/>
      </c>
      <c r="F639">
        <f>IF(D639="","",COUNTIFS('KG1-2'!$AD10:$IM10,"غياب بدون عذر",'KG1-2'!$AD$7:$IM$7,"✓",'KG1-2'!$AD$5:$IM$5,"&lt;="&amp;D639))</f>
        <v/>
      </c>
      <c r="G639">
        <f>G638+IF(D639="",0,1)</f>
        <v/>
      </c>
    </row>
    <row r="640">
      <c r="A640">
        <f>IF('KG1-2'!$B10="","",'KG1-2'!$B10)</f>
        <v/>
      </c>
      <c r="B640">
        <f>IF(A640="","",'KG1-2'!$C10)</f>
        <v/>
      </c>
      <c r="C640">
        <f>IF(A640="","",'KG1-2'!$B$2)</f>
        <v/>
      </c>
      <c r="D640" s="126">
        <f t="array" ref="D640">IF(A640="","",IFERROR(SMALL(IF((('KG1-2'!$AD10:$IM10="غياب بدون عذر")+('KG1-2'!$AD10:$IM10="غياب بعذر"))*('KG1-2'!$AD$7:$IM$7="✓"),'KG1-2'!$AD$5:$IM$5),19),""))</f>
        <v/>
      </c>
      <c r="E640">
        <f>IF(D640="","",INDEX('KG1-2'!$AD10:$IM10,MATCH(D640,'KG1-2'!$AD$5:$IM$5,0)))</f>
        <v/>
      </c>
      <c r="F640">
        <f>IF(D640="","",COUNTIFS('KG1-2'!$AD10:$IM10,"غياب بدون عذر",'KG1-2'!$AD$7:$IM$7,"✓",'KG1-2'!$AD$5:$IM$5,"&lt;="&amp;D640))</f>
        <v/>
      </c>
      <c r="G640">
        <f>G639+IF(D640="",0,1)</f>
        <v/>
      </c>
    </row>
    <row r="641">
      <c r="A641">
        <f>IF('KG1-2'!$B10="","",'KG1-2'!$B10)</f>
        <v/>
      </c>
      <c r="B641">
        <f>IF(A641="","",'KG1-2'!$C10)</f>
        <v/>
      </c>
      <c r="C641">
        <f>IF(A641="","",'KG1-2'!$B$2)</f>
        <v/>
      </c>
      <c r="D641" s="126">
        <f t="array" ref="D641">IF(A641="","",IFERROR(SMALL(IF((('KG1-2'!$AD10:$IM10="غياب بدون عذر")+('KG1-2'!$AD10:$IM10="غياب بعذر"))*('KG1-2'!$AD$7:$IM$7="✓"),'KG1-2'!$AD$5:$IM$5),20),""))</f>
        <v/>
      </c>
      <c r="E641">
        <f>IF(D641="","",INDEX('KG1-2'!$AD10:$IM10,MATCH(D641,'KG1-2'!$AD$5:$IM$5,0)))</f>
        <v/>
      </c>
      <c r="F641">
        <f>IF(D641="","",COUNTIFS('KG1-2'!$AD10:$IM10,"غياب بدون عذر",'KG1-2'!$AD$7:$IM$7,"✓",'KG1-2'!$AD$5:$IM$5,"&lt;="&amp;D641))</f>
        <v/>
      </c>
      <c r="G641">
        <f>G640+IF(D641="",0,1)</f>
        <v/>
      </c>
    </row>
    <row r="642">
      <c r="A642">
        <f>IF('KG1-2'!$B11="","",'KG1-2'!$B11)</f>
        <v/>
      </c>
      <c r="B642">
        <f>IF(A642="","",'KG1-2'!$C11)</f>
        <v/>
      </c>
      <c r="C642">
        <f>IF(A642="","",'KG1-2'!$B$2)</f>
        <v/>
      </c>
      <c r="D642" s="126">
        <f t="array" ref="D642">IF(A642="","",IFERROR(SMALL(IF((('KG1-2'!$AD11:$IM11="غياب بدون عذر")+('KG1-2'!$AD11:$IM11="غياب بعذر"))*('KG1-2'!$AD$7:$IM$7="✓"),'KG1-2'!$AD$5:$IM$5),1),""))</f>
        <v/>
      </c>
      <c r="E642">
        <f>IF(D642="","",INDEX('KG1-2'!$AD11:$IM11,MATCH(D642,'KG1-2'!$AD$5:$IM$5,0)))</f>
        <v/>
      </c>
      <c r="F642">
        <f>IF(D642="","",COUNTIFS('KG1-2'!$AD11:$IM11,"غياب بدون عذر",'KG1-2'!$AD$7:$IM$7,"✓",'KG1-2'!$AD$5:$IM$5,"&lt;="&amp;D642))</f>
        <v/>
      </c>
      <c r="G642">
        <f>G641+IF(D642="",0,1)</f>
        <v/>
      </c>
    </row>
    <row r="643">
      <c r="A643">
        <f>IF('KG1-2'!$B11="","",'KG1-2'!$B11)</f>
        <v/>
      </c>
      <c r="B643">
        <f>IF(A643="","",'KG1-2'!$C11)</f>
        <v/>
      </c>
      <c r="C643">
        <f>IF(A643="","",'KG1-2'!$B$2)</f>
        <v/>
      </c>
      <c r="D643" s="126">
        <f t="array" ref="D643">IF(A643="","",IFERROR(SMALL(IF((('KG1-2'!$AD11:$IM11="غياب بدون عذر")+('KG1-2'!$AD11:$IM11="غياب بعذر"))*('KG1-2'!$AD$7:$IM$7="✓"),'KG1-2'!$AD$5:$IM$5),2),""))</f>
        <v/>
      </c>
      <c r="E643">
        <f>IF(D643="","",INDEX('KG1-2'!$AD11:$IM11,MATCH(D643,'KG1-2'!$AD$5:$IM$5,0)))</f>
        <v/>
      </c>
      <c r="F643">
        <f>IF(D643="","",COUNTIFS('KG1-2'!$AD11:$IM11,"غياب بدون عذر",'KG1-2'!$AD$7:$IM$7,"✓",'KG1-2'!$AD$5:$IM$5,"&lt;="&amp;D643))</f>
        <v/>
      </c>
      <c r="G643">
        <f>G642+IF(D643="",0,1)</f>
        <v/>
      </c>
    </row>
    <row r="644">
      <c r="A644">
        <f>IF('KG1-2'!$B11="","",'KG1-2'!$B11)</f>
        <v/>
      </c>
      <c r="B644">
        <f>IF(A644="","",'KG1-2'!$C11)</f>
        <v/>
      </c>
      <c r="C644">
        <f>IF(A644="","",'KG1-2'!$B$2)</f>
        <v/>
      </c>
      <c r="D644" s="126">
        <f t="array" ref="D644">IF(A644="","",IFERROR(SMALL(IF((('KG1-2'!$AD11:$IM11="غياب بدون عذر")+('KG1-2'!$AD11:$IM11="غياب بعذر"))*('KG1-2'!$AD$7:$IM$7="✓"),'KG1-2'!$AD$5:$IM$5),3),""))</f>
        <v/>
      </c>
      <c r="E644">
        <f>IF(D644="","",INDEX('KG1-2'!$AD11:$IM11,MATCH(D644,'KG1-2'!$AD$5:$IM$5,0)))</f>
        <v/>
      </c>
      <c r="F644">
        <f>IF(D644="","",COUNTIFS('KG1-2'!$AD11:$IM11,"غياب بدون عذر",'KG1-2'!$AD$7:$IM$7,"✓",'KG1-2'!$AD$5:$IM$5,"&lt;="&amp;D644))</f>
        <v/>
      </c>
      <c r="G644">
        <f>G643+IF(D644="",0,1)</f>
        <v/>
      </c>
    </row>
    <row r="645">
      <c r="A645">
        <f>IF('KG1-2'!$B11="","",'KG1-2'!$B11)</f>
        <v/>
      </c>
      <c r="B645">
        <f>IF(A645="","",'KG1-2'!$C11)</f>
        <v/>
      </c>
      <c r="C645">
        <f>IF(A645="","",'KG1-2'!$B$2)</f>
        <v/>
      </c>
      <c r="D645" s="126">
        <f t="array" ref="D645">IF(A645="","",IFERROR(SMALL(IF((('KG1-2'!$AD11:$IM11="غياب بدون عذر")+('KG1-2'!$AD11:$IM11="غياب بعذر"))*('KG1-2'!$AD$7:$IM$7="✓"),'KG1-2'!$AD$5:$IM$5),4),""))</f>
        <v/>
      </c>
      <c r="E645">
        <f>IF(D645="","",INDEX('KG1-2'!$AD11:$IM11,MATCH(D645,'KG1-2'!$AD$5:$IM$5,0)))</f>
        <v/>
      </c>
      <c r="F645">
        <f>IF(D645="","",COUNTIFS('KG1-2'!$AD11:$IM11,"غياب بدون عذر",'KG1-2'!$AD$7:$IM$7,"✓",'KG1-2'!$AD$5:$IM$5,"&lt;="&amp;D645))</f>
        <v/>
      </c>
      <c r="G645">
        <f>G644+IF(D645="",0,1)</f>
        <v/>
      </c>
    </row>
    <row r="646">
      <c r="A646">
        <f>IF('KG1-2'!$B11="","",'KG1-2'!$B11)</f>
        <v/>
      </c>
      <c r="B646">
        <f>IF(A646="","",'KG1-2'!$C11)</f>
        <v/>
      </c>
      <c r="C646">
        <f>IF(A646="","",'KG1-2'!$B$2)</f>
        <v/>
      </c>
      <c r="D646" s="126">
        <f t="array" ref="D646">IF(A646="","",IFERROR(SMALL(IF((('KG1-2'!$AD11:$IM11="غياب بدون عذر")+('KG1-2'!$AD11:$IM11="غياب بعذر"))*('KG1-2'!$AD$7:$IM$7="✓"),'KG1-2'!$AD$5:$IM$5),5),""))</f>
        <v/>
      </c>
      <c r="E646">
        <f>IF(D646="","",INDEX('KG1-2'!$AD11:$IM11,MATCH(D646,'KG1-2'!$AD$5:$IM$5,0)))</f>
        <v/>
      </c>
      <c r="F646">
        <f>IF(D646="","",COUNTIFS('KG1-2'!$AD11:$IM11,"غياب بدون عذر",'KG1-2'!$AD$7:$IM$7,"✓",'KG1-2'!$AD$5:$IM$5,"&lt;="&amp;D646))</f>
        <v/>
      </c>
      <c r="G646">
        <f>G645+IF(D646="",0,1)</f>
        <v/>
      </c>
    </row>
    <row r="647">
      <c r="A647">
        <f>IF('KG1-2'!$B11="","",'KG1-2'!$B11)</f>
        <v/>
      </c>
      <c r="B647">
        <f>IF(A647="","",'KG1-2'!$C11)</f>
        <v/>
      </c>
      <c r="C647">
        <f>IF(A647="","",'KG1-2'!$B$2)</f>
        <v/>
      </c>
      <c r="D647" s="126">
        <f t="array" ref="D647">IF(A647="","",IFERROR(SMALL(IF((('KG1-2'!$AD11:$IM11="غياب بدون عذر")+('KG1-2'!$AD11:$IM11="غياب بعذر"))*('KG1-2'!$AD$7:$IM$7="✓"),'KG1-2'!$AD$5:$IM$5),6),""))</f>
        <v/>
      </c>
      <c r="E647">
        <f>IF(D647="","",INDEX('KG1-2'!$AD11:$IM11,MATCH(D647,'KG1-2'!$AD$5:$IM$5,0)))</f>
        <v/>
      </c>
      <c r="F647">
        <f>IF(D647="","",COUNTIFS('KG1-2'!$AD11:$IM11,"غياب بدون عذر",'KG1-2'!$AD$7:$IM$7,"✓",'KG1-2'!$AD$5:$IM$5,"&lt;="&amp;D647))</f>
        <v/>
      </c>
      <c r="G647">
        <f>G646+IF(D647="",0,1)</f>
        <v/>
      </c>
    </row>
    <row r="648">
      <c r="A648">
        <f>IF('KG1-2'!$B11="","",'KG1-2'!$B11)</f>
        <v/>
      </c>
      <c r="B648">
        <f>IF(A648="","",'KG1-2'!$C11)</f>
        <v/>
      </c>
      <c r="C648">
        <f>IF(A648="","",'KG1-2'!$B$2)</f>
        <v/>
      </c>
      <c r="D648" s="126">
        <f t="array" ref="D648">IF(A648="","",IFERROR(SMALL(IF((('KG1-2'!$AD11:$IM11="غياب بدون عذر")+('KG1-2'!$AD11:$IM11="غياب بعذر"))*('KG1-2'!$AD$7:$IM$7="✓"),'KG1-2'!$AD$5:$IM$5),7),""))</f>
        <v/>
      </c>
      <c r="E648">
        <f>IF(D648="","",INDEX('KG1-2'!$AD11:$IM11,MATCH(D648,'KG1-2'!$AD$5:$IM$5,0)))</f>
        <v/>
      </c>
      <c r="F648">
        <f>IF(D648="","",COUNTIFS('KG1-2'!$AD11:$IM11,"غياب بدون عذر",'KG1-2'!$AD$7:$IM$7,"✓",'KG1-2'!$AD$5:$IM$5,"&lt;="&amp;D648))</f>
        <v/>
      </c>
      <c r="G648">
        <f>G647+IF(D648="",0,1)</f>
        <v/>
      </c>
    </row>
    <row r="649">
      <c r="A649">
        <f>IF('KG1-2'!$B11="","",'KG1-2'!$B11)</f>
        <v/>
      </c>
      <c r="B649">
        <f>IF(A649="","",'KG1-2'!$C11)</f>
        <v/>
      </c>
      <c r="C649">
        <f>IF(A649="","",'KG1-2'!$B$2)</f>
        <v/>
      </c>
      <c r="D649" s="126">
        <f t="array" ref="D649">IF(A649="","",IFERROR(SMALL(IF((('KG1-2'!$AD11:$IM11="غياب بدون عذر")+('KG1-2'!$AD11:$IM11="غياب بعذر"))*('KG1-2'!$AD$7:$IM$7="✓"),'KG1-2'!$AD$5:$IM$5),8),""))</f>
        <v/>
      </c>
      <c r="E649">
        <f>IF(D649="","",INDEX('KG1-2'!$AD11:$IM11,MATCH(D649,'KG1-2'!$AD$5:$IM$5,0)))</f>
        <v/>
      </c>
      <c r="F649">
        <f>IF(D649="","",COUNTIFS('KG1-2'!$AD11:$IM11,"غياب بدون عذر",'KG1-2'!$AD$7:$IM$7,"✓",'KG1-2'!$AD$5:$IM$5,"&lt;="&amp;D649))</f>
        <v/>
      </c>
      <c r="G649">
        <f>G648+IF(D649="",0,1)</f>
        <v/>
      </c>
    </row>
    <row r="650">
      <c r="A650">
        <f>IF('KG1-2'!$B11="","",'KG1-2'!$B11)</f>
        <v/>
      </c>
      <c r="B650">
        <f>IF(A650="","",'KG1-2'!$C11)</f>
        <v/>
      </c>
      <c r="C650">
        <f>IF(A650="","",'KG1-2'!$B$2)</f>
        <v/>
      </c>
      <c r="D650" s="126">
        <f t="array" ref="D650">IF(A650="","",IFERROR(SMALL(IF((('KG1-2'!$AD11:$IM11="غياب بدون عذر")+('KG1-2'!$AD11:$IM11="غياب بعذر"))*('KG1-2'!$AD$7:$IM$7="✓"),'KG1-2'!$AD$5:$IM$5),9),""))</f>
        <v/>
      </c>
      <c r="E650">
        <f>IF(D650="","",INDEX('KG1-2'!$AD11:$IM11,MATCH(D650,'KG1-2'!$AD$5:$IM$5,0)))</f>
        <v/>
      </c>
      <c r="F650">
        <f>IF(D650="","",COUNTIFS('KG1-2'!$AD11:$IM11,"غياب بدون عذر",'KG1-2'!$AD$7:$IM$7,"✓",'KG1-2'!$AD$5:$IM$5,"&lt;="&amp;D650))</f>
        <v/>
      </c>
      <c r="G650">
        <f>G649+IF(D650="",0,1)</f>
        <v/>
      </c>
    </row>
    <row r="651">
      <c r="A651">
        <f>IF('KG1-2'!$B11="","",'KG1-2'!$B11)</f>
        <v/>
      </c>
      <c r="B651">
        <f>IF(A651="","",'KG1-2'!$C11)</f>
        <v/>
      </c>
      <c r="C651">
        <f>IF(A651="","",'KG1-2'!$B$2)</f>
        <v/>
      </c>
      <c r="D651" s="126">
        <f t="array" ref="D651">IF(A651="","",IFERROR(SMALL(IF((('KG1-2'!$AD11:$IM11="غياب بدون عذر")+('KG1-2'!$AD11:$IM11="غياب بعذر"))*('KG1-2'!$AD$7:$IM$7="✓"),'KG1-2'!$AD$5:$IM$5),10),""))</f>
        <v/>
      </c>
      <c r="E651">
        <f>IF(D651="","",INDEX('KG1-2'!$AD11:$IM11,MATCH(D651,'KG1-2'!$AD$5:$IM$5,0)))</f>
        <v/>
      </c>
      <c r="F651">
        <f>IF(D651="","",COUNTIFS('KG1-2'!$AD11:$IM11,"غياب بدون عذر",'KG1-2'!$AD$7:$IM$7,"✓",'KG1-2'!$AD$5:$IM$5,"&lt;="&amp;D651))</f>
        <v/>
      </c>
      <c r="G651">
        <f>G650+IF(D651="",0,1)</f>
        <v/>
      </c>
    </row>
    <row r="652">
      <c r="A652">
        <f>IF('KG1-2'!$B11="","",'KG1-2'!$B11)</f>
        <v/>
      </c>
      <c r="B652">
        <f>IF(A652="","",'KG1-2'!$C11)</f>
        <v/>
      </c>
      <c r="C652">
        <f>IF(A652="","",'KG1-2'!$B$2)</f>
        <v/>
      </c>
      <c r="D652" s="126">
        <f t="array" ref="D652">IF(A652="","",IFERROR(SMALL(IF((('KG1-2'!$AD11:$IM11="غياب بدون عذر")+('KG1-2'!$AD11:$IM11="غياب بعذر"))*('KG1-2'!$AD$7:$IM$7="✓"),'KG1-2'!$AD$5:$IM$5),11),""))</f>
        <v/>
      </c>
      <c r="E652">
        <f>IF(D652="","",INDEX('KG1-2'!$AD11:$IM11,MATCH(D652,'KG1-2'!$AD$5:$IM$5,0)))</f>
        <v/>
      </c>
      <c r="F652">
        <f>IF(D652="","",COUNTIFS('KG1-2'!$AD11:$IM11,"غياب بدون عذر",'KG1-2'!$AD$7:$IM$7,"✓",'KG1-2'!$AD$5:$IM$5,"&lt;="&amp;D652))</f>
        <v/>
      </c>
      <c r="G652">
        <f>G651+IF(D652="",0,1)</f>
        <v/>
      </c>
    </row>
    <row r="653">
      <c r="A653">
        <f>IF('KG1-2'!$B11="","",'KG1-2'!$B11)</f>
        <v/>
      </c>
      <c r="B653">
        <f>IF(A653="","",'KG1-2'!$C11)</f>
        <v/>
      </c>
      <c r="C653">
        <f>IF(A653="","",'KG1-2'!$B$2)</f>
        <v/>
      </c>
      <c r="D653" s="126">
        <f t="array" ref="D653">IF(A653="","",IFERROR(SMALL(IF((('KG1-2'!$AD11:$IM11="غياب بدون عذر")+('KG1-2'!$AD11:$IM11="غياب بعذر"))*('KG1-2'!$AD$7:$IM$7="✓"),'KG1-2'!$AD$5:$IM$5),12),""))</f>
        <v/>
      </c>
      <c r="E653">
        <f>IF(D653="","",INDEX('KG1-2'!$AD11:$IM11,MATCH(D653,'KG1-2'!$AD$5:$IM$5,0)))</f>
        <v/>
      </c>
      <c r="F653">
        <f>IF(D653="","",COUNTIFS('KG1-2'!$AD11:$IM11,"غياب بدون عذر",'KG1-2'!$AD$7:$IM$7,"✓",'KG1-2'!$AD$5:$IM$5,"&lt;="&amp;D653))</f>
        <v/>
      </c>
      <c r="G653">
        <f>G652+IF(D653="",0,1)</f>
        <v/>
      </c>
    </row>
    <row r="654">
      <c r="A654">
        <f>IF('KG1-2'!$B11="","",'KG1-2'!$B11)</f>
        <v/>
      </c>
      <c r="B654">
        <f>IF(A654="","",'KG1-2'!$C11)</f>
        <v/>
      </c>
      <c r="C654">
        <f>IF(A654="","",'KG1-2'!$B$2)</f>
        <v/>
      </c>
      <c r="D654" s="126">
        <f t="array" ref="D654">IF(A654="","",IFERROR(SMALL(IF((('KG1-2'!$AD11:$IM11="غياب بدون عذر")+('KG1-2'!$AD11:$IM11="غياب بعذر"))*('KG1-2'!$AD$7:$IM$7="✓"),'KG1-2'!$AD$5:$IM$5),13),""))</f>
        <v/>
      </c>
      <c r="E654">
        <f>IF(D654="","",INDEX('KG1-2'!$AD11:$IM11,MATCH(D654,'KG1-2'!$AD$5:$IM$5,0)))</f>
        <v/>
      </c>
      <c r="F654">
        <f>IF(D654="","",COUNTIFS('KG1-2'!$AD11:$IM11,"غياب بدون عذر",'KG1-2'!$AD$7:$IM$7,"✓",'KG1-2'!$AD$5:$IM$5,"&lt;="&amp;D654))</f>
        <v/>
      </c>
      <c r="G654">
        <f>G653+IF(D654="",0,1)</f>
        <v/>
      </c>
    </row>
    <row r="655">
      <c r="A655">
        <f>IF('KG1-2'!$B11="","",'KG1-2'!$B11)</f>
        <v/>
      </c>
      <c r="B655">
        <f>IF(A655="","",'KG1-2'!$C11)</f>
        <v/>
      </c>
      <c r="C655">
        <f>IF(A655="","",'KG1-2'!$B$2)</f>
        <v/>
      </c>
      <c r="D655" s="126">
        <f t="array" ref="D655">IF(A655="","",IFERROR(SMALL(IF((('KG1-2'!$AD11:$IM11="غياب بدون عذر")+('KG1-2'!$AD11:$IM11="غياب بعذر"))*('KG1-2'!$AD$7:$IM$7="✓"),'KG1-2'!$AD$5:$IM$5),14),""))</f>
        <v/>
      </c>
      <c r="E655">
        <f>IF(D655="","",INDEX('KG1-2'!$AD11:$IM11,MATCH(D655,'KG1-2'!$AD$5:$IM$5,0)))</f>
        <v/>
      </c>
      <c r="F655">
        <f>IF(D655="","",COUNTIFS('KG1-2'!$AD11:$IM11,"غياب بدون عذر",'KG1-2'!$AD$7:$IM$7,"✓",'KG1-2'!$AD$5:$IM$5,"&lt;="&amp;D655))</f>
        <v/>
      </c>
      <c r="G655">
        <f>G654+IF(D655="",0,1)</f>
        <v/>
      </c>
    </row>
    <row r="656">
      <c r="A656">
        <f>IF('KG1-2'!$B11="","",'KG1-2'!$B11)</f>
        <v/>
      </c>
      <c r="B656">
        <f>IF(A656="","",'KG1-2'!$C11)</f>
        <v/>
      </c>
      <c r="C656">
        <f>IF(A656="","",'KG1-2'!$B$2)</f>
        <v/>
      </c>
      <c r="D656" s="126">
        <f t="array" ref="D656">IF(A656="","",IFERROR(SMALL(IF((('KG1-2'!$AD11:$IM11="غياب بدون عذر")+('KG1-2'!$AD11:$IM11="غياب بعذر"))*('KG1-2'!$AD$7:$IM$7="✓"),'KG1-2'!$AD$5:$IM$5),15),""))</f>
        <v/>
      </c>
      <c r="E656">
        <f>IF(D656="","",INDEX('KG1-2'!$AD11:$IM11,MATCH(D656,'KG1-2'!$AD$5:$IM$5,0)))</f>
        <v/>
      </c>
      <c r="F656">
        <f>IF(D656="","",COUNTIFS('KG1-2'!$AD11:$IM11,"غياب بدون عذر",'KG1-2'!$AD$7:$IM$7,"✓",'KG1-2'!$AD$5:$IM$5,"&lt;="&amp;D656))</f>
        <v/>
      </c>
      <c r="G656">
        <f>G655+IF(D656="",0,1)</f>
        <v/>
      </c>
    </row>
    <row r="657">
      <c r="A657">
        <f>IF('KG1-2'!$B11="","",'KG1-2'!$B11)</f>
        <v/>
      </c>
      <c r="B657">
        <f>IF(A657="","",'KG1-2'!$C11)</f>
        <v/>
      </c>
      <c r="C657">
        <f>IF(A657="","",'KG1-2'!$B$2)</f>
        <v/>
      </c>
      <c r="D657" s="126">
        <f t="array" ref="D657">IF(A657="","",IFERROR(SMALL(IF((('KG1-2'!$AD11:$IM11="غياب بدون عذر")+('KG1-2'!$AD11:$IM11="غياب بعذر"))*('KG1-2'!$AD$7:$IM$7="✓"),'KG1-2'!$AD$5:$IM$5),16),""))</f>
        <v/>
      </c>
      <c r="E657">
        <f>IF(D657="","",INDEX('KG1-2'!$AD11:$IM11,MATCH(D657,'KG1-2'!$AD$5:$IM$5,0)))</f>
        <v/>
      </c>
      <c r="F657">
        <f>IF(D657="","",COUNTIFS('KG1-2'!$AD11:$IM11,"غياب بدون عذر",'KG1-2'!$AD$7:$IM$7,"✓",'KG1-2'!$AD$5:$IM$5,"&lt;="&amp;D657))</f>
        <v/>
      </c>
      <c r="G657">
        <f>G656+IF(D657="",0,1)</f>
        <v/>
      </c>
    </row>
    <row r="658">
      <c r="A658">
        <f>IF('KG1-2'!$B11="","",'KG1-2'!$B11)</f>
        <v/>
      </c>
      <c r="B658">
        <f>IF(A658="","",'KG1-2'!$C11)</f>
        <v/>
      </c>
      <c r="C658">
        <f>IF(A658="","",'KG1-2'!$B$2)</f>
        <v/>
      </c>
      <c r="D658" s="126">
        <f t="array" ref="D658">IF(A658="","",IFERROR(SMALL(IF((('KG1-2'!$AD11:$IM11="غياب بدون عذر")+('KG1-2'!$AD11:$IM11="غياب بعذر"))*('KG1-2'!$AD$7:$IM$7="✓"),'KG1-2'!$AD$5:$IM$5),17),""))</f>
        <v/>
      </c>
      <c r="E658">
        <f>IF(D658="","",INDEX('KG1-2'!$AD11:$IM11,MATCH(D658,'KG1-2'!$AD$5:$IM$5,0)))</f>
        <v/>
      </c>
      <c r="F658">
        <f>IF(D658="","",COUNTIFS('KG1-2'!$AD11:$IM11,"غياب بدون عذر",'KG1-2'!$AD$7:$IM$7,"✓",'KG1-2'!$AD$5:$IM$5,"&lt;="&amp;D658))</f>
        <v/>
      </c>
      <c r="G658">
        <f>G657+IF(D658="",0,1)</f>
        <v/>
      </c>
    </row>
    <row r="659">
      <c r="A659">
        <f>IF('KG1-2'!$B11="","",'KG1-2'!$B11)</f>
        <v/>
      </c>
      <c r="B659">
        <f>IF(A659="","",'KG1-2'!$C11)</f>
        <v/>
      </c>
      <c r="C659">
        <f>IF(A659="","",'KG1-2'!$B$2)</f>
        <v/>
      </c>
      <c r="D659" s="126">
        <f t="array" ref="D659">IF(A659="","",IFERROR(SMALL(IF((('KG1-2'!$AD11:$IM11="غياب بدون عذر")+('KG1-2'!$AD11:$IM11="غياب بعذر"))*('KG1-2'!$AD$7:$IM$7="✓"),'KG1-2'!$AD$5:$IM$5),18),""))</f>
        <v/>
      </c>
      <c r="E659">
        <f>IF(D659="","",INDEX('KG1-2'!$AD11:$IM11,MATCH(D659,'KG1-2'!$AD$5:$IM$5,0)))</f>
        <v/>
      </c>
      <c r="F659">
        <f>IF(D659="","",COUNTIFS('KG1-2'!$AD11:$IM11,"غياب بدون عذر",'KG1-2'!$AD$7:$IM$7,"✓",'KG1-2'!$AD$5:$IM$5,"&lt;="&amp;D659))</f>
        <v/>
      </c>
      <c r="G659">
        <f>G658+IF(D659="",0,1)</f>
        <v/>
      </c>
    </row>
    <row r="660">
      <c r="A660">
        <f>IF('KG1-2'!$B11="","",'KG1-2'!$B11)</f>
        <v/>
      </c>
      <c r="B660">
        <f>IF(A660="","",'KG1-2'!$C11)</f>
        <v/>
      </c>
      <c r="C660">
        <f>IF(A660="","",'KG1-2'!$B$2)</f>
        <v/>
      </c>
      <c r="D660" s="126">
        <f t="array" ref="D660">IF(A660="","",IFERROR(SMALL(IF((('KG1-2'!$AD11:$IM11="غياب بدون عذر")+('KG1-2'!$AD11:$IM11="غياب بعذر"))*('KG1-2'!$AD$7:$IM$7="✓"),'KG1-2'!$AD$5:$IM$5),19),""))</f>
        <v/>
      </c>
      <c r="E660">
        <f>IF(D660="","",INDEX('KG1-2'!$AD11:$IM11,MATCH(D660,'KG1-2'!$AD$5:$IM$5,0)))</f>
        <v/>
      </c>
      <c r="F660">
        <f>IF(D660="","",COUNTIFS('KG1-2'!$AD11:$IM11,"غياب بدون عذر",'KG1-2'!$AD$7:$IM$7,"✓",'KG1-2'!$AD$5:$IM$5,"&lt;="&amp;D660))</f>
        <v/>
      </c>
      <c r="G660">
        <f>G659+IF(D660="",0,1)</f>
        <v/>
      </c>
    </row>
    <row r="661">
      <c r="A661">
        <f>IF('KG1-2'!$B11="","",'KG1-2'!$B11)</f>
        <v/>
      </c>
      <c r="B661">
        <f>IF(A661="","",'KG1-2'!$C11)</f>
        <v/>
      </c>
      <c r="C661">
        <f>IF(A661="","",'KG1-2'!$B$2)</f>
        <v/>
      </c>
      <c r="D661" s="126">
        <f t="array" ref="D661">IF(A661="","",IFERROR(SMALL(IF((('KG1-2'!$AD11:$IM11="غياب بدون عذر")+('KG1-2'!$AD11:$IM11="غياب بعذر"))*('KG1-2'!$AD$7:$IM$7="✓"),'KG1-2'!$AD$5:$IM$5),20),""))</f>
        <v/>
      </c>
      <c r="E661">
        <f>IF(D661="","",INDEX('KG1-2'!$AD11:$IM11,MATCH(D661,'KG1-2'!$AD$5:$IM$5,0)))</f>
        <v/>
      </c>
      <c r="F661">
        <f>IF(D661="","",COUNTIFS('KG1-2'!$AD11:$IM11,"غياب بدون عذر",'KG1-2'!$AD$7:$IM$7,"✓",'KG1-2'!$AD$5:$IM$5,"&lt;="&amp;D661))</f>
        <v/>
      </c>
      <c r="G661">
        <f>G660+IF(D661="",0,1)</f>
        <v/>
      </c>
    </row>
    <row r="662">
      <c r="A662">
        <f>IF('KG1-2'!$B12="","",'KG1-2'!$B12)</f>
        <v/>
      </c>
      <c r="B662">
        <f>IF(A662="","",'KG1-2'!$C12)</f>
        <v/>
      </c>
      <c r="C662">
        <f>IF(A662="","",'KG1-2'!$B$2)</f>
        <v/>
      </c>
      <c r="D662" s="126">
        <f t="array" ref="D662">IF(A662="","",IFERROR(SMALL(IF((('KG1-2'!$AD12:$IM12="غياب بدون عذر")+('KG1-2'!$AD12:$IM12="غياب بعذر"))*('KG1-2'!$AD$7:$IM$7="✓"),'KG1-2'!$AD$5:$IM$5),1),""))</f>
        <v/>
      </c>
      <c r="E662">
        <f>IF(D662="","",INDEX('KG1-2'!$AD12:$IM12,MATCH(D662,'KG1-2'!$AD$5:$IM$5,0)))</f>
        <v/>
      </c>
      <c r="F662">
        <f>IF(D662="","",COUNTIFS('KG1-2'!$AD12:$IM12,"غياب بدون عذر",'KG1-2'!$AD$7:$IM$7,"✓",'KG1-2'!$AD$5:$IM$5,"&lt;="&amp;D662))</f>
        <v/>
      </c>
      <c r="G662">
        <f>G661+IF(D662="",0,1)</f>
        <v/>
      </c>
    </row>
    <row r="663">
      <c r="A663">
        <f>IF('KG1-2'!$B12="","",'KG1-2'!$B12)</f>
        <v/>
      </c>
      <c r="B663">
        <f>IF(A663="","",'KG1-2'!$C12)</f>
        <v/>
      </c>
      <c r="C663">
        <f>IF(A663="","",'KG1-2'!$B$2)</f>
        <v/>
      </c>
      <c r="D663" s="126">
        <f t="array" ref="D663">IF(A663="","",IFERROR(SMALL(IF((('KG1-2'!$AD12:$IM12="غياب بدون عذر")+('KG1-2'!$AD12:$IM12="غياب بعذر"))*('KG1-2'!$AD$7:$IM$7="✓"),'KG1-2'!$AD$5:$IM$5),2),""))</f>
        <v/>
      </c>
      <c r="E663">
        <f>IF(D663="","",INDEX('KG1-2'!$AD12:$IM12,MATCH(D663,'KG1-2'!$AD$5:$IM$5,0)))</f>
        <v/>
      </c>
      <c r="F663">
        <f>IF(D663="","",COUNTIFS('KG1-2'!$AD12:$IM12,"غياب بدون عذر",'KG1-2'!$AD$7:$IM$7,"✓",'KG1-2'!$AD$5:$IM$5,"&lt;="&amp;D663))</f>
        <v/>
      </c>
      <c r="G663">
        <f>G662+IF(D663="",0,1)</f>
        <v/>
      </c>
    </row>
    <row r="664">
      <c r="A664">
        <f>IF('KG1-2'!$B12="","",'KG1-2'!$B12)</f>
        <v/>
      </c>
      <c r="B664">
        <f>IF(A664="","",'KG1-2'!$C12)</f>
        <v/>
      </c>
      <c r="C664">
        <f>IF(A664="","",'KG1-2'!$B$2)</f>
        <v/>
      </c>
      <c r="D664" s="126">
        <f t="array" ref="D664">IF(A664="","",IFERROR(SMALL(IF((('KG1-2'!$AD12:$IM12="غياب بدون عذر")+('KG1-2'!$AD12:$IM12="غياب بعذر"))*('KG1-2'!$AD$7:$IM$7="✓"),'KG1-2'!$AD$5:$IM$5),3),""))</f>
        <v/>
      </c>
      <c r="E664">
        <f>IF(D664="","",INDEX('KG1-2'!$AD12:$IM12,MATCH(D664,'KG1-2'!$AD$5:$IM$5,0)))</f>
        <v/>
      </c>
      <c r="F664">
        <f>IF(D664="","",COUNTIFS('KG1-2'!$AD12:$IM12,"غياب بدون عذر",'KG1-2'!$AD$7:$IM$7,"✓",'KG1-2'!$AD$5:$IM$5,"&lt;="&amp;D664))</f>
        <v/>
      </c>
      <c r="G664">
        <f>G663+IF(D664="",0,1)</f>
        <v/>
      </c>
    </row>
    <row r="665">
      <c r="A665">
        <f>IF('KG1-2'!$B12="","",'KG1-2'!$B12)</f>
        <v/>
      </c>
      <c r="B665">
        <f>IF(A665="","",'KG1-2'!$C12)</f>
        <v/>
      </c>
      <c r="C665">
        <f>IF(A665="","",'KG1-2'!$B$2)</f>
        <v/>
      </c>
      <c r="D665" s="126">
        <f t="array" ref="D665">IF(A665="","",IFERROR(SMALL(IF((('KG1-2'!$AD12:$IM12="غياب بدون عذر")+('KG1-2'!$AD12:$IM12="غياب بعذر"))*('KG1-2'!$AD$7:$IM$7="✓"),'KG1-2'!$AD$5:$IM$5),4),""))</f>
        <v/>
      </c>
      <c r="E665">
        <f>IF(D665="","",INDEX('KG1-2'!$AD12:$IM12,MATCH(D665,'KG1-2'!$AD$5:$IM$5,0)))</f>
        <v/>
      </c>
      <c r="F665">
        <f>IF(D665="","",COUNTIFS('KG1-2'!$AD12:$IM12,"غياب بدون عذر",'KG1-2'!$AD$7:$IM$7,"✓",'KG1-2'!$AD$5:$IM$5,"&lt;="&amp;D665))</f>
        <v/>
      </c>
      <c r="G665">
        <f>G664+IF(D665="",0,1)</f>
        <v/>
      </c>
    </row>
    <row r="666">
      <c r="A666">
        <f>IF('KG1-2'!$B12="","",'KG1-2'!$B12)</f>
        <v/>
      </c>
      <c r="B666">
        <f>IF(A666="","",'KG1-2'!$C12)</f>
        <v/>
      </c>
      <c r="C666">
        <f>IF(A666="","",'KG1-2'!$B$2)</f>
        <v/>
      </c>
      <c r="D666" s="126">
        <f t="array" ref="D666">IF(A666="","",IFERROR(SMALL(IF((('KG1-2'!$AD12:$IM12="غياب بدون عذر")+('KG1-2'!$AD12:$IM12="غياب بعذر"))*('KG1-2'!$AD$7:$IM$7="✓"),'KG1-2'!$AD$5:$IM$5),5),""))</f>
        <v/>
      </c>
      <c r="E666">
        <f>IF(D666="","",INDEX('KG1-2'!$AD12:$IM12,MATCH(D666,'KG1-2'!$AD$5:$IM$5,0)))</f>
        <v/>
      </c>
      <c r="F666">
        <f>IF(D666="","",COUNTIFS('KG1-2'!$AD12:$IM12,"غياب بدون عذر",'KG1-2'!$AD$7:$IM$7,"✓",'KG1-2'!$AD$5:$IM$5,"&lt;="&amp;D666))</f>
        <v/>
      </c>
      <c r="G666">
        <f>G665+IF(D666="",0,1)</f>
        <v/>
      </c>
    </row>
    <row r="667">
      <c r="A667">
        <f>IF('KG1-2'!$B12="","",'KG1-2'!$B12)</f>
        <v/>
      </c>
      <c r="B667">
        <f>IF(A667="","",'KG1-2'!$C12)</f>
        <v/>
      </c>
      <c r="C667">
        <f>IF(A667="","",'KG1-2'!$B$2)</f>
        <v/>
      </c>
      <c r="D667" s="126">
        <f t="array" ref="D667">IF(A667="","",IFERROR(SMALL(IF((('KG1-2'!$AD12:$IM12="غياب بدون عذر")+('KG1-2'!$AD12:$IM12="غياب بعذر"))*('KG1-2'!$AD$7:$IM$7="✓"),'KG1-2'!$AD$5:$IM$5),6),""))</f>
        <v/>
      </c>
      <c r="E667">
        <f>IF(D667="","",INDEX('KG1-2'!$AD12:$IM12,MATCH(D667,'KG1-2'!$AD$5:$IM$5,0)))</f>
        <v/>
      </c>
      <c r="F667">
        <f>IF(D667="","",COUNTIFS('KG1-2'!$AD12:$IM12,"غياب بدون عذر",'KG1-2'!$AD$7:$IM$7,"✓",'KG1-2'!$AD$5:$IM$5,"&lt;="&amp;D667))</f>
        <v/>
      </c>
      <c r="G667">
        <f>G666+IF(D667="",0,1)</f>
        <v/>
      </c>
    </row>
    <row r="668">
      <c r="A668">
        <f>IF('KG1-2'!$B12="","",'KG1-2'!$B12)</f>
        <v/>
      </c>
      <c r="B668">
        <f>IF(A668="","",'KG1-2'!$C12)</f>
        <v/>
      </c>
      <c r="C668">
        <f>IF(A668="","",'KG1-2'!$B$2)</f>
        <v/>
      </c>
      <c r="D668" s="126">
        <f t="array" ref="D668">IF(A668="","",IFERROR(SMALL(IF((('KG1-2'!$AD12:$IM12="غياب بدون عذر")+('KG1-2'!$AD12:$IM12="غياب بعذر"))*('KG1-2'!$AD$7:$IM$7="✓"),'KG1-2'!$AD$5:$IM$5),7),""))</f>
        <v/>
      </c>
      <c r="E668">
        <f>IF(D668="","",INDEX('KG1-2'!$AD12:$IM12,MATCH(D668,'KG1-2'!$AD$5:$IM$5,0)))</f>
        <v/>
      </c>
      <c r="F668">
        <f>IF(D668="","",COUNTIFS('KG1-2'!$AD12:$IM12,"غياب بدون عذر",'KG1-2'!$AD$7:$IM$7,"✓",'KG1-2'!$AD$5:$IM$5,"&lt;="&amp;D668))</f>
        <v/>
      </c>
      <c r="G668">
        <f>G667+IF(D668="",0,1)</f>
        <v/>
      </c>
    </row>
    <row r="669">
      <c r="A669">
        <f>IF('KG1-2'!$B12="","",'KG1-2'!$B12)</f>
        <v/>
      </c>
      <c r="B669">
        <f>IF(A669="","",'KG1-2'!$C12)</f>
        <v/>
      </c>
      <c r="C669">
        <f>IF(A669="","",'KG1-2'!$B$2)</f>
        <v/>
      </c>
      <c r="D669" s="126">
        <f t="array" ref="D669">IF(A669="","",IFERROR(SMALL(IF((('KG1-2'!$AD12:$IM12="غياب بدون عذر")+('KG1-2'!$AD12:$IM12="غياب بعذر"))*('KG1-2'!$AD$7:$IM$7="✓"),'KG1-2'!$AD$5:$IM$5),8),""))</f>
        <v/>
      </c>
      <c r="E669">
        <f>IF(D669="","",INDEX('KG1-2'!$AD12:$IM12,MATCH(D669,'KG1-2'!$AD$5:$IM$5,0)))</f>
        <v/>
      </c>
      <c r="F669">
        <f>IF(D669="","",COUNTIFS('KG1-2'!$AD12:$IM12,"غياب بدون عذر",'KG1-2'!$AD$7:$IM$7,"✓",'KG1-2'!$AD$5:$IM$5,"&lt;="&amp;D669))</f>
        <v/>
      </c>
      <c r="G669">
        <f>G668+IF(D669="",0,1)</f>
        <v/>
      </c>
    </row>
    <row r="670">
      <c r="A670">
        <f>IF('KG1-2'!$B12="","",'KG1-2'!$B12)</f>
        <v/>
      </c>
      <c r="B670">
        <f>IF(A670="","",'KG1-2'!$C12)</f>
        <v/>
      </c>
      <c r="C670">
        <f>IF(A670="","",'KG1-2'!$B$2)</f>
        <v/>
      </c>
      <c r="D670" s="126">
        <f t="array" ref="D670">IF(A670="","",IFERROR(SMALL(IF((('KG1-2'!$AD12:$IM12="غياب بدون عذر")+('KG1-2'!$AD12:$IM12="غياب بعذر"))*('KG1-2'!$AD$7:$IM$7="✓"),'KG1-2'!$AD$5:$IM$5),9),""))</f>
        <v/>
      </c>
      <c r="E670">
        <f>IF(D670="","",INDEX('KG1-2'!$AD12:$IM12,MATCH(D670,'KG1-2'!$AD$5:$IM$5,0)))</f>
        <v/>
      </c>
      <c r="F670">
        <f>IF(D670="","",COUNTIFS('KG1-2'!$AD12:$IM12,"غياب بدون عذر",'KG1-2'!$AD$7:$IM$7,"✓",'KG1-2'!$AD$5:$IM$5,"&lt;="&amp;D670))</f>
        <v/>
      </c>
      <c r="G670">
        <f>G669+IF(D670="",0,1)</f>
        <v/>
      </c>
    </row>
    <row r="671">
      <c r="A671">
        <f>IF('KG1-2'!$B12="","",'KG1-2'!$B12)</f>
        <v/>
      </c>
      <c r="B671">
        <f>IF(A671="","",'KG1-2'!$C12)</f>
        <v/>
      </c>
      <c r="C671">
        <f>IF(A671="","",'KG1-2'!$B$2)</f>
        <v/>
      </c>
      <c r="D671" s="126">
        <f t="array" ref="D671">IF(A671="","",IFERROR(SMALL(IF((('KG1-2'!$AD12:$IM12="غياب بدون عذر")+('KG1-2'!$AD12:$IM12="غياب بعذر"))*('KG1-2'!$AD$7:$IM$7="✓"),'KG1-2'!$AD$5:$IM$5),10),""))</f>
        <v/>
      </c>
      <c r="E671">
        <f>IF(D671="","",INDEX('KG1-2'!$AD12:$IM12,MATCH(D671,'KG1-2'!$AD$5:$IM$5,0)))</f>
        <v/>
      </c>
      <c r="F671">
        <f>IF(D671="","",COUNTIFS('KG1-2'!$AD12:$IM12,"غياب بدون عذر",'KG1-2'!$AD$7:$IM$7,"✓",'KG1-2'!$AD$5:$IM$5,"&lt;="&amp;D671))</f>
        <v/>
      </c>
      <c r="G671">
        <f>G670+IF(D671="",0,1)</f>
        <v/>
      </c>
    </row>
    <row r="672">
      <c r="A672">
        <f>IF('KG1-2'!$B12="","",'KG1-2'!$B12)</f>
        <v/>
      </c>
      <c r="B672">
        <f>IF(A672="","",'KG1-2'!$C12)</f>
        <v/>
      </c>
      <c r="C672">
        <f>IF(A672="","",'KG1-2'!$B$2)</f>
        <v/>
      </c>
      <c r="D672" s="126">
        <f t="array" ref="D672">IF(A672="","",IFERROR(SMALL(IF((('KG1-2'!$AD12:$IM12="غياب بدون عذر")+('KG1-2'!$AD12:$IM12="غياب بعذر"))*('KG1-2'!$AD$7:$IM$7="✓"),'KG1-2'!$AD$5:$IM$5),11),""))</f>
        <v/>
      </c>
      <c r="E672">
        <f>IF(D672="","",INDEX('KG1-2'!$AD12:$IM12,MATCH(D672,'KG1-2'!$AD$5:$IM$5,0)))</f>
        <v/>
      </c>
      <c r="F672">
        <f>IF(D672="","",COUNTIFS('KG1-2'!$AD12:$IM12,"غياب بدون عذر",'KG1-2'!$AD$7:$IM$7,"✓",'KG1-2'!$AD$5:$IM$5,"&lt;="&amp;D672))</f>
        <v/>
      </c>
      <c r="G672">
        <f>G671+IF(D672="",0,1)</f>
        <v/>
      </c>
    </row>
    <row r="673">
      <c r="A673">
        <f>IF('KG1-2'!$B12="","",'KG1-2'!$B12)</f>
        <v/>
      </c>
      <c r="B673">
        <f>IF(A673="","",'KG1-2'!$C12)</f>
        <v/>
      </c>
      <c r="C673">
        <f>IF(A673="","",'KG1-2'!$B$2)</f>
        <v/>
      </c>
      <c r="D673" s="126">
        <f t="array" ref="D673">IF(A673="","",IFERROR(SMALL(IF((('KG1-2'!$AD12:$IM12="غياب بدون عذر")+('KG1-2'!$AD12:$IM12="غياب بعذر"))*('KG1-2'!$AD$7:$IM$7="✓"),'KG1-2'!$AD$5:$IM$5),12),""))</f>
        <v/>
      </c>
      <c r="E673">
        <f>IF(D673="","",INDEX('KG1-2'!$AD12:$IM12,MATCH(D673,'KG1-2'!$AD$5:$IM$5,0)))</f>
        <v/>
      </c>
      <c r="F673">
        <f>IF(D673="","",COUNTIFS('KG1-2'!$AD12:$IM12,"غياب بدون عذر",'KG1-2'!$AD$7:$IM$7,"✓",'KG1-2'!$AD$5:$IM$5,"&lt;="&amp;D673))</f>
        <v/>
      </c>
      <c r="G673">
        <f>G672+IF(D673="",0,1)</f>
        <v/>
      </c>
    </row>
    <row r="674">
      <c r="A674">
        <f>IF('KG1-2'!$B12="","",'KG1-2'!$B12)</f>
        <v/>
      </c>
      <c r="B674">
        <f>IF(A674="","",'KG1-2'!$C12)</f>
        <v/>
      </c>
      <c r="C674">
        <f>IF(A674="","",'KG1-2'!$B$2)</f>
        <v/>
      </c>
      <c r="D674" s="126">
        <f t="array" ref="D674">IF(A674="","",IFERROR(SMALL(IF((('KG1-2'!$AD12:$IM12="غياب بدون عذر")+('KG1-2'!$AD12:$IM12="غياب بعذر"))*('KG1-2'!$AD$7:$IM$7="✓"),'KG1-2'!$AD$5:$IM$5),13),""))</f>
        <v/>
      </c>
      <c r="E674">
        <f>IF(D674="","",INDEX('KG1-2'!$AD12:$IM12,MATCH(D674,'KG1-2'!$AD$5:$IM$5,0)))</f>
        <v/>
      </c>
      <c r="F674">
        <f>IF(D674="","",COUNTIFS('KG1-2'!$AD12:$IM12,"غياب بدون عذر",'KG1-2'!$AD$7:$IM$7,"✓",'KG1-2'!$AD$5:$IM$5,"&lt;="&amp;D674))</f>
        <v/>
      </c>
      <c r="G674">
        <f>G673+IF(D674="",0,1)</f>
        <v/>
      </c>
    </row>
    <row r="675">
      <c r="A675">
        <f>IF('KG1-2'!$B12="","",'KG1-2'!$B12)</f>
        <v/>
      </c>
      <c r="B675">
        <f>IF(A675="","",'KG1-2'!$C12)</f>
        <v/>
      </c>
      <c r="C675">
        <f>IF(A675="","",'KG1-2'!$B$2)</f>
        <v/>
      </c>
      <c r="D675" s="126">
        <f t="array" ref="D675">IF(A675="","",IFERROR(SMALL(IF((('KG1-2'!$AD12:$IM12="غياب بدون عذر")+('KG1-2'!$AD12:$IM12="غياب بعذر"))*('KG1-2'!$AD$7:$IM$7="✓"),'KG1-2'!$AD$5:$IM$5),14),""))</f>
        <v/>
      </c>
      <c r="E675">
        <f>IF(D675="","",INDEX('KG1-2'!$AD12:$IM12,MATCH(D675,'KG1-2'!$AD$5:$IM$5,0)))</f>
        <v/>
      </c>
      <c r="F675">
        <f>IF(D675="","",COUNTIFS('KG1-2'!$AD12:$IM12,"غياب بدون عذر",'KG1-2'!$AD$7:$IM$7,"✓",'KG1-2'!$AD$5:$IM$5,"&lt;="&amp;D675))</f>
        <v/>
      </c>
      <c r="G675">
        <f>G674+IF(D675="",0,1)</f>
        <v/>
      </c>
    </row>
    <row r="676">
      <c r="A676">
        <f>IF('KG1-2'!$B12="","",'KG1-2'!$B12)</f>
        <v/>
      </c>
      <c r="B676">
        <f>IF(A676="","",'KG1-2'!$C12)</f>
        <v/>
      </c>
      <c r="C676">
        <f>IF(A676="","",'KG1-2'!$B$2)</f>
        <v/>
      </c>
      <c r="D676" s="126">
        <f t="array" ref="D676">IF(A676="","",IFERROR(SMALL(IF((('KG1-2'!$AD12:$IM12="غياب بدون عذر")+('KG1-2'!$AD12:$IM12="غياب بعذر"))*('KG1-2'!$AD$7:$IM$7="✓"),'KG1-2'!$AD$5:$IM$5),15),""))</f>
        <v/>
      </c>
      <c r="E676">
        <f>IF(D676="","",INDEX('KG1-2'!$AD12:$IM12,MATCH(D676,'KG1-2'!$AD$5:$IM$5,0)))</f>
        <v/>
      </c>
      <c r="F676">
        <f>IF(D676="","",COUNTIFS('KG1-2'!$AD12:$IM12,"غياب بدون عذر",'KG1-2'!$AD$7:$IM$7,"✓",'KG1-2'!$AD$5:$IM$5,"&lt;="&amp;D676))</f>
        <v/>
      </c>
      <c r="G676">
        <f>G675+IF(D676="",0,1)</f>
        <v/>
      </c>
    </row>
    <row r="677">
      <c r="A677">
        <f>IF('KG1-2'!$B12="","",'KG1-2'!$B12)</f>
        <v/>
      </c>
      <c r="B677">
        <f>IF(A677="","",'KG1-2'!$C12)</f>
        <v/>
      </c>
      <c r="C677">
        <f>IF(A677="","",'KG1-2'!$B$2)</f>
        <v/>
      </c>
      <c r="D677" s="126">
        <f t="array" ref="D677">IF(A677="","",IFERROR(SMALL(IF((('KG1-2'!$AD12:$IM12="غياب بدون عذر")+('KG1-2'!$AD12:$IM12="غياب بعذر"))*('KG1-2'!$AD$7:$IM$7="✓"),'KG1-2'!$AD$5:$IM$5),16),""))</f>
        <v/>
      </c>
      <c r="E677">
        <f>IF(D677="","",INDEX('KG1-2'!$AD12:$IM12,MATCH(D677,'KG1-2'!$AD$5:$IM$5,0)))</f>
        <v/>
      </c>
      <c r="F677">
        <f>IF(D677="","",COUNTIFS('KG1-2'!$AD12:$IM12,"غياب بدون عذر",'KG1-2'!$AD$7:$IM$7,"✓",'KG1-2'!$AD$5:$IM$5,"&lt;="&amp;D677))</f>
        <v/>
      </c>
      <c r="G677">
        <f>G676+IF(D677="",0,1)</f>
        <v/>
      </c>
    </row>
    <row r="678">
      <c r="A678">
        <f>IF('KG1-2'!$B12="","",'KG1-2'!$B12)</f>
        <v/>
      </c>
      <c r="B678">
        <f>IF(A678="","",'KG1-2'!$C12)</f>
        <v/>
      </c>
      <c r="C678">
        <f>IF(A678="","",'KG1-2'!$B$2)</f>
        <v/>
      </c>
      <c r="D678" s="126">
        <f t="array" ref="D678">IF(A678="","",IFERROR(SMALL(IF((('KG1-2'!$AD12:$IM12="غياب بدون عذر")+('KG1-2'!$AD12:$IM12="غياب بعذر"))*('KG1-2'!$AD$7:$IM$7="✓"),'KG1-2'!$AD$5:$IM$5),17),""))</f>
        <v/>
      </c>
      <c r="E678">
        <f>IF(D678="","",INDEX('KG1-2'!$AD12:$IM12,MATCH(D678,'KG1-2'!$AD$5:$IM$5,0)))</f>
        <v/>
      </c>
      <c r="F678">
        <f>IF(D678="","",COUNTIFS('KG1-2'!$AD12:$IM12,"غياب بدون عذر",'KG1-2'!$AD$7:$IM$7,"✓",'KG1-2'!$AD$5:$IM$5,"&lt;="&amp;D678))</f>
        <v/>
      </c>
      <c r="G678">
        <f>G677+IF(D678="",0,1)</f>
        <v/>
      </c>
    </row>
    <row r="679">
      <c r="A679">
        <f>IF('KG1-2'!$B12="","",'KG1-2'!$B12)</f>
        <v/>
      </c>
      <c r="B679">
        <f>IF(A679="","",'KG1-2'!$C12)</f>
        <v/>
      </c>
      <c r="C679">
        <f>IF(A679="","",'KG1-2'!$B$2)</f>
        <v/>
      </c>
      <c r="D679" s="126">
        <f t="array" ref="D679">IF(A679="","",IFERROR(SMALL(IF((('KG1-2'!$AD12:$IM12="غياب بدون عذر")+('KG1-2'!$AD12:$IM12="غياب بعذر"))*('KG1-2'!$AD$7:$IM$7="✓"),'KG1-2'!$AD$5:$IM$5),18),""))</f>
        <v/>
      </c>
      <c r="E679">
        <f>IF(D679="","",INDEX('KG1-2'!$AD12:$IM12,MATCH(D679,'KG1-2'!$AD$5:$IM$5,0)))</f>
        <v/>
      </c>
      <c r="F679">
        <f>IF(D679="","",COUNTIFS('KG1-2'!$AD12:$IM12,"غياب بدون عذر",'KG1-2'!$AD$7:$IM$7,"✓",'KG1-2'!$AD$5:$IM$5,"&lt;="&amp;D679))</f>
        <v/>
      </c>
      <c r="G679">
        <f>G678+IF(D679="",0,1)</f>
        <v/>
      </c>
    </row>
    <row r="680">
      <c r="A680">
        <f>IF('KG1-2'!$B12="","",'KG1-2'!$B12)</f>
        <v/>
      </c>
      <c r="B680">
        <f>IF(A680="","",'KG1-2'!$C12)</f>
        <v/>
      </c>
      <c r="C680">
        <f>IF(A680="","",'KG1-2'!$B$2)</f>
        <v/>
      </c>
      <c r="D680" s="126">
        <f t="array" ref="D680">IF(A680="","",IFERROR(SMALL(IF((('KG1-2'!$AD12:$IM12="غياب بدون عذر")+('KG1-2'!$AD12:$IM12="غياب بعذر"))*('KG1-2'!$AD$7:$IM$7="✓"),'KG1-2'!$AD$5:$IM$5),19),""))</f>
        <v/>
      </c>
      <c r="E680">
        <f>IF(D680="","",INDEX('KG1-2'!$AD12:$IM12,MATCH(D680,'KG1-2'!$AD$5:$IM$5,0)))</f>
        <v/>
      </c>
      <c r="F680">
        <f>IF(D680="","",COUNTIFS('KG1-2'!$AD12:$IM12,"غياب بدون عذر",'KG1-2'!$AD$7:$IM$7,"✓",'KG1-2'!$AD$5:$IM$5,"&lt;="&amp;D680))</f>
        <v/>
      </c>
      <c r="G680">
        <f>G679+IF(D680="",0,1)</f>
        <v/>
      </c>
    </row>
    <row r="681">
      <c r="A681">
        <f>IF('KG1-2'!$B12="","",'KG1-2'!$B12)</f>
        <v/>
      </c>
      <c r="B681">
        <f>IF(A681="","",'KG1-2'!$C12)</f>
        <v/>
      </c>
      <c r="C681">
        <f>IF(A681="","",'KG1-2'!$B$2)</f>
        <v/>
      </c>
      <c r="D681" s="126">
        <f t="array" ref="D681">IF(A681="","",IFERROR(SMALL(IF((('KG1-2'!$AD12:$IM12="غياب بدون عذر")+('KG1-2'!$AD12:$IM12="غياب بعذر"))*('KG1-2'!$AD$7:$IM$7="✓"),'KG1-2'!$AD$5:$IM$5),20),""))</f>
        <v/>
      </c>
      <c r="E681">
        <f>IF(D681="","",INDEX('KG1-2'!$AD12:$IM12,MATCH(D681,'KG1-2'!$AD$5:$IM$5,0)))</f>
        <v/>
      </c>
      <c r="F681">
        <f>IF(D681="","",COUNTIFS('KG1-2'!$AD12:$IM12,"غياب بدون عذر",'KG1-2'!$AD$7:$IM$7,"✓",'KG1-2'!$AD$5:$IM$5,"&lt;="&amp;D681))</f>
        <v/>
      </c>
      <c r="G681">
        <f>G680+IF(D681="",0,1)</f>
        <v/>
      </c>
    </row>
    <row r="682">
      <c r="A682">
        <f>IF('KG1-2'!$B13="","",'KG1-2'!$B13)</f>
        <v/>
      </c>
      <c r="B682">
        <f>IF(A682="","",'KG1-2'!$C13)</f>
        <v/>
      </c>
      <c r="C682">
        <f>IF(A682="","",'KG1-2'!$B$2)</f>
        <v/>
      </c>
      <c r="D682" s="126">
        <f t="array" ref="D682">IF(A682="","",IFERROR(SMALL(IF((('KG1-2'!$AD13:$IM13="غياب بدون عذر")+('KG1-2'!$AD13:$IM13="غياب بعذر"))*('KG1-2'!$AD$7:$IM$7="✓"),'KG1-2'!$AD$5:$IM$5),1),""))</f>
        <v/>
      </c>
      <c r="E682">
        <f>IF(D682="","",INDEX('KG1-2'!$AD13:$IM13,MATCH(D682,'KG1-2'!$AD$5:$IM$5,0)))</f>
        <v/>
      </c>
      <c r="F682">
        <f>IF(D682="","",COUNTIFS('KG1-2'!$AD13:$IM13,"غياب بدون عذر",'KG1-2'!$AD$7:$IM$7,"✓",'KG1-2'!$AD$5:$IM$5,"&lt;="&amp;D682))</f>
        <v/>
      </c>
      <c r="G682">
        <f>G681+IF(D682="",0,1)</f>
        <v/>
      </c>
    </row>
    <row r="683">
      <c r="A683">
        <f>IF('KG1-2'!$B13="","",'KG1-2'!$B13)</f>
        <v/>
      </c>
      <c r="B683">
        <f>IF(A683="","",'KG1-2'!$C13)</f>
        <v/>
      </c>
      <c r="C683">
        <f>IF(A683="","",'KG1-2'!$B$2)</f>
        <v/>
      </c>
      <c r="D683" s="126">
        <f t="array" ref="D683">IF(A683="","",IFERROR(SMALL(IF((('KG1-2'!$AD13:$IM13="غياب بدون عذر")+('KG1-2'!$AD13:$IM13="غياب بعذر"))*('KG1-2'!$AD$7:$IM$7="✓"),'KG1-2'!$AD$5:$IM$5),2),""))</f>
        <v/>
      </c>
      <c r="E683">
        <f>IF(D683="","",INDEX('KG1-2'!$AD13:$IM13,MATCH(D683,'KG1-2'!$AD$5:$IM$5,0)))</f>
        <v/>
      </c>
      <c r="F683">
        <f>IF(D683="","",COUNTIFS('KG1-2'!$AD13:$IM13,"غياب بدون عذر",'KG1-2'!$AD$7:$IM$7,"✓",'KG1-2'!$AD$5:$IM$5,"&lt;="&amp;D683))</f>
        <v/>
      </c>
      <c r="G683">
        <f>G682+IF(D683="",0,1)</f>
        <v/>
      </c>
    </row>
    <row r="684">
      <c r="A684">
        <f>IF('KG1-2'!$B13="","",'KG1-2'!$B13)</f>
        <v/>
      </c>
      <c r="B684">
        <f>IF(A684="","",'KG1-2'!$C13)</f>
        <v/>
      </c>
      <c r="C684">
        <f>IF(A684="","",'KG1-2'!$B$2)</f>
        <v/>
      </c>
      <c r="D684" s="126">
        <f t="array" ref="D684">IF(A684="","",IFERROR(SMALL(IF((('KG1-2'!$AD13:$IM13="غياب بدون عذر")+('KG1-2'!$AD13:$IM13="غياب بعذر"))*('KG1-2'!$AD$7:$IM$7="✓"),'KG1-2'!$AD$5:$IM$5),3),""))</f>
        <v/>
      </c>
      <c r="E684">
        <f>IF(D684="","",INDEX('KG1-2'!$AD13:$IM13,MATCH(D684,'KG1-2'!$AD$5:$IM$5,0)))</f>
        <v/>
      </c>
      <c r="F684">
        <f>IF(D684="","",COUNTIFS('KG1-2'!$AD13:$IM13,"غياب بدون عذر",'KG1-2'!$AD$7:$IM$7,"✓",'KG1-2'!$AD$5:$IM$5,"&lt;="&amp;D684))</f>
        <v/>
      </c>
      <c r="G684">
        <f>G683+IF(D684="",0,1)</f>
        <v/>
      </c>
    </row>
    <row r="685">
      <c r="A685">
        <f>IF('KG1-2'!$B13="","",'KG1-2'!$B13)</f>
        <v/>
      </c>
      <c r="B685">
        <f>IF(A685="","",'KG1-2'!$C13)</f>
        <v/>
      </c>
      <c r="C685">
        <f>IF(A685="","",'KG1-2'!$B$2)</f>
        <v/>
      </c>
      <c r="D685" s="126">
        <f t="array" ref="D685">IF(A685="","",IFERROR(SMALL(IF((('KG1-2'!$AD13:$IM13="غياب بدون عذر")+('KG1-2'!$AD13:$IM13="غياب بعذر"))*('KG1-2'!$AD$7:$IM$7="✓"),'KG1-2'!$AD$5:$IM$5),4),""))</f>
        <v/>
      </c>
      <c r="E685">
        <f>IF(D685="","",INDEX('KG1-2'!$AD13:$IM13,MATCH(D685,'KG1-2'!$AD$5:$IM$5,0)))</f>
        <v/>
      </c>
      <c r="F685">
        <f>IF(D685="","",COUNTIFS('KG1-2'!$AD13:$IM13,"غياب بدون عذر",'KG1-2'!$AD$7:$IM$7,"✓",'KG1-2'!$AD$5:$IM$5,"&lt;="&amp;D685))</f>
        <v/>
      </c>
      <c r="G685">
        <f>G684+IF(D685="",0,1)</f>
        <v/>
      </c>
    </row>
    <row r="686">
      <c r="A686">
        <f>IF('KG1-2'!$B13="","",'KG1-2'!$B13)</f>
        <v/>
      </c>
      <c r="B686">
        <f>IF(A686="","",'KG1-2'!$C13)</f>
        <v/>
      </c>
      <c r="C686">
        <f>IF(A686="","",'KG1-2'!$B$2)</f>
        <v/>
      </c>
      <c r="D686" s="126">
        <f t="array" ref="D686">IF(A686="","",IFERROR(SMALL(IF((('KG1-2'!$AD13:$IM13="غياب بدون عذر")+('KG1-2'!$AD13:$IM13="غياب بعذر"))*('KG1-2'!$AD$7:$IM$7="✓"),'KG1-2'!$AD$5:$IM$5),5),""))</f>
        <v/>
      </c>
      <c r="E686">
        <f>IF(D686="","",INDEX('KG1-2'!$AD13:$IM13,MATCH(D686,'KG1-2'!$AD$5:$IM$5,0)))</f>
        <v/>
      </c>
      <c r="F686">
        <f>IF(D686="","",COUNTIFS('KG1-2'!$AD13:$IM13,"غياب بدون عذر",'KG1-2'!$AD$7:$IM$7,"✓",'KG1-2'!$AD$5:$IM$5,"&lt;="&amp;D686))</f>
        <v/>
      </c>
      <c r="G686">
        <f>G685+IF(D686="",0,1)</f>
        <v/>
      </c>
    </row>
    <row r="687">
      <c r="A687">
        <f>IF('KG1-2'!$B13="","",'KG1-2'!$B13)</f>
        <v/>
      </c>
      <c r="B687">
        <f>IF(A687="","",'KG1-2'!$C13)</f>
        <v/>
      </c>
      <c r="C687">
        <f>IF(A687="","",'KG1-2'!$B$2)</f>
        <v/>
      </c>
      <c r="D687" s="126">
        <f t="array" ref="D687">IF(A687="","",IFERROR(SMALL(IF((('KG1-2'!$AD13:$IM13="غياب بدون عذر")+('KG1-2'!$AD13:$IM13="غياب بعذر"))*('KG1-2'!$AD$7:$IM$7="✓"),'KG1-2'!$AD$5:$IM$5),6),""))</f>
        <v/>
      </c>
      <c r="E687">
        <f>IF(D687="","",INDEX('KG1-2'!$AD13:$IM13,MATCH(D687,'KG1-2'!$AD$5:$IM$5,0)))</f>
        <v/>
      </c>
      <c r="F687">
        <f>IF(D687="","",COUNTIFS('KG1-2'!$AD13:$IM13,"غياب بدون عذر",'KG1-2'!$AD$7:$IM$7,"✓",'KG1-2'!$AD$5:$IM$5,"&lt;="&amp;D687))</f>
        <v/>
      </c>
      <c r="G687">
        <f>G686+IF(D687="",0,1)</f>
        <v/>
      </c>
    </row>
    <row r="688">
      <c r="A688">
        <f>IF('KG1-2'!$B13="","",'KG1-2'!$B13)</f>
        <v/>
      </c>
      <c r="B688">
        <f>IF(A688="","",'KG1-2'!$C13)</f>
        <v/>
      </c>
      <c r="C688">
        <f>IF(A688="","",'KG1-2'!$B$2)</f>
        <v/>
      </c>
      <c r="D688" s="126">
        <f t="array" ref="D688">IF(A688="","",IFERROR(SMALL(IF((('KG1-2'!$AD13:$IM13="غياب بدون عذر")+('KG1-2'!$AD13:$IM13="غياب بعذر"))*('KG1-2'!$AD$7:$IM$7="✓"),'KG1-2'!$AD$5:$IM$5),7),""))</f>
        <v/>
      </c>
      <c r="E688">
        <f>IF(D688="","",INDEX('KG1-2'!$AD13:$IM13,MATCH(D688,'KG1-2'!$AD$5:$IM$5,0)))</f>
        <v/>
      </c>
      <c r="F688">
        <f>IF(D688="","",COUNTIFS('KG1-2'!$AD13:$IM13,"غياب بدون عذر",'KG1-2'!$AD$7:$IM$7,"✓",'KG1-2'!$AD$5:$IM$5,"&lt;="&amp;D688))</f>
        <v/>
      </c>
      <c r="G688">
        <f>G687+IF(D688="",0,1)</f>
        <v/>
      </c>
    </row>
    <row r="689">
      <c r="A689">
        <f>IF('KG1-2'!$B13="","",'KG1-2'!$B13)</f>
        <v/>
      </c>
      <c r="B689">
        <f>IF(A689="","",'KG1-2'!$C13)</f>
        <v/>
      </c>
      <c r="C689">
        <f>IF(A689="","",'KG1-2'!$B$2)</f>
        <v/>
      </c>
      <c r="D689" s="126">
        <f t="array" ref="D689">IF(A689="","",IFERROR(SMALL(IF((('KG1-2'!$AD13:$IM13="غياب بدون عذر")+('KG1-2'!$AD13:$IM13="غياب بعذر"))*('KG1-2'!$AD$7:$IM$7="✓"),'KG1-2'!$AD$5:$IM$5),8),""))</f>
        <v/>
      </c>
      <c r="E689">
        <f>IF(D689="","",INDEX('KG1-2'!$AD13:$IM13,MATCH(D689,'KG1-2'!$AD$5:$IM$5,0)))</f>
        <v/>
      </c>
      <c r="F689">
        <f>IF(D689="","",COUNTIFS('KG1-2'!$AD13:$IM13,"غياب بدون عذر",'KG1-2'!$AD$7:$IM$7,"✓",'KG1-2'!$AD$5:$IM$5,"&lt;="&amp;D689))</f>
        <v/>
      </c>
      <c r="G689">
        <f>G688+IF(D689="",0,1)</f>
        <v/>
      </c>
    </row>
    <row r="690">
      <c r="A690">
        <f>IF('KG1-2'!$B13="","",'KG1-2'!$B13)</f>
        <v/>
      </c>
      <c r="B690">
        <f>IF(A690="","",'KG1-2'!$C13)</f>
        <v/>
      </c>
      <c r="C690">
        <f>IF(A690="","",'KG1-2'!$B$2)</f>
        <v/>
      </c>
      <c r="D690" s="126">
        <f t="array" ref="D690">IF(A690="","",IFERROR(SMALL(IF((('KG1-2'!$AD13:$IM13="غياب بدون عذر")+('KG1-2'!$AD13:$IM13="غياب بعذر"))*('KG1-2'!$AD$7:$IM$7="✓"),'KG1-2'!$AD$5:$IM$5),9),""))</f>
        <v/>
      </c>
      <c r="E690">
        <f>IF(D690="","",INDEX('KG1-2'!$AD13:$IM13,MATCH(D690,'KG1-2'!$AD$5:$IM$5,0)))</f>
        <v/>
      </c>
      <c r="F690">
        <f>IF(D690="","",COUNTIFS('KG1-2'!$AD13:$IM13,"غياب بدون عذر",'KG1-2'!$AD$7:$IM$7,"✓",'KG1-2'!$AD$5:$IM$5,"&lt;="&amp;D690))</f>
        <v/>
      </c>
      <c r="G690">
        <f>G689+IF(D690="",0,1)</f>
        <v/>
      </c>
    </row>
    <row r="691">
      <c r="A691">
        <f>IF('KG1-2'!$B13="","",'KG1-2'!$B13)</f>
        <v/>
      </c>
      <c r="B691">
        <f>IF(A691="","",'KG1-2'!$C13)</f>
        <v/>
      </c>
      <c r="C691">
        <f>IF(A691="","",'KG1-2'!$B$2)</f>
        <v/>
      </c>
      <c r="D691" s="126">
        <f t="array" ref="D691">IF(A691="","",IFERROR(SMALL(IF((('KG1-2'!$AD13:$IM13="غياب بدون عذر")+('KG1-2'!$AD13:$IM13="غياب بعذر"))*('KG1-2'!$AD$7:$IM$7="✓"),'KG1-2'!$AD$5:$IM$5),10),""))</f>
        <v/>
      </c>
      <c r="E691">
        <f>IF(D691="","",INDEX('KG1-2'!$AD13:$IM13,MATCH(D691,'KG1-2'!$AD$5:$IM$5,0)))</f>
        <v/>
      </c>
      <c r="F691">
        <f>IF(D691="","",COUNTIFS('KG1-2'!$AD13:$IM13,"غياب بدون عذر",'KG1-2'!$AD$7:$IM$7,"✓",'KG1-2'!$AD$5:$IM$5,"&lt;="&amp;D691))</f>
        <v/>
      </c>
      <c r="G691">
        <f>G690+IF(D691="",0,1)</f>
        <v/>
      </c>
    </row>
    <row r="692">
      <c r="A692">
        <f>IF('KG1-2'!$B13="","",'KG1-2'!$B13)</f>
        <v/>
      </c>
      <c r="B692">
        <f>IF(A692="","",'KG1-2'!$C13)</f>
        <v/>
      </c>
      <c r="C692">
        <f>IF(A692="","",'KG1-2'!$B$2)</f>
        <v/>
      </c>
      <c r="D692" s="126">
        <f t="array" ref="D692">IF(A692="","",IFERROR(SMALL(IF((('KG1-2'!$AD13:$IM13="غياب بدون عذر")+('KG1-2'!$AD13:$IM13="غياب بعذر"))*('KG1-2'!$AD$7:$IM$7="✓"),'KG1-2'!$AD$5:$IM$5),11),""))</f>
        <v/>
      </c>
      <c r="E692">
        <f>IF(D692="","",INDEX('KG1-2'!$AD13:$IM13,MATCH(D692,'KG1-2'!$AD$5:$IM$5,0)))</f>
        <v/>
      </c>
      <c r="F692">
        <f>IF(D692="","",COUNTIFS('KG1-2'!$AD13:$IM13,"غياب بدون عذر",'KG1-2'!$AD$7:$IM$7,"✓",'KG1-2'!$AD$5:$IM$5,"&lt;="&amp;D692))</f>
        <v/>
      </c>
      <c r="G692">
        <f>G691+IF(D692="",0,1)</f>
        <v/>
      </c>
    </row>
    <row r="693">
      <c r="A693">
        <f>IF('KG1-2'!$B13="","",'KG1-2'!$B13)</f>
        <v/>
      </c>
      <c r="B693">
        <f>IF(A693="","",'KG1-2'!$C13)</f>
        <v/>
      </c>
      <c r="C693">
        <f>IF(A693="","",'KG1-2'!$B$2)</f>
        <v/>
      </c>
      <c r="D693" s="126">
        <f t="array" ref="D693">IF(A693="","",IFERROR(SMALL(IF((('KG1-2'!$AD13:$IM13="غياب بدون عذر")+('KG1-2'!$AD13:$IM13="غياب بعذر"))*('KG1-2'!$AD$7:$IM$7="✓"),'KG1-2'!$AD$5:$IM$5),12),""))</f>
        <v/>
      </c>
      <c r="E693">
        <f>IF(D693="","",INDEX('KG1-2'!$AD13:$IM13,MATCH(D693,'KG1-2'!$AD$5:$IM$5,0)))</f>
        <v/>
      </c>
      <c r="F693">
        <f>IF(D693="","",COUNTIFS('KG1-2'!$AD13:$IM13,"غياب بدون عذر",'KG1-2'!$AD$7:$IM$7,"✓",'KG1-2'!$AD$5:$IM$5,"&lt;="&amp;D693))</f>
        <v/>
      </c>
      <c r="G693">
        <f>G692+IF(D693="",0,1)</f>
        <v/>
      </c>
    </row>
    <row r="694">
      <c r="A694">
        <f>IF('KG1-2'!$B13="","",'KG1-2'!$B13)</f>
        <v/>
      </c>
      <c r="B694">
        <f>IF(A694="","",'KG1-2'!$C13)</f>
        <v/>
      </c>
      <c r="C694">
        <f>IF(A694="","",'KG1-2'!$B$2)</f>
        <v/>
      </c>
      <c r="D694" s="126">
        <f t="array" ref="D694">IF(A694="","",IFERROR(SMALL(IF((('KG1-2'!$AD13:$IM13="غياب بدون عذر")+('KG1-2'!$AD13:$IM13="غياب بعذر"))*('KG1-2'!$AD$7:$IM$7="✓"),'KG1-2'!$AD$5:$IM$5),13),""))</f>
        <v/>
      </c>
      <c r="E694">
        <f>IF(D694="","",INDEX('KG1-2'!$AD13:$IM13,MATCH(D694,'KG1-2'!$AD$5:$IM$5,0)))</f>
        <v/>
      </c>
      <c r="F694">
        <f>IF(D694="","",COUNTIFS('KG1-2'!$AD13:$IM13,"غياب بدون عذر",'KG1-2'!$AD$7:$IM$7,"✓",'KG1-2'!$AD$5:$IM$5,"&lt;="&amp;D694))</f>
        <v/>
      </c>
      <c r="G694">
        <f>G693+IF(D694="",0,1)</f>
        <v/>
      </c>
    </row>
    <row r="695">
      <c r="A695">
        <f>IF('KG1-2'!$B13="","",'KG1-2'!$B13)</f>
        <v/>
      </c>
      <c r="B695">
        <f>IF(A695="","",'KG1-2'!$C13)</f>
        <v/>
      </c>
      <c r="C695">
        <f>IF(A695="","",'KG1-2'!$B$2)</f>
        <v/>
      </c>
      <c r="D695" s="126">
        <f t="array" ref="D695">IF(A695="","",IFERROR(SMALL(IF((('KG1-2'!$AD13:$IM13="غياب بدون عذر")+('KG1-2'!$AD13:$IM13="غياب بعذر"))*('KG1-2'!$AD$7:$IM$7="✓"),'KG1-2'!$AD$5:$IM$5),14),""))</f>
        <v/>
      </c>
      <c r="E695">
        <f>IF(D695="","",INDEX('KG1-2'!$AD13:$IM13,MATCH(D695,'KG1-2'!$AD$5:$IM$5,0)))</f>
        <v/>
      </c>
      <c r="F695">
        <f>IF(D695="","",COUNTIFS('KG1-2'!$AD13:$IM13,"غياب بدون عذر",'KG1-2'!$AD$7:$IM$7,"✓",'KG1-2'!$AD$5:$IM$5,"&lt;="&amp;D695))</f>
        <v/>
      </c>
      <c r="G695">
        <f>G694+IF(D695="",0,1)</f>
        <v/>
      </c>
    </row>
    <row r="696">
      <c r="A696">
        <f>IF('KG1-2'!$B13="","",'KG1-2'!$B13)</f>
        <v/>
      </c>
      <c r="B696">
        <f>IF(A696="","",'KG1-2'!$C13)</f>
        <v/>
      </c>
      <c r="C696">
        <f>IF(A696="","",'KG1-2'!$B$2)</f>
        <v/>
      </c>
      <c r="D696" s="126">
        <f t="array" ref="D696">IF(A696="","",IFERROR(SMALL(IF((('KG1-2'!$AD13:$IM13="غياب بدون عذر")+('KG1-2'!$AD13:$IM13="غياب بعذر"))*('KG1-2'!$AD$7:$IM$7="✓"),'KG1-2'!$AD$5:$IM$5),15),""))</f>
        <v/>
      </c>
      <c r="E696">
        <f>IF(D696="","",INDEX('KG1-2'!$AD13:$IM13,MATCH(D696,'KG1-2'!$AD$5:$IM$5,0)))</f>
        <v/>
      </c>
      <c r="F696">
        <f>IF(D696="","",COUNTIFS('KG1-2'!$AD13:$IM13,"غياب بدون عذر",'KG1-2'!$AD$7:$IM$7,"✓",'KG1-2'!$AD$5:$IM$5,"&lt;="&amp;D696))</f>
        <v/>
      </c>
      <c r="G696">
        <f>G695+IF(D696="",0,1)</f>
        <v/>
      </c>
    </row>
    <row r="697">
      <c r="A697">
        <f>IF('KG1-2'!$B13="","",'KG1-2'!$B13)</f>
        <v/>
      </c>
      <c r="B697">
        <f>IF(A697="","",'KG1-2'!$C13)</f>
        <v/>
      </c>
      <c r="C697">
        <f>IF(A697="","",'KG1-2'!$B$2)</f>
        <v/>
      </c>
      <c r="D697" s="126">
        <f t="array" ref="D697">IF(A697="","",IFERROR(SMALL(IF((('KG1-2'!$AD13:$IM13="غياب بدون عذر")+('KG1-2'!$AD13:$IM13="غياب بعذر"))*('KG1-2'!$AD$7:$IM$7="✓"),'KG1-2'!$AD$5:$IM$5),16),""))</f>
        <v/>
      </c>
      <c r="E697">
        <f>IF(D697="","",INDEX('KG1-2'!$AD13:$IM13,MATCH(D697,'KG1-2'!$AD$5:$IM$5,0)))</f>
        <v/>
      </c>
      <c r="F697">
        <f>IF(D697="","",COUNTIFS('KG1-2'!$AD13:$IM13,"غياب بدون عذر",'KG1-2'!$AD$7:$IM$7,"✓",'KG1-2'!$AD$5:$IM$5,"&lt;="&amp;D697))</f>
        <v/>
      </c>
      <c r="G697">
        <f>G696+IF(D697="",0,1)</f>
        <v/>
      </c>
    </row>
    <row r="698">
      <c r="A698">
        <f>IF('KG1-2'!$B13="","",'KG1-2'!$B13)</f>
        <v/>
      </c>
      <c r="B698">
        <f>IF(A698="","",'KG1-2'!$C13)</f>
        <v/>
      </c>
      <c r="C698">
        <f>IF(A698="","",'KG1-2'!$B$2)</f>
        <v/>
      </c>
      <c r="D698" s="126">
        <f t="array" ref="D698">IF(A698="","",IFERROR(SMALL(IF((('KG1-2'!$AD13:$IM13="غياب بدون عذر")+('KG1-2'!$AD13:$IM13="غياب بعذر"))*('KG1-2'!$AD$7:$IM$7="✓"),'KG1-2'!$AD$5:$IM$5),17),""))</f>
        <v/>
      </c>
      <c r="E698">
        <f>IF(D698="","",INDEX('KG1-2'!$AD13:$IM13,MATCH(D698,'KG1-2'!$AD$5:$IM$5,0)))</f>
        <v/>
      </c>
      <c r="F698">
        <f>IF(D698="","",COUNTIFS('KG1-2'!$AD13:$IM13,"غياب بدون عذر",'KG1-2'!$AD$7:$IM$7,"✓",'KG1-2'!$AD$5:$IM$5,"&lt;="&amp;D698))</f>
        <v/>
      </c>
      <c r="G698">
        <f>G697+IF(D698="",0,1)</f>
        <v/>
      </c>
    </row>
    <row r="699">
      <c r="A699">
        <f>IF('KG1-2'!$B13="","",'KG1-2'!$B13)</f>
        <v/>
      </c>
      <c r="B699">
        <f>IF(A699="","",'KG1-2'!$C13)</f>
        <v/>
      </c>
      <c r="C699">
        <f>IF(A699="","",'KG1-2'!$B$2)</f>
        <v/>
      </c>
      <c r="D699" s="126">
        <f t="array" ref="D699">IF(A699="","",IFERROR(SMALL(IF((('KG1-2'!$AD13:$IM13="غياب بدون عذر")+('KG1-2'!$AD13:$IM13="غياب بعذر"))*('KG1-2'!$AD$7:$IM$7="✓"),'KG1-2'!$AD$5:$IM$5),18),""))</f>
        <v/>
      </c>
      <c r="E699">
        <f>IF(D699="","",INDEX('KG1-2'!$AD13:$IM13,MATCH(D699,'KG1-2'!$AD$5:$IM$5,0)))</f>
        <v/>
      </c>
      <c r="F699">
        <f>IF(D699="","",COUNTIFS('KG1-2'!$AD13:$IM13,"غياب بدون عذر",'KG1-2'!$AD$7:$IM$7,"✓",'KG1-2'!$AD$5:$IM$5,"&lt;="&amp;D699))</f>
        <v/>
      </c>
      <c r="G699">
        <f>G698+IF(D699="",0,1)</f>
        <v/>
      </c>
    </row>
    <row r="700">
      <c r="A700">
        <f>IF('KG1-2'!$B13="","",'KG1-2'!$B13)</f>
        <v/>
      </c>
      <c r="B700">
        <f>IF(A700="","",'KG1-2'!$C13)</f>
        <v/>
      </c>
      <c r="C700">
        <f>IF(A700="","",'KG1-2'!$B$2)</f>
        <v/>
      </c>
      <c r="D700" s="126">
        <f t="array" ref="D700">IF(A700="","",IFERROR(SMALL(IF((('KG1-2'!$AD13:$IM13="غياب بدون عذر")+('KG1-2'!$AD13:$IM13="غياب بعذر"))*('KG1-2'!$AD$7:$IM$7="✓"),'KG1-2'!$AD$5:$IM$5),19),""))</f>
        <v/>
      </c>
      <c r="E700">
        <f>IF(D700="","",INDEX('KG1-2'!$AD13:$IM13,MATCH(D700,'KG1-2'!$AD$5:$IM$5,0)))</f>
        <v/>
      </c>
      <c r="F700">
        <f>IF(D700="","",COUNTIFS('KG1-2'!$AD13:$IM13,"غياب بدون عذر",'KG1-2'!$AD$7:$IM$7,"✓",'KG1-2'!$AD$5:$IM$5,"&lt;="&amp;D700))</f>
        <v/>
      </c>
      <c r="G700">
        <f>G699+IF(D700="",0,1)</f>
        <v/>
      </c>
    </row>
    <row r="701">
      <c r="A701">
        <f>IF('KG1-2'!$B13="","",'KG1-2'!$B13)</f>
        <v/>
      </c>
      <c r="B701">
        <f>IF(A701="","",'KG1-2'!$C13)</f>
        <v/>
      </c>
      <c r="C701">
        <f>IF(A701="","",'KG1-2'!$B$2)</f>
        <v/>
      </c>
      <c r="D701" s="126">
        <f t="array" ref="D701">IF(A701="","",IFERROR(SMALL(IF((('KG1-2'!$AD13:$IM13="غياب بدون عذر")+('KG1-2'!$AD13:$IM13="غياب بعذر"))*('KG1-2'!$AD$7:$IM$7="✓"),'KG1-2'!$AD$5:$IM$5),20),""))</f>
        <v/>
      </c>
      <c r="E701">
        <f>IF(D701="","",INDEX('KG1-2'!$AD13:$IM13,MATCH(D701,'KG1-2'!$AD$5:$IM$5,0)))</f>
        <v/>
      </c>
      <c r="F701">
        <f>IF(D701="","",COUNTIFS('KG1-2'!$AD13:$IM13,"غياب بدون عذر",'KG1-2'!$AD$7:$IM$7,"✓",'KG1-2'!$AD$5:$IM$5,"&lt;="&amp;D701))</f>
        <v/>
      </c>
      <c r="G701">
        <f>G700+IF(D701="",0,1)</f>
        <v/>
      </c>
    </row>
    <row r="702">
      <c r="A702">
        <f>IF('KG1-2'!$B14="","",'KG1-2'!$B14)</f>
        <v/>
      </c>
      <c r="B702">
        <f>IF(A702="","",'KG1-2'!$C14)</f>
        <v/>
      </c>
      <c r="C702">
        <f>IF(A702="","",'KG1-2'!$B$2)</f>
        <v/>
      </c>
      <c r="D702" s="126">
        <f t="array" ref="D702">IF(A702="","",IFERROR(SMALL(IF((('KG1-2'!$AD14:$IM14="غياب بدون عذر")+('KG1-2'!$AD14:$IM14="غياب بعذر"))*('KG1-2'!$AD$7:$IM$7="✓"),'KG1-2'!$AD$5:$IM$5),1),""))</f>
        <v/>
      </c>
      <c r="E702">
        <f>IF(D702="","",INDEX('KG1-2'!$AD14:$IM14,MATCH(D702,'KG1-2'!$AD$5:$IM$5,0)))</f>
        <v/>
      </c>
      <c r="F702">
        <f>IF(D702="","",COUNTIFS('KG1-2'!$AD14:$IM14,"غياب بدون عذر",'KG1-2'!$AD$7:$IM$7,"✓",'KG1-2'!$AD$5:$IM$5,"&lt;="&amp;D702))</f>
        <v/>
      </c>
      <c r="G702">
        <f>G701+IF(D702="",0,1)</f>
        <v/>
      </c>
    </row>
    <row r="703">
      <c r="A703">
        <f>IF('KG1-2'!$B14="","",'KG1-2'!$B14)</f>
        <v/>
      </c>
      <c r="B703">
        <f>IF(A703="","",'KG1-2'!$C14)</f>
        <v/>
      </c>
      <c r="C703">
        <f>IF(A703="","",'KG1-2'!$B$2)</f>
        <v/>
      </c>
      <c r="D703" s="126">
        <f t="array" ref="D703">IF(A703="","",IFERROR(SMALL(IF((('KG1-2'!$AD14:$IM14="غياب بدون عذر")+('KG1-2'!$AD14:$IM14="غياب بعذر"))*('KG1-2'!$AD$7:$IM$7="✓"),'KG1-2'!$AD$5:$IM$5),2),""))</f>
        <v/>
      </c>
      <c r="E703">
        <f>IF(D703="","",INDEX('KG1-2'!$AD14:$IM14,MATCH(D703,'KG1-2'!$AD$5:$IM$5,0)))</f>
        <v/>
      </c>
      <c r="F703">
        <f>IF(D703="","",COUNTIFS('KG1-2'!$AD14:$IM14,"غياب بدون عذر",'KG1-2'!$AD$7:$IM$7,"✓",'KG1-2'!$AD$5:$IM$5,"&lt;="&amp;D703))</f>
        <v/>
      </c>
      <c r="G703">
        <f>G702+IF(D703="",0,1)</f>
        <v/>
      </c>
    </row>
    <row r="704">
      <c r="A704">
        <f>IF('KG1-2'!$B14="","",'KG1-2'!$B14)</f>
        <v/>
      </c>
      <c r="B704">
        <f>IF(A704="","",'KG1-2'!$C14)</f>
        <v/>
      </c>
      <c r="C704">
        <f>IF(A704="","",'KG1-2'!$B$2)</f>
        <v/>
      </c>
      <c r="D704" s="126">
        <f t="array" ref="D704">IF(A704="","",IFERROR(SMALL(IF((('KG1-2'!$AD14:$IM14="غياب بدون عذر")+('KG1-2'!$AD14:$IM14="غياب بعذر"))*('KG1-2'!$AD$7:$IM$7="✓"),'KG1-2'!$AD$5:$IM$5),3),""))</f>
        <v/>
      </c>
      <c r="E704">
        <f>IF(D704="","",INDEX('KG1-2'!$AD14:$IM14,MATCH(D704,'KG1-2'!$AD$5:$IM$5,0)))</f>
        <v/>
      </c>
      <c r="F704">
        <f>IF(D704="","",COUNTIFS('KG1-2'!$AD14:$IM14,"غياب بدون عذر",'KG1-2'!$AD$7:$IM$7,"✓",'KG1-2'!$AD$5:$IM$5,"&lt;="&amp;D704))</f>
        <v/>
      </c>
      <c r="G704">
        <f>G703+IF(D704="",0,1)</f>
        <v/>
      </c>
    </row>
    <row r="705">
      <c r="A705">
        <f>IF('KG1-2'!$B14="","",'KG1-2'!$B14)</f>
        <v/>
      </c>
      <c r="B705">
        <f>IF(A705="","",'KG1-2'!$C14)</f>
        <v/>
      </c>
      <c r="C705">
        <f>IF(A705="","",'KG1-2'!$B$2)</f>
        <v/>
      </c>
      <c r="D705" s="126">
        <f t="array" ref="D705">IF(A705="","",IFERROR(SMALL(IF((('KG1-2'!$AD14:$IM14="غياب بدون عذر")+('KG1-2'!$AD14:$IM14="غياب بعذر"))*('KG1-2'!$AD$7:$IM$7="✓"),'KG1-2'!$AD$5:$IM$5),4),""))</f>
        <v/>
      </c>
      <c r="E705">
        <f>IF(D705="","",INDEX('KG1-2'!$AD14:$IM14,MATCH(D705,'KG1-2'!$AD$5:$IM$5,0)))</f>
        <v/>
      </c>
      <c r="F705">
        <f>IF(D705="","",COUNTIFS('KG1-2'!$AD14:$IM14,"غياب بدون عذر",'KG1-2'!$AD$7:$IM$7,"✓",'KG1-2'!$AD$5:$IM$5,"&lt;="&amp;D705))</f>
        <v/>
      </c>
      <c r="G705">
        <f>G704+IF(D705="",0,1)</f>
        <v/>
      </c>
    </row>
    <row r="706">
      <c r="A706">
        <f>IF('KG1-2'!$B14="","",'KG1-2'!$B14)</f>
        <v/>
      </c>
      <c r="B706">
        <f>IF(A706="","",'KG1-2'!$C14)</f>
        <v/>
      </c>
      <c r="C706">
        <f>IF(A706="","",'KG1-2'!$B$2)</f>
        <v/>
      </c>
      <c r="D706" s="126">
        <f t="array" ref="D706">IF(A706="","",IFERROR(SMALL(IF((('KG1-2'!$AD14:$IM14="غياب بدون عذر")+('KG1-2'!$AD14:$IM14="غياب بعذر"))*('KG1-2'!$AD$7:$IM$7="✓"),'KG1-2'!$AD$5:$IM$5),5),""))</f>
        <v/>
      </c>
      <c r="E706">
        <f>IF(D706="","",INDEX('KG1-2'!$AD14:$IM14,MATCH(D706,'KG1-2'!$AD$5:$IM$5,0)))</f>
        <v/>
      </c>
      <c r="F706">
        <f>IF(D706="","",COUNTIFS('KG1-2'!$AD14:$IM14,"غياب بدون عذر",'KG1-2'!$AD$7:$IM$7,"✓",'KG1-2'!$AD$5:$IM$5,"&lt;="&amp;D706))</f>
        <v/>
      </c>
      <c r="G706">
        <f>G705+IF(D706="",0,1)</f>
        <v/>
      </c>
    </row>
    <row r="707">
      <c r="A707">
        <f>IF('KG1-2'!$B14="","",'KG1-2'!$B14)</f>
        <v/>
      </c>
      <c r="B707">
        <f>IF(A707="","",'KG1-2'!$C14)</f>
        <v/>
      </c>
      <c r="C707">
        <f>IF(A707="","",'KG1-2'!$B$2)</f>
        <v/>
      </c>
      <c r="D707" s="126">
        <f t="array" ref="D707">IF(A707="","",IFERROR(SMALL(IF((('KG1-2'!$AD14:$IM14="غياب بدون عذر")+('KG1-2'!$AD14:$IM14="غياب بعذر"))*('KG1-2'!$AD$7:$IM$7="✓"),'KG1-2'!$AD$5:$IM$5),6),""))</f>
        <v/>
      </c>
      <c r="E707">
        <f>IF(D707="","",INDEX('KG1-2'!$AD14:$IM14,MATCH(D707,'KG1-2'!$AD$5:$IM$5,0)))</f>
        <v/>
      </c>
      <c r="F707">
        <f>IF(D707="","",COUNTIFS('KG1-2'!$AD14:$IM14,"غياب بدون عذر",'KG1-2'!$AD$7:$IM$7,"✓",'KG1-2'!$AD$5:$IM$5,"&lt;="&amp;D707))</f>
        <v/>
      </c>
      <c r="G707">
        <f>G706+IF(D707="",0,1)</f>
        <v/>
      </c>
    </row>
    <row r="708">
      <c r="A708">
        <f>IF('KG1-2'!$B14="","",'KG1-2'!$B14)</f>
        <v/>
      </c>
      <c r="B708">
        <f>IF(A708="","",'KG1-2'!$C14)</f>
        <v/>
      </c>
      <c r="C708">
        <f>IF(A708="","",'KG1-2'!$B$2)</f>
        <v/>
      </c>
      <c r="D708" s="126">
        <f t="array" ref="D708">IF(A708="","",IFERROR(SMALL(IF((('KG1-2'!$AD14:$IM14="غياب بدون عذر")+('KG1-2'!$AD14:$IM14="غياب بعذر"))*('KG1-2'!$AD$7:$IM$7="✓"),'KG1-2'!$AD$5:$IM$5),7),""))</f>
        <v/>
      </c>
      <c r="E708">
        <f>IF(D708="","",INDEX('KG1-2'!$AD14:$IM14,MATCH(D708,'KG1-2'!$AD$5:$IM$5,0)))</f>
        <v/>
      </c>
      <c r="F708">
        <f>IF(D708="","",COUNTIFS('KG1-2'!$AD14:$IM14,"غياب بدون عذر",'KG1-2'!$AD$7:$IM$7,"✓",'KG1-2'!$AD$5:$IM$5,"&lt;="&amp;D708))</f>
        <v/>
      </c>
      <c r="G708">
        <f>G707+IF(D708="",0,1)</f>
        <v/>
      </c>
    </row>
    <row r="709">
      <c r="A709">
        <f>IF('KG1-2'!$B14="","",'KG1-2'!$B14)</f>
        <v/>
      </c>
      <c r="B709">
        <f>IF(A709="","",'KG1-2'!$C14)</f>
        <v/>
      </c>
      <c r="C709">
        <f>IF(A709="","",'KG1-2'!$B$2)</f>
        <v/>
      </c>
      <c r="D709" s="126">
        <f t="array" ref="D709">IF(A709="","",IFERROR(SMALL(IF((('KG1-2'!$AD14:$IM14="غياب بدون عذر")+('KG1-2'!$AD14:$IM14="غياب بعذر"))*('KG1-2'!$AD$7:$IM$7="✓"),'KG1-2'!$AD$5:$IM$5),8),""))</f>
        <v/>
      </c>
      <c r="E709">
        <f>IF(D709="","",INDEX('KG1-2'!$AD14:$IM14,MATCH(D709,'KG1-2'!$AD$5:$IM$5,0)))</f>
        <v/>
      </c>
      <c r="F709">
        <f>IF(D709="","",COUNTIFS('KG1-2'!$AD14:$IM14,"غياب بدون عذر",'KG1-2'!$AD$7:$IM$7,"✓",'KG1-2'!$AD$5:$IM$5,"&lt;="&amp;D709))</f>
        <v/>
      </c>
      <c r="G709">
        <f>G708+IF(D709="",0,1)</f>
        <v/>
      </c>
    </row>
    <row r="710">
      <c r="A710">
        <f>IF('KG1-2'!$B14="","",'KG1-2'!$B14)</f>
        <v/>
      </c>
      <c r="B710">
        <f>IF(A710="","",'KG1-2'!$C14)</f>
        <v/>
      </c>
      <c r="C710">
        <f>IF(A710="","",'KG1-2'!$B$2)</f>
        <v/>
      </c>
      <c r="D710" s="126">
        <f t="array" ref="D710">IF(A710="","",IFERROR(SMALL(IF((('KG1-2'!$AD14:$IM14="غياب بدون عذر")+('KG1-2'!$AD14:$IM14="غياب بعذر"))*('KG1-2'!$AD$7:$IM$7="✓"),'KG1-2'!$AD$5:$IM$5),9),""))</f>
        <v/>
      </c>
      <c r="E710">
        <f>IF(D710="","",INDEX('KG1-2'!$AD14:$IM14,MATCH(D710,'KG1-2'!$AD$5:$IM$5,0)))</f>
        <v/>
      </c>
      <c r="F710">
        <f>IF(D710="","",COUNTIFS('KG1-2'!$AD14:$IM14,"غياب بدون عذر",'KG1-2'!$AD$7:$IM$7,"✓",'KG1-2'!$AD$5:$IM$5,"&lt;="&amp;D710))</f>
        <v/>
      </c>
      <c r="G710">
        <f>G709+IF(D710="",0,1)</f>
        <v/>
      </c>
    </row>
    <row r="711">
      <c r="A711">
        <f>IF('KG1-2'!$B14="","",'KG1-2'!$B14)</f>
        <v/>
      </c>
      <c r="B711">
        <f>IF(A711="","",'KG1-2'!$C14)</f>
        <v/>
      </c>
      <c r="C711">
        <f>IF(A711="","",'KG1-2'!$B$2)</f>
        <v/>
      </c>
      <c r="D711" s="126">
        <f t="array" ref="D711">IF(A711="","",IFERROR(SMALL(IF((('KG1-2'!$AD14:$IM14="غياب بدون عذر")+('KG1-2'!$AD14:$IM14="غياب بعذر"))*('KG1-2'!$AD$7:$IM$7="✓"),'KG1-2'!$AD$5:$IM$5),10),""))</f>
        <v/>
      </c>
      <c r="E711">
        <f>IF(D711="","",INDEX('KG1-2'!$AD14:$IM14,MATCH(D711,'KG1-2'!$AD$5:$IM$5,0)))</f>
        <v/>
      </c>
      <c r="F711">
        <f>IF(D711="","",COUNTIFS('KG1-2'!$AD14:$IM14,"غياب بدون عذر",'KG1-2'!$AD$7:$IM$7,"✓",'KG1-2'!$AD$5:$IM$5,"&lt;="&amp;D711))</f>
        <v/>
      </c>
      <c r="G711">
        <f>G710+IF(D711="",0,1)</f>
        <v/>
      </c>
    </row>
    <row r="712">
      <c r="A712">
        <f>IF('KG1-2'!$B14="","",'KG1-2'!$B14)</f>
        <v/>
      </c>
      <c r="B712">
        <f>IF(A712="","",'KG1-2'!$C14)</f>
        <v/>
      </c>
      <c r="C712">
        <f>IF(A712="","",'KG1-2'!$B$2)</f>
        <v/>
      </c>
      <c r="D712" s="126">
        <f t="array" ref="D712">IF(A712="","",IFERROR(SMALL(IF((('KG1-2'!$AD14:$IM14="غياب بدون عذر")+('KG1-2'!$AD14:$IM14="غياب بعذر"))*('KG1-2'!$AD$7:$IM$7="✓"),'KG1-2'!$AD$5:$IM$5),11),""))</f>
        <v/>
      </c>
      <c r="E712">
        <f>IF(D712="","",INDEX('KG1-2'!$AD14:$IM14,MATCH(D712,'KG1-2'!$AD$5:$IM$5,0)))</f>
        <v/>
      </c>
      <c r="F712">
        <f>IF(D712="","",COUNTIFS('KG1-2'!$AD14:$IM14,"غياب بدون عذر",'KG1-2'!$AD$7:$IM$7,"✓",'KG1-2'!$AD$5:$IM$5,"&lt;="&amp;D712))</f>
        <v/>
      </c>
      <c r="G712">
        <f>G711+IF(D712="",0,1)</f>
        <v/>
      </c>
    </row>
    <row r="713">
      <c r="A713">
        <f>IF('KG1-2'!$B14="","",'KG1-2'!$B14)</f>
        <v/>
      </c>
      <c r="B713">
        <f>IF(A713="","",'KG1-2'!$C14)</f>
        <v/>
      </c>
      <c r="C713">
        <f>IF(A713="","",'KG1-2'!$B$2)</f>
        <v/>
      </c>
      <c r="D713" s="126">
        <f t="array" ref="D713">IF(A713="","",IFERROR(SMALL(IF((('KG1-2'!$AD14:$IM14="غياب بدون عذر")+('KG1-2'!$AD14:$IM14="غياب بعذر"))*('KG1-2'!$AD$7:$IM$7="✓"),'KG1-2'!$AD$5:$IM$5),12),""))</f>
        <v/>
      </c>
      <c r="E713">
        <f>IF(D713="","",INDEX('KG1-2'!$AD14:$IM14,MATCH(D713,'KG1-2'!$AD$5:$IM$5,0)))</f>
        <v/>
      </c>
      <c r="F713">
        <f>IF(D713="","",COUNTIFS('KG1-2'!$AD14:$IM14,"غياب بدون عذر",'KG1-2'!$AD$7:$IM$7,"✓",'KG1-2'!$AD$5:$IM$5,"&lt;="&amp;D713))</f>
        <v/>
      </c>
      <c r="G713">
        <f>G712+IF(D713="",0,1)</f>
        <v/>
      </c>
    </row>
    <row r="714">
      <c r="A714">
        <f>IF('KG1-2'!$B14="","",'KG1-2'!$B14)</f>
        <v/>
      </c>
      <c r="B714">
        <f>IF(A714="","",'KG1-2'!$C14)</f>
        <v/>
      </c>
      <c r="C714">
        <f>IF(A714="","",'KG1-2'!$B$2)</f>
        <v/>
      </c>
      <c r="D714" s="126">
        <f t="array" ref="D714">IF(A714="","",IFERROR(SMALL(IF((('KG1-2'!$AD14:$IM14="غياب بدون عذر")+('KG1-2'!$AD14:$IM14="غياب بعذر"))*('KG1-2'!$AD$7:$IM$7="✓"),'KG1-2'!$AD$5:$IM$5),13),""))</f>
        <v/>
      </c>
      <c r="E714">
        <f>IF(D714="","",INDEX('KG1-2'!$AD14:$IM14,MATCH(D714,'KG1-2'!$AD$5:$IM$5,0)))</f>
        <v/>
      </c>
      <c r="F714">
        <f>IF(D714="","",COUNTIFS('KG1-2'!$AD14:$IM14,"غياب بدون عذر",'KG1-2'!$AD$7:$IM$7,"✓",'KG1-2'!$AD$5:$IM$5,"&lt;="&amp;D714))</f>
        <v/>
      </c>
      <c r="G714">
        <f>G713+IF(D714="",0,1)</f>
        <v/>
      </c>
    </row>
    <row r="715">
      <c r="A715">
        <f>IF('KG1-2'!$B14="","",'KG1-2'!$B14)</f>
        <v/>
      </c>
      <c r="B715">
        <f>IF(A715="","",'KG1-2'!$C14)</f>
        <v/>
      </c>
      <c r="C715">
        <f>IF(A715="","",'KG1-2'!$B$2)</f>
        <v/>
      </c>
      <c r="D715" s="126">
        <f t="array" ref="D715">IF(A715="","",IFERROR(SMALL(IF((('KG1-2'!$AD14:$IM14="غياب بدون عذر")+('KG1-2'!$AD14:$IM14="غياب بعذر"))*('KG1-2'!$AD$7:$IM$7="✓"),'KG1-2'!$AD$5:$IM$5),14),""))</f>
        <v/>
      </c>
      <c r="E715">
        <f>IF(D715="","",INDEX('KG1-2'!$AD14:$IM14,MATCH(D715,'KG1-2'!$AD$5:$IM$5,0)))</f>
        <v/>
      </c>
      <c r="F715">
        <f>IF(D715="","",COUNTIFS('KG1-2'!$AD14:$IM14,"غياب بدون عذر",'KG1-2'!$AD$7:$IM$7,"✓",'KG1-2'!$AD$5:$IM$5,"&lt;="&amp;D715))</f>
        <v/>
      </c>
      <c r="G715">
        <f>G714+IF(D715="",0,1)</f>
        <v/>
      </c>
    </row>
    <row r="716">
      <c r="A716">
        <f>IF('KG1-2'!$B14="","",'KG1-2'!$B14)</f>
        <v/>
      </c>
      <c r="B716">
        <f>IF(A716="","",'KG1-2'!$C14)</f>
        <v/>
      </c>
      <c r="C716">
        <f>IF(A716="","",'KG1-2'!$B$2)</f>
        <v/>
      </c>
      <c r="D716" s="126">
        <f t="array" ref="D716">IF(A716="","",IFERROR(SMALL(IF((('KG1-2'!$AD14:$IM14="غياب بدون عذر")+('KG1-2'!$AD14:$IM14="غياب بعذر"))*('KG1-2'!$AD$7:$IM$7="✓"),'KG1-2'!$AD$5:$IM$5),15),""))</f>
        <v/>
      </c>
      <c r="E716">
        <f>IF(D716="","",INDEX('KG1-2'!$AD14:$IM14,MATCH(D716,'KG1-2'!$AD$5:$IM$5,0)))</f>
        <v/>
      </c>
      <c r="F716">
        <f>IF(D716="","",COUNTIFS('KG1-2'!$AD14:$IM14,"غياب بدون عذر",'KG1-2'!$AD$7:$IM$7,"✓",'KG1-2'!$AD$5:$IM$5,"&lt;="&amp;D716))</f>
        <v/>
      </c>
      <c r="G716">
        <f>G715+IF(D716="",0,1)</f>
        <v/>
      </c>
    </row>
    <row r="717">
      <c r="A717">
        <f>IF('KG1-2'!$B14="","",'KG1-2'!$B14)</f>
        <v/>
      </c>
      <c r="B717">
        <f>IF(A717="","",'KG1-2'!$C14)</f>
        <v/>
      </c>
      <c r="C717">
        <f>IF(A717="","",'KG1-2'!$B$2)</f>
        <v/>
      </c>
      <c r="D717" s="126">
        <f t="array" ref="D717">IF(A717="","",IFERROR(SMALL(IF((('KG1-2'!$AD14:$IM14="غياب بدون عذر")+('KG1-2'!$AD14:$IM14="غياب بعذر"))*('KG1-2'!$AD$7:$IM$7="✓"),'KG1-2'!$AD$5:$IM$5),16),""))</f>
        <v/>
      </c>
      <c r="E717">
        <f>IF(D717="","",INDEX('KG1-2'!$AD14:$IM14,MATCH(D717,'KG1-2'!$AD$5:$IM$5,0)))</f>
        <v/>
      </c>
      <c r="F717">
        <f>IF(D717="","",COUNTIFS('KG1-2'!$AD14:$IM14,"غياب بدون عذر",'KG1-2'!$AD$7:$IM$7,"✓",'KG1-2'!$AD$5:$IM$5,"&lt;="&amp;D717))</f>
        <v/>
      </c>
      <c r="G717">
        <f>G716+IF(D717="",0,1)</f>
        <v/>
      </c>
    </row>
    <row r="718">
      <c r="A718">
        <f>IF('KG1-2'!$B14="","",'KG1-2'!$B14)</f>
        <v/>
      </c>
      <c r="B718">
        <f>IF(A718="","",'KG1-2'!$C14)</f>
        <v/>
      </c>
      <c r="C718">
        <f>IF(A718="","",'KG1-2'!$B$2)</f>
        <v/>
      </c>
      <c r="D718" s="126">
        <f t="array" ref="D718">IF(A718="","",IFERROR(SMALL(IF((('KG1-2'!$AD14:$IM14="غياب بدون عذر")+('KG1-2'!$AD14:$IM14="غياب بعذر"))*('KG1-2'!$AD$7:$IM$7="✓"),'KG1-2'!$AD$5:$IM$5),17),""))</f>
        <v/>
      </c>
      <c r="E718">
        <f>IF(D718="","",INDEX('KG1-2'!$AD14:$IM14,MATCH(D718,'KG1-2'!$AD$5:$IM$5,0)))</f>
        <v/>
      </c>
      <c r="F718">
        <f>IF(D718="","",COUNTIFS('KG1-2'!$AD14:$IM14,"غياب بدون عذر",'KG1-2'!$AD$7:$IM$7,"✓",'KG1-2'!$AD$5:$IM$5,"&lt;="&amp;D718))</f>
        <v/>
      </c>
      <c r="G718">
        <f>G717+IF(D718="",0,1)</f>
        <v/>
      </c>
    </row>
    <row r="719">
      <c r="A719">
        <f>IF('KG1-2'!$B14="","",'KG1-2'!$B14)</f>
        <v/>
      </c>
      <c r="B719">
        <f>IF(A719="","",'KG1-2'!$C14)</f>
        <v/>
      </c>
      <c r="C719">
        <f>IF(A719="","",'KG1-2'!$B$2)</f>
        <v/>
      </c>
      <c r="D719" s="126">
        <f t="array" ref="D719">IF(A719="","",IFERROR(SMALL(IF((('KG1-2'!$AD14:$IM14="غياب بدون عذر")+('KG1-2'!$AD14:$IM14="غياب بعذر"))*('KG1-2'!$AD$7:$IM$7="✓"),'KG1-2'!$AD$5:$IM$5),18),""))</f>
        <v/>
      </c>
      <c r="E719">
        <f>IF(D719="","",INDEX('KG1-2'!$AD14:$IM14,MATCH(D719,'KG1-2'!$AD$5:$IM$5,0)))</f>
        <v/>
      </c>
      <c r="F719">
        <f>IF(D719="","",COUNTIFS('KG1-2'!$AD14:$IM14,"غياب بدون عذر",'KG1-2'!$AD$7:$IM$7,"✓",'KG1-2'!$AD$5:$IM$5,"&lt;="&amp;D719))</f>
        <v/>
      </c>
      <c r="G719">
        <f>G718+IF(D719="",0,1)</f>
        <v/>
      </c>
    </row>
    <row r="720">
      <c r="A720">
        <f>IF('KG1-2'!$B14="","",'KG1-2'!$B14)</f>
        <v/>
      </c>
      <c r="B720">
        <f>IF(A720="","",'KG1-2'!$C14)</f>
        <v/>
      </c>
      <c r="C720">
        <f>IF(A720="","",'KG1-2'!$B$2)</f>
        <v/>
      </c>
      <c r="D720" s="126">
        <f t="array" ref="D720">IF(A720="","",IFERROR(SMALL(IF((('KG1-2'!$AD14:$IM14="غياب بدون عذر")+('KG1-2'!$AD14:$IM14="غياب بعذر"))*('KG1-2'!$AD$7:$IM$7="✓"),'KG1-2'!$AD$5:$IM$5),19),""))</f>
        <v/>
      </c>
      <c r="E720">
        <f>IF(D720="","",INDEX('KG1-2'!$AD14:$IM14,MATCH(D720,'KG1-2'!$AD$5:$IM$5,0)))</f>
        <v/>
      </c>
      <c r="F720">
        <f>IF(D720="","",COUNTIFS('KG1-2'!$AD14:$IM14,"غياب بدون عذر",'KG1-2'!$AD$7:$IM$7,"✓",'KG1-2'!$AD$5:$IM$5,"&lt;="&amp;D720))</f>
        <v/>
      </c>
      <c r="G720">
        <f>G719+IF(D720="",0,1)</f>
        <v/>
      </c>
    </row>
    <row r="721">
      <c r="A721">
        <f>IF('KG1-2'!$B14="","",'KG1-2'!$B14)</f>
        <v/>
      </c>
      <c r="B721">
        <f>IF(A721="","",'KG1-2'!$C14)</f>
        <v/>
      </c>
      <c r="C721">
        <f>IF(A721="","",'KG1-2'!$B$2)</f>
        <v/>
      </c>
      <c r="D721" s="126">
        <f t="array" ref="D721">IF(A721="","",IFERROR(SMALL(IF((('KG1-2'!$AD14:$IM14="غياب بدون عذر")+('KG1-2'!$AD14:$IM14="غياب بعذر"))*('KG1-2'!$AD$7:$IM$7="✓"),'KG1-2'!$AD$5:$IM$5),20),""))</f>
        <v/>
      </c>
      <c r="E721">
        <f>IF(D721="","",INDEX('KG1-2'!$AD14:$IM14,MATCH(D721,'KG1-2'!$AD$5:$IM$5,0)))</f>
        <v/>
      </c>
      <c r="F721">
        <f>IF(D721="","",COUNTIFS('KG1-2'!$AD14:$IM14,"غياب بدون عذر",'KG1-2'!$AD$7:$IM$7,"✓",'KG1-2'!$AD$5:$IM$5,"&lt;="&amp;D721))</f>
        <v/>
      </c>
      <c r="G721">
        <f>G720+IF(D721="",0,1)</f>
        <v/>
      </c>
    </row>
    <row r="722">
      <c r="A722">
        <f>IF('KG1-2'!$B15="","",'KG1-2'!$B15)</f>
        <v/>
      </c>
      <c r="B722">
        <f>IF(A722="","",'KG1-2'!$C15)</f>
        <v/>
      </c>
      <c r="C722">
        <f>IF(A722="","",'KG1-2'!$B$2)</f>
        <v/>
      </c>
      <c r="D722" s="126">
        <f t="array" ref="D722">IF(A722="","",IFERROR(SMALL(IF((('KG1-2'!$AD15:$IM15="غياب بدون عذر")+('KG1-2'!$AD15:$IM15="غياب بعذر"))*('KG1-2'!$AD$7:$IM$7="✓"),'KG1-2'!$AD$5:$IM$5),1),""))</f>
        <v/>
      </c>
      <c r="E722">
        <f>IF(D722="","",INDEX('KG1-2'!$AD15:$IM15,MATCH(D722,'KG1-2'!$AD$5:$IM$5,0)))</f>
        <v/>
      </c>
      <c r="F722">
        <f>IF(D722="","",COUNTIFS('KG1-2'!$AD15:$IM15,"غياب بدون عذر",'KG1-2'!$AD$7:$IM$7,"✓",'KG1-2'!$AD$5:$IM$5,"&lt;="&amp;D722))</f>
        <v/>
      </c>
      <c r="G722">
        <f>G721+IF(D722="",0,1)</f>
        <v/>
      </c>
    </row>
    <row r="723">
      <c r="A723">
        <f>IF('KG1-2'!$B15="","",'KG1-2'!$B15)</f>
        <v/>
      </c>
      <c r="B723">
        <f>IF(A723="","",'KG1-2'!$C15)</f>
        <v/>
      </c>
      <c r="C723">
        <f>IF(A723="","",'KG1-2'!$B$2)</f>
        <v/>
      </c>
      <c r="D723" s="126">
        <f t="array" ref="D723">IF(A723="","",IFERROR(SMALL(IF((('KG1-2'!$AD15:$IM15="غياب بدون عذر")+('KG1-2'!$AD15:$IM15="غياب بعذر"))*('KG1-2'!$AD$7:$IM$7="✓"),'KG1-2'!$AD$5:$IM$5),2),""))</f>
        <v/>
      </c>
      <c r="E723">
        <f>IF(D723="","",INDEX('KG1-2'!$AD15:$IM15,MATCH(D723,'KG1-2'!$AD$5:$IM$5,0)))</f>
        <v/>
      </c>
      <c r="F723">
        <f>IF(D723="","",COUNTIFS('KG1-2'!$AD15:$IM15,"غياب بدون عذر",'KG1-2'!$AD$7:$IM$7,"✓",'KG1-2'!$AD$5:$IM$5,"&lt;="&amp;D723))</f>
        <v/>
      </c>
      <c r="G723">
        <f>G722+IF(D723="",0,1)</f>
        <v/>
      </c>
    </row>
    <row r="724">
      <c r="A724">
        <f>IF('KG1-2'!$B15="","",'KG1-2'!$B15)</f>
        <v/>
      </c>
      <c r="B724">
        <f>IF(A724="","",'KG1-2'!$C15)</f>
        <v/>
      </c>
      <c r="C724">
        <f>IF(A724="","",'KG1-2'!$B$2)</f>
        <v/>
      </c>
      <c r="D724" s="126">
        <f t="array" ref="D724">IF(A724="","",IFERROR(SMALL(IF((('KG1-2'!$AD15:$IM15="غياب بدون عذر")+('KG1-2'!$AD15:$IM15="غياب بعذر"))*('KG1-2'!$AD$7:$IM$7="✓"),'KG1-2'!$AD$5:$IM$5),3),""))</f>
        <v/>
      </c>
      <c r="E724">
        <f>IF(D724="","",INDEX('KG1-2'!$AD15:$IM15,MATCH(D724,'KG1-2'!$AD$5:$IM$5,0)))</f>
        <v/>
      </c>
      <c r="F724">
        <f>IF(D724="","",COUNTIFS('KG1-2'!$AD15:$IM15,"غياب بدون عذر",'KG1-2'!$AD$7:$IM$7,"✓",'KG1-2'!$AD$5:$IM$5,"&lt;="&amp;D724))</f>
        <v/>
      </c>
      <c r="G724">
        <f>G723+IF(D724="",0,1)</f>
        <v/>
      </c>
    </row>
    <row r="725">
      <c r="A725">
        <f>IF('KG1-2'!$B15="","",'KG1-2'!$B15)</f>
        <v/>
      </c>
      <c r="B725">
        <f>IF(A725="","",'KG1-2'!$C15)</f>
        <v/>
      </c>
      <c r="C725">
        <f>IF(A725="","",'KG1-2'!$B$2)</f>
        <v/>
      </c>
      <c r="D725" s="126">
        <f t="array" ref="D725">IF(A725="","",IFERROR(SMALL(IF((('KG1-2'!$AD15:$IM15="غياب بدون عذر")+('KG1-2'!$AD15:$IM15="غياب بعذر"))*('KG1-2'!$AD$7:$IM$7="✓"),'KG1-2'!$AD$5:$IM$5),4),""))</f>
        <v/>
      </c>
      <c r="E725">
        <f>IF(D725="","",INDEX('KG1-2'!$AD15:$IM15,MATCH(D725,'KG1-2'!$AD$5:$IM$5,0)))</f>
        <v/>
      </c>
      <c r="F725">
        <f>IF(D725="","",COUNTIFS('KG1-2'!$AD15:$IM15,"غياب بدون عذر",'KG1-2'!$AD$7:$IM$7,"✓",'KG1-2'!$AD$5:$IM$5,"&lt;="&amp;D725))</f>
        <v/>
      </c>
      <c r="G725">
        <f>G724+IF(D725="",0,1)</f>
        <v/>
      </c>
    </row>
    <row r="726">
      <c r="A726">
        <f>IF('KG1-2'!$B15="","",'KG1-2'!$B15)</f>
        <v/>
      </c>
      <c r="B726">
        <f>IF(A726="","",'KG1-2'!$C15)</f>
        <v/>
      </c>
      <c r="C726">
        <f>IF(A726="","",'KG1-2'!$B$2)</f>
        <v/>
      </c>
      <c r="D726" s="126">
        <f t="array" ref="D726">IF(A726="","",IFERROR(SMALL(IF((('KG1-2'!$AD15:$IM15="غياب بدون عذر")+('KG1-2'!$AD15:$IM15="غياب بعذر"))*('KG1-2'!$AD$7:$IM$7="✓"),'KG1-2'!$AD$5:$IM$5),5),""))</f>
        <v/>
      </c>
      <c r="E726">
        <f>IF(D726="","",INDEX('KG1-2'!$AD15:$IM15,MATCH(D726,'KG1-2'!$AD$5:$IM$5,0)))</f>
        <v/>
      </c>
      <c r="F726">
        <f>IF(D726="","",COUNTIFS('KG1-2'!$AD15:$IM15,"غياب بدون عذر",'KG1-2'!$AD$7:$IM$7,"✓",'KG1-2'!$AD$5:$IM$5,"&lt;="&amp;D726))</f>
        <v/>
      </c>
      <c r="G726">
        <f>G725+IF(D726="",0,1)</f>
        <v/>
      </c>
    </row>
    <row r="727">
      <c r="A727">
        <f>IF('KG1-2'!$B15="","",'KG1-2'!$B15)</f>
        <v/>
      </c>
      <c r="B727">
        <f>IF(A727="","",'KG1-2'!$C15)</f>
        <v/>
      </c>
      <c r="C727">
        <f>IF(A727="","",'KG1-2'!$B$2)</f>
        <v/>
      </c>
      <c r="D727" s="126">
        <f t="array" ref="D727">IF(A727="","",IFERROR(SMALL(IF((('KG1-2'!$AD15:$IM15="غياب بدون عذر")+('KG1-2'!$AD15:$IM15="غياب بعذر"))*('KG1-2'!$AD$7:$IM$7="✓"),'KG1-2'!$AD$5:$IM$5),6),""))</f>
        <v/>
      </c>
      <c r="E727">
        <f>IF(D727="","",INDEX('KG1-2'!$AD15:$IM15,MATCH(D727,'KG1-2'!$AD$5:$IM$5,0)))</f>
        <v/>
      </c>
      <c r="F727">
        <f>IF(D727="","",COUNTIFS('KG1-2'!$AD15:$IM15,"غياب بدون عذر",'KG1-2'!$AD$7:$IM$7,"✓",'KG1-2'!$AD$5:$IM$5,"&lt;="&amp;D727))</f>
        <v/>
      </c>
      <c r="G727">
        <f>G726+IF(D727="",0,1)</f>
        <v/>
      </c>
    </row>
    <row r="728">
      <c r="A728">
        <f>IF('KG1-2'!$B15="","",'KG1-2'!$B15)</f>
        <v/>
      </c>
      <c r="B728">
        <f>IF(A728="","",'KG1-2'!$C15)</f>
        <v/>
      </c>
      <c r="C728">
        <f>IF(A728="","",'KG1-2'!$B$2)</f>
        <v/>
      </c>
      <c r="D728" s="126">
        <f t="array" ref="D728">IF(A728="","",IFERROR(SMALL(IF((('KG1-2'!$AD15:$IM15="غياب بدون عذر")+('KG1-2'!$AD15:$IM15="غياب بعذر"))*('KG1-2'!$AD$7:$IM$7="✓"),'KG1-2'!$AD$5:$IM$5),7),""))</f>
        <v/>
      </c>
      <c r="E728">
        <f>IF(D728="","",INDEX('KG1-2'!$AD15:$IM15,MATCH(D728,'KG1-2'!$AD$5:$IM$5,0)))</f>
        <v/>
      </c>
      <c r="F728">
        <f>IF(D728="","",COUNTIFS('KG1-2'!$AD15:$IM15,"غياب بدون عذر",'KG1-2'!$AD$7:$IM$7,"✓",'KG1-2'!$AD$5:$IM$5,"&lt;="&amp;D728))</f>
        <v/>
      </c>
      <c r="G728">
        <f>G727+IF(D728="",0,1)</f>
        <v/>
      </c>
    </row>
    <row r="729">
      <c r="A729">
        <f>IF('KG1-2'!$B15="","",'KG1-2'!$B15)</f>
        <v/>
      </c>
      <c r="B729">
        <f>IF(A729="","",'KG1-2'!$C15)</f>
        <v/>
      </c>
      <c r="C729">
        <f>IF(A729="","",'KG1-2'!$B$2)</f>
        <v/>
      </c>
      <c r="D729" s="126">
        <f t="array" ref="D729">IF(A729="","",IFERROR(SMALL(IF((('KG1-2'!$AD15:$IM15="غياب بدون عذر")+('KG1-2'!$AD15:$IM15="غياب بعذر"))*('KG1-2'!$AD$7:$IM$7="✓"),'KG1-2'!$AD$5:$IM$5),8),""))</f>
        <v/>
      </c>
      <c r="E729">
        <f>IF(D729="","",INDEX('KG1-2'!$AD15:$IM15,MATCH(D729,'KG1-2'!$AD$5:$IM$5,0)))</f>
        <v/>
      </c>
      <c r="F729">
        <f>IF(D729="","",COUNTIFS('KG1-2'!$AD15:$IM15,"غياب بدون عذر",'KG1-2'!$AD$7:$IM$7,"✓",'KG1-2'!$AD$5:$IM$5,"&lt;="&amp;D729))</f>
        <v/>
      </c>
      <c r="G729">
        <f>G728+IF(D729="",0,1)</f>
        <v/>
      </c>
    </row>
    <row r="730">
      <c r="A730">
        <f>IF('KG1-2'!$B15="","",'KG1-2'!$B15)</f>
        <v/>
      </c>
      <c r="B730">
        <f>IF(A730="","",'KG1-2'!$C15)</f>
        <v/>
      </c>
      <c r="C730">
        <f>IF(A730="","",'KG1-2'!$B$2)</f>
        <v/>
      </c>
      <c r="D730" s="126">
        <f t="array" ref="D730">IF(A730="","",IFERROR(SMALL(IF((('KG1-2'!$AD15:$IM15="غياب بدون عذر")+('KG1-2'!$AD15:$IM15="غياب بعذر"))*('KG1-2'!$AD$7:$IM$7="✓"),'KG1-2'!$AD$5:$IM$5),9),""))</f>
        <v/>
      </c>
      <c r="E730">
        <f>IF(D730="","",INDEX('KG1-2'!$AD15:$IM15,MATCH(D730,'KG1-2'!$AD$5:$IM$5,0)))</f>
        <v/>
      </c>
      <c r="F730">
        <f>IF(D730="","",COUNTIFS('KG1-2'!$AD15:$IM15,"غياب بدون عذر",'KG1-2'!$AD$7:$IM$7,"✓",'KG1-2'!$AD$5:$IM$5,"&lt;="&amp;D730))</f>
        <v/>
      </c>
      <c r="G730">
        <f>G729+IF(D730="",0,1)</f>
        <v/>
      </c>
    </row>
    <row r="731">
      <c r="A731">
        <f>IF('KG1-2'!$B15="","",'KG1-2'!$B15)</f>
        <v/>
      </c>
      <c r="B731">
        <f>IF(A731="","",'KG1-2'!$C15)</f>
        <v/>
      </c>
      <c r="C731">
        <f>IF(A731="","",'KG1-2'!$B$2)</f>
        <v/>
      </c>
      <c r="D731" s="126">
        <f t="array" ref="D731">IF(A731="","",IFERROR(SMALL(IF((('KG1-2'!$AD15:$IM15="غياب بدون عذر")+('KG1-2'!$AD15:$IM15="غياب بعذر"))*('KG1-2'!$AD$7:$IM$7="✓"),'KG1-2'!$AD$5:$IM$5),10),""))</f>
        <v/>
      </c>
      <c r="E731">
        <f>IF(D731="","",INDEX('KG1-2'!$AD15:$IM15,MATCH(D731,'KG1-2'!$AD$5:$IM$5,0)))</f>
        <v/>
      </c>
      <c r="F731">
        <f>IF(D731="","",COUNTIFS('KG1-2'!$AD15:$IM15,"غياب بدون عذر",'KG1-2'!$AD$7:$IM$7,"✓",'KG1-2'!$AD$5:$IM$5,"&lt;="&amp;D731))</f>
        <v/>
      </c>
      <c r="G731">
        <f>G730+IF(D731="",0,1)</f>
        <v/>
      </c>
    </row>
    <row r="732">
      <c r="A732">
        <f>IF('KG1-2'!$B15="","",'KG1-2'!$B15)</f>
        <v/>
      </c>
      <c r="B732">
        <f>IF(A732="","",'KG1-2'!$C15)</f>
        <v/>
      </c>
      <c r="C732">
        <f>IF(A732="","",'KG1-2'!$B$2)</f>
        <v/>
      </c>
      <c r="D732" s="126">
        <f t="array" ref="D732">IF(A732="","",IFERROR(SMALL(IF((('KG1-2'!$AD15:$IM15="غياب بدون عذر")+('KG1-2'!$AD15:$IM15="غياب بعذر"))*('KG1-2'!$AD$7:$IM$7="✓"),'KG1-2'!$AD$5:$IM$5),11),""))</f>
        <v/>
      </c>
      <c r="E732">
        <f>IF(D732="","",INDEX('KG1-2'!$AD15:$IM15,MATCH(D732,'KG1-2'!$AD$5:$IM$5,0)))</f>
        <v/>
      </c>
      <c r="F732">
        <f>IF(D732="","",COUNTIFS('KG1-2'!$AD15:$IM15,"غياب بدون عذر",'KG1-2'!$AD$7:$IM$7,"✓",'KG1-2'!$AD$5:$IM$5,"&lt;="&amp;D732))</f>
        <v/>
      </c>
      <c r="G732">
        <f>G731+IF(D732="",0,1)</f>
        <v/>
      </c>
    </row>
    <row r="733">
      <c r="A733">
        <f>IF('KG1-2'!$B15="","",'KG1-2'!$B15)</f>
        <v/>
      </c>
      <c r="B733">
        <f>IF(A733="","",'KG1-2'!$C15)</f>
        <v/>
      </c>
      <c r="C733">
        <f>IF(A733="","",'KG1-2'!$B$2)</f>
        <v/>
      </c>
      <c r="D733" s="126">
        <f t="array" ref="D733">IF(A733="","",IFERROR(SMALL(IF((('KG1-2'!$AD15:$IM15="غياب بدون عذر")+('KG1-2'!$AD15:$IM15="غياب بعذر"))*('KG1-2'!$AD$7:$IM$7="✓"),'KG1-2'!$AD$5:$IM$5),12),""))</f>
        <v/>
      </c>
      <c r="E733">
        <f>IF(D733="","",INDEX('KG1-2'!$AD15:$IM15,MATCH(D733,'KG1-2'!$AD$5:$IM$5,0)))</f>
        <v/>
      </c>
      <c r="F733">
        <f>IF(D733="","",COUNTIFS('KG1-2'!$AD15:$IM15,"غياب بدون عذر",'KG1-2'!$AD$7:$IM$7,"✓",'KG1-2'!$AD$5:$IM$5,"&lt;="&amp;D733))</f>
        <v/>
      </c>
      <c r="G733">
        <f>G732+IF(D733="",0,1)</f>
        <v/>
      </c>
    </row>
    <row r="734">
      <c r="A734">
        <f>IF('KG1-2'!$B15="","",'KG1-2'!$B15)</f>
        <v/>
      </c>
      <c r="B734">
        <f>IF(A734="","",'KG1-2'!$C15)</f>
        <v/>
      </c>
      <c r="C734">
        <f>IF(A734="","",'KG1-2'!$B$2)</f>
        <v/>
      </c>
      <c r="D734" s="126">
        <f t="array" ref="D734">IF(A734="","",IFERROR(SMALL(IF((('KG1-2'!$AD15:$IM15="غياب بدون عذر")+('KG1-2'!$AD15:$IM15="غياب بعذر"))*('KG1-2'!$AD$7:$IM$7="✓"),'KG1-2'!$AD$5:$IM$5),13),""))</f>
        <v/>
      </c>
      <c r="E734">
        <f>IF(D734="","",INDEX('KG1-2'!$AD15:$IM15,MATCH(D734,'KG1-2'!$AD$5:$IM$5,0)))</f>
        <v/>
      </c>
      <c r="F734">
        <f>IF(D734="","",COUNTIFS('KG1-2'!$AD15:$IM15,"غياب بدون عذر",'KG1-2'!$AD$7:$IM$7,"✓",'KG1-2'!$AD$5:$IM$5,"&lt;="&amp;D734))</f>
        <v/>
      </c>
      <c r="G734">
        <f>G733+IF(D734="",0,1)</f>
        <v/>
      </c>
    </row>
    <row r="735">
      <c r="A735">
        <f>IF('KG1-2'!$B15="","",'KG1-2'!$B15)</f>
        <v/>
      </c>
      <c r="B735">
        <f>IF(A735="","",'KG1-2'!$C15)</f>
        <v/>
      </c>
      <c r="C735">
        <f>IF(A735="","",'KG1-2'!$B$2)</f>
        <v/>
      </c>
      <c r="D735" s="126">
        <f t="array" ref="D735">IF(A735="","",IFERROR(SMALL(IF((('KG1-2'!$AD15:$IM15="غياب بدون عذر")+('KG1-2'!$AD15:$IM15="غياب بعذر"))*('KG1-2'!$AD$7:$IM$7="✓"),'KG1-2'!$AD$5:$IM$5),14),""))</f>
        <v/>
      </c>
      <c r="E735">
        <f>IF(D735="","",INDEX('KG1-2'!$AD15:$IM15,MATCH(D735,'KG1-2'!$AD$5:$IM$5,0)))</f>
        <v/>
      </c>
      <c r="F735">
        <f>IF(D735="","",COUNTIFS('KG1-2'!$AD15:$IM15,"غياب بدون عذر",'KG1-2'!$AD$7:$IM$7,"✓",'KG1-2'!$AD$5:$IM$5,"&lt;="&amp;D735))</f>
        <v/>
      </c>
      <c r="G735">
        <f>G734+IF(D735="",0,1)</f>
        <v/>
      </c>
    </row>
    <row r="736">
      <c r="A736">
        <f>IF('KG1-2'!$B15="","",'KG1-2'!$B15)</f>
        <v/>
      </c>
      <c r="B736">
        <f>IF(A736="","",'KG1-2'!$C15)</f>
        <v/>
      </c>
      <c r="C736">
        <f>IF(A736="","",'KG1-2'!$B$2)</f>
        <v/>
      </c>
      <c r="D736" s="126">
        <f t="array" ref="D736">IF(A736="","",IFERROR(SMALL(IF((('KG1-2'!$AD15:$IM15="غياب بدون عذر")+('KG1-2'!$AD15:$IM15="غياب بعذر"))*('KG1-2'!$AD$7:$IM$7="✓"),'KG1-2'!$AD$5:$IM$5),15),""))</f>
        <v/>
      </c>
      <c r="E736">
        <f>IF(D736="","",INDEX('KG1-2'!$AD15:$IM15,MATCH(D736,'KG1-2'!$AD$5:$IM$5,0)))</f>
        <v/>
      </c>
      <c r="F736">
        <f>IF(D736="","",COUNTIFS('KG1-2'!$AD15:$IM15,"غياب بدون عذر",'KG1-2'!$AD$7:$IM$7,"✓",'KG1-2'!$AD$5:$IM$5,"&lt;="&amp;D736))</f>
        <v/>
      </c>
      <c r="G736">
        <f>G735+IF(D736="",0,1)</f>
        <v/>
      </c>
    </row>
    <row r="737">
      <c r="A737">
        <f>IF('KG1-2'!$B15="","",'KG1-2'!$B15)</f>
        <v/>
      </c>
      <c r="B737">
        <f>IF(A737="","",'KG1-2'!$C15)</f>
        <v/>
      </c>
      <c r="C737">
        <f>IF(A737="","",'KG1-2'!$B$2)</f>
        <v/>
      </c>
      <c r="D737" s="126">
        <f t="array" ref="D737">IF(A737="","",IFERROR(SMALL(IF((('KG1-2'!$AD15:$IM15="غياب بدون عذر")+('KG1-2'!$AD15:$IM15="غياب بعذر"))*('KG1-2'!$AD$7:$IM$7="✓"),'KG1-2'!$AD$5:$IM$5),16),""))</f>
        <v/>
      </c>
      <c r="E737">
        <f>IF(D737="","",INDEX('KG1-2'!$AD15:$IM15,MATCH(D737,'KG1-2'!$AD$5:$IM$5,0)))</f>
        <v/>
      </c>
      <c r="F737">
        <f>IF(D737="","",COUNTIFS('KG1-2'!$AD15:$IM15,"غياب بدون عذر",'KG1-2'!$AD$7:$IM$7,"✓",'KG1-2'!$AD$5:$IM$5,"&lt;="&amp;D737))</f>
        <v/>
      </c>
      <c r="G737">
        <f>G736+IF(D737="",0,1)</f>
        <v/>
      </c>
    </row>
    <row r="738">
      <c r="A738">
        <f>IF('KG1-2'!$B15="","",'KG1-2'!$B15)</f>
        <v/>
      </c>
      <c r="B738">
        <f>IF(A738="","",'KG1-2'!$C15)</f>
        <v/>
      </c>
      <c r="C738">
        <f>IF(A738="","",'KG1-2'!$B$2)</f>
        <v/>
      </c>
      <c r="D738" s="126">
        <f t="array" ref="D738">IF(A738="","",IFERROR(SMALL(IF((('KG1-2'!$AD15:$IM15="غياب بدون عذر")+('KG1-2'!$AD15:$IM15="غياب بعذر"))*('KG1-2'!$AD$7:$IM$7="✓"),'KG1-2'!$AD$5:$IM$5),17),""))</f>
        <v/>
      </c>
      <c r="E738">
        <f>IF(D738="","",INDEX('KG1-2'!$AD15:$IM15,MATCH(D738,'KG1-2'!$AD$5:$IM$5,0)))</f>
        <v/>
      </c>
      <c r="F738">
        <f>IF(D738="","",COUNTIFS('KG1-2'!$AD15:$IM15,"غياب بدون عذر",'KG1-2'!$AD$7:$IM$7,"✓",'KG1-2'!$AD$5:$IM$5,"&lt;="&amp;D738))</f>
        <v/>
      </c>
      <c r="G738">
        <f>G737+IF(D738="",0,1)</f>
        <v/>
      </c>
    </row>
    <row r="739">
      <c r="A739">
        <f>IF('KG1-2'!$B15="","",'KG1-2'!$B15)</f>
        <v/>
      </c>
      <c r="B739">
        <f>IF(A739="","",'KG1-2'!$C15)</f>
        <v/>
      </c>
      <c r="C739">
        <f>IF(A739="","",'KG1-2'!$B$2)</f>
        <v/>
      </c>
      <c r="D739" s="126">
        <f t="array" ref="D739">IF(A739="","",IFERROR(SMALL(IF((('KG1-2'!$AD15:$IM15="غياب بدون عذر")+('KG1-2'!$AD15:$IM15="غياب بعذر"))*('KG1-2'!$AD$7:$IM$7="✓"),'KG1-2'!$AD$5:$IM$5),18),""))</f>
        <v/>
      </c>
      <c r="E739">
        <f>IF(D739="","",INDEX('KG1-2'!$AD15:$IM15,MATCH(D739,'KG1-2'!$AD$5:$IM$5,0)))</f>
        <v/>
      </c>
      <c r="F739">
        <f>IF(D739="","",COUNTIFS('KG1-2'!$AD15:$IM15,"غياب بدون عذر",'KG1-2'!$AD$7:$IM$7,"✓",'KG1-2'!$AD$5:$IM$5,"&lt;="&amp;D739))</f>
        <v/>
      </c>
      <c r="G739">
        <f>G738+IF(D739="",0,1)</f>
        <v/>
      </c>
    </row>
    <row r="740">
      <c r="A740">
        <f>IF('KG1-2'!$B15="","",'KG1-2'!$B15)</f>
        <v/>
      </c>
      <c r="B740">
        <f>IF(A740="","",'KG1-2'!$C15)</f>
        <v/>
      </c>
      <c r="C740">
        <f>IF(A740="","",'KG1-2'!$B$2)</f>
        <v/>
      </c>
      <c r="D740" s="126">
        <f t="array" ref="D740">IF(A740="","",IFERROR(SMALL(IF((('KG1-2'!$AD15:$IM15="غياب بدون عذر")+('KG1-2'!$AD15:$IM15="غياب بعذر"))*('KG1-2'!$AD$7:$IM$7="✓"),'KG1-2'!$AD$5:$IM$5),19),""))</f>
        <v/>
      </c>
      <c r="E740">
        <f>IF(D740="","",INDEX('KG1-2'!$AD15:$IM15,MATCH(D740,'KG1-2'!$AD$5:$IM$5,0)))</f>
        <v/>
      </c>
      <c r="F740">
        <f>IF(D740="","",COUNTIFS('KG1-2'!$AD15:$IM15,"غياب بدون عذر",'KG1-2'!$AD$7:$IM$7,"✓",'KG1-2'!$AD$5:$IM$5,"&lt;="&amp;D740))</f>
        <v/>
      </c>
      <c r="G740">
        <f>G739+IF(D740="",0,1)</f>
        <v/>
      </c>
    </row>
    <row r="741">
      <c r="A741">
        <f>IF('KG1-2'!$B15="","",'KG1-2'!$B15)</f>
        <v/>
      </c>
      <c r="B741">
        <f>IF(A741="","",'KG1-2'!$C15)</f>
        <v/>
      </c>
      <c r="C741">
        <f>IF(A741="","",'KG1-2'!$B$2)</f>
        <v/>
      </c>
      <c r="D741" s="126">
        <f t="array" ref="D741">IF(A741="","",IFERROR(SMALL(IF((('KG1-2'!$AD15:$IM15="غياب بدون عذر")+('KG1-2'!$AD15:$IM15="غياب بعذر"))*('KG1-2'!$AD$7:$IM$7="✓"),'KG1-2'!$AD$5:$IM$5),20),""))</f>
        <v/>
      </c>
      <c r="E741">
        <f>IF(D741="","",INDEX('KG1-2'!$AD15:$IM15,MATCH(D741,'KG1-2'!$AD$5:$IM$5,0)))</f>
        <v/>
      </c>
      <c r="F741">
        <f>IF(D741="","",COUNTIFS('KG1-2'!$AD15:$IM15,"غياب بدون عذر",'KG1-2'!$AD$7:$IM$7,"✓",'KG1-2'!$AD$5:$IM$5,"&lt;="&amp;D741))</f>
        <v/>
      </c>
      <c r="G741">
        <f>G740+IF(D741="",0,1)</f>
        <v/>
      </c>
    </row>
    <row r="742">
      <c r="A742">
        <f>IF('KG1-2'!$B16="","",'KG1-2'!$B16)</f>
        <v/>
      </c>
      <c r="B742">
        <f>IF(A742="","",'KG1-2'!$C16)</f>
        <v/>
      </c>
      <c r="C742">
        <f>IF(A742="","",'KG1-2'!$B$2)</f>
        <v/>
      </c>
      <c r="D742" s="126">
        <f t="array" ref="D742">IF(A742="","",IFERROR(SMALL(IF((('KG1-2'!$AD16:$IM16="غياب بدون عذر")+('KG1-2'!$AD16:$IM16="غياب بعذر"))*('KG1-2'!$AD$7:$IM$7="✓"),'KG1-2'!$AD$5:$IM$5),1),""))</f>
        <v/>
      </c>
      <c r="E742">
        <f>IF(D742="","",INDEX('KG1-2'!$AD16:$IM16,MATCH(D742,'KG1-2'!$AD$5:$IM$5,0)))</f>
        <v/>
      </c>
      <c r="F742">
        <f>IF(D742="","",COUNTIFS('KG1-2'!$AD16:$IM16,"غياب بدون عذر",'KG1-2'!$AD$7:$IM$7,"✓",'KG1-2'!$AD$5:$IM$5,"&lt;="&amp;D742))</f>
        <v/>
      </c>
      <c r="G742">
        <f>G741+IF(D742="",0,1)</f>
        <v/>
      </c>
    </row>
    <row r="743">
      <c r="A743">
        <f>IF('KG1-2'!$B16="","",'KG1-2'!$B16)</f>
        <v/>
      </c>
      <c r="B743">
        <f>IF(A743="","",'KG1-2'!$C16)</f>
        <v/>
      </c>
      <c r="C743">
        <f>IF(A743="","",'KG1-2'!$B$2)</f>
        <v/>
      </c>
      <c r="D743" s="126">
        <f t="array" ref="D743">IF(A743="","",IFERROR(SMALL(IF((('KG1-2'!$AD16:$IM16="غياب بدون عذر")+('KG1-2'!$AD16:$IM16="غياب بعذر"))*('KG1-2'!$AD$7:$IM$7="✓"),'KG1-2'!$AD$5:$IM$5),2),""))</f>
        <v/>
      </c>
      <c r="E743">
        <f>IF(D743="","",INDEX('KG1-2'!$AD16:$IM16,MATCH(D743,'KG1-2'!$AD$5:$IM$5,0)))</f>
        <v/>
      </c>
      <c r="F743">
        <f>IF(D743="","",COUNTIFS('KG1-2'!$AD16:$IM16,"غياب بدون عذر",'KG1-2'!$AD$7:$IM$7,"✓",'KG1-2'!$AD$5:$IM$5,"&lt;="&amp;D743))</f>
        <v/>
      </c>
      <c r="G743">
        <f>G742+IF(D743="",0,1)</f>
        <v/>
      </c>
    </row>
    <row r="744">
      <c r="A744">
        <f>IF('KG1-2'!$B16="","",'KG1-2'!$B16)</f>
        <v/>
      </c>
      <c r="B744">
        <f>IF(A744="","",'KG1-2'!$C16)</f>
        <v/>
      </c>
      <c r="C744">
        <f>IF(A744="","",'KG1-2'!$B$2)</f>
        <v/>
      </c>
      <c r="D744" s="126">
        <f t="array" ref="D744">IF(A744="","",IFERROR(SMALL(IF((('KG1-2'!$AD16:$IM16="غياب بدون عذر")+('KG1-2'!$AD16:$IM16="غياب بعذر"))*('KG1-2'!$AD$7:$IM$7="✓"),'KG1-2'!$AD$5:$IM$5),3),""))</f>
        <v/>
      </c>
      <c r="E744">
        <f>IF(D744="","",INDEX('KG1-2'!$AD16:$IM16,MATCH(D744,'KG1-2'!$AD$5:$IM$5,0)))</f>
        <v/>
      </c>
      <c r="F744">
        <f>IF(D744="","",COUNTIFS('KG1-2'!$AD16:$IM16,"غياب بدون عذر",'KG1-2'!$AD$7:$IM$7,"✓",'KG1-2'!$AD$5:$IM$5,"&lt;="&amp;D744))</f>
        <v/>
      </c>
      <c r="G744">
        <f>G743+IF(D744="",0,1)</f>
        <v/>
      </c>
    </row>
    <row r="745">
      <c r="A745">
        <f>IF('KG1-2'!$B16="","",'KG1-2'!$B16)</f>
        <v/>
      </c>
      <c r="B745">
        <f>IF(A745="","",'KG1-2'!$C16)</f>
        <v/>
      </c>
      <c r="C745">
        <f>IF(A745="","",'KG1-2'!$B$2)</f>
        <v/>
      </c>
      <c r="D745" s="126">
        <f t="array" ref="D745">IF(A745="","",IFERROR(SMALL(IF((('KG1-2'!$AD16:$IM16="غياب بدون عذر")+('KG1-2'!$AD16:$IM16="غياب بعذر"))*('KG1-2'!$AD$7:$IM$7="✓"),'KG1-2'!$AD$5:$IM$5),4),""))</f>
        <v/>
      </c>
      <c r="E745">
        <f>IF(D745="","",INDEX('KG1-2'!$AD16:$IM16,MATCH(D745,'KG1-2'!$AD$5:$IM$5,0)))</f>
        <v/>
      </c>
      <c r="F745">
        <f>IF(D745="","",COUNTIFS('KG1-2'!$AD16:$IM16,"غياب بدون عذر",'KG1-2'!$AD$7:$IM$7,"✓",'KG1-2'!$AD$5:$IM$5,"&lt;="&amp;D745))</f>
        <v/>
      </c>
      <c r="G745">
        <f>G744+IF(D745="",0,1)</f>
        <v/>
      </c>
    </row>
    <row r="746">
      <c r="A746">
        <f>IF('KG1-2'!$B16="","",'KG1-2'!$B16)</f>
        <v/>
      </c>
      <c r="B746">
        <f>IF(A746="","",'KG1-2'!$C16)</f>
        <v/>
      </c>
      <c r="C746">
        <f>IF(A746="","",'KG1-2'!$B$2)</f>
        <v/>
      </c>
      <c r="D746" s="126">
        <f t="array" ref="D746">IF(A746="","",IFERROR(SMALL(IF((('KG1-2'!$AD16:$IM16="غياب بدون عذر")+('KG1-2'!$AD16:$IM16="غياب بعذر"))*('KG1-2'!$AD$7:$IM$7="✓"),'KG1-2'!$AD$5:$IM$5),5),""))</f>
        <v/>
      </c>
      <c r="E746">
        <f>IF(D746="","",INDEX('KG1-2'!$AD16:$IM16,MATCH(D746,'KG1-2'!$AD$5:$IM$5,0)))</f>
        <v/>
      </c>
      <c r="F746">
        <f>IF(D746="","",COUNTIFS('KG1-2'!$AD16:$IM16,"غياب بدون عذر",'KG1-2'!$AD$7:$IM$7,"✓",'KG1-2'!$AD$5:$IM$5,"&lt;="&amp;D746))</f>
        <v/>
      </c>
      <c r="G746">
        <f>G745+IF(D746="",0,1)</f>
        <v/>
      </c>
    </row>
    <row r="747">
      <c r="A747">
        <f>IF('KG1-2'!$B16="","",'KG1-2'!$B16)</f>
        <v/>
      </c>
      <c r="B747">
        <f>IF(A747="","",'KG1-2'!$C16)</f>
        <v/>
      </c>
      <c r="C747">
        <f>IF(A747="","",'KG1-2'!$B$2)</f>
        <v/>
      </c>
      <c r="D747" s="126">
        <f t="array" ref="D747">IF(A747="","",IFERROR(SMALL(IF((('KG1-2'!$AD16:$IM16="غياب بدون عذر")+('KG1-2'!$AD16:$IM16="غياب بعذر"))*('KG1-2'!$AD$7:$IM$7="✓"),'KG1-2'!$AD$5:$IM$5),6),""))</f>
        <v/>
      </c>
      <c r="E747">
        <f>IF(D747="","",INDEX('KG1-2'!$AD16:$IM16,MATCH(D747,'KG1-2'!$AD$5:$IM$5,0)))</f>
        <v/>
      </c>
      <c r="F747">
        <f>IF(D747="","",COUNTIFS('KG1-2'!$AD16:$IM16,"غياب بدون عذر",'KG1-2'!$AD$7:$IM$7,"✓",'KG1-2'!$AD$5:$IM$5,"&lt;="&amp;D747))</f>
        <v/>
      </c>
      <c r="G747">
        <f>G746+IF(D747="",0,1)</f>
        <v/>
      </c>
    </row>
    <row r="748">
      <c r="A748">
        <f>IF('KG1-2'!$B16="","",'KG1-2'!$B16)</f>
        <v/>
      </c>
      <c r="B748">
        <f>IF(A748="","",'KG1-2'!$C16)</f>
        <v/>
      </c>
      <c r="C748">
        <f>IF(A748="","",'KG1-2'!$B$2)</f>
        <v/>
      </c>
      <c r="D748" s="126">
        <f t="array" ref="D748">IF(A748="","",IFERROR(SMALL(IF((('KG1-2'!$AD16:$IM16="غياب بدون عذر")+('KG1-2'!$AD16:$IM16="غياب بعذر"))*('KG1-2'!$AD$7:$IM$7="✓"),'KG1-2'!$AD$5:$IM$5),7),""))</f>
        <v/>
      </c>
      <c r="E748">
        <f>IF(D748="","",INDEX('KG1-2'!$AD16:$IM16,MATCH(D748,'KG1-2'!$AD$5:$IM$5,0)))</f>
        <v/>
      </c>
      <c r="F748">
        <f>IF(D748="","",COUNTIFS('KG1-2'!$AD16:$IM16,"غياب بدون عذر",'KG1-2'!$AD$7:$IM$7,"✓",'KG1-2'!$AD$5:$IM$5,"&lt;="&amp;D748))</f>
        <v/>
      </c>
      <c r="G748">
        <f>G747+IF(D748="",0,1)</f>
        <v/>
      </c>
    </row>
    <row r="749">
      <c r="A749">
        <f>IF('KG1-2'!$B16="","",'KG1-2'!$B16)</f>
        <v/>
      </c>
      <c r="B749">
        <f>IF(A749="","",'KG1-2'!$C16)</f>
        <v/>
      </c>
      <c r="C749">
        <f>IF(A749="","",'KG1-2'!$B$2)</f>
        <v/>
      </c>
      <c r="D749" s="126">
        <f t="array" ref="D749">IF(A749="","",IFERROR(SMALL(IF((('KG1-2'!$AD16:$IM16="غياب بدون عذر")+('KG1-2'!$AD16:$IM16="غياب بعذر"))*('KG1-2'!$AD$7:$IM$7="✓"),'KG1-2'!$AD$5:$IM$5),8),""))</f>
        <v/>
      </c>
      <c r="E749">
        <f>IF(D749="","",INDEX('KG1-2'!$AD16:$IM16,MATCH(D749,'KG1-2'!$AD$5:$IM$5,0)))</f>
        <v/>
      </c>
      <c r="F749">
        <f>IF(D749="","",COUNTIFS('KG1-2'!$AD16:$IM16,"غياب بدون عذر",'KG1-2'!$AD$7:$IM$7,"✓",'KG1-2'!$AD$5:$IM$5,"&lt;="&amp;D749))</f>
        <v/>
      </c>
      <c r="G749">
        <f>G748+IF(D749="",0,1)</f>
        <v/>
      </c>
    </row>
    <row r="750">
      <c r="A750">
        <f>IF('KG1-2'!$B16="","",'KG1-2'!$B16)</f>
        <v/>
      </c>
      <c r="B750">
        <f>IF(A750="","",'KG1-2'!$C16)</f>
        <v/>
      </c>
      <c r="C750">
        <f>IF(A750="","",'KG1-2'!$B$2)</f>
        <v/>
      </c>
      <c r="D750" s="126">
        <f t="array" ref="D750">IF(A750="","",IFERROR(SMALL(IF((('KG1-2'!$AD16:$IM16="غياب بدون عذر")+('KG1-2'!$AD16:$IM16="غياب بعذر"))*('KG1-2'!$AD$7:$IM$7="✓"),'KG1-2'!$AD$5:$IM$5),9),""))</f>
        <v/>
      </c>
      <c r="E750">
        <f>IF(D750="","",INDEX('KG1-2'!$AD16:$IM16,MATCH(D750,'KG1-2'!$AD$5:$IM$5,0)))</f>
        <v/>
      </c>
      <c r="F750">
        <f>IF(D750="","",COUNTIFS('KG1-2'!$AD16:$IM16,"غياب بدون عذر",'KG1-2'!$AD$7:$IM$7,"✓",'KG1-2'!$AD$5:$IM$5,"&lt;="&amp;D750))</f>
        <v/>
      </c>
      <c r="G750">
        <f>G749+IF(D750="",0,1)</f>
        <v/>
      </c>
    </row>
    <row r="751">
      <c r="A751">
        <f>IF('KG1-2'!$B16="","",'KG1-2'!$B16)</f>
        <v/>
      </c>
      <c r="B751">
        <f>IF(A751="","",'KG1-2'!$C16)</f>
        <v/>
      </c>
      <c r="C751">
        <f>IF(A751="","",'KG1-2'!$B$2)</f>
        <v/>
      </c>
      <c r="D751" s="126">
        <f t="array" ref="D751">IF(A751="","",IFERROR(SMALL(IF((('KG1-2'!$AD16:$IM16="غياب بدون عذر")+('KG1-2'!$AD16:$IM16="غياب بعذر"))*('KG1-2'!$AD$7:$IM$7="✓"),'KG1-2'!$AD$5:$IM$5),10),""))</f>
        <v/>
      </c>
      <c r="E751">
        <f>IF(D751="","",INDEX('KG1-2'!$AD16:$IM16,MATCH(D751,'KG1-2'!$AD$5:$IM$5,0)))</f>
        <v/>
      </c>
      <c r="F751">
        <f>IF(D751="","",COUNTIFS('KG1-2'!$AD16:$IM16,"غياب بدون عذر",'KG1-2'!$AD$7:$IM$7,"✓",'KG1-2'!$AD$5:$IM$5,"&lt;="&amp;D751))</f>
        <v/>
      </c>
      <c r="G751">
        <f>G750+IF(D751="",0,1)</f>
        <v/>
      </c>
    </row>
    <row r="752">
      <c r="A752">
        <f>IF('KG1-2'!$B16="","",'KG1-2'!$B16)</f>
        <v/>
      </c>
      <c r="B752">
        <f>IF(A752="","",'KG1-2'!$C16)</f>
        <v/>
      </c>
      <c r="C752">
        <f>IF(A752="","",'KG1-2'!$B$2)</f>
        <v/>
      </c>
      <c r="D752" s="126">
        <f t="array" ref="D752">IF(A752="","",IFERROR(SMALL(IF((('KG1-2'!$AD16:$IM16="غياب بدون عذر")+('KG1-2'!$AD16:$IM16="غياب بعذر"))*('KG1-2'!$AD$7:$IM$7="✓"),'KG1-2'!$AD$5:$IM$5),11),""))</f>
        <v/>
      </c>
      <c r="E752">
        <f>IF(D752="","",INDEX('KG1-2'!$AD16:$IM16,MATCH(D752,'KG1-2'!$AD$5:$IM$5,0)))</f>
        <v/>
      </c>
      <c r="F752">
        <f>IF(D752="","",COUNTIFS('KG1-2'!$AD16:$IM16,"غياب بدون عذر",'KG1-2'!$AD$7:$IM$7,"✓",'KG1-2'!$AD$5:$IM$5,"&lt;="&amp;D752))</f>
        <v/>
      </c>
      <c r="G752">
        <f>G751+IF(D752="",0,1)</f>
        <v/>
      </c>
    </row>
    <row r="753">
      <c r="A753">
        <f>IF('KG1-2'!$B16="","",'KG1-2'!$B16)</f>
        <v/>
      </c>
      <c r="B753">
        <f>IF(A753="","",'KG1-2'!$C16)</f>
        <v/>
      </c>
      <c r="C753">
        <f>IF(A753="","",'KG1-2'!$B$2)</f>
        <v/>
      </c>
      <c r="D753" s="126">
        <f t="array" ref="D753">IF(A753="","",IFERROR(SMALL(IF((('KG1-2'!$AD16:$IM16="غياب بدون عذر")+('KG1-2'!$AD16:$IM16="غياب بعذر"))*('KG1-2'!$AD$7:$IM$7="✓"),'KG1-2'!$AD$5:$IM$5),12),""))</f>
        <v/>
      </c>
      <c r="E753">
        <f>IF(D753="","",INDEX('KG1-2'!$AD16:$IM16,MATCH(D753,'KG1-2'!$AD$5:$IM$5,0)))</f>
        <v/>
      </c>
      <c r="F753">
        <f>IF(D753="","",COUNTIFS('KG1-2'!$AD16:$IM16,"غياب بدون عذر",'KG1-2'!$AD$7:$IM$7,"✓",'KG1-2'!$AD$5:$IM$5,"&lt;="&amp;D753))</f>
        <v/>
      </c>
      <c r="G753">
        <f>G752+IF(D753="",0,1)</f>
        <v/>
      </c>
    </row>
    <row r="754">
      <c r="A754">
        <f>IF('KG1-2'!$B16="","",'KG1-2'!$B16)</f>
        <v/>
      </c>
      <c r="B754">
        <f>IF(A754="","",'KG1-2'!$C16)</f>
        <v/>
      </c>
      <c r="C754">
        <f>IF(A754="","",'KG1-2'!$B$2)</f>
        <v/>
      </c>
      <c r="D754" s="126">
        <f t="array" ref="D754">IF(A754="","",IFERROR(SMALL(IF((('KG1-2'!$AD16:$IM16="غياب بدون عذر")+('KG1-2'!$AD16:$IM16="غياب بعذر"))*('KG1-2'!$AD$7:$IM$7="✓"),'KG1-2'!$AD$5:$IM$5),13),""))</f>
        <v/>
      </c>
      <c r="E754">
        <f>IF(D754="","",INDEX('KG1-2'!$AD16:$IM16,MATCH(D754,'KG1-2'!$AD$5:$IM$5,0)))</f>
        <v/>
      </c>
      <c r="F754">
        <f>IF(D754="","",COUNTIFS('KG1-2'!$AD16:$IM16,"غياب بدون عذر",'KG1-2'!$AD$7:$IM$7,"✓",'KG1-2'!$AD$5:$IM$5,"&lt;="&amp;D754))</f>
        <v/>
      </c>
      <c r="G754">
        <f>G753+IF(D754="",0,1)</f>
        <v/>
      </c>
    </row>
    <row r="755">
      <c r="A755">
        <f>IF('KG1-2'!$B16="","",'KG1-2'!$B16)</f>
        <v/>
      </c>
      <c r="B755">
        <f>IF(A755="","",'KG1-2'!$C16)</f>
        <v/>
      </c>
      <c r="C755">
        <f>IF(A755="","",'KG1-2'!$B$2)</f>
        <v/>
      </c>
      <c r="D755" s="126">
        <f t="array" ref="D755">IF(A755="","",IFERROR(SMALL(IF((('KG1-2'!$AD16:$IM16="غياب بدون عذر")+('KG1-2'!$AD16:$IM16="غياب بعذر"))*('KG1-2'!$AD$7:$IM$7="✓"),'KG1-2'!$AD$5:$IM$5),14),""))</f>
        <v/>
      </c>
      <c r="E755">
        <f>IF(D755="","",INDEX('KG1-2'!$AD16:$IM16,MATCH(D755,'KG1-2'!$AD$5:$IM$5,0)))</f>
        <v/>
      </c>
      <c r="F755">
        <f>IF(D755="","",COUNTIFS('KG1-2'!$AD16:$IM16,"غياب بدون عذر",'KG1-2'!$AD$7:$IM$7,"✓",'KG1-2'!$AD$5:$IM$5,"&lt;="&amp;D755))</f>
        <v/>
      </c>
      <c r="G755">
        <f>G754+IF(D755="",0,1)</f>
        <v/>
      </c>
    </row>
    <row r="756">
      <c r="A756">
        <f>IF('KG1-2'!$B16="","",'KG1-2'!$B16)</f>
        <v/>
      </c>
      <c r="B756">
        <f>IF(A756="","",'KG1-2'!$C16)</f>
        <v/>
      </c>
      <c r="C756">
        <f>IF(A756="","",'KG1-2'!$B$2)</f>
        <v/>
      </c>
      <c r="D756" s="126">
        <f t="array" ref="D756">IF(A756="","",IFERROR(SMALL(IF((('KG1-2'!$AD16:$IM16="غياب بدون عذر")+('KG1-2'!$AD16:$IM16="غياب بعذر"))*('KG1-2'!$AD$7:$IM$7="✓"),'KG1-2'!$AD$5:$IM$5),15),""))</f>
        <v/>
      </c>
      <c r="E756">
        <f>IF(D756="","",INDEX('KG1-2'!$AD16:$IM16,MATCH(D756,'KG1-2'!$AD$5:$IM$5,0)))</f>
        <v/>
      </c>
      <c r="F756">
        <f>IF(D756="","",COUNTIFS('KG1-2'!$AD16:$IM16,"غياب بدون عذر",'KG1-2'!$AD$7:$IM$7,"✓",'KG1-2'!$AD$5:$IM$5,"&lt;="&amp;D756))</f>
        <v/>
      </c>
      <c r="G756">
        <f>G755+IF(D756="",0,1)</f>
        <v/>
      </c>
    </row>
    <row r="757">
      <c r="A757">
        <f>IF('KG1-2'!$B16="","",'KG1-2'!$B16)</f>
        <v/>
      </c>
      <c r="B757">
        <f>IF(A757="","",'KG1-2'!$C16)</f>
        <v/>
      </c>
      <c r="C757">
        <f>IF(A757="","",'KG1-2'!$B$2)</f>
        <v/>
      </c>
      <c r="D757" s="126">
        <f t="array" ref="D757">IF(A757="","",IFERROR(SMALL(IF((('KG1-2'!$AD16:$IM16="غياب بدون عذر")+('KG1-2'!$AD16:$IM16="غياب بعذر"))*('KG1-2'!$AD$7:$IM$7="✓"),'KG1-2'!$AD$5:$IM$5),16),""))</f>
        <v/>
      </c>
      <c r="E757">
        <f>IF(D757="","",INDEX('KG1-2'!$AD16:$IM16,MATCH(D757,'KG1-2'!$AD$5:$IM$5,0)))</f>
        <v/>
      </c>
      <c r="F757">
        <f>IF(D757="","",COUNTIFS('KG1-2'!$AD16:$IM16,"غياب بدون عذر",'KG1-2'!$AD$7:$IM$7,"✓",'KG1-2'!$AD$5:$IM$5,"&lt;="&amp;D757))</f>
        <v/>
      </c>
      <c r="G757">
        <f>G756+IF(D757="",0,1)</f>
        <v/>
      </c>
    </row>
    <row r="758">
      <c r="A758">
        <f>IF('KG1-2'!$B16="","",'KG1-2'!$B16)</f>
        <v/>
      </c>
      <c r="B758">
        <f>IF(A758="","",'KG1-2'!$C16)</f>
        <v/>
      </c>
      <c r="C758">
        <f>IF(A758="","",'KG1-2'!$B$2)</f>
        <v/>
      </c>
      <c r="D758" s="126">
        <f t="array" ref="D758">IF(A758="","",IFERROR(SMALL(IF((('KG1-2'!$AD16:$IM16="غياب بدون عذر")+('KG1-2'!$AD16:$IM16="غياب بعذر"))*('KG1-2'!$AD$7:$IM$7="✓"),'KG1-2'!$AD$5:$IM$5),17),""))</f>
        <v/>
      </c>
      <c r="E758">
        <f>IF(D758="","",INDEX('KG1-2'!$AD16:$IM16,MATCH(D758,'KG1-2'!$AD$5:$IM$5,0)))</f>
        <v/>
      </c>
      <c r="F758">
        <f>IF(D758="","",COUNTIFS('KG1-2'!$AD16:$IM16,"غياب بدون عذر",'KG1-2'!$AD$7:$IM$7,"✓",'KG1-2'!$AD$5:$IM$5,"&lt;="&amp;D758))</f>
        <v/>
      </c>
      <c r="G758">
        <f>G757+IF(D758="",0,1)</f>
        <v/>
      </c>
    </row>
    <row r="759">
      <c r="A759">
        <f>IF('KG1-2'!$B16="","",'KG1-2'!$B16)</f>
        <v/>
      </c>
      <c r="B759">
        <f>IF(A759="","",'KG1-2'!$C16)</f>
        <v/>
      </c>
      <c r="C759">
        <f>IF(A759="","",'KG1-2'!$B$2)</f>
        <v/>
      </c>
      <c r="D759" s="126">
        <f t="array" ref="D759">IF(A759="","",IFERROR(SMALL(IF((('KG1-2'!$AD16:$IM16="غياب بدون عذر")+('KG1-2'!$AD16:$IM16="غياب بعذر"))*('KG1-2'!$AD$7:$IM$7="✓"),'KG1-2'!$AD$5:$IM$5),18),""))</f>
        <v/>
      </c>
      <c r="E759">
        <f>IF(D759="","",INDEX('KG1-2'!$AD16:$IM16,MATCH(D759,'KG1-2'!$AD$5:$IM$5,0)))</f>
        <v/>
      </c>
      <c r="F759">
        <f>IF(D759="","",COUNTIFS('KG1-2'!$AD16:$IM16,"غياب بدون عذر",'KG1-2'!$AD$7:$IM$7,"✓",'KG1-2'!$AD$5:$IM$5,"&lt;="&amp;D759))</f>
        <v/>
      </c>
      <c r="G759">
        <f>G758+IF(D759="",0,1)</f>
        <v/>
      </c>
    </row>
    <row r="760">
      <c r="A760">
        <f>IF('KG1-2'!$B16="","",'KG1-2'!$B16)</f>
        <v/>
      </c>
      <c r="B760">
        <f>IF(A760="","",'KG1-2'!$C16)</f>
        <v/>
      </c>
      <c r="C760">
        <f>IF(A760="","",'KG1-2'!$B$2)</f>
        <v/>
      </c>
      <c r="D760" s="126">
        <f t="array" ref="D760">IF(A760="","",IFERROR(SMALL(IF((('KG1-2'!$AD16:$IM16="غياب بدون عذر")+('KG1-2'!$AD16:$IM16="غياب بعذر"))*('KG1-2'!$AD$7:$IM$7="✓"),'KG1-2'!$AD$5:$IM$5),19),""))</f>
        <v/>
      </c>
      <c r="E760">
        <f>IF(D760="","",INDEX('KG1-2'!$AD16:$IM16,MATCH(D760,'KG1-2'!$AD$5:$IM$5,0)))</f>
        <v/>
      </c>
      <c r="F760">
        <f>IF(D760="","",COUNTIFS('KG1-2'!$AD16:$IM16,"غياب بدون عذر",'KG1-2'!$AD$7:$IM$7,"✓",'KG1-2'!$AD$5:$IM$5,"&lt;="&amp;D760))</f>
        <v/>
      </c>
      <c r="G760">
        <f>G759+IF(D760="",0,1)</f>
        <v/>
      </c>
    </row>
    <row r="761">
      <c r="A761">
        <f>IF('KG1-2'!$B16="","",'KG1-2'!$B16)</f>
        <v/>
      </c>
      <c r="B761">
        <f>IF(A761="","",'KG1-2'!$C16)</f>
        <v/>
      </c>
      <c r="C761">
        <f>IF(A761="","",'KG1-2'!$B$2)</f>
        <v/>
      </c>
      <c r="D761" s="126">
        <f t="array" ref="D761">IF(A761="","",IFERROR(SMALL(IF((('KG1-2'!$AD16:$IM16="غياب بدون عذر")+('KG1-2'!$AD16:$IM16="غياب بعذر"))*('KG1-2'!$AD$7:$IM$7="✓"),'KG1-2'!$AD$5:$IM$5),20),""))</f>
        <v/>
      </c>
      <c r="E761">
        <f>IF(D761="","",INDEX('KG1-2'!$AD16:$IM16,MATCH(D761,'KG1-2'!$AD$5:$IM$5,0)))</f>
        <v/>
      </c>
      <c r="F761">
        <f>IF(D761="","",COUNTIFS('KG1-2'!$AD16:$IM16,"غياب بدون عذر",'KG1-2'!$AD$7:$IM$7,"✓",'KG1-2'!$AD$5:$IM$5,"&lt;="&amp;D761))</f>
        <v/>
      </c>
      <c r="G761">
        <f>G760+IF(D761="",0,1)</f>
        <v/>
      </c>
    </row>
    <row r="762">
      <c r="A762">
        <f>IF('KG1-2'!$B17="","",'KG1-2'!$B17)</f>
        <v/>
      </c>
      <c r="B762">
        <f>IF(A762="","",'KG1-2'!$C17)</f>
        <v/>
      </c>
      <c r="C762">
        <f>IF(A762="","",'KG1-2'!$B$2)</f>
        <v/>
      </c>
      <c r="D762" s="126">
        <f t="array" ref="D762">IF(A762="","",IFERROR(SMALL(IF((('KG1-2'!$AD17:$IM17="غياب بدون عذر")+('KG1-2'!$AD17:$IM17="غياب بعذر"))*('KG1-2'!$AD$7:$IM$7="✓"),'KG1-2'!$AD$5:$IM$5),1),""))</f>
        <v/>
      </c>
      <c r="E762">
        <f>IF(D762="","",INDEX('KG1-2'!$AD17:$IM17,MATCH(D762,'KG1-2'!$AD$5:$IM$5,0)))</f>
        <v/>
      </c>
      <c r="F762">
        <f>IF(D762="","",COUNTIFS('KG1-2'!$AD17:$IM17,"غياب بدون عذر",'KG1-2'!$AD$7:$IM$7,"✓",'KG1-2'!$AD$5:$IM$5,"&lt;="&amp;D762))</f>
        <v/>
      </c>
      <c r="G762">
        <f>G761+IF(D762="",0,1)</f>
        <v/>
      </c>
    </row>
    <row r="763">
      <c r="A763">
        <f>IF('KG1-2'!$B17="","",'KG1-2'!$B17)</f>
        <v/>
      </c>
      <c r="B763">
        <f>IF(A763="","",'KG1-2'!$C17)</f>
        <v/>
      </c>
      <c r="C763">
        <f>IF(A763="","",'KG1-2'!$B$2)</f>
        <v/>
      </c>
      <c r="D763" s="126">
        <f t="array" ref="D763">IF(A763="","",IFERROR(SMALL(IF((('KG1-2'!$AD17:$IM17="غياب بدون عذر")+('KG1-2'!$AD17:$IM17="غياب بعذر"))*('KG1-2'!$AD$7:$IM$7="✓"),'KG1-2'!$AD$5:$IM$5),2),""))</f>
        <v/>
      </c>
      <c r="E763">
        <f>IF(D763="","",INDEX('KG1-2'!$AD17:$IM17,MATCH(D763,'KG1-2'!$AD$5:$IM$5,0)))</f>
        <v/>
      </c>
      <c r="F763">
        <f>IF(D763="","",COUNTIFS('KG1-2'!$AD17:$IM17,"غياب بدون عذر",'KG1-2'!$AD$7:$IM$7,"✓",'KG1-2'!$AD$5:$IM$5,"&lt;="&amp;D763))</f>
        <v/>
      </c>
      <c r="G763">
        <f>G762+IF(D763="",0,1)</f>
        <v/>
      </c>
    </row>
    <row r="764">
      <c r="A764">
        <f>IF('KG1-2'!$B17="","",'KG1-2'!$B17)</f>
        <v/>
      </c>
      <c r="B764">
        <f>IF(A764="","",'KG1-2'!$C17)</f>
        <v/>
      </c>
      <c r="C764">
        <f>IF(A764="","",'KG1-2'!$B$2)</f>
        <v/>
      </c>
      <c r="D764" s="126">
        <f t="array" ref="D764">IF(A764="","",IFERROR(SMALL(IF((('KG1-2'!$AD17:$IM17="غياب بدون عذر")+('KG1-2'!$AD17:$IM17="غياب بعذر"))*('KG1-2'!$AD$7:$IM$7="✓"),'KG1-2'!$AD$5:$IM$5),3),""))</f>
        <v/>
      </c>
      <c r="E764">
        <f>IF(D764="","",INDEX('KG1-2'!$AD17:$IM17,MATCH(D764,'KG1-2'!$AD$5:$IM$5,0)))</f>
        <v/>
      </c>
      <c r="F764">
        <f>IF(D764="","",COUNTIFS('KG1-2'!$AD17:$IM17,"غياب بدون عذر",'KG1-2'!$AD$7:$IM$7,"✓",'KG1-2'!$AD$5:$IM$5,"&lt;="&amp;D764))</f>
        <v/>
      </c>
      <c r="G764">
        <f>G763+IF(D764="",0,1)</f>
        <v/>
      </c>
    </row>
    <row r="765">
      <c r="A765">
        <f>IF('KG1-2'!$B17="","",'KG1-2'!$B17)</f>
        <v/>
      </c>
      <c r="B765">
        <f>IF(A765="","",'KG1-2'!$C17)</f>
        <v/>
      </c>
      <c r="C765">
        <f>IF(A765="","",'KG1-2'!$B$2)</f>
        <v/>
      </c>
      <c r="D765" s="126">
        <f t="array" ref="D765">IF(A765="","",IFERROR(SMALL(IF((('KG1-2'!$AD17:$IM17="غياب بدون عذر")+('KG1-2'!$AD17:$IM17="غياب بعذر"))*('KG1-2'!$AD$7:$IM$7="✓"),'KG1-2'!$AD$5:$IM$5),4),""))</f>
        <v/>
      </c>
      <c r="E765">
        <f>IF(D765="","",INDEX('KG1-2'!$AD17:$IM17,MATCH(D765,'KG1-2'!$AD$5:$IM$5,0)))</f>
        <v/>
      </c>
      <c r="F765">
        <f>IF(D765="","",COUNTIFS('KG1-2'!$AD17:$IM17,"غياب بدون عذر",'KG1-2'!$AD$7:$IM$7,"✓",'KG1-2'!$AD$5:$IM$5,"&lt;="&amp;D765))</f>
        <v/>
      </c>
      <c r="G765">
        <f>G764+IF(D765="",0,1)</f>
        <v/>
      </c>
    </row>
    <row r="766">
      <c r="A766">
        <f>IF('KG1-2'!$B17="","",'KG1-2'!$B17)</f>
        <v/>
      </c>
      <c r="B766">
        <f>IF(A766="","",'KG1-2'!$C17)</f>
        <v/>
      </c>
      <c r="C766">
        <f>IF(A766="","",'KG1-2'!$B$2)</f>
        <v/>
      </c>
      <c r="D766" s="126">
        <f t="array" ref="D766">IF(A766="","",IFERROR(SMALL(IF((('KG1-2'!$AD17:$IM17="غياب بدون عذر")+('KG1-2'!$AD17:$IM17="غياب بعذر"))*('KG1-2'!$AD$7:$IM$7="✓"),'KG1-2'!$AD$5:$IM$5),5),""))</f>
        <v/>
      </c>
      <c r="E766">
        <f>IF(D766="","",INDEX('KG1-2'!$AD17:$IM17,MATCH(D766,'KG1-2'!$AD$5:$IM$5,0)))</f>
        <v/>
      </c>
      <c r="F766">
        <f>IF(D766="","",COUNTIFS('KG1-2'!$AD17:$IM17,"غياب بدون عذر",'KG1-2'!$AD$7:$IM$7,"✓",'KG1-2'!$AD$5:$IM$5,"&lt;="&amp;D766))</f>
        <v/>
      </c>
      <c r="G766">
        <f>G765+IF(D766="",0,1)</f>
        <v/>
      </c>
    </row>
    <row r="767">
      <c r="A767">
        <f>IF('KG1-2'!$B17="","",'KG1-2'!$B17)</f>
        <v/>
      </c>
      <c r="B767">
        <f>IF(A767="","",'KG1-2'!$C17)</f>
        <v/>
      </c>
      <c r="C767">
        <f>IF(A767="","",'KG1-2'!$B$2)</f>
        <v/>
      </c>
      <c r="D767" s="126">
        <f t="array" ref="D767">IF(A767="","",IFERROR(SMALL(IF((('KG1-2'!$AD17:$IM17="غياب بدون عذر")+('KG1-2'!$AD17:$IM17="غياب بعذر"))*('KG1-2'!$AD$7:$IM$7="✓"),'KG1-2'!$AD$5:$IM$5),6),""))</f>
        <v/>
      </c>
      <c r="E767">
        <f>IF(D767="","",INDEX('KG1-2'!$AD17:$IM17,MATCH(D767,'KG1-2'!$AD$5:$IM$5,0)))</f>
        <v/>
      </c>
      <c r="F767">
        <f>IF(D767="","",COUNTIFS('KG1-2'!$AD17:$IM17,"غياب بدون عذر",'KG1-2'!$AD$7:$IM$7,"✓",'KG1-2'!$AD$5:$IM$5,"&lt;="&amp;D767))</f>
        <v/>
      </c>
      <c r="G767">
        <f>G766+IF(D767="",0,1)</f>
        <v/>
      </c>
    </row>
    <row r="768">
      <c r="A768">
        <f>IF('KG1-2'!$B17="","",'KG1-2'!$B17)</f>
        <v/>
      </c>
      <c r="B768">
        <f>IF(A768="","",'KG1-2'!$C17)</f>
        <v/>
      </c>
      <c r="C768">
        <f>IF(A768="","",'KG1-2'!$B$2)</f>
        <v/>
      </c>
      <c r="D768" s="126">
        <f t="array" ref="D768">IF(A768="","",IFERROR(SMALL(IF((('KG1-2'!$AD17:$IM17="غياب بدون عذر")+('KG1-2'!$AD17:$IM17="غياب بعذر"))*('KG1-2'!$AD$7:$IM$7="✓"),'KG1-2'!$AD$5:$IM$5),7),""))</f>
        <v/>
      </c>
      <c r="E768">
        <f>IF(D768="","",INDEX('KG1-2'!$AD17:$IM17,MATCH(D768,'KG1-2'!$AD$5:$IM$5,0)))</f>
        <v/>
      </c>
      <c r="F768">
        <f>IF(D768="","",COUNTIFS('KG1-2'!$AD17:$IM17,"غياب بدون عذر",'KG1-2'!$AD$7:$IM$7,"✓",'KG1-2'!$AD$5:$IM$5,"&lt;="&amp;D768))</f>
        <v/>
      </c>
      <c r="G768">
        <f>G767+IF(D768="",0,1)</f>
        <v/>
      </c>
    </row>
    <row r="769">
      <c r="A769">
        <f>IF('KG1-2'!$B17="","",'KG1-2'!$B17)</f>
        <v/>
      </c>
      <c r="B769">
        <f>IF(A769="","",'KG1-2'!$C17)</f>
        <v/>
      </c>
      <c r="C769">
        <f>IF(A769="","",'KG1-2'!$B$2)</f>
        <v/>
      </c>
      <c r="D769" s="126">
        <f t="array" ref="D769">IF(A769="","",IFERROR(SMALL(IF((('KG1-2'!$AD17:$IM17="غياب بدون عذر")+('KG1-2'!$AD17:$IM17="غياب بعذر"))*('KG1-2'!$AD$7:$IM$7="✓"),'KG1-2'!$AD$5:$IM$5),8),""))</f>
        <v/>
      </c>
      <c r="E769">
        <f>IF(D769="","",INDEX('KG1-2'!$AD17:$IM17,MATCH(D769,'KG1-2'!$AD$5:$IM$5,0)))</f>
        <v/>
      </c>
      <c r="F769">
        <f>IF(D769="","",COUNTIFS('KG1-2'!$AD17:$IM17,"غياب بدون عذر",'KG1-2'!$AD$7:$IM$7,"✓",'KG1-2'!$AD$5:$IM$5,"&lt;="&amp;D769))</f>
        <v/>
      </c>
      <c r="G769">
        <f>G768+IF(D769="",0,1)</f>
        <v/>
      </c>
    </row>
    <row r="770">
      <c r="A770">
        <f>IF('KG1-2'!$B17="","",'KG1-2'!$B17)</f>
        <v/>
      </c>
      <c r="B770">
        <f>IF(A770="","",'KG1-2'!$C17)</f>
        <v/>
      </c>
      <c r="C770">
        <f>IF(A770="","",'KG1-2'!$B$2)</f>
        <v/>
      </c>
      <c r="D770" s="126">
        <f t="array" ref="D770">IF(A770="","",IFERROR(SMALL(IF((('KG1-2'!$AD17:$IM17="غياب بدون عذر")+('KG1-2'!$AD17:$IM17="غياب بعذر"))*('KG1-2'!$AD$7:$IM$7="✓"),'KG1-2'!$AD$5:$IM$5),9),""))</f>
        <v/>
      </c>
      <c r="E770">
        <f>IF(D770="","",INDEX('KG1-2'!$AD17:$IM17,MATCH(D770,'KG1-2'!$AD$5:$IM$5,0)))</f>
        <v/>
      </c>
      <c r="F770">
        <f>IF(D770="","",COUNTIFS('KG1-2'!$AD17:$IM17,"غياب بدون عذر",'KG1-2'!$AD$7:$IM$7,"✓",'KG1-2'!$AD$5:$IM$5,"&lt;="&amp;D770))</f>
        <v/>
      </c>
      <c r="G770">
        <f>G769+IF(D770="",0,1)</f>
        <v/>
      </c>
    </row>
    <row r="771">
      <c r="A771">
        <f>IF('KG1-2'!$B17="","",'KG1-2'!$B17)</f>
        <v/>
      </c>
      <c r="B771">
        <f>IF(A771="","",'KG1-2'!$C17)</f>
        <v/>
      </c>
      <c r="C771">
        <f>IF(A771="","",'KG1-2'!$B$2)</f>
        <v/>
      </c>
      <c r="D771" s="126">
        <f t="array" ref="D771">IF(A771="","",IFERROR(SMALL(IF((('KG1-2'!$AD17:$IM17="غياب بدون عذر")+('KG1-2'!$AD17:$IM17="غياب بعذر"))*('KG1-2'!$AD$7:$IM$7="✓"),'KG1-2'!$AD$5:$IM$5),10),""))</f>
        <v/>
      </c>
      <c r="E771">
        <f>IF(D771="","",INDEX('KG1-2'!$AD17:$IM17,MATCH(D771,'KG1-2'!$AD$5:$IM$5,0)))</f>
        <v/>
      </c>
      <c r="F771">
        <f>IF(D771="","",COUNTIFS('KG1-2'!$AD17:$IM17,"غياب بدون عذر",'KG1-2'!$AD$7:$IM$7,"✓",'KG1-2'!$AD$5:$IM$5,"&lt;="&amp;D771))</f>
        <v/>
      </c>
      <c r="G771">
        <f>G770+IF(D771="",0,1)</f>
        <v/>
      </c>
    </row>
    <row r="772">
      <c r="A772">
        <f>IF('KG1-2'!$B17="","",'KG1-2'!$B17)</f>
        <v/>
      </c>
      <c r="B772">
        <f>IF(A772="","",'KG1-2'!$C17)</f>
        <v/>
      </c>
      <c r="C772">
        <f>IF(A772="","",'KG1-2'!$B$2)</f>
        <v/>
      </c>
      <c r="D772" s="126">
        <f t="array" ref="D772">IF(A772="","",IFERROR(SMALL(IF((('KG1-2'!$AD17:$IM17="غياب بدون عذر")+('KG1-2'!$AD17:$IM17="غياب بعذر"))*('KG1-2'!$AD$7:$IM$7="✓"),'KG1-2'!$AD$5:$IM$5),11),""))</f>
        <v/>
      </c>
      <c r="E772">
        <f>IF(D772="","",INDEX('KG1-2'!$AD17:$IM17,MATCH(D772,'KG1-2'!$AD$5:$IM$5,0)))</f>
        <v/>
      </c>
      <c r="F772">
        <f>IF(D772="","",COUNTIFS('KG1-2'!$AD17:$IM17,"غياب بدون عذر",'KG1-2'!$AD$7:$IM$7,"✓",'KG1-2'!$AD$5:$IM$5,"&lt;="&amp;D772))</f>
        <v/>
      </c>
      <c r="G772">
        <f>G771+IF(D772="",0,1)</f>
        <v/>
      </c>
    </row>
    <row r="773">
      <c r="A773">
        <f>IF('KG1-2'!$B17="","",'KG1-2'!$B17)</f>
        <v/>
      </c>
      <c r="B773">
        <f>IF(A773="","",'KG1-2'!$C17)</f>
        <v/>
      </c>
      <c r="C773">
        <f>IF(A773="","",'KG1-2'!$B$2)</f>
        <v/>
      </c>
      <c r="D773" s="126">
        <f t="array" ref="D773">IF(A773="","",IFERROR(SMALL(IF((('KG1-2'!$AD17:$IM17="غياب بدون عذر")+('KG1-2'!$AD17:$IM17="غياب بعذر"))*('KG1-2'!$AD$7:$IM$7="✓"),'KG1-2'!$AD$5:$IM$5),12),""))</f>
        <v/>
      </c>
      <c r="E773">
        <f>IF(D773="","",INDEX('KG1-2'!$AD17:$IM17,MATCH(D773,'KG1-2'!$AD$5:$IM$5,0)))</f>
        <v/>
      </c>
      <c r="F773">
        <f>IF(D773="","",COUNTIFS('KG1-2'!$AD17:$IM17,"غياب بدون عذر",'KG1-2'!$AD$7:$IM$7,"✓",'KG1-2'!$AD$5:$IM$5,"&lt;="&amp;D773))</f>
        <v/>
      </c>
      <c r="G773">
        <f>G772+IF(D773="",0,1)</f>
        <v/>
      </c>
    </row>
    <row r="774">
      <c r="A774">
        <f>IF('KG1-2'!$B17="","",'KG1-2'!$B17)</f>
        <v/>
      </c>
      <c r="B774">
        <f>IF(A774="","",'KG1-2'!$C17)</f>
        <v/>
      </c>
      <c r="C774">
        <f>IF(A774="","",'KG1-2'!$B$2)</f>
        <v/>
      </c>
      <c r="D774" s="126">
        <f t="array" ref="D774">IF(A774="","",IFERROR(SMALL(IF((('KG1-2'!$AD17:$IM17="غياب بدون عذر")+('KG1-2'!$AD17:$IM17="غياب بعذر"))*('KG1-2'!$AD$7:$IM$7="✓"),'KG1-2'!$AD$5:$IM$5),13),""))</f>
        <v/>
      </c>
      <c r="E774">
        <f>IF(D774="","",INDEX('KG1-2'!$AD17:$IM17,MATCH(D774,'KG1-2'!$AD$5:$IM$5,0)))</f>
        <v/>
      </c>
      <c r="F774">
        <f>IF(D774="","",COUNTIFS('KG1-2'!$AD17:$IM17,"غياب بدون عذر",'KG1-2'!$AD$7:$IM$7,"✓",'KG1-2'!$AD$5:$IM$5,"&lt;="&amp;D774))</f>
        <v/>
      </c>
      <c r="G774">
        <f>G773+IF(D774="",0,1)</f>
        <v/>
      </c>
    </row>
    <row r="775">
      <c r="A775">
        <f>IF('KG1-2'!$B17="","",'KG1-2'!$B17)</f>
        <v/>
      </c>
      <c r="B775">
        <f>IF(A775="","",'KG1-2'!$C17)</f>
        <v/>
      </c>
      <c r="C775">
        <f>IF(A775="","",'KG1-2'!$B$2)</f>
        <v/>
      </c>
      <c r="D775" s="126">
        <f t="array" ref="D775">IF(A775="","",IFERROR(SMALL(IF((('KG1-2'!$AD17:$IM17="غياب بدون عذر")+('KG1-2'!$AD17:$IM17="غياب بعذر"))*('KG1-2'!$AD$7:$IM$7="✓"),'KG1-2'!$AD$5:$IM$5),14),""))</f>
        <v/>
      </c>
      <c r="E775">
        <f>IF(D775="","",INDEX('KG1-2'!$AD17:$IM17,MATCH(D775,'KG1-2'!$AD$5:$IM$5,0)))</f>
        <v/>
      </c>
      <c r="F775">
        <f>IF(D775="","",COUNTIFS('KG1-2'!$AD17:$IM17,"غياب بدون عذر",'KG1-2'!$AD$7:$IM$7,"✓",'KG1-2'!$AD$5:$IM$5,"&lt;="&amp;D775))</f>
        <v/>
      </c>
      <c r="G775">
        <f>G774+IF(D775="",0,1)</f>
        <v/>
      </c>
    </row>
    <row r="776">
      <c r="A776">
        <f>IF('KG1-2'!$B17="","",'KG1-2'!$B17)</f>
        <v/>
      </c>
      <c r="B776">
        <f>IF(A776="","",'KG1-2'!$C17)</f>
        <v/>
      </c>
      <c r="C776">
        <f>IF(A776="","",'KG1-2'!$B$2)</f>
        <v/>
      </c>
      <c r="D776" s="126">
        <f t="array" ref="D776">IF(A776="","",IFERROR(SMALL(IF((('KG1-2'!$AD17:$IM17="غياب بدون عذر")+('KG1-2'!$AD17:$IM17="غياب بعذر"))*('KG1-2'!$AD$7:$IM$7="✓"),'KG1-2'!$AD$5:$IM$5),15),""))</f>
        <v/>
      </c>
      <c r="E776">
        <f>IF(D776="","",INDEX('KG1-2'!$AD17:$IM17,MATCH(D776,'KG1-2'!$AD$5:$IM$5,0)))</f>
        <v/>
      </c>
      <c r="F776">
        <f>IF(D776="","",COUNTIFS('KG1-2'!$AD17:$IM17,"غياب بدون عذر",'KG1-2'!$AD$7:$IM$7,"✓",'KG1-2'!$AD$5:$IM$5,"&lt;="&amp;D776))</f>
        <v/>
      </c>
      <c r="G776">
        <f>G775+IF(D776="",0,1)</f>
        <v/>
      </c>
    </row>
    <row r="777">
      <c r="A777">
        <f>IF('KG1-2'!$B17="","",'KG1-2'!$B17)</f>
        <v/>
      </c>
      <c r="B777">
        <f>IF(A777="","",'KG1-2'!$C17)</f>
        <v/>
      </c>
      <c r="C777">
        <f>IF(A777="","",'KG1-2'!$B$2)</f>
        <v/>
      </c>
      <c r="D777" s="126">
        <f t="array" ref="D777">IF(A777="","",IFERROR(SMALL(IF((('KG1-2'!$AD17:$IM17="غياب بدون عذر")+('KG1-2'!$AD17:$IM17="غياب بعذر"))*('KG1-2'!$AD$7:$IM$7="✓"),'KG1-2'!$AD$5:$IM$5),16),""))</f>
        <v/>
      </c>
      <c r="E777">
        <f>IF(D777="","",INDEX('KG1-2'!$AD17:$IM17,MATCH(D777,'KG1-2'!$AD$5:$IM$5,0)))</f>
        <v/>
      </c>
      <c r="F777">
        <f>IF(D777="","",COUNTIFS('KG1-2'!$AD17:$IM17,"غياب بدون عذر",'KG1-2'!$AD$7:$IM$7,"✓",'KG1-2'!$AD$5:$IM$5,"&lt;="&amp;D777))</f>
        <v/>
      </c>
      <c r="G777">
        <f>G776+IF(D777="",0,1)</f>
        <v/>
      </c>
    </row>
    <row r="778">
      <c r="A778">
        <f>IF('KG1-2'!$B17="","",'KG1-2'!$B17)</f>
        <v/>
      </c>
      <c r="B778">
        <f>IF(A778="","",'KG1-2'!$C17)</f>
        <v/>
      </c>
      <c r="C778">
        <f>IF(A778="","",'KG1-2'!$B$2)</f>
        <v/>
      </c>
      <c r="D778" s="126">
        <f t="array" ref="D778">IF(A778="","",IFERROR(SMALL(IF((('KG1-2'!$AD17:$IM17="غياب بدون عذر")+('KG1-2'!$AD17:$IM17="غياب بعذر"))*('KG1-2'!$AD$7:$IM$7="✓"),'KG1-2'!$AD$5:$IM$5),17),""))</f>
        <v/>
      </c>
      <c r="E778">
        <f>IF(D778="","",INDEX('KG1-2'!$AD17:$IM17,MATCH(D778,'KG1-2'!$AD$5:$IM$5,0)))</f>
        <v/>
      </c>
      <c r="F778">
        <f>IF(D778="","",COUNTIFS('KG1-2'!$AD17:$IM17,"غياب بدون عذر",'KG1-2'!$AD$7:$IM$7,"✓",'KG1-2'!$AD$5:$IM$5,"&lt;="&amp;D778))</f>
        <v/>
      </c>
      <c r="G778">
        <f>G777+IF(D778="",0,1)</f>
        <v/>
      </c>
    </row>
    <row r="779">
      <c r="A779">
        <f>IF('KG1-2'!$B17="","",'KG1-2'!$B17)</f>
        <v/>
      </c>
      <c r="B779">
        <f>IF(A779="","",'KG1-2'!$C17)</f>
        <v/>
      </c>
      <c r="C779">
        <f>IF(A779="","",'KG1-2'!$B$2)</f>
        <v/>
      </c>
      <c r="D779" s="126">
        <f t="array" ref="D779">IF(A779="","",IFERROR(SMALL(IF((('KG1-2'!$AD17:$IM17="غياب بدون عذر")+('KG1-2'!$AD17:$IM17="غياب بعذر"))*('KG1-2'!$AD$7:$IM$7="✓"),'KG1-2'!$AD$5:$IM$5),18),""))</f>
        <v/>
      </c>
      <c r="E779">
        <f>IF(D779="","",INDEX('KG1-2'!$AD17:$IM17,MATCH(D779,'KG1-2'!$AD$5:$IM$5,0)))</f>
        <v/>
      </c>
      <c r="F779">
        <f>IF(D779="","",COUNTIFS('KG1-2'!$AD17:$IM17,"غياب بدون عذر",'KG1-2'!$AD$7:$IM$7,"✓",'KG1-2'!$AD$5:$IM$5,"&lt;="&amp;D779))</f>
        <v/>
      </c>
      <c r="G779">
        <f>G778+IF(D779="",0,1)</f>
        <v/>
      </c>
    </row>
    <row r="780">
      <c r="A780">
        <f>IF('KG1-2'!$B17="","",'KG1-2'!$B17)</f>
        <v/>
      </c>
      <c r="B780">
        <f>IF(A780="","",'KG1-2'!$C17)</f>
        <v/>
      </c>
      <c r="C780">
        <f>IF(A780="","",'KG1-2'!$B$2)</f>
        <v/>
      </c>
      <c r="D780" s="126">
        <f t="array" ref="D780">IF(A780="","",IFERROR(SMALL(IF((('KG1-2'!$AD17:$IM17="غياب بدون عذر")+('KG1-2'!$AD17:$IM17="غياب بعذر"))*('KG1-2'!$AD$7:$IM$7="✓"),'KG1-2'!$AD$5:$IM$5),19),""))</f>
        <v/>
      </c>
      <c r="E780">
        <f>IF(D780="","",INDEX('KG1-2'!$AD17:$IM17,MATCH(D780,'KG1-2'!$AD$5:$IM$5,0)))</f>
        <v/>
      </c>
      <c r="F780">
        <f>IF(D780="","",COUNTIFS('KG1-2'!$AD17:$IM17,"غياب بدون عذر",'KG1-2'!$AD$7:$IM$7,"✓",'KG1-2'!$AD$5:$IM$5,"&lt;="&amp;D780))</f>
        <v/>
      </c>
      <c r="G780">
        <f>G779+IF(D780="",0,1)</f>
        <v/>
      </c>
    </row>
    <row r="781">
      <c r="A781">
        <f>IF('KG1-2'!$B17="","",'KG1-2'!$B17)</f>
        <v/>
      </c>
      <c r="B781">
        <f>IF(A781="","",'KG1-2'!$C17)</f>
        <v/>
      </c>
      <c r="C781">
        <f>IF(A781="","",'KG1-2'!$B$2)</f>
        <v/>
      </c>
      <c r="D781" s="126">
        <f t="array" ref="D781">IF(A781="","",IFERROR(SMALL(IF((('KG1-2'!$AD17:$IM17="غياب بدون عذر")+('KG1-2'!$AD17:$IM17="غياب بعذر"))*('KG1-2'!$AD$7:$IM$7="✓"),'KG1-2'!$AD$5:$IM$5),20),""))</f>
        <v/>
      </c>
      <c r="E781">
        <f>IF(D781="","",INDEX('KG1-2'!$AD17:$IM17,MATCH(D781,'KG1-2'!$AD$5:$IM$5,0)))</f>
        <v/>
      </c>
      <c r="F781">
        <f>IF(D781="","",COUNTIFS('KG1-2'!$AD17:$IM17,"غياب بدون عذر",'KG1-2'!$AD$7:$IM$7,"✓",'KG1-2'!$AD$5:$IM$5,"&lt;="&amp;D781))</f>
        <v/>
      </c>
      <c r="G781">
        <f>G780+IF(D781="",0,1)</f>
        <v/>
      </c>
    </row>
    <row r="782">
      <c r="A782">
        <f>IF('KG1-2'!$B18="","",'KG1-2'!$B18)</f>
        <v/>
      </c>
      <c r="B782">
        <f>IF(A782="","",'KG1-2'!$C18)</f>
        <v/>
      </c>
      <c r="C782">
        <f>IF(A782="","",'KG1-2'!$B$2)</f>
        <v/>
      </c>
      <c r="D782" s="126">
        <f t="array" ref="D782">IF(A782="","",IFERROR(SMALL(IF((('KG1-2'!$AD18:$IM18="غياب بدون عذر")+('KG1-2'!$AD18:$IM18="غياب بعذر"))*('KG1-2'!$AD$7:$IM$7="✓"),'KG1-2'!$AD$5:$IM$5),1),""))</f>
        <v/>
      </c>
      <c r="E782">
        <f>IF(D782="","",INDEX('KG1-2'!$AD18:$IM18,MATCH(D782,'KG1-2'!$AD$5:$IM$5,0)))</f>
        <v/>
      </c>
      <c r="F782">
        <f>IF(D782="","",COUNTIFS('KG1-2'!$AD18:$IM18,"غياب بدون عذر",'KG1-2'!$AD$7:$IM$7,"✓",'KG1-2'!$AD$5:$IM$5,"&lt;="&amp;D782))</f>
        <v/>
      </c>
      <c r="G782">
        <f>G781+IF(D782="",0,1)</f>
        <v/>
      </c>
    </row>
    <row r="783">
      <c r="A783">
        <f>IF('KG1-2'!$B18="","",'KG1-2'!$B18)</f>
        <v/>
      </c>
      <c r="B783">
        <f>IF(A783="","",'KG1-2'!$C18)</f>
        <v/>
      </c>
      <c r="C783">
        <f>IF(A783="","",'KG1-2'!$B$2)</f>
        <v/>
      </c>
      <c r="D783" s="126">
        <f t="array" ref="D783">IF(A783="","",IFERROR(SMALL(IF((('KG1-2'!$AD18:$IM18="غياب بدون عذر")+('KG1-2'!$AD18:$IM18="غياب بعذر"))*('KG1-2'!$AD$7:$IM$7="✓"),'KG1-2'!$AD$5:$IM$5),2),""))</f>
        <v/>
      </c>
      <c r="E783">
        <f>IF(D783="","",INDEX('KG1-2'!$AD18:$IM18,MATCH(D783,'KG1-2'!$AD$5:$IM$5,0)))</f>
        <v/>
      </c>
      <c r="F783">
        <f>IF(D783="","",COUNTIFS('KG1-2'!$AD18:$IM18,"غياب بدون عذر",'KG1-2'!$AD$7:$IM$7,"✓",'KG1-2'!$AD$5:$IM$5,"&lt;="&amp;D783))</f>
        <v/>
      </c>
      <c r="G783">
        <f>G782+IF(D783="",0,1)</f>
        <v/>
      </c>
    </row>
    <row r="784">
      <c r="A784">
        <f>IF('KG1-2'!$B18="","",'KG1-2'!$B18)</f>
        <v/>
      </c>
      <c r="B784">
        <f>IF(A784="","",'KG1-2'!$C18)</f>
        <v/>
      </c>
      <c r="C784">
        <f>IF(A784="","",'KG1-2'!$B$2)</f>
        <v/>
      </c>
      <c r="D784" s="126">
        <f t="array" ref="D784">IF(A784="","",IFERROR(SMALL(IF((('KG1-2'!$AD18:$IM18="غياب بدون عذر")+('KG1-2'!$AD18:$IM18="غياب بعذر"))*('KG1-2'!$AD$7:$IM$7="✓"),'KG1-2'!$AD$5:$IM$5),3),""))</f>
        <v/>
      </c>
      <c r="E784">
        <f>IF(D784="","",INDEX('KG1-2'!$AD18:$IM18,MATCH(D784,'KG1-2'!$AD$5:$IM$5,0)))</f>
        <v/>
      </c>
      <c r="F784">
        <f>IF(D784="","",COUNTIFS('KG1-2'!$AD18:$IM18,"غياب بدون عذر",'KG1-2'!$AD$7:$IM$7,"✓",'KG1-2'!$AD$5:$IM$5,"&lt;="&amp;D784))</f>
        <v/>
      </c>
      <c r="G784">
        <f>G783+IF(D784="",0,1)</f>
        <v/>
      </c>
    </row>
    <row r="785">
      <c r="A785">
        <f>IF('KG1-2'!$B18="","",'KG1-2'!$B18)</f>
        <v/>
      </c>
      <c r="B785">
        <f>IF(A785="","",'KG1-2'!$C18)</f>
        <v/>
      </c>
      <c r="C785">
        <f>IF(A785="","",'KG1-2'!$B$2)</f>
        <v/>
      </c>
      <c r="D785" s="126">
        <f t="array" ref="D785">IF(A785="","",IFERROR(SMALL(IF((('KG1-2'!$AD18:$IM18="غياب بدون عذر")+('KG1-2'!$AD18:$IM18="غياب بعذر"))*('KG1-2'!$AD$7:$IM$7="✓"),'KG1-2'!$AD$5:$IM$5),4),""))</f>
        <v/>
      </c>
      <c r="E785">
        <f>IF(D785="","",INDEX('KG1-2'!$AD18:$IM18,MATCH(D785,'KG1-2'!$AD$5:$IM$5,0)))</f>
        <v/>
      </c>
      <c r="F785">
        <f>IF(D785="","",COUNTIFS('KG1-2'!$AD18:$IM18,"غياب بدون عذر",'KG1-2'!$AD$7:$IM$7,"✓",'KG1-2'!$AD$5:$IM$5,"&lt;="&amp;D785))</f>
        <v/>
      </c>
      <c r="G785">
        <f>G784+IF(D785="",0,1)</f>
        <v/>
      </c>
    </row>
    <row r="786">
      <c r="A786">
        <f>IF('KG1-2'!$B18="","",'KG1-2'!$B18)</f>
        <v/>
      </c>
      <c r="B786">
        <f>IF(A786="","",'KG1-2'!$C18)</f>
        <v/>
      </c>
      <c r="C786">
        <f>IF(A786="","",'KG1-2'!$B$2)</f>
        <v/>
      </c>
      <c r="D786" s="126">
        <f t="array" ref="D786">IF(A786="","",IFERROR(SMALL(IF((('KG1-2'!$AD18:$IM18="غياب بدون عذر")+('KG1-2'!$AD18:$IM18="غياب بعذر"))*('KG1-2'!$AD$7:$IM$7="✓"),'KG1-2'!$AD$5:$IM$5),5),""))</f>
        <v/>
      </c>
      <c r="E786">
        <f>IF(D786="","",INDEX('KG1-2'!$AD18:$IM18,MATCH(D786,'KG1-2'!$AD$5:$IM$5,0)))</f>
        <v/>
      </c>
      <c r="F786">
        <f>IF(D786="","",COUNTIFS('KG1-2'!$AD18:$IM18,"غياب بدون عذر",'KG1-2'!$AD$7:$IM$7,"✓",'KG1-2'!$AD$5:$IM$5,"&lt;="&amp;D786))</f>
        <v/>
      </c>
      <c r="G786">
        <f>G785+IF(D786="",0,1)</f>
        <v/>
      </c>
    </row>
    <row r="787">
      <c r="A787">
        <f>IF('KG1-2'!$B18="","",'KG1-2'!$B18)</f>
        <v/>
      </c>
      <c r="B787">
        <f>IF(A787="","",'KG1-2'!$C18)</f>
        <v/>
      </c>
      <c r="C787">
        <f>IF(A787="","",'KG1-2'!$B$2)</f>
        <v/>
      </c>
      <c r="D787" s="126">
        <f t="array" ref="D787">IF(A787="","",IFERROR(SMALL(IF((('KG1-2'!$AD18:$IM18="غياب بدون عذر")+('KG1-2'!$AD18:$IM18="غياب بعذر"))*('KG1-2'!$AD$7:$IM$7="✓"),'KG1-2'!$AD$5:$IM$5),6),""))</f>
        <v/>
      </c>
      <c r="E787">
        <f>IF(D787="","",INDEX('KG1-2'!$AD18:$IM18,MATCH(D787,'KG1-2'!$AD$5:$IM$5,0)))</f>
        <v/>
      </c>
      <c r="F787">
        <f>IF(D787="","",COUNTIFS('KG1-2'!$AD18:$IM18,"غياب بدون عذر",'KG1-2'!$AD$7:$IM$7,"✓",'KG1-2'!$AD$5:$IM$5,"&lt;="&amp;D787))</f>
        <v/>
      </c>
      <c r="G787">
        <f>G786+IF(D787="",0,1)</f>
        <v/>
      </c>
    </row>
    <row r="788">
      <c r="A788">
        <f>IF('KG1-2'!$B18="","",'KG1-2'!$B18)</f>
        <v/>
      </c>
      <c r="B788">
        <f>IF(A788="","",'KG1-2'!$C18)</f>
        <v/>
      </c>
      <c r="C788">
        <f>IF(A788="","",'KG1-2'!$B$2)</f>
        <v/>
      </c>
      <c r="D788" s="126">
        <f t="array" ref="D788">IF(A788="","",IFERROR(SMALL(IF((('KG1-2'!$AD18:$IM18="غياب بدون عذر")+('KG1-2'!$AD18:$IM18="غياب بعذر"))*('KG1-2'!$AD$7:$IM$7="✓"),'KG1-2'!$AD$5:$IM$5),7),""))</f>
        <v/>
      </c>
      <c r="E788">
        <f>IF(D788="","",INDEX('KG1-2'!$AD18:$IM18,MATCH(D788,'KG1-2'!$AD$5:$IM$5,0)))</f>
        <v/>
      </c>
      <c r="F788">
        <f>IF(D788="","",COUNTIFS('KG1-2'!$AD18:$IM18,"غياب بدون عذر",'KG1-2'!$AD$7:$IM$7,"✓",'KG1-2'!$AD$5:$IM$5,"&lt;="&amp;D788))</f>
        <v/>
      </c>
      <c r="G788">
        <f>G787+IF(D788="",0,1)</f>
        <v/>
      </c>
    </row>
    <row r="789">
      <c r="A789">
        <f>IF('KG1-2'!$B18="","",'KG1-2'!$B18)</f>
        <v/>
      </c>
      <c r="B789">
        <f>IF(A789="","",'KG1-2'!$C18)</f>
        <v/>
      </c>
      <c r="C789">
        <f>IF(A789="","",'KG1-2'!$B$2)</f>
        <v/>
      </c>
      <c r="D789" s="126">
        <f t="array" ref="D789">IF(A789="","",IFERROR(SMALL(IF((('KG1-2'!$AD18:$IM18="غياب بدون عذر")+('KG1-2'!$AD18:$IM18="غياب بعذر"))*('KG1-2'!$AD$7:$IM$7="✓"),'KG1-2'!$AD$5:$IM$5),8),""))</f>
        <v/>
      </c>
      <c r="E789">
        <f>IF(D789="","",INDEX('KG1-2'!$AD18:$IM18,MATCH(D789,'KG1-2'!$AD$5:$IM$5,0)))</f>
        <v/>
      </c>
      <c r="F789">
        <f>IF(D789="","",COUNTIFS('KG1-2'!$AD18:$IM18,"غياب بدون عذر",'KG1-2'!$AD$7:$IM$7,"✓",'KG1-2'!$AD$5:$IM$5,"&lt;="&amp;D789))</f>
        <v/>
      </c>
      <c r="G789">
        <f>G788+IF(D789="",0,1)</f>
        <v/>
      </c>
    </row>
    <row r="790">
      <c r="A790">
        <f>IF('KG1-2'!$B18="","",'KG1-2'!$B18)</f>
        <v/>
      </c>
      <c r="B790">
        <f>IF(A790="","",'KG1-2'!$C18)</f>
        <v/>
      </c>
      <c r="C790">
        <f>IF(A790="","",'KG1-2'!$B$2)</f>
        <v/>
      </c>
      <c r="D790" s="126">
        <f t="array" ref="D790">IF(A790="","",IFERROR(SMALL(IF((('KG1-2'!$AD18:$IM18="غياب بدون عذر")+('KG1-2'!$AD18:$IM18="غياب بعذر"))*('KG1-2'!$AD$7:$IM$7="✓"),'KG1-2'!$AD$5:$IM$5),9),""))</f>
        <v/>
      </c>
      <c r="E790">
        <f>IF(D790="","",INDEX('KG1-2'!$AD18:$IM18,MATCH(D790,'KG1-2'!$AD$5:$IM$5,0)))</f>
        <v/>
      </c>
      <c r="F790">
        <f>IF(D790="","",COUNTIFS('KG1-2'!$AD18:$IM18,"غياب بدون عذر",'KG1-2'!$AD$7:$IM$7,"✓",'KG1-2'!$AD$5:$IM$5,"&lt;="&amp;D790))</f>
        <v/>
      </c>
      <c r="G790">
        <f>G789+IF(D790="",0,1)</f>
        <v/>
      </c>
    </row>
    <row r="791">
      <c r="A791">
        <f>IF('KG1-2'!$B18="","",'KG1-2'!$B18)</f>
        <v/>
      </c>
      <c r="B791">
        <f>IF(A791="","",'KG1-2'!$C18)</f>
        <v/>
      </c>
      <c r="C791">
        <f>IF(A791="","",'KG1-2'!$B$2)</f>
        <v/>
      </c>
      <c r="D791" s="126">
        <f t="array" ref="D791">IF(A791="","",IFERROR(SMALL(IF((('KG1-2'!$AD18:$IM18="غياب بدون عذر")+('KG1-2'!$AD18:$IM18="غياب بعذر"))*('KG1-2'!$AD$7:$IM$7="✓"),'KG1-2'!$AD$5:$IM$5),10),""))</f>
        <v/>
      </c>
      <c r="E791">
        <f>IF(D791="","",INDEX('KG1-2'!$AD18:$IM18,MATCH(D791,'KG1-2'!$AD$5:$IM$5,0)))</f>
        <v/>
      </c>
      <c r="F791">
        <f>IF(D791="","",COUNTIFS('KG1-2'!$AD18:$IM18,"غياب بدون عذر",'KG1-2'!$AD$7:$IM$7,"✓",'KG1-2'!$AD$5:$IM$5,"&lt;="&amp;D791))</f>
        <v/>
      </c>
      <c r="G791">
        <f>G790+IF(D791="",0,1)</f>
        <v/>
      </c>
    </row>
    <row r="792">
      <c r="A792">
        <f>IF('KG1-2'!$B18="","",'KG1-2'!$B18)</f>
        <v/>
      </c>
      <c r="B792">
        <f>IF(A792="","",'KG1-2'!$C18)</f>
        <v/>
      </c>
      <c r="C792">
        <f>IF(A792="","",'KG1-2'!$B$2)</f>
        <v/>
      </c>
      <c r="D792" s="126">
        <f t="array" ref="D792">IF(A792="","",IFERROR(SMALL(IF((('KG1-2'!$AD18:$IM18="غياب بدون عذر")+('KG1-2'!$AD18:$IM18="غياب بعذر"))*('KG1-2'!$AD$7:$IM$7="✓"),'KG1-2'!$AD$5:$IM$5),11),""))</f>
        <v/>
      </c>
      <c r="E792">
        <f>IF(D792="","",INDEX('KG1-2'!$AD18:$IM18,MATCH(D792,'KG1-2'!$AD$5:$IM$5,0)))</f>
        <v/>
      </c>
      <c r="F792">
        <f>IF(D792="","",COUNTIFS('KG1-2'!$AD18:$IM18,"غياب بدون عذر",'KG1-2'!$AD$7:$IM$7,"✓",'KG1-2'!$AD$5:$IM$5,"&lt;="&amp;D792))</f>
        <v/>
      </c>
      <c r="G792">
        <f>G791+IF(D792="",0,1)</f>
        <v/>
      </c>
    </row>
    <row r="793">
      <c r="A793">
        <f>IF('KG1-2'!$B18="","",'KG1-2'!$B18)</f>
        <v/>
      </c>
      <c r="B793">
        <f>IF(A793="","",'KG1-2'!$C18)</f>
        <v/>
      </c>
      <c r="C793">
        <f>IF(A793="","",'KG1-2'!$B$2)</f>
        <v/>
      </c>
      <c r="D793" s="126">
        <f t="array" ref="D793">IF(A793="","",IFERROR(SMALL(IF((('KG1-2'!$AD18:$IM18="غياب بدون عذر")+('KG1-2'!$AD18:$IM18="غياب بعذر"))*('KG1-2'!$AD$7:$IM$7="✓"),'KG1-2'!$AD$5:$IM$5),12),""))</f>
        <v/>
      </c>
      <c r="E793">
        <f>IF(D793="","",INDEX('KG1-2'!$AD18:$IM18,MATCH(D793,'KG1-2'!$AD$5:$IM$5,0)))</f>
        <v/>
      </c>
      <c r="F793">
        <f>IF(D793="","",COUNTIFS('KG1-2'!$AD18:$IM18,"غياب بدون عذر",'KG1-2'!$AD$7:$IM$7,"✓",'KG1-2'!$AD$5:$IM$5,"&lt;="&amp;D793))</f>
        <v/>
      </c>
      <c r="G793">
        <f>G792+IF(D793="",0,1)</f>
        <v/>
      </c>
    </row>
    <row r="794">
      <c r="A794">
        <f>IF('KG1-2'!$B18="","",'KG1-2'!$B18)</f>
        <v/>
      </c>
      <c r="B794">
        <f>IF(A794="","",'KG1-2'!$C18)</f>
        <v/>
      </c>
      <c r="C794">
        <f>IF(A794="","",'KG1-2'!$B$2)</f>
        <v/>
      </c>
      <c r="D794" s="126">
        <f t="array" ref="D794">IF(A794="","",IFERROR(SMALL(IF((('KG1-2'!$AD18:$IM18="غياب بدون عذر")+('KG1-2'!$AD18:$IM18="غياب بعذر"))*('KG1-2'!$AD$7:$IM$7="✓"),'KG1-2'!$AD$5:$IM$5),13),""))</f>
        <v/>
      </c>
      <c r="E794">
        <f>IF(D794="","",INDEX('KG1-2'!$AD18:$IM18,MATCH(D794,'KG1-2'!$AD$5:$IM$5,0)))</f>
        <v/>
      </c>
      <c r="F794">
        <f>IF(D794="","",COUNTIFS('KG1-2'!$AD18:$IM18,"غياب بدون عذر",'KG1-2'!$AD$7:$IM$7,"✓",'KG1-2'!$AD$5:$IM$5,"&lt;="&amp;D794))</f>
        <v/>
      </c>
      <c r="G794">
        <f>G793+IF(D794="",0,1)</f>
        <v/>
      </c>
    </row>
    <row r="795">
      <c r="A795">
        <f>IF('KG1-2'!$B18="","",'KG1-2'!$B18)</f>
        <v/>
      </c>
      <c r="B795">
        <f>IF(A795="","",'KG1-2'!$C18)</f>
        <v/>
      </c>
      <c r="C795">
        <f>IF(A795="","",'KG1-2'!$B$2)</f>
        <v/>
      </c>
      <c r="D795" s="126">
        <f t="array" ref="D795">IF(A795="","",IFERROR(SMALL(IF((('KG1-2'!$AD18:$IM18="غياب بدون عذر")+('KG1-2'!$AD18:$IM18="غياب بعذر"))*('KG1-2'!$AD$7:$IM$7="✓"),'KG1-2'!$AD$5:$IM$5),14),""))</f>
        <v/>
      </c>
      <c r="E795">
        <f>IF(D795="","",INDEX('KG1-2'!$AD18:$IM18,MATCH(D795,'KG1-2'!$AD$5:$IM$5,0)))</f>
        <v/>
      </c>
      <c r="F795">
        <f>IF(D795="","",COUNTIFS('KG1-2'!$AD18:$IM18,"غياب بدون عذر",'KG1-2'!$AD$7:$IM$7,"✓",'KG1-2'!$AD$5:$IM$5,"&lt;="&amp;D795))</f>
        <v/>
      </c>
      <c r="G795">
        <f>G794+IF(D795="",0,1)</f>
        <v/>
      </c>
    </row>
    <row r="796">
      <c r="A796">
        <f>IF('KG1-2'!$B18="","",'KG1-2'!$B18)</f>
        <v/>
      </c>
      <c r="B796">
        <f>IF(A796="","",'KG1-2'!$C18)</f>
        <v/>
      </c>
      <c r="C796">
        <f>IF(A796="","",'KG1-2'!$B$2)</f>
        <v/>
      </c>
      <c r="D796" s="126">
        <f t="array" ref="D796">IF(A796="","",IFERROR(SMALL(IF((('KG1-2'!$AD18:$IM18="غياب بدون عذر")+('KG1-2'!$AD18:$IM18="غياب بعذر"))*('KG1-2'!$AD$7:$IM$7="✓"),'KG1-2'!$AD$5:$IM$5),15),""))</f>
        <v/>
      </c>
      <c r="E796">
        <f>IF(D796="","",INDEX('KG1-2'!$AD18:$IM18,MATCH(D796,'KG1-2'!$AD$5:$IM$5,0)))</f>
        <v/>
      </c>
      <c r="F796">
        <f>IF(D796="","",COUNTIFS('KG1-2'!$AD18:$IM18,"غياب بدون عذر",'KG1-2'!$AD$7:$IM$7,"✓",'KG1-2'!$AD$5:$IM$5,"&lt;="&amp;D796))</f>
        <v/>
      </c>
      <c r="G796">
        <f>G795+IF(D796="",0,1)</f>
        <v/>
      </c>
    </row>
    <row r="797">
      <c r="A797">
        <f>IF('KG1-2'!$B18="","",'KG1-2'!$B18)</f>
        <v/>
      </c>
      <c r="B797">
        <f>IF(A797="","",'KG1-2'!$C18)</f>
        <v/>
      </c>
      <c r="C797">
        <f>IF(A797="","",'KG1-2'!$B$2)</f>
        <v/>
      </c>
      <c r="D797" s="126">
        <f t="array" ref="D797">IF(A797="","",IFERROR(SMALL(IF((('KG1-2'!$AD18:$IM18="غياب بدون عذر")+('KG1-2'!$AD18:$IM18="غياب بعذر"))*('KG1-2'!$AD$7:$IM$7="✓"),'KG1-2'!$AD$5:$IM$5),16),""))</f>
        <v/>
      </c>
      <c r="E797">
        <f>IF(D797="","",INDEX('KG1-2'!$AD18:$IM18,MATCH(D797,'KG1-2'!$AD$5:$IM$5,0)))</f>
        <v/>
      </c>
      <c r="F797">
        <f>IF(D797="","",COUNTIFS('KG1-2'!$AD18:$IM18,"غياب بدون عذر",'KG1-2'!$AD$7:$IM$7,"✓",'KG1-2'!$AD$5:$IM$5,"&lt;="&amp;D797))</f>
        <v/>
      </c>
      <c r="G797">
        <f>G796+IF(D797="",0,1)</f>
        <v/>
      </c>
    </row>
    <row r="798">
      <c r="A798">
        <f>IF('KG1-2'!$B18="","",'KG1-2'!$B18)</f>
        <v/>
      </c>
      <c r="B798">
        <f>IF(A798="","",'KG1-2'!$C18)</f>
        <v/>
      </c>
      <c r="C798">
        <f>IF(A798="","",'KG1-2'!$B$2)</f>
        <v/>
      </c>
      <c r="D798" s="126">
        <f t="array" ref="D798">IF(A798="","",IFERROR(SMALL(IF((('KG1-2'!$AD18:$IM18="غياب بدون عذر")+('KG1-2'!$AD18:$IM18="غياب بعذر"))*('KG1-2'!$AD$7:$IM$7="✓"),'KG1-2'!$AD$5:$IM$5),17),""))</f>
        <v/>
      </c>
      <c r="E798">
        <f>IF(D798="","",INDEX('KG1-2'!$AD18:$IM18,MATCH(D798,'KG1-2'!$AD$5:$IM$5,0)))</f>
        <v/>
      </c>
      <c r="F798">
        <f>IF(D798="","",COUNTIFS('KG1-2'!$AD18:$IM18,"غياب بدون عذر",'KG1-2'!$AD$7:$IM$7,"✓",'KG1-2'!$AD$5:$IM$5,"&lt;="&amp;D798))</f>
        <v/>
      </c>
      <c r="G798">
        <f>G797+IF(D798="",0,1)</f>
        <v/>
      </c>
    </row>
    <row r="799">
      <c r="A799">
        <f>IF('KG1-2'!$B18="","",'KG1-2'!$B18)</f>
        <v/>
      </c>
      <c r="B799">
        <f>IF(A799="","",'KG1-2'!$C18)</f>
        <v/>
      </c>
      <c r="C799">
        <f>IF(A799="","",'KG1-2'!$B$2)</f>
        <v/>
      </c>
      <c r="D799" s="126">
        <f t="array" ref="D799">IF(A799="","",IFERROR(SMALL(IF((('KG1-2'!$AD18:$IM18="غياب بدون عذر")+('KG1-2'!$AD18:$IM18="غياب بعذر"))*('KG1-2'!$AD$7:$IM$7="✓"),'KG1-2'!$AD$5:$IM$5),18),""))</f>
        <v/>
      </c>
      <c r="E799">
        <f>IF(D799="","",INDEX('KG1-2'!$AD18:$IM18,MATCH(D799,'KG1-2'!$AD$5:$IM$5,0)))</f>
        <v/>
      </c>
      <c r="F799">
        <f>IF(D799="","",COUNTIFS('KG1-2'!$AD18:$IM18,"غياب بدون عذر",'KG1-2'!$AD$7:$IM$7,"✓",'KG1-2'!$AD$5:$IM$5,"&lt;="&amp;D799))</f>
        <v/>
      </c>
      <c r="G799">
        <f>G798+IF(D799="",0,1)</f>
        <v/>
      </c>
    </row>
    <row r="800">
      <c r="A800">
        <f>IF('KG1-2'!$B18="","",'KG1-2'!$B18)</f>
        <v/>
      </c>
      <c r="B800">
        <f>IF(A800="","",'KG1-2'!$C18)</f>
        <v/>
      </c>
      <c r="C800">
        <f>IF(A800="","",'KG1-2'!$B$2)</f>
        <v/>
      </c>
      <c r="D800" s="126">
        <f t="array" ref="D800">IF(A800="","",IFERROR(SMALL(IF((('KG1-2'!$AD18:$IM18="غياب بدون عذر")+('KG1-2'!$AD18:$IM18="غياب بعذر"))*('KG1-2'!$AD$7:$IM$7="✓"),'KG1-2'!$AD$5:$IM$5),19),""))</f>
        <v/>
      </c>
      <c r="E800">
        <f>IF(D800="","",INDEX('KG1-2'!$AD18:$IM18,MATCH(D800,'KG1-2'!$AD$5:$IM$5,0)))</f>
        <v/>
      </c>
      <c r="F800">
        <f>IF(D800="","",COUNTIFS('KG1-2'!$AD18:$IM18,"غياب بدون عذر",'KG1-2'!$AD$7:$IM$7,"✓",'KG1-2'!$AD$5:$IM$5,"&lt;="&amp;D800))</f>
        <v/>
      </c>
      <c r="G800">
        <f>G799+IF(D800="",0,1)</f>
        <v/>
      </c>
    </row>
    <row r="801">
      <c r="A801">
        <f>IF('KG1-2'!$B18="","",'KG1-2'!$B18)</f>
        <v/>
      </c>
      <c r="B801">
        <f>IF(A801="","",'KG1-2'!$C18)</f>
        <v/>
      </c>
      <c r="C801">
        <f>IF(A801="","",'KG1-2'!$B$2)</f>
        <v/>
      </c>
      <c r="D801" s="126">
        <f t="array" ref="D801">IF(A801="","",IFERROR(SMALL(IF((('KG1-2'!$AD18:$IM18="غياب بدون عذر")+('KG1-2'!$AD18:$IM18="غياب بعذر"))*('KG1-2'!$AD$7:$IM$7="✓"),'KG1-2'!$AD$5:$IM$5),20),""))</f>
        <v/>
      </c>
      <c r="E801">
        <f>IF(D801="","",INDEX('KG1-2'!$AD18:$IM18,MATCH(D801,'KG1-2'!$AD$5:$IM$5,0)))</f>
        <v/>
      </c>
      <c r="F801">
        <f>IF(D801="","",COUNTIFS('KG1-2'!$AD18:$IM18,"غياب بدون عذر",'KG1-2'!$AD$7:$IM$7,"✓",'KG1-2'!$AD$5:$IM$5,"&lt;="&amp;D801))</f>
        <v/>
      </c>
      <c r="G801">
        <f>G800+IF(D801="",0,1)</f>
        <v/>
      </c>
    </row>
    <row r="802">
      <c r="A802">
        <f>IF('KG1-2'!$B19="","",'KG1-2'!$B19)</f>
        <v/>
      </c>
      <c r="B802">
        <f>IF(A802="","",'KG1-2'!$C19)</f>
        <v/>
      </c>
      <c r="C802">
        <f>IF(A802="","",'KG1-2'!$B$2)</f>
        <v/>
      </c>
      <c r="D802" s="126">
        <f t="array" ref="D802">IF(A802="","",IFERROR(SMALL(IF((('KG1-2'!$AD19:$IM19="غياب بدون عذر")+('KG1-2'!$AD19:$IM19="غياب بعذر"))*('KG1-2'!$AD$7:$IM$7="✓"),'KG1-2'!$AD$5:$IM$5),1),""))</f>
        <v/>
      </c>
      <c r="E802">
        <f>IF(D802="","",INDEX('KG1-2'!$AD19:$IM19,MATCH(D802,'KG1-2'!$AD$5:$IM$5,0)))</f>
        <v/>
      </c>
      <c r="F802">
        <f>IF(D802="","",COUNTIFS('KG1-2'!$AD19:$IM19,"غياب بدون عذر",'KG1-2'!$AD$7:$IM$7,"✓",'KG1-2'!$AD$5:$IM$5,"&lt;="&amp;D802))</f>
        <v/>
      </c>
      <c r="G802">
        <f>G801+IF(D802="",0,1)</f>
        <v/>
      </c>
    </row>
    <row r="803">
      <c r="A803">
        <f>IF('KG1-2'!$B19="","",'KG1-2'!$B19)</f>
        <v/>
      </c>
      <c r="B803">
        <f>IF(A803="","",'KG1-2'!$C19)</f>
        <v/>
      </c>
      <c r="C803">
        <f>IF(A803="","",'KG1-2'!$B$2)</f>
        <v/>
      </c>
      <c r="D803" s="126">
        <f t="array" ref="D803">IF(A803="","",IFERROR(SMALL(IF((('KG1-2'!$AD19:$IM19="غياب بدون عذر")+('KG1-2'!$AD19:$IM19="غياب بعذر"))*('KG1-2'!$AD$7:$IM$7="✓"),'KG1-2'!$AD$5:$IM$5),2),""))</f>
        <v/>
      </c>
      <c r="E803">
        <f>IF(D803="","",INDEX('KG1-2'!$AD19:$IM19,MATCH(D803,'KG1-2'!$AD$5:$IM$5,0)))</f>
        <v/>
      </c>
      <c r="F803">
        <f>IF(D803="","",COUNTIFS('KG1-2'!$AD19:$IM19,"غياب بدون عذر",'KG1-2'!$AD$7:$IM$7,"✓",'KG1-2'!$AD$5:$IM$5,"&lt;="&amp;D803))</f>
        <v/>
      </c>
      <c r="G803">
        <f>G802+IF(D803="",0,1)</f>
        <v/>
      </c>
    </row>
    <row r="804">
      <c r="A804">
        <f>IF('KG1-2'!$B19="","",'KG1-2'!$B19)</f>
        <v/>
      </c>
      <c r="B804">
        <f>IF(A804="","",'KG1-2'!$C19)</f>
        <v/>
      </c>
      <c r="C804">
        <f>IF(A804="","",'KG1-2'!$B$2)</f>
        <v/>
      </c>
      <c r="D804" s="126">
        <f t="array" ref="D804">IF(A804="","",IFERROR(SMALL(IF((('KG1-2'!$AD19:$IM19="غياب بدون عذر")+('KG1-2'!$AD19:$IM19="غياب بعذر"))*('KG1-2'!$AD$7:$IM$7="✓"),'KG1-2'!$AD$5:$IM$5),3),""))</f>
        <v/>
      </c>
      <c r="E804">
        <f>IF(D804="","",INDEX('KG1-2'!$AD19:$IM19,MATCH(D804,'KG1-2'!$AD$5:$IM$5,0)))</f>
        <v/>
      </c>
      <c r="F804">
        <f>IF(D804="","",COUNTIFS('KG1-2'!$AD19:$IM19,"غياب بدون عذر",'KG1-2'!$AD$7:$IM$7,"✓",'KG1-2'!$AD$5:$IM$5,"&lt;="&amp;D804))</f>
        <v/>
      </c>
      <c r="G804">
        <f>G803+IF(D804="",0,1)</f>
        <v/>
      </c>
    </row>
    <row r="805">
      <c r="A805">
        <f>IF('KG1-2'!$B19="","",'KG1-2'!$B19)</f>
        <v/>
      </c>
      <c r="B805">
        <f>IF(A805="","",'KG1-2'!$C19)</f>
        <v/>
      </c>
      <c r="C805">
        <f>IF(A805="","",'KG1-2'!$B$2)</f>
        <v/>
      </c>
      <c r="D805" s="126">
        <f t="array" ref="D805">IF(A805="","",IFERROR(SMALL(IF((('KG1-2'!$AD19:$IM19="غياب بدون عذر")+('KG1-2'!$AD19:$IM19="غياب بعذر"))*('KG1-2'!$AD$7:$IM$7="✓"),'KG1-2'!$AD$5:$IM$5),4),""))</f>
        <v/>
      </c>
      <c r="E805">
        <f>IF(D805="","",INDEX('KG1-2'!$AD19:$IM19,MATCH(D805,'KG1-2'!$AD$5:$IM$5,0)))</f>
        <v/>
      </c>
      <c r="F805">
        <f>IF(D805="","",COUNTIFS('KG1-2'!$AD19:$IM19,"غياب بدون عذر",'KG1-2'!$AD$7:$IM$7,"✓",'KG1-2'!$AD$5:$IM$5,"&lt;="&amp;D805))</f>
        <v/>
      </c>
      <c r="G805">
        <f>G804+IF(D805="",0,1)</f>
        <v/>
      </c>
    </row>
    <row r="806">
      <c r="A806">
        <f>IF('KG1-2'!$B19="","",'KG1-2'!$B19)</f>
        <v/>
      </c>
      <c r="B806">
        <f>IF(A806="","",'KG1-2'!$C19)</f>
        <v/>
      </c>
      <c r="C806">
        <f>IF(A806="","",'KG1-2'!$B$2)</f>
        <v/>
      </c>
      <c r="D806" s="126">
        <f t="array" ref="D806">IF(A806="","",IFERROR(SMALL(IF((('KG1-2'!$AD19:$IM19="غياب بدون عذر")+('KG1-2'!$AD19:$IM19="غياب بعذر"))*('KG1-2'!$AD$7:$IM$7="✓"),'KG1-2'!$AD$5:$IM$5),5),""))</f>
        <v/>
      </c>
      <c r="E806">
        <f>IF(D806="","",INDEX('KG1-2'!$AD19:$IM19,MATCH(D806,'KG1-2'!$AD$5:$IM$5,0)))</f>
        <v/>
      </c>
      <c r="F806">
        <f>IF(D806="","",COUNTIFS('KG1-2'!$AD19:$IM19,"غياب بدون عذر",'KG1-2'!$AD$7:$IM$7,"✓",'KG1-2'!$AD$5:$IM$5,"&lt;="&amp;D806))</f>
        <v/>
      </c>
      <c r="G806">
        <f>G805+IF(D806="",0,1)</f>
        <v/>
      </c>
    </row>
    <row r="807">
      <c r="A807">
        <f>IF('KG1-2'!$B19="","",'KG1-2'!$B19)</f>
        <v/>
      </c>
      <c r="B807">
        <f>IF(A807="","",'KG1-2'!$C19)</f>
        <v/>
      </c>
      <c r="C807">
        <f>IF(A807="","",'KG1-2'!$B$2)</f>
        <v/>
      </c>
      <c r="D807" s="126">
        <f t="array" ref="D807">IF(A807="","",IFERROR(SMALL(IF((('KG1-2'!$AD19:$IM19="غياب بدون عذر")+('KG1-2'!$AD19:$IM19="غياب بعذر"))*('KG1-2'!$AD$7:$IM$7="✓"),'KG1-2'!$AD$5:$IM$5),6),""))</f>
        <v/>
      </c>
      <c r="E807">
        <f>IF(D807="","",INDEX('KG1-2'!$AD19:$IM19,MATCH(D807,'KG1-2'!$AD$5:$IM$5,0)))</f>
        <v/>
      </c>
      <c r="F807">
        <f>IF(D807="","",COUNTIFS('KG1-2'!$AD19:$IM19,"غياب بدون عذر",'KG1-2'!$AD$7:$IM$7,"✓",'KG1-2'!$AD$5:$IM$5,"&lt;="&amp;D807))</f>
        <v/>
      </c>
      <c r="G807">
        <f>G806+IF(D807="",0,1)</f>
        <v/>
      </c>
    </row>
    <row r="808">
      <c r="A808">
        <f>IF('KG1-2'!$B19="","",'KG1-2'!$B19)</f>
        <v/>
      </c>
      <c r="B808">
        <f>IF(A808="","",'KG1-2'!$C19)</f>
        <v/>
      </c>
      <c r="C808">
        <f>IF(A808="","",'KG1-2'!$B$2)</f>
        <v/>
      </c>
      <c r="D808" s="126">
        <f t="array" ref="D808">IF(A808="","",IFERROR(SMALL(IF((('KG1-2'!$AD19:$IM19="غياب بدون عذر")+('KG1-2'!$AD19:$IM19="غياب بعذر"))*('KG1-2'!$AD$7:$IM$7="✓"),'KG1-2'!$AD$5:$IM$5),7),""))</f>
        <v/>
      </c>
      <c r="E808">
        <f>IF(D808="","",INDEX('KG1-2'!$AD19:$IM19,MATCH(D808,'KG1-2'!$AD$5:$IM$5,0)))</f>
        <v/>
      </c>
      <c r="F808">
        <f>IF(D808="","",COUNTIFS('KG1-2'!$AD19:$IM19,"غياب بدون عذر",'KG1-2'!$AD$7:$IM$7,"✓",'KG1-2'!$AD$5:$IM$5,"&lt;="&amp;D808))</f>
        <v/>
      </c>
      <c r="G808">
        <f>G807+IF(D808="",0,1)</f>
        <v/>
      </c>
    </row>
    <row r="809">
      <c r="A809">
        <f>IF('KG1-2'!$B19="","",'KG1-2'!$B19)</f>
        <v/>
      </c>
      <c r="B809">
        <f>IF(A809="","",'KG1-2'!$C19)</f>
        <v/>
      </c>
      <c r="C809">
        <f>IF(A809="","",'KG1-2'!$B$2)</f>
        <v/>
      </c>
      <c r="D809" s="126">
        <f t="array" ref="D809">IF(A809="","",IFERROR(SMALL(IF((('KG1-2'!$AD19:$IM19="غياب بدون عذر")+('KG1-2'!$AD19:$IM19="غياب بعذر"))*('KG1-2'!$AD$7:$IM$7="✓"),'KG1-2'!$AD$5:$IM$5),8),""))</f>
        <v/>
      </c>
      <c r="E809">
        <f>IF(D809="","",INDEX('KG1-2'!$AD19:$IM19,MATCH(D809,'KG1-2'!$AD$5:$IM$5,0)))</f>
        <v/>
      </c>
      <c r="F809">
        <f>IF(D809="","",COUNTIFS('KG1-2'!$AD19:$IM19,"غياب بدون عذر",'KG1-2'!$AD$7:$IM$7,"✓",'KG1-2'!$AD$5:$IM$5,"&lt;="&amp;D809))</f>
        <v/>
      </c>
      <c r="G809">
        <f>G808+IF(D809="",0,1)</f>
        <v/>
      </c>
    </row>
    <row r="810">
      <c r="A810">
        <f>IF('KG1-2'!$B19="","",'KG1-2'!$B19)</f>
        <v/>
      </c>
      <c r="B810">
        <f>IF(A810="","",'KG1-2'!$C19)</f>
        <v/>
      </c>
      <c r="C810">
        <f>IF(A810="","",'KG1-2'!$B$2)</f>
        <v/>
      </c>
      <c r="D810" s="126">
        <f t="array" ref="D810">IF(A810="","",IFERROR(SMALL(IF((('KG1-2'!$AD19:$IM19="غياب بدون عذر")+('KG1-2'!$AD19:$IM19="غياب بعذر"))*('KG1-2'!$AD$7:$IM$7="✓"),'KG1-2'!$AD$5:$IM$5),9),""))</f>
        <v/>
      </c>
      <c r="E810">
        <f>IF(D810="","",INDEX('KG1-2'!$AD19:$IM19,MATCH(D810,'KG1-2'!$AD$5:$IM$5,0)))</f>
        <v/>
      </c>
      <c r="F810">
        <f>IF(D810="","",COUNTIFS('KG1-2'!$AD19:$IM19,"غياب بدون عذر",'KG1-2'!$AD$7:$IM$7,"✓",'KG1-2'!$AD$5:$IM$5,"&lt;="&amp;D810))</f>
        <v/>
      </c>
      <c r="G810">
        <f>G809+IF(D810="",0,1)</f>
        <v/>
      </c>
    </row>
    <row r="811">
      <c r="A811">
        <f>IF('KG1-2'!$B19="","",'KG1-2'!$B19)</f>
        <v/>
      </c>
      <c r="B811">
        <f>IF(A811="","",'KG1-2'!$C19)</f>
        <v/>
      </c>
      <c r="C811">
        <f>IF(A811="","",'KG1-2'!$B$2)</f>
        <v/>
      </c>
      <c r="D811" s="126">
        <f t="array" ref="D811">IF(A811="","",IFERROR(SMALL(IF((('KG1-2'!$AD19:$IM19="غياب بدون عذر")+('KG1-2'!$AD19:$IM19="غياب بعذر"))*('KG1-2'!$AD$7:$IM$7="✓"),'KG1-2'!$AD$5:$IM$5),10),""))</f>
        <v/>
      </c>
      <c r="E811">
        <f>IF(D811="","",INDEX('KG1-2'!$AD19:$IM19,MATCH(D811,'KG1-2'!$AD$5:$IM$5,0)))</f>
        <v/>
      </c>
      <c r="F811">
        <f>IF(D811="","",COUNTIFS('KG1-2'!$AD19:$IM19,"غياب بدون عذر",'KG1-2'!$AD$7:$IM$7,"✓",'KG1-2'!$AD$5:$IM$5,"&lt;="&amp;D811))</f>
        <v/>
      </c>
      <c r="G811">
        <f>G810+IF(D811="",0,1)</f>
        <v/>
      </c>
    </row>
    <row r="812">
      <c r="A812">
        <f>IF('KG1-2'!$B19="","",'KG1-2'!$B19)</f>
        <v/>
      </c>
      <c r="B812">
        <f>IF(A812="","",'KG1-2'!$C19)</f>
        <v/>
      </c>
      <c r="C812">
        <f>IF(A812="","",'KG1-2'!$B$2)</f>
        <v/>
      </c>
      <c r="D812" s="126">
        <f t="array" ref="D812">IF(A812="","",IFERROR(SMALL(IF((('KG1-2'!$AD19:$IM19="غياب بدون عذر")+('KG1-2'!$AD19:$IM19="غياب بعذر"))*('KG1-2'!$AD$7:$IM$7="✓"),'KG1-2'!$AD$5:$IM$5),11),""))</f>
        <v/>
      </c>
      <c r="E812">
        <f>IF(D812="","",INDEX('KG1-2'!$AD19:$IM19,MATCH(D812,'KG1-2'!$AD$5:$IM$5,0)))</f>
        <v/>
      </c>
      <c r="F812">
        <f>IF(D812="","",COUNTIFS('KG1-2'!$AD19:$IM19,"غياب بدون عذر",'KG1-2'!$AD$7:$IM$7,"✓",'KG1-2'!$AD$5:$IM$5,"&lt;="&amp;D812))</f>
        <v/>
      </c>
      <c r="G812">
        <f>G811+IF(D812="",0,1)</f>
        <v/>
      </c>
    </row>
    <row r="813">
      <c r="A813">
        <f>IF('KG1-2'!$B19="","",'KG1-2'!$B19)</f>
        <v/>
      </c>
      <c r="B813">
        <f>IF(A813="","",'KG1-2'!$C19)</f>
        <v/>
      </c>
      <c r="C813">
        <f>IF(A813="","",'KG1-2'!$B$2)</f>
        <v/>
      </c>
      <c r="D813" s="126">
        <f t="array" ref="D813">IF(A813="","",IFERROR(SMALL(IF((('KG1-2'!$AD19:$IM19="غياب بدون عذر")+('KG1-2'!$AD19:$IM19="غياب بعذر"))*('KG1-2'!$AD$7:$IM$7="✓"),'KG1-2'!$AD$5:$IM$5),12),""))</f>
        <v/>
      </c>
      <c r="E813">
        <f>IF(D813="","",INDEX('KG1-2'!$AD19:$IM19,MATCH(D813,'KG1-2'!$AD$5:$IM$5,0)))</f>
        <v/>
      </c>
      <c r="F813">
        <f>IF(D813="","",COUNTIFS('KG1-2'!$AD19:$IM19,"غياب بدون عذر",'KG1-2'!$AD$7:$IM$7,"✓",'KG1-2'!$AD$5:$IM$5,"&lt;="&amp;D813))</f>
        <v/>
      </c>
      <c r="G813">
        <f>G812+IF(D813="",0,1)</f>
        <v/>
      </c>
    </row>
    <row r="814">
      <c r="A814">
        <f>IF('KG1-2'!$B19="","",'KG1-2'!$B19)</f>
        <v/>
      </c>
      <c r="B814">
        <f>IF(A814="","",'KG1-2'!$C19)</f>
        <v/>
      </c>
      <c r="C814">
        <f>IF(A814="","",'KG1-2'!$B$2)</f>
        <v/>
      </c>
      <c r="D814" s="126">
        <f t="array" ref="D814">IF(A814="","",IFERROR(SMALL(IF((('KG1-2'!$AD19:$IM19="غياب بدون عذر")+('KG1-2'!$AD19:$IM19="غياب بعذر"))*('KG1-2'!$AD$7:$IM$7="✓"),'KG1-2'!$AD$5:$IM$5),13),""))</f>
        <v/>
      </c>
      <c r="E814">
        <f>IF(D814="","",INDEX('KG1-2'!$AD19:$IM19,MATCH(D814,'KG1-2'!$AD$5:$IM$5,0)))</f>
        <v/>
      </c>
      <c r="F814">
        <f>IF(D814="","",COUNTIFS('KG1-2'!$AD19:$IM19,"غياب بدون عذر",'KG1-2'!$AD$7:$IM$7,"✓",'KG1-2'!$AD$5:$IM$5,"&lt;="&amp;D814))</f>
        <v/>
      </c>
      <c r="G814">
        <f>G813+IF(D814="",0,1)</f>
        <v/>
      </c>
    </row>
    <row r="815">
      <c r="A815">
        <f>IF('KG1-2'!$B19="","",'KG1-2'!$B19)</f>
        <v/>
      </c>
      <c r="B815">
        <f>IF(A815="","",'KG1-2'!$C19)</f>
        <v/>
      </c>
      <c r="C815">
        <f>IF(A815="","",'KG1-2'!$B$2)</f>
        <v/>
      </c>
      <c r="D815" s="126">
        <f t="array" ref="D815">IF(A815="","",IFERROR(SMALL(IF((('KG1-2'!$AD19:$IM19="غياب بدون عذر")+('KG1-2'!$AD19:$IM19="غياب بعذر"))*('KG1-2'!$AD$7:$IM$7="✓"),'KG1-2'!$AD$5:$IM$5),14),""))</f>
        <v/>
      </c>
      <c r="E815">
        <f>IF(D815="","",INDEX('KG1-2'!$AD19:$IM19,MATCH(D815,'KG1-2'!$AD$5:$IM$5,0)))</f>
        <v/>
      </c>
      <c r="F815">
        <f>IF(D815="","",COUNTIFS('KG1-2'!$AD19:$IM19,"غياب بدون عذر",'KG1-2'!$AD$7:$IM$7,"✓",'KG1-2'!$AD$5:$IM$5,"&lt;="&amp;D815))</f>
        <v/>
      </c>
      <c r="G815">
        <f>G814+IF(D815="",0,1)</f>
        <v/>
      </c>
    </row>
    <row r="816">
      <c r="A816">
        <f>IF('KG1-2'!$B19="","",'KG1-2'!$B19)</f>
        <v/>
      </c>
      <c r="B816">
        <f>IF(A816="","",'KG1-2'!$C19)</f>
        <v/>
      </c>
      <c r="C816">
        <f>IF(A816="","",'KG1-2'!$B$2)</f>
        <v/>
      </c>
      <c r="D816" s="126">
        <f t="array" ref="D816">IF(A816="","",IFERROR(SMALL(IF((('KG1-2'!$AD19:$IM19="غياب بدون عذر")+('KG1-2'!$AD19:$IM19="غياب بعذر"))*('KG1-2'!$AD$7:$IM$7="✓"),'KG1-2'!$AD$5:$IM$5),15),""))</f>
        <v/>
      </c>
      <c r="E816">
        <f>IF(D816="","",INDEX('KG1-2'!$AD19:$IM19,MATCH(D816,'KG1-2'!$AD$5:$IM$5,0)))</f>
        <v/>
      </c>
      <c r="F816">
        <f>IF(D816="","",COUNTIFS('KG1-2'!$AD19:$IM19,"غياب بدون عذر",'KG1-2'!$AD$7:$IM$7,"✓",'KG1-2'!$AD$5:$IM$5,"&lt;="&amp;D816))</f>
        <v/>
      </c>
      <c r="G816">
        <f>G815+IF(D816="",0,1)</f>
        <v/>
      </c>
    </row>
    <row r="817">
      <c r="A817">
        <f>IF('KG1-2'!$B19="","",'KG1-2'!$B19)</f>
        <v/>
      </c>
      <c r="B817">
        <f>IF(A817="","",'KG1-2'!$C19)</f>
        <v/>
      </c>
      <c r="C817">
        <f>IF(A817="","",'KG1-2'!$B$2)</f>
        <v/>
      </c>
      <c r="D817" s="126">
        <f t="array" ref="D817">IF(A817="","",IFERROR(SMALL(IF((('KG1-2'!$AD19:$IM19="غياب بدون عذر")+('KG1-2'!$AD19:$IM19="غياب بعذر"))*('KG1-2'!$AD$7:$IM$7="✓"),'KG1-2'!$AD$5:$IM$5),16),""))</f>
        <v/>
      </c>
      <c r="E817">
        <f>IF(D817="","",INDEX('KG1-2'!$AD19:$IM19,MATCH(D817,'KG1-2'!$AD$5:$IM$5,0)))</f>
        <v/>
      </c>
      <c r="F817">
        <f>IF(D817="","",COUNTIFS('KG1-2'!$AD19:$IM19,"غياب بدون عذر",'KG1-2'!$AD$7:$IM$7,"✓",'KG1-2'!$AD$5:$IM$5,"&lt;="&amp;D817))</f>
        <v/>
      </c>
      <c r="G817">
        <f>G816+IF(D817="",0,1)</f>
        <v/>
      </c>
    </row>
    <row r="818">
      <c r="A818">
        <f>IF('KG1-2'!$B19="","",'KG1-2'!$B19)</f>
        <v/>
      </c>
      <c r="B818">
        <f>IF(A818="","",'KG1-2'!$C19)</f>
        <v/>
      </c>
      <c r="C818">
        <f>IF(A818="","",'KG1-2'!$B$2)</f>
        <v/>
      </c>
      <c r="D818" s="126">
        <f t="array" ref="D818">IF(A818="","",IFERROR(SMALL(IF((('KG1-2'!$AD19:$IM19="غياب بدون عذر")+('KG1-2'!$AD19:$IM19="غياب بعذر"))*('KG1-2'!$AD$7:$IM$7="✓"),'KG1-2'!$AD$5:$IM$5),17),""))</f>
        <v/>
      </c>
      <c r="E818">
        <f>IF(D818="","",INDEX('KG1-2'!$AD19:$IM19,MATCH(D818,'KG1-2'!$AD$5:$IM$5,0)))</f>
        <v/>
      </c>
      <c r="F818">
        <f>IF(D818="","",COUNTIFS('KG1-2'!$AD19:$IM19,"غياب بدون عذر",'KG1-2'!$AD$7:$IM$7,"✓",'KG1-2'!$AD$5:$IM$5,"&lt;="&amp;D818))</f>
        <v/>
      </c>
      <c r="G818">
        <f>G817+IF(D818="",0,1)</f>
        <v/>
      </c>
    </row>
    <row r="819">
      <c r="A819">
        <f>IF('KG1-2'!$B19="","",'KG1-2'!$B19)</f>
        <v/>
      </c>
      <c r="B819">
        <f>IF(A819="","",'KG1-2'!$C19)</f>
        <v/>
      </c>
      <c r="C819">
        <f>IF(A819="","",'KG1-2'!$B$2)</f>
        <v/>
      </c>
      <c r="D819" s="126">
        <f t="array" ref="D819">IF(A819="","",IFERROR(SMALL(IF((('KG1-2'!$AD19:$IM19="غياب بدون عذر")+('KG1-2'!$AD19:$IM19="غياب بعذر"))*('KG1-2'!$AD$7:$IM$7="✓"),'KG1-2'!$AD$5:$IM$5),18),""))</f>
        <v/>
      </c>
      <c r="E819">
        <f>IF(D819="","",INDEX('KG1-2'!$AD19:$IM19,MATCH(D819,'KG1-2'!$AD$5:$IM$5,0)))</f>
        <v/>
      </c>
      <c r="F819">
        <f>IF(D819="","",COUNTIFS('KG1-2'!$AD19:$IM19,"غياب بدون عذر",'KG1-2'!$AD$7:$IM$7,"✓",'KG1-2'!$AD$5:$IM$5,"&lt;="&amp;D819))</f>
        <v/>
      </c>
      <c r="G819">
        <f>G818+IF(D819="",0,1)</f>
        <v/>
      </c>
    </row>
    <row r="820">
      <c r="A820">
        <f>IF('KG1-2'!$B19="","",'KG1-2'!$B19)</f>
        <v/>
      </c>
      <c r="B820">
        <f>IF(A820="","",'KG1-2'!$C19)</f>
        <v/>
      </c>
      <c r="C820">
        <f>IF(A820="","",'KG1-2'!$B$2)</f>
        <v/>
      </c>
      <c r="D820" s="126">
        <f t="array" ref="D820">IF(A820="","",IFERROR(SMALL(IF((('KG1-2'!$AD19:$IM19="غياب بدون عذر")+('KG1-2'!$AD19:$IM19="غياب بعذر"))*('KG1-2'!$AD$7:$IM$7="✓"),'KG1-2'!$AD$5:$IM$5),19),""))</f>
        <v/>
      </c>
      <c r="E820">
        <f>IF(D820="","",INDEX('KG1-2'!$AD19:$IM19,MATCH(D820,'KG1-2'!$AD$5:$IM$5,0)))</f>
        <v/>
      </c>
      <c r="F820">
        <f>IF(D820="","",COUNTIFS('KG1-2'!$AD19:$IM19,"غياب بدون عذر",'KG1-2'!$AD$7:$IM$7,"✓",'KG1-2'!$AD$5:$IM$5,"&lt;="&amp;D820))</f>
        <v/>
      </c>
      <c r="G820">
        <f>G819+IF(D820="",0,1)</f>
        <v/>
      </c>
    </row>
    <row r="821">
      <c r="A821">
        <f>IF('KG1-2'!$B19="","",'KG1-2'!$B19)</f>
        <v/>
      </c>
      <c r="B821">
        <f>IF(A821="","",'KG1-2'!$C19)</f>
        <v/>
      </c>
      <c r="C821">
        <f>IF(A821="","",'KG1-2'!$B$2)</f>
        <v/>
      </c>
      <c r="D821" s="126">
        <f t="array" ref="D821">IF(A821="","",IFERROR(SMALL(IF((('KG1-2'!$AD19:$IM19="غياب بدون عذر")+('KG1-2'!$AD19:$IM19="غياب بعذر"))*('KG1-2'!$AD$7:$IM$7="✓"),'KG1-2'!$AD$5:$IM$5),20),""))</f>
        <v/>
      </c>
      <c r="E821">
        <f>IF(D821="","",INDEX('KG1-2'!$AD19:$IM19,MATCH(D821,'KG1-2'!$AD$5:$IM$5,0)))</f>
        <v/>
      </c>
      <c r="F821">
        <f>IF(D821="","",COUNTIFS('KG1-2'!$AD19:$IM19,"غياب بدون عذر",'KG1-2'!$AD$7:$IM$7,"✓",'KG1-2'!$AD$5:$IM$5,"&lt;="&amp;D821))</f>
        <v/>
      </c>
      <c r="G821">
        <f>G820+IF(D821="",0,1)</f>
        <v/>
      </c>
    </row>
    <row r="822">
      <c r="A822">
        <f>IF('KG1-2'!$B20="","",'KG1-2'!$B20)</f>
        <v/>
      </c>
      <c r="B822">
        <f>IF(A822="","",'KG1-2'!$C20)</f>
        <v/>
      </c>
      <c r="C822">
        <f>IF(A822="","",'KG1-2'!$B$2)</f>
        <v/>
      </c>
      <c r="D822" s="126">
        <f t="array" ref="D822">IF(A822="","",IFERROR(SMALL(IF((('KG1-2'!$AD20:$IM20="غياب بدون عذر")+('KG1-2'!$AD20:$IM20="غياب بعذر"))*('KG1-2'!$AD$7:$IM$7="✓"),'KG1-2'!$AD$5:$IM$5),1),""))</f>
        <v/>
      </c>
      <c r="E822">
        <f>IF(D822="","",INDEX('KG1-2'!$AD20:$IM20,MATCH(D822,'KG1-2'!$AD$5:$IM$5,0)))</f>
        <v/>
      </c>
      <c r="F822">
        <f>IF(D822="","",COUNTIFS('KG1-2'!$AD20:$IM20,"غياب بدون عذر",'KG1-2'!$AD$7:$IM$7,"✓",'KG1-2'!$AD$5:$IM$5,"&lt;="&amp;D822))</f>
        <v/>
      </c>
      <c r="G822">
        <f>G821+IF(D822="",0,1)</f>
        <v/>
      </c>
    </row>
    <row r="823">
      <c r="A823">
        <f>IF('KG1-2'!$B20="","",'KG1-2'!$B20)</f>
        <v/>
      </c>
      <c r="B823">
        <f>IF(A823="","",'KG1-2'!$C20)</f>
        <v/>
      </c>
      <c r="C823">
        <f>IF(A823="","",'KG1-2'!$B$2)</f>
        <v/>
      </c>
      <c r="D823" s="126">
        <f t="array" ref="D823">IF(A823="","",IFERROR(SMALL(IF((('KG1-2'!$AD20:$IM20="غياب بدون عذر")+('KG1-2'!$AD20:$IM20="غياب بعذر"))*('KG1-2'!$AD$7:$IM$7="✓"),'KG1-2'!$AD$5:$IM$5),2),""))</f>
        <v/>
      </c>
      <c r="E823">
        <f>IF(D823="","",INDEX('KG1-2'!$AD20:$IM20,MATCH(D823,'KG1-2'!$AD$5:$IM$5,0)))</f>
        <v/>
      </c>
      <c r="F823">
        <f>IF(D823="","",COUNTIFS('KG1-2'!$AD20:$IM20,"غياب بدون عذر",'KG1-2'!$AD$7:$IM$7,"✓",'KG1-2'!$AD$5:$IM$5,"&lt;="&amp;D823))</f>
        <v/>
      </c>
      <c r="G823">
        <f>G822+IF(D823="",0,1)</f>
        <v/>
      </c>
    </row>
    <row r="824">
      <c r="A824">
        <f>IF('KG1-2'!$B20="","",'KG1-2'!$B20)</f>
        <v/>
      </c>
      <c r="B824">
        <f>IF(A824="","",'KG1-2'!$C20)</f>
        <v/>
      </c>
      <c r="C824">
        <f>IF(A824="","",'KG1-2'!$B$2)</f>
        <v/>
      </c>
      <c r="D824" s="126">
        <f t="array" ref="D824">IF(A824="","",IFERROR(SMALL(IF((('KG1-2'!$AD20:$IM20="غياب بدون عذر")+('KG1-2'!$AD20:$IM20="غياب بعذر"))*('KG1-2'!$AD$7:$IM$7="✓"),'KG1-2'!$AD$5:$IM$5),3),""))</f>
        <v/>
      </c>
      <c r="E824">
        <f>IF(D824="","",INDEX('KG1-2'!$AD20:$IM20,MATCH(D824,'KG1-2'!$AD$5:$IM$5,0)))</f>
        <v/>
      </c>
      <c r="F824">
        <f>IF(D824="","",COUNTIFS('KG1-2'!$AD20:$IM20,"غياب بدون عذر",'KG1-2'!$AD$7:$IM$7,"✓",'KG1-2'!$AD$5:$IM$5,"&lt;="&amp;D824))</f>
        <v/>
      </c>
      <c r="G824">
        <f>G823+IF(D824="",0,1)</f>
        <v/>
      </c>
    </row>
    <row r="825">
      <c r="A825">
        <f>IF('KG1-2'!$B20="","",'KG1-2'!$B20)</f>
        <v/>
      </c>
      <c r="B825">
        <f>IF(A825="","",'KG1-2'!$C20)</f>
        <v/>
      </c>
      <c r="C825">
        <f>IF(A825="","",'KG1-2'!$B$2)</f>
        <v/>
      </c>
      <c r="D825" s="126">
        <f t="array" ref="D825">IF(A825="","",IFERROR(SMALL(IF((('KG1-2'!$AD20:$IM20="غياب بدون عذر")+('KG1-2'!$AD20:$IM20="غياب بعذر"))*('KG1-2'!$AD$7:$IM$7="✓"),'KG1-2'!$AD$5:$IM$5),4),""))</f>
        <v/>
      </c>
      <c r="E825">
        <f>IF(D825="","",INDEX('KG1-2'!$AD20:$IM20,MATCH(D825,'KG1-2'!$AD$5:$IM$5,0)))</f>
        <v/>
      </c>
      <c r="F825">
        <f>IF(D825="","",COUNTIFS('KG1-2'!$AD20:$IM20,"غياب بدون عذر",'KG1-2'!$AD$7:$IM$7,"✓",'KG1-2'!$AD$5:$IM$5,"&lt;="&amp;D825))</f>
        <v/>
      </c>
      <c r="G825">
        <f>G824+IF(D825="",0,1)</f>
        <v/>
      </c>
    </row>
    <row r="826">
      <c r="A826">
        <f>IF('KG1-2'!$B20="","",'KG1-2'!$B20)</f>
        <v/>
      </c>
      <c r="B826">
        <f>IF(A826="","",'KG1-2'!$C20)</f>
        <v/>
      </c>
      <c r="C826">
        <f>IF(A826="","",'KG1-2'!$B$2)</f>
        <v/>
      </c>
      <c r="D826" s="126">
        <f t="array" ref="D826">IF(A826="","",IFERROR(SMALL(IF((('KG1-2'!$AD20:$IM20="غياب بدون عذر")+('KG1-2'!$AD20:$IM20="غياب بعذر"))*('KG1-2'!$AD$7:$IM$7="✓"),'KG1-2'!$AD$5:$IM$5),5),""))</f>
        <v/>
      </c>
      <c r="E826">
        <f>IF(D826="","",INDEX('KG1-2'!$AD20:$IM20,MATCH(D826,'KG1-2'!$AD$5:$IM$5,0)))</f>
        <v/>
      </c>
      <c r="F826">
        <f>IF(D826="","",COUNTIFS('KG1-2'!$AD20:$IM20,"غياب بدون عذر",'KG1-2'!$AD$7:$IM$7,"✓",'KG1-2'!$AD$5:$IM$5,"&lt;="&amp;D826))</f>
        <v/>
      </c>
      <c r="G826">
        <f>G825+IF(D826="",0,1)</f>
        <v/>
      </c>
    </row>
    <row r="827">
      <c r="A827">
        <f>IF('KG1-2'!$B20="","",'KG1-2'!$B20)</f>
        <v/>
      </c>
      <c r="B827">
        <f>IF(A827="","",'KG1-2'!$C20)</f>
        <v/>
      </c>
      <c r="C827">
        <f>IF(A827="","",'KG1-2'!$B$2)</f>
        <v/>
      </c>
      <c r="D827" s="126">
        <f t="array" ref="D827">IF(A827="","",IFERROR(SMALL(IF((('KG1-2'!$AD20:$IM20="غياب بدون عذر")+('KG1-2'!$AD20:$IM20="غياب بعذر"))*('KG1-2'!$AD$7:$IM$7="✓"),'KG1-2'!$AD$5:$IM$5),6),""))</f>
        <v/>
      </c>
      <c r="E827">
        <f>IF(D827="","",INDEX('KG1-2'!$AD20:$IM20,MATCH(D827,'KG1-2'!$AD$5:$IM$5,0)))</f>
        <v/>
      </c>
      <c r="F827">
        <f>IF(D827="","",COUNTIFS('KG1-2'!$AD20:$IM20,"غياب بدون عذر",'KG1-2'!$AD$7:$IM$7,"✓",'KG1-2'!$AD$5:$IM$5,"&lt;="&amp;D827))</f>
        <v/>
      </c>
      <c r="G827">
        <f>G826+IF(D827="",0,1)</f>
        <v/>
      </c>
    </row>
    <row r="828">
      <c r="A828">
        <f>IF('KG1-2'!$B20="","",'KG1-2'!$B20)</f>
        <v/>
      </c>
      <c r="B828">
        <f>IF(A828="","",'KG1-2'!$C20)</f>
        <v/>
      </c>
      <c r="C828">
        <f>IF(A828="","",'KG1-2'!$B$2)</f>
        <v/>
      </c>
      <c r="D828" s="126">
        <f t="array" ref="D828">IF(A828="","",IFERROR(SMALL(IF((('KG1-2'!$AD20:$IM20="غياب بدون عذر")+('KG1-2'!$AD20:$IM20="غياب بعذر"))*('KG1-2'!$AD$7:$IM$7="✓"),'KG1-2'!$AD$5:$IM$5),7),""))</f>
        <v/>
      </c>
      <c r="E828">
        <f>IF(D828="","",INDEX('KG1-2'!$AD20:$IM20,MATCH(D828,'KG1-2'!$AD$5:$IM$5,0)))</f>
        <v/>
      </c>
      <c r="F828">
        <f>IF(D828="","",COUNTIFS('KG1-2'!$AD20:$IM20,"غياب بدون عذر",'KG1-2'!$AD$7:$IM$7,"✓",'KG1-2'!$AD$5:$IM$5,"&lt;="&amp;D828))</f>
        <v/>
      </c>
      <c r="G828">
        <f>G827+IF(D828="",0,1)</f>
        <v/>
      </c>
    </row>
    <row r="829">
      <c r="A829">
        <f>IF('KG1-2'!$B20="","",'KG1-2'!$B20)</f>
        <v/>
      </c>
      <c r="B829">
        <f>IF(A829="","",'KG1-2'!$C20)</f>
        <v/>
      </c>
      <c r="C829">
        <f>IF(A829="","",'KG1-2'!$B$2)</f>
        <v/>
      </c>
      <c r="D829" s="126">
        <f t="array" ref="D829">IF(A829="","",IFERROR(SMALL(IF((('KG1-2'!$AD20:$IM20="غياب بدون عذر")+('KG1-2'!$AD20:$IM20="غياب بعذر"))*('KG1-2'!$AD$7:$IM$7="✓"),'KG1-2'!$AD$5:$IM$5),8),""))</f>
        <v/>
      </c>
      <c r="E829">
        <f>IF(D829="","",INDEX('KG1-2'!$AD20:$IM20,MATCH(D829,'KG1-2'!$AD$5:$IM$5,0)))</f>
        <v/>
      </c>
      <c r="F829">
        <f>IF(D829="","",COUNTIFS('KG1-2'!$AD20:$IM20,"غياب بدون عذر",'KG1-2'!$AD$7:$IM$7,"✓",'KG1-2'!$AD$5:$IM$5,"&lt;="&amp;D829))</f>
        <v/>
      </c>
      <c r="G829">
        <f>G828+IF(D829="",0,1)</f>
        <v/>
      </c>
    </row>
    <row r="830">
      <c r="A830">
        <f>IF('KG1-2'!$B20="","",'KG1-2'!$B20)</f>
        <v/>
      </c>
      <c r="B830">
        <f>IF(A830="","",'KG1-2'!$C20)</f>
        <v/>
      </c>
      <c r="C830">
        <f>IF(A830="","",'KG1-2'!$B$2)</f>
        <v/>
      </c>
      <c r="D830" s="126">
        <f t="array" ref="D830">IF(A830="","",IFERROR(SMALL(IF((('KG1-2'!$AD20:$IM20="غياب بدون عذر")+('KG1-2'!$AD20:$IM20="غياب بعذر"))*('KG1-2'!$AD$7:$IM$7="✓"),'KG1-2'!$AD$5:$IM$5),9),""))</f>
        <v/>
      </c>
      <c r="E830">
        <f>IF(D830="","",INDEX('KG1-2'!$AD20:$IM20,MATCH(D830,'KG1-2'!$AD$5:$IM$5,0)))</f>
        <v/>
      </c>
      <c r="F830">
        <f>IF(D830="","",COUNTIFS('KG1-2'!$AD20:$IM20,"غياب بدون عذر",'KG1-2'!$AD$7:$IM$7,"✓",'KG1-2'!$AD$5:$IM$5,"&lt;="&amp;D830))</f>
        <v/>
      </c>
      <c r="G830">
        <f>G829+IF(D830="",0,1)</f>
        <v/>
      </c>
    </row>
    <row r="831">
      <c r="A831">
        <f>IF('KG1-2'!$B20="","",'KG1-2'!$B20)</f>
        <v/>
      </c>
      <c r="B831">
        <f>IF(A831="","",'KG1-2'!$C20)</f>
        <v/>
      </c>
      <c r="C831">
        <f>IF(A831="","",'KG1-2'!$B$2)</f>
        <v/>
      </c>
      <c r="D831" s="126">
        <f t="array" ref="D831">IF(A831="","",IFERROR(SMALL(IF((('KG1-2'!$AD20:$IM20="غياب بدون عذر")+('KG1-2'!$AD20:$IM20="غياب بعذر"))*('KG1-2'!$AD$7:$IM$7="✓"),'KG1-2'!$AD$5:$IM$5),10),""))</f>
        <v/>
      </c>
      <c r="E831">
        <f>IF(D831="","",INDEX('KG1-2'!$AD20:$IM20,MATCH(D831,'KG1-2'!$AD$5:$IM$5,0)))</f>
        <v/>
      </c>
      <c r="F831">
        <f>IF(D831="","",COUNTIFS('KG1-2'!$AD20:$IM20,"غياب بدون عذر",'KG1-2'!$AD$7:$IM$7,"✓",'KG1-2'!$AD$5:$IM$5,"&lt;="&amp;D831))</f>
        <v/>
      </c>
      <c r="G831">
        <f>G830+IF(D831="",0,1)</f>
        <v/>
      </c>
    </row>
    <row r="832">
      <c r="A832">
        <f>IF('KG1-2'!$B20="","",'KG1-2'!$B20)</f>
        <v/>
      </c>
      <c r="B832">
        <f>IF(A832="","",'KG1-2'!$C20)</f>
        <v/>
      </c>
      <c r="C832">
        <f>IF(A832="","",'KG1-2'!$B$2)</f>
        <v/>
      </c>
      <c r="D832" s="126">
        <f t="array" ref="D832">IF(A832="","",IFERROR(SMALL(IF((('KG1-2'!$AD20:$IM20="غياب بدون عذر")+('KG1-2'!$AD20:$IM20="غياب بعذر"))*('KG1-2'!$AD$7:$IM$7="✓"),'KG1-2'!$AD$5:$IM$5),11),""))</f>
        <v/>
      </c>
      <c r="E832">
        <f>IF(D832="","",INDEX('KG1-2'!$AD20:$IM20,MATCH(D832,'KG1-2'!$AD$5:$IM$5,0)))</f>
        <v/>
      </c>
      <c r="F832">
        <f>IF(D832="","",COUNTIFS('KG1-2'!$AD20:$IM20,"غياب بدون عذر",'KG1-2'!$AD$7:$IM$7,"✓",'KG1-2'!$AD$5:$IM$5,"&lt;="&amp;D832))</f>
        <v/>
      </c>
      <c r="G832">
        <f>G831+IF(D832="",0,1)</f>
        <v/>
      </c>
    </row>
    <row r="833">
      <c r="A833">
        <f>IF('KG1-2'!$B20="","",'KG1-2'!$B20)</f>
        <v/>
      </c>
      <c r="B833">
        <f>IF(A833="","",'KG1-2'!$C20)</f>
        <v/>
      </c>
      <c r="C833">
        <f>IF(A833="","",'KG1-2'!$B$2)</f>
        <v/>
      </c>
      <c r="D833" s="126">
        <f t="array" ref="D833">IF(A833="","",IFERROR(SMALL(IF((('KG1-2'!$AD20:$IM20="غياب بدون عذر")+('KG1-2'!$AD20:$IM20="غياب بعذر"))*('KG1-2'!$AD$7:$IM$7="✓"),'KG1-2'!$AD$5:$IM$5),12),""))</f>
        <v/>
      </c>
      <c r="E833">
        <f>IF(D833="","",INDEX('KG1-2'!$AD20:$IM20,MATCH(D833,'KG1-2'!$AD$5:$IM$5,0)))</f>
        <v/>
      </c>
      <c r="F833">
        <f>IF(D833="","",COUNTIFS('KG1-2'!$AD20:$IM20,"غياب بدون عذر",'KG1-2'!$AD$7:$IM$7,"✓",'KG1-2'!$AD$5:$IM$5,"&lt;="&amp;D833))</f>
        <v/>
      </c>
      <c r="G833">
        <f>G832+IF(D833="",0,1)</f>
        <v/>
      </c>
    </row>
    <row r="834">
      <c r="A834">
        <f>IF('KG1-2'!$B20="","",'KG1-2'!$B20)</f>
        <v/>
      </c>
      <c r="B834">
        <f>IF(A834="","",'KG1-2'!$C20)</f>
        <v/>
      </c>
      <c r="C834">
        <f>IF(A834="","",'KG1-2'!$B$2)</f>
        <v/>
      </c>
      <c r="D834" s="126">
        <f t="array" ref="D834">IF(A834="","",IFERROR(SMALL(IF((('KG1-2'!$AD20:$IM20="غياب بدون عذر")+('KG1-2'!$AD20:$IM20="غياب بعذر"))*('KG1-2'!$AD$7:$IM$7="✓"),'KG1-2'!$AD$5:$IM$5),13),""))</f>
        <v/>
      </c>
      <c r="E834">
        <f>IF(D834="","",INDEX('KG1-2'!$AD20:$IM20,MATCH(D834,'KG1-2'!$AD$5:$IM$5,0)))</f>
        <v/>
      </c>
      <c r="F834">
        <f>IF(D834="","",COUNTIFS('KG1-2'!$AD20:$IM20,"غياب بدون عذر",'KG1-2'!$AD$7:$IM$7,"✓",'KG1-2'!$AD$5:$IM$5,"&lt;="&amp;D834))</f>
        <v/>
      </c>
      <c r="G834">
        <f>G833+IF(D834="",0,1)</f>
        <v/>
      </c>
    </row>
    <row r="835">
      <c r="A835">
        <f>IF('KG1-2'!$B20="","",'KG1-2'!$B20)</f>
        <v/>
      </c>
      <c r="B835">
        <f>IF(A835="","",'KG1-2'!$C20)</f>
        <v/>
      </c>
      <c r="C835">
        <f>IF(A835="","",'KG1-2'!$B$2)</f>
        <v/>
      </c>
      <c r="D835" s="126">
        <f t="array" ref="D835">IF(A835="","",IFERROR(SMALL(IF((('KG1-2'!$AD20:$IM20="غياب بدون عذر")+('KG1-2'!$AD20:$IM20="غياب بعذر"))*('KG1-2'!$AD$7:$IM$7="✓"),'KG1-2'!$AD$5:$IM$5),14),""))</f>
        <v/>
      </c>
      <c r="E835">
        <f>IF(D835="","",INDEX('KG1-2'!$AD20:$IM20,MATCH(D835,'KG1-2'!$AD$5:$IM$5,0)))</f>
        <v/>
      </c>
      <c r="F835">
        <f>IF(D835="","",COUNTIFS('KG1-2'!$AD20:$IM20,"غياب بدون عذر",'KG1-2'!$AD$7:$IM$7,"✓",'KG1-2'!$AD$5:$IM$5,"&lt;="&amp;D835))</f>
        <v/>
      </c>
      <c r="G835">
        <f>G834+IF(D835="",0,1)</f>
        <v/>
      </c>
    </row>
    <row r="836">
      <c r="A836">
        <f>IF('KG1-2'!$B20="","",'KG1-2'!$B20)</f>
        <v/>
      </c>
      <c r="B836">
        <f>IF(A836="","",'KG1-2'!$C20)</f>
        <v/>
      </c>
      <c r="C836">
        <f>IF(A836="","",'KG1-2'!$B$2)</f>
        <v/>
      </c>
      <c r="D836" s="126">
        <f t="array" ref="D836">IF(A836="","",IFERROR(SMALL(IF((('KG1-2'!$AD20:$IM20="غياب بدون عذر")+('KG1-2'!$AD20:$IM20="غياب بعذر"))*('KG1-2'!$AD$7:$IM$7="✓"),'KG1-2'!$AD$5:$IM$5),15),""))</f>
        <v/>
      </c>
      <c r="E836">
        <f>IF(D836="","",INDEX('KG1-2'!$AD20:$IM20,MATCH(D836,'KG1-2'!$AD$5:$IM$5,0)))</f>
        <v/>
      </c>
      <c r="F836">
        <f>IF(D836="","",COUNTIFS('KG1-2'!$AD20:$IM20,"غياب بدون عذر",'KG1-2'!$AD$7:$IM$7,"✓",'KG1-2'!$AD$5:$IM$5,"&lt;="&amp;D836))</f>
        <v/>
      </c>
      <c r="G836">
        <f>G835+IF(D836="",0,1)</f>
        <v/>
      </c>
    </row>
    <row r="837">
      <c r="A837">
        <f>IF('KG1-2'!$B20="","",'KG1-2'!$B20)</f>
        <v/>
      </c>
      <c r="B837">
        <f>IF(A837="","",'KG1-2'!$C20)</f>
        <v/>
      </c>
      <c r="C837">
        <f>IF(A837="","",'KG1-2'!$B$2)</f>
        <v/>
      </c>
      <c r="D837" s="126">
        <f t="array" ref="D837">IF(A837="","",IFERROR(SMALL(IF((('KG1-2'!$AD20:$IM20="غياب بدون عذر")+('KG1-2'!$AD20:$IM20="غياب بعذر"))*('KG1-2'!$AD$7:$IM$7="✓"),'KG1-2'!$AD$5:$IM$5),16),""))</f>
        <v/>
      </c>
      <c r="E837">
        <f>IF(D837="","",INDEX('KG1-2'!$AD20:$IM20,MATCH(D837,'KG1-2'!$AD$5:$IM$5,0)))</f>
        <v/>
      </c>
      <c r="F837">
        <f>IF(D837="","",COUNTIFS('KG1-2'!$AD20:$IM20,"غياب بدون عذر",'KG1-2'!$AD$7:$IM$7,"✓",'KG1-2'!$AD$5:$IM$5,"&lt;="&amp;D837))</f>
        <v/>
      </c>
      <c r="G837">
        <f>G836+IF(D837="",0,1)</f>
        <v/>
      </c>
    </row>
    <row r="838">
      <c r="A838">
        <f>IF('KG1-2'!$B20="","",'KG1-2'!$B20)</f>
        <v/>
      </c>
      <c r="B838">
        <f>IF(A838="","",'KG1-2'!$C20)</f>
        <v/>
      </c>
      <c r="C838">
        <f>IF(A838="","",'KG1-2'!$B$2)</f>
        <v/>
      </c>
      <c r="D838" s="126">
        <f t="array" ref="D838">IF(A838="","",IFERROR(SMALL(IF((('KG1-2'!$AD20:$IM20="غياب بدون عذر")+('KG1-2'!$AD20:$IM20="غياب بعذر"))*('KG1-2'!$AD$7:$IM$7="✓"),'KG1-2'!$AD$5:$IM$5),17),""))</f>
        <v/>
      </c>
      <c r="E838">
        <f>IF(D838="","",INDEX('KG1-2'!$AD20:$IM20,MATCH(D838,'KG1-2'!$AD$5:$IM$5,0)))</f>
        <v/>
      </c>
      <c r="F838">
        <f>IF(D838="","",COUNTIFS('KG1-2'!$AD20:$IM20,"غياب بدون عذر",'KG1-2'!$AD$7:$IM$7,"✓",'KG1-2'!$AD$5:$IM$5,"&lt;="&amp;D838))</f>
        <v/>
      </c>
      <c r="G838">
        <f>G837+IF(D838="",0,1)</f>
        <v/>
      </c>
    </row>
    <row r="839">
      <c r="A839">
        <f>IF('KG1-2'!$B20="","",'KG1-2'!$B20)</f>
        <v/>
      </c>
      <c r="B839">
        <f>IF(A839="","",'KG1-2'!$C20)</f>
        <v/>
      </c>
      <c r="C839">
        <f>IF(A839="","",'KG1-2'!$B$2)</f>
        <v/>
      </c>
      <c r="D839" s="126">
        <f t="array" ref="D839">IF(A839="","",IFERROR(SMALL(IF((('KG1-2'!$AD20:$IM20="غياب بدون عذر")+('KG1-2'!$AD20:$IM20="غياب بعذر"))*('KG1-2'!$AD$7:$IM$7="✓"),'KG1-2'!$AD$5:$IM$5),18),""))</f>
        <v/>
      </c>
      <c r="E839">
        <f>IF(D839="","",INDEX('KG1-2'!$AD20:$IM20,MATCH(D839,'KG1-2'!$AD$5:$IM$5,0)))</f>
        <v/>
      </c>
      <c r="F839">
        <f>IF(D839="","",COUNTIFS('KG1-2'!$AD20:$IM20,"غياب بدون عذر",'KG1-2'!$AD$7:$IM$7,"✓",'KG1-2'!$AD$5:$IM$5,"&lt;="&amp;D839))</f>
        <v/>
      </c>
      <c r="G839">
        <f>G838+IF(D839="",0,1)</f>
        <v/>
      </c>
    </row>
    <row r="840">
      <c r="A840">
        <f>IF('KG1-2'!$B20="","",'KG1-2'!$B20)</f>
        <v/>
      </c>
      <c r="B840">
        <f>IF(A840="","",'KG1-2'!$C20)</f>
        <v/>
      </c>
      <c r="C840">
        <f>IF(A840="","",'KG1-2'!$B$2)</f>
        <v/>
      </c>
      <c r="D840" s="126">
        <f t="array" ref="D840">IF(A840="","",IFERROR(SMALL(IF((('KG1-2'!$AD20:$IM20="غياب بدون عذر")+('KG1-2'!$AD20:$IM20="غياب بعذر"))*('KG1-2'!$AD$7:$IM$7="✓"),'KG1-2'!$AD$5:$IM$5),19),""))</f>
        <v/>
      </c>
      <c r="E840">
        <f>IF(D840="","",INDEX('KG1-2'!$AD20:$IM20,MATCH(D840,'KG1-2'!$AD$5:$IM$5,0)))</f>
        <v/>
      </c>
      <c r="F840">
        <f>IF(D840="","",COUNTIFS('KG1-2'!$AD20:$IM20,"غياب بدون عذر",'KG1-2'!$AD$7:$IM$7,"✓",'KG1-2'!$AD$5:$IM$5,"&lt;="&amp;D840))</f>
        <v/>
      </c>
      <c r="G840">
        <f>G839+IF(D840="",0,1)</f>
        <v/>
      </c>
    </row>
    <row r="841">
      <c r="A841">
        <f>IF('KG1-2'!$B20="","",'KG1-2'!$B20)</f>
        <v/>
      </c>
      <c r="B841">
        <f>IF(A841="","",'KG1-2'!$C20)</f>
        <v/>
      </c>
      <c r="C841">
        <f>IF(A841="","",'KG1-2'!$B$2)</f>
        <v/>
      </c>
      <c r="D841" s="126">
        <f t="array" ref="D841">IF(A841="","",IFERROR(SMALL(IF((('KG1-2'!$AD20:$IM20="غياب بدون عذر")+('KG1-2'!$AD20:$IM20="غياب بعذر"))*('KG1-2'!$AD$7:$IM$7="✓"),'KG1-2'!$AD$5:$IM$5),20),""))</f>
        <v/>
      </c>
      <c r="E841">
        <f>IF(D841="","",INDEX('KG1-2'!$AD20:$IM20,MATCH(D841,'KG1-2'!$AD$5:$IM$5,0)))</f>
        <v/>
      </c>
      <c r="F841">
        <f>IF(D841="","",COUNTIFS('KG1-2'!$AD20:$IM20,"غياب بدون عذر",'KG1-2'!$AD$7:$IM$7,"✓",'KG1-2'!$AD$5:$IM$5,"&lt;="&amp;D841))</f>
        <v/>
      </c>
      <c r="G841">
        <f>G840+IF(D841="",0,1)</f>
        <v/>
      </c>
    </row>
    <row r="842">
      <c r="A842">
        <f>IF('KG1-2'!$B21="","",'KG1-2'!$B21)</f>
        <v/>
      </c>
      <c r="B842">
        <f>IF(A842="","",'KG1-2'!$C21)</f>
        <v/>
      </c>
      <c r="C842">
        <f>IF(A842="","",'KG1-2'!$B$2)</f>
        <v/>
      </c>
      <c r="D842" s="126">
        <f t="array" ref="D842">IF(A842="","",IFERROR(SMALL(IF((('KG1-2'!$AD21:$IM21="غياب بدون عذر")+('KG1-2'!$AD21:$IM21="غياب بعذر"))*('KG1-2'!$AD$7:$IM$7="✓"),'KG1-2'!$AD$5:$IM$5),1),""))</f>
        <v/>
      </c>
      <c r="E842">
        <f>IF(D842="","",INDEX('KG1-2'!$AD21:$IM21,MATCH(D842,'KG1-2'!$AD$5:$IM$5,0)))</f>
        <v/>
      </c>
      <c r="F842">
        <f>IF(D842="","",COUNTIFS('KG1-2'!$AD21:$IM21,"غياب بدون عذر",'KG1-2'!$AD$7:$IM$7,"✓",'KG1-2'!$AD$5:$IM$5,"&lt;="&amp;D842))</f>
        <v/>
      </c>
      <c r="G842">
        <f>G841+IF(D842="",0,1)</f>
        <v/>
      </c>
    </row>
    <row r="843">
      <c r="A843">
        <f>IF('KG1-2'!$B21="","",'KG1-2'!$B21)</f>
        <v/>
      </c>
      <c r="B843">
        <f>IF(A843="","",'KG1-2'!$C21)</f>
        <v/>
      </c>
      <c r="C843">
        <f>IF(A843="","",'KG1-2'!$B$2)</f>
        <v/>
      </c>
      <c r="D843" s="126">
        <f t="array" ref="D843">IF(A843="","",IFERROR(SMALL(IF((('KG1-2'!$AD21:$IM21="غياب بدون عذر")+('KG1-2'!$AD21:$IM21="غياب بعذر"))*('KG1-2'!$AD$7:$IM$7="✓"),'KG1-2'!$AD$5:$IM$5),2),""))</f>
        <v/>
      </c>
      <c r="E843">
        <f>IF(D843="","",INDEX('KG1-2'!$AD21:$IM21,MATCH(D843,'KG1-2'!$AD$5:$IM$5,0)))</f>
        <v/>
      </c>
      <c r="F843">
        <f>IF(D843="","",COUNTIFS('KG1-2'!$AD21:$IM21,"غياب بدون عذر",'KG1-2'!$AD$7:$IM$7,"✓",'KG1-2'!$AD$5:$IM$5,"&lt;="&amp;D843))</f>
        <v/>
      </c>
      <c r="G843">
        <f>G842+IF(D843="",0,1)</f>
        <v/>
      </c>
    </row>
    <row r="844">
      <c r="A844">
        <f>IF('KG1-2'!$B21="","",'KG1-2'!$B21)</f>
        <v/>
      </c>
      <c r="B844">
        <f>IF(A844="","",'KG1-2'!$C21)</f>
        <v/>
      </c>
      <c r="C844">
        <f>IF(A844="","",'KG1-2'!$B$2)</f>
        <v/>
      </c>
      <c r="D844" s="126">
        <f t="array" ref="D844">IF(A844="","",IFERROR(SMALL(IF((('KG1-2'!$AD21:$IM21="غياب بدون عذر")+('KG1-2'!$AD21:$IM21="غياب بعذر"))*('KG1-2'!$AD$7:$IM$7="✓"),'KG1-2'!$AD$5:$IM$5),3),""))</f>
        <v/>
      </c>
      <c r="E844">
        <f>IF(D844="","",INDEX('KG1-2'!$AD21:$IM21,MATCH(D844,'KG1-2'!$AD$5:$IM$5,0)))</f>
        <v/>
      </c>
      <c r="F844">
        <f>IF(D844="","",COUNTIFS('KG1-2'!$AD21:$IM21,"غياب بدون عذر",'KG1-2'!$AD$7:$IM$7,"✓",'KG1-2'!$AD$5:$IM$5,"&lt;="&amp;D844))</f>
        <v/>
      </c>
      <c r="G844">
        <f>G843+IF(D844="",0,1)</f>
        <v/>
      </c>
    </row>
    <row r="845">
      <c r="A845">
        <f>IF('KG1-2'!$B21="","",'KG1-2'!$B21)</f>
        <v/>
      </c>
      <c r="B845">
        <f>IF(A845="","",'KG1-2'!$C21)</f>
        <v/>
      </c>
      <c r="C845">
        <f>IF(A845="","",'KG1-2'!$B$2)</f>
        <v/>
      </c>
      <c r="D845" s="126">
        <f t="array" ref="D845">IF(A845="","",IFERROR(SMALL(IF((('KG1-2'!$AD21:$IM21="غياب بدون عذر")+('KG1-2'!$AD21:$IM21="غياب بعذر"))*('KG1-2'!$AD$7:$IM$7="✓"),'KG1-2'!$AD$5:$IM$5),4),""))</f>
        <v/>
      </c>
      <c r="E845">
        <f>IF(D845="","",INDEX('KG1-2'!$AD21:$IM21,MATCH(D845,'KG1-2'!$AD$5:$IM$5,0)))</f>
        <v/>
      </c>
      <c r="F845">
        <f>IF(D845="","",COUNTIFS('KG1-2'!$AD21:$IM21,"غياب بدون عذر",'KG1-2'!$AD$7:$IM$7,"✓",'KG1-2'!$AD$5:$IM$5,"&lt;="&amp;D845))</f>
        <v/>
      </c>
      <c r="G845">
        <f>G844+IF(D845="",0,1)</f>
        <v/>
      </c>
    </row>
    <row r="846">
      <c r="A846">
        <f>IF('KG1-2'!$B21="","",'KG1-2'!$B21)</f>
        <v/>
      </c>
      <c r="B846">
        <f>IF(A846="","",'KG1-2'!$C21)</f>
        <v/>
      </c>
      <c r="C846">
        <f>IF(A846="","",'KG1-2'!$B$2)</f>
        <v/>
      </c>
      <c r="D846" s="126">
        <f t="array" ref="D846">IF(A846="","",IFERROR(SMALL(IF((('KG1-2'!$AD21:$IM21="غياب بدون عذر")+('KG1-2'!$AD21:$IM21="غياب بعذر"))*('KG1-2'!$AD$7:$IM$7="✓"),'KG1-2'!$AD$5:$IM$5),5),""))</f>
        <v/>
      </c>
      <c r="E846">
        <f>IF(D846="","",INDEX('KG1-2'!$AD21:$IM21,MATCH(D846,'KG1-2'!$AD$5:$IM$5,0)))</f>
        <v/>
      </c>
      <c r="F846">
        <f>IF(D846="","",COUNTIFS('KG1-2'!$AD21:$IM21,"غياب بدون عذر",'KG1-2'!$AD$7:$IM$7,"✓",'KG1-2'!$AD$5:$IM$5,"&lt;="&amp;D846))</f>
        <v/>
      </c>
      <c r="G846">
        <f>G845+IF(D846="",0,1)</f>
        <v/>
      </c>
    </row>
    <row r="847">
      <c r="A847">
        <f>IF('KG1-2'!$B21="","",'KG1-2'!$B21)</f>
        <v/>
      </c>
      <c r="B847">
        <f>IF(A847="","",'KG1-2'!$C21)</f>
        <v/>
      </c>
      <c r="C847">
        <f>IF(A847="","",'KG1-2'!$B$2)</f>
        <v/>
      </c>
      <c r="D847" s="126">
        <f t="array" ref="D847">IF(A847="","",IFERROR(SMALL(IF((('KG1-2'!$AD21:$IM21="غياب بدون عذر")+('KG1-2'!$AD21:$IM21="غياب بعذر"))*('KG1-2'!$AD$7:$IM$7="✓"),'KG1-2'!$AD$5:$IM$5),6),""))</f>
        <v/>
      </c>
      <c r="E847">
        <f>IF(D847="","",INDEX('KG1-2'!$AD21:$IM21,MATCH(D847,'KG1-2'!$AD$5:$IM$5,0)))</f>
        <v/>
      </c>
      <c r="F847">
        <f>IF(D847="","",COUNTIFS('KG1-2'!$AD21:$IM21,"غياب بدون عذر",'KG1-2'!$AD$7:$IM$7,"✓",'KG1-2'!$AD$5:$IM$5,"&lt;="&amp;D847))</f>
        <v/>
      </c>
      <c r="G847">
        <f>G846+IF(D847="",0,1)</f>
        <v/>
      </c>
    </row>
    <row r="848">
      <c r="A848">
        <f>IF('KG1-2'!$B21="","",'KG1-2'!$B21)</f>
        <v/>
      </c>
      <c r="B848">
        <f>IF(A848="","",'KG1-2'!$C21)</f>
        <v/>
      </c>
      <c r="C848">
        <f>IF(A848="","",'KG1-2'!$B$2)</f>
        <v/>
      </c>
      <c r="D848" s="126">
        <f t="array" ref="D848">IF(A848="","",IFERROR(SMALL(IF((('KG1-2'!$AD21:$IM21="غياب بدون عذر")+('KG1-2'!$AD21:$IM21="غياب بعذر"))*('KG1-2'!$AD$7:$IM$7="✓"),'KG1-2'!$AD$5:$IM$5),7),""))</f>
        <v/>
      </c>
      <c r="E848">
        <f>IF(D848="","",INDEX('KG1-2'!$AD21:$IM21,MATCH(D848,'KG1-2'!$AD$5:$IM$5,0)))</f>
        <v/>
      </c>
      <c r="F848">
        <f>IF(D848="","",COUNTIFS('KG1-2'!$AD21:$IM21,"غياب بدون عذر",'KG1-2'!$AD$7:$IM$7,"✓",'KG1-2'!$AD$5:$IM$5,"&lt;="&amp;D848))</f>
        <v/>
      </c>
      <c r="G848">
        <f>G847+IF(D848="",0,1)</f>
        <v/>
      </c>
    </row>
    <row r="849">
      <c r="A849">
        <f>IF('KG1-2'!$B21="","",'KG1-2'!$B21)</f>
        <v/>
      </c>
      <c r="B849">
        <f>IF(A849="","",'KG1-2'!$C21)</f>
        <v/>
      </c>
      <c r="C849">
        <f>IF(A849="","",'KG1-2'!$B$2)</f>
        <v/>
      </c>
      <c r="D849" s="126">
        <f t="array" ref="D849">IF(A849="","",IFERROR(SMALL(IF((('KG1-2'!$AD21:$IM21="غياب بدون عذر")+('KG1-2'!$AD21:$IM21="غياب بعذر"))*('KG1-2'!$AD$7:$IM$7="✓"),'KG1-2'!$AD$5:$IM$5),8),""))</f>
        <v/>
      </c>
      <c r="E849">
        <f>IF(D849="","",INDEX('KG1-2'!$AD21:$IM21,MATCH(D849,'KG1-2'!$AD$5:$IM$5,0)))</f>
        <v/>
      </c>
      <c r="F849">
        <f>IF(D849="","",COUNTIFS('KG1-2'!$AD21:$IM21,"غياب بدون عذر",'KG1-2'!$AD$7:$IM$7,"✓",'KG1-2'!$AD$5:$IM$5,"&lt;="&amp;D849))</f>
        <v/>
      </c>
      <c r="G849">
        <f>G848+IF(D849="",0,1)</f>
        <v/>
      </c>
    </row>
    <row r="850">
      <c r="A850">
        <f>IF('KG1-2'!$B21="","",'KG1-2'!$B21)</f>
        <v/>
      </c>
      <c r="B850">
        <f>IF(A850="","",'KG1-2'!$C21)</f>
        <v/>
      </c>
      <c r="C850">
        <f>IF(A850="","",'KG1-2'!$B$2)</f>
        <v/>
      </c>
      <c r="D850" s="126">
        <f t="array" ref="D850">IF(A850="","",IFERROR(SMALL(IF((('KG1-2'!$AD21:$IM21="غياب بدون عذر")+('KG1-2'!$AD21:$IM21="غياب بعذر"))*('KG1-2'!$AD$7:$IM$7="✓"),'KG1-2'!$AD$5:$IM$5),9),""))</f>
        <v/>
      </c>
      <c r="E850">
        <f>IF(D850="","",INDEX('KG1-2'!$AD21:$IM21,MATCH(D850,'KG1-2'!$AD$5:$IM$5,0)))</f>
        <v/>
      </c>
      <c r="F850">
        <f>IF(D850="","",COUNTIFS('KG1-2'!$AD21:$IM21,"غياب بدون عذر",'KG1-2'!$AD$7:$IM$7,"✓",'KG1-2'!$AD$5:$IM$5,"&lt;="&amp;D850))</f>
        <v/>
      </c>
      <c r="G850">
        <f>G849+IF(D850="",0,1)</f>
        <v/>
      </c>
    </row>
    <row r="851">
      <c r="A851">
        <f>IF('KG1-2'!$B21="","",'KG1-2'!$B21)</f>
        <v/>
      </c>
      <c r="B851">
        <f>IF(A851="","",'KG1-2'!$C21)</f>
        <v/>
      </c>
      <c r="C851">
        <f>IF(A851="","",'KG1-2'!$B$2)</f>
        <v/>
      </c>
      <c r="D851" s="126">
        <f t="array" ref="D851">IF(A851="","",IFERROR(SMALL(IF((('KG1-2'!$AD21:$IM21="غياب بدون عذر")+('KG1-2'!$AD21:$IM21="غياب بعذر"))*('KG1-2'!$AD$7:$IM$7="✓"),'KG1-2'!$AD$5:$IM$5),10),""))</f>
        <v/>
      </c>
      <c r="E851">
        <f>IF(D851="","",INDEX('KG1-2'!$AD21:$IM21,MATCH(D851,'KG1-2'!$AD$5:$IM$5,0)))</f>
        <v/>
      </c>
      <c r="F851">
        <f>IF(D851="","",COUNTIFS('KG1-2'!$AD21:$IM21,"غياب بدون عذر",'KG1-2'!$AD$7:$IM$7,"✓",'KG1-2'!$AD$5:$IM$5,"&lt;="&amp;D851))</f>
        <v/>
      </c>
      <c r="G851">
        <f>G850+IF(D851="",0,1)</f>
        <v/>
      </c>
    </row>
    <row r="852">
      <c r="A852">
        <f>IF('KG1-2'!$B21="","",'KG1-2'!$B21)</f>
        <v/>
      </c>
      <c r="B852">
        <f>IF(A852="","",'KG1-2'!$C21)</f>
        <v/>
      </c>
      <c r="C852">
        <f>IF(A852="","",'KG1-2'!$B$2)</f>
        <v/>
      </c>
      <c r="D852" s="126">
        <f t="array" ref="D852">IF(A852="","",IFERROR(SMALL(IF((('KG1-2'!$AD21:$IM21="غياب بدون عذر")+('KG1-2'!$AD21:$IM21="غياب بعذر"))*('KG1-2'!$AD$7:$IM$7="✓"),'KG1-2'!$AD$5:$IM$5),11),""))</f>
        <v/>
      </c>
      <c r="E852">
        <f>IF(D852="","",INDEX('KG1-2'!$AD21:$IM21,MATCH(D852,'KG1-2'!$AD$5:$IM$5,0)))</f>
        <v/>
      </c>
      <c r="F852">
        <f>IF(D852="","",COUNTIFS('KG1-2'!$AD21:$IM21,"غياب بدون عذر",'KG1-2'!$AD$7:$IM$7,"✓",'KG1-2'!$AD$5:$IM$5,"&lt;="&amp;D852))</f>
        <v/>
      </c>
      <c r="G852">
        <f>G851+IF(D852="",0,1)</f>
        <v/>
      </c>
    </row>
    <row r="853">
      <c r="A853">
        <f>IF('KG1-2'!$B21="","",'KG1-2'!$B21)</f>
        <v/>
      </c>
      <c r="B853">
        <f>IF(A853="","",'KG1-2'!$C21)</f>
        <v/>
      </c>
      <c r="C853">
        <f>IF(A853="","",'KG1-2'!$B$2)</f>
        <v/>
      </c>
      <c r="D853" s="126">
        <f t="array" ref="D853">IF(A853="","",IFERROR(SMALL(IF((('KG1-2'!$AD21:$IM21="غياب بدون عذر")+('KG1-2'!$AD21:$IM21="غياب بعذر"))*('KG1-2'!$AD$7:$IM$7="✓"),'KG1-2'!$AD$5:$IM$5),12),""))</f>
        <v/>
      </c>
      <c r="E853">
        <f>IF(D853="","",INDEX('KG1-2'!$AD21:$IM21,MATCH(D853,'KG1-2'!$AD$5:$IM$5,0)))</f>
        <v/>
      </c>
      <c r="F853">
        <f>IF(D853="","",COUNTIFS('KG1-2'!$AD21:$IM21,"غياب بدون عذر",'KG1-2'!$AD$7:$IM$7,"✓",'KG1-2'!$AD$5:$IM$5,"&lt;="&amp;D853))</f>
        <v/>
      </c>
      <c r="G853">
        <f>G852+IF(D853="",0,1)</f>
        <v/>
      </c>
    </row>
    <row r="854">
      <c r="A854">
        <f>IF('KG1-2'!$B21="","",'KG1-2'!$B21)</f>
        <v/>
      </c>
      <c r="B854">
        <f>IF(A854="","",'KG1-2'!$C21)</f>
        <v/>
      </c>
      <c r="C854">
        <f>IF(A854="","",'KG1-2'!$B$2)</f>
        <v/>
      </c>
      <c r="D854" s="126">
        <f t="array" ref="D854">IF(A854="","",IFERROR(SMALL(IF((('KG1-2'!$AD21:$IM21="غياب بدون عذر")+('KG1-2'!$AD21:$IM21="غياب بعذر"))*('KG1-2'!$AD$7:$IM$7="✓"),'KG1-2'!$AD$5:$IM$5),13),""))</f>
        <v/>
      </c>
      <c r="E854">
        <f>IF(D854="","",INDEX('KG1-2'!$AD21:$IM21,MATCH(D854,'KG1-2'!$AD$5:$IM$5,0)))</f>
        <v/>
      </c>
      <c r="F854">
        <f>IF(D854="","",COUNTIFS('KG1-2'!$AD21:$IM21,"غياب بدون عذر",'KG1-2'!$AD$7:$IM$7,"✓",'KG1-2'!$AD$5:$IM$5,"&lt;="&amp;D854))</f>
        <v/>
      </c>
      <c r="G854">
        <f>G853+IF(D854="",0,1)</f>
        <v/>
      </c>
    </row>
    <row r="855">
      <c r="A855">
        <f>IF('KG1-2'!$B21="","",'KG1-2'!$B21)</f>
        <v/>
      </c>
      <c r="B855">
        <f>IF(A855="","",'KG1-2'!$C21)</f>
        <v/>
      </c>
      <c r="C855">
        <f>IF(A855="","",'KG1-2'!$B$2)</f>
        <v/>
      </c>
      <c r="D855" s="126">
        <f t="array" ref="D855">IF(A855="","",IFERROR(SMALL(IF((('KG1-2'!$AD21:$IM21="غياب بدون عذر")+('KG1-2'!$AD21:$IM21="غياب بعذر"))*('KG1-2'!$AD$7:$IM$7="✓"),'KG1-2'!$AD$5:$IM$5),14),""))</f>
        <v/>
      </c>
      <c r="E855">
        <f>IF(D855="","",INDEX('KG1-2'!$AD21:$IM21,MATCH(D855,'KG1-2'!$AD$5:$IM$5,0)))</f>
        <v/>
      </c>
      <c r="F855">
        <f>IF(D855="","",COUNTIFS('KG1-2'!$AD21:$IM21,"غياب بدون عذر",'KG1-2'!$AD$7:$IM$7,"✓",'KG1-2'!$AD$5:$IM$5,"&lt;="&amp;D855))</f>
        <v/>
      </c>
      <c r="G855">
        <f>G854+IF(D855="",0,1)</f>
        <v/>
      </c>
    </row>
    <row r="856">
      <c r="A856">
        <f>IF('KG1-2'!$B21="","",'KG1-2'!$B21)</f>
        <v/>
      </c>
      <c r="B856">
        <f>IF(A856="","",'KG1-2'!$C21)</f>
        <v/>
      </c>
      <c r="C856">
        <f>IF(A856="","",'KG1-2'!$B$2)</f>
        <v/>
      </c>
      <c r="D856" s="126">
        <f t="array" ref="D856">IF(A856="","",IFERROR(SMALL(IF((('KG1-2'!$AD21:$IM21="غياب بدون عذر")+('KG1-2'!$AD21:$IM21="غياب بعذر"))*('KG1-2'!$AD$7:$IM$7="✓"),'KG1-2'!$AD$5:$IM$5),15),""))</f>
        <v/>
      </c>
      <c r="E856">
        <f>IF(D856="","",INDEX('KG1-2'!$AD21:$IM21,MATCH(D856,'KG1-2'!$AD$5:$IM$5,0)))</f>
        <v/>
      </c>
      <c r="F856">
        <f>IF(D856="","",COUNTIFS('KG1-2'!$AD21:$IM21,"غياب بدون عذر",'KG1-2'!$AD$7:$IM$7,"✓",'KG1-2'!$AD$5:$IM$5,"&lt;="&amp;D856))</f>
        <v/>
      </c>
      <c r="G856">
        <f>G855+IF(D856="",0,1)</f>
        <v/>
      </c>
    </row>
    <row r="857">
      <c r="A857">
        <f>IF('KG1-2'!$B21="","",'KG1-2'!$B21)</f>
        <v/>
      </c>
      <c r="B857">
        <f>IF(A857="","",'KG1-2'!$C21)</f>
        <v/>
      </c>
      <c r="C857">
        <f>IF(A857="","",'KG1-2'!$B$2)</f>
        <v/>
      </c>
      <c r="D857" s="126">
        <f t="array" ref="D857">IF(A857="","",IFERROR(SMALL(IF((('KG1-2'!$AD21:$IM21="غياب بدون عذر")+('KG1-2'!$AD21:$IM21="غياب بعذر"))*('KG1-2'!$AD$7:$IM$7="✓"),'KG1-2'!$AD$5:$IM$5),16),""))</f>
        <v/>
      </c>
      <c r="E857">
        <f>IF(D857="","",INDEX('KG1-2'!$AD21:$IM21,MATCH(D857,'KG1-2'!$AD$5:$IM$5,0)))</f>
        <v/>
      </c>
      <c r="F857">
        <f>IF(D857="","",COUNTIFS('KG1-2'!$AD21:$IM21,"غياب بدون عذر",'KG1-2'!$AD$7:$IM$7,"✓",'KG1-2'!$AD$5:$IM$5,"&lt;="&amp;D857))</f>
        <v/>
      </c>
      <c r="G857">
        <f>G856+IF(D857="",0,1)</f>
        <v/>
      </c>
    </row>
    <row r="858">
      <c r="A858">
        <f>IF('KG1-2'!$B21="","",'KG1-2'!$B21)</f>
        <v/>
      </c>
      <c r="B858">
        <f>IF(A858="","",'KG1-2'!$C21)</f>
        <v/>
      </c>
      <c r="C858">
        <f>IF(A858="","",'KG1-2'!$B$2)</f>
        <v/>
      </c>
      <c r="D858" s="126">
        <f t="array" ref="D858">IF(A858="","",IFERROR(SMALL(IF((('KG1-2'!$AD21:$IM21="غياب بدون عذر")+('KG1-2'!$AD21:$IM21="غياب بعذر"))*('KG1-2'!$AD$7:$IM$7="✓"),'KG1-2'!$AD$5:$IM$5),17),""))</f>
        <v/>
      </c>
      <c r="E858">
        <f>IF(D858="","",INDEX('KG1-2'!$AD21:$IM21,MATCH(D858,'KG1-2'!$AD$5:$IM$5,0)))</f>
        <v/>
      </c>
      <c r="F858">
        <f>IF(D858="","",COUNTIFS('KG1-2'!$AD21:$IM21,"غياب بدون عذر",'KG1-2'!$AD$7:$IM$7,"✓",'KG1-2'!$AD$5:$IM$5,"&lt;="&amp;D858))</f>
        <v/>
      </c>
      <c r="G858">
        <f>G857+IF(D858="",0,1)</f>
        <v/>
      </c>
    </row>
    <row r="859">
      <c r="A859">
        <f>IF('KG1-2'!$B21="","",'KG1-2'!$B21)</f>
        <v/>
      </c>
      <c r="B859">
        <f>IF(A859="","",'KG1-2'!$C21)</f>
        <v/>
      </c>
      <c r="C859">
        <f>IF(A859="","",'KG1-2'!$B$2)</f>
        <v/>
      </c>
      <c r="D859" s="126">
        <f t="array" ref="D859">IF(A859="","",IFERROR(SMALL(IF((('KG1-2'!$AD21:$IM21="غياب بدون عذر")+('KG1-2'!$AD21:$IM21="غياب بعذر"))*('KG1-2'!$AD$7:$IM$7="✓"),'KG1-2'!$AD$5:$IM$5),18),""))</f>
        <v/>
      </c>
      <c r="E859">
        <f>IF(D859="","",INDEX('KG1-2'!$AD21:$IM21,MATCH(D859,'KG1-2'!$AD$5:$IM$5,0)))</f>
        <v/>
      </c>
      <c r="F859">
        <f>IF(D859="","",COUNTIFS('KG1-2'!$AD21:$IM21,"غياب بدون عذر",'KG1-2'!$AD$7:$IM$7,"✓",'KG1-2'!$AD$5:$IM$5,"&lt;="&amp;D859))</f>
        <v/>
      </c>
      <c r="G859">
        <f>G858+IF(D859="",0,1)</f>
        <v/>
      </c>
    </row>
    <row r="860">
      <c r="A860">
        <f>IF('KG1-2'!$B21="","",'KG1-2'!$B21)</f>
        <v/>
      </c>
      <c r="B860">
        <f>IF(A860="","",'KG1-2'!$C21)</f>
        <v/>
      </c>
      <c r="C860">
        <f>IF(A860="","",'KG1-2'!$B$2)</f>
        <v/>
      </c>
      <c r="D860" s="126">
        <f t="array" ref="D860">IF(A860="","",IFERROR(SMALL(IF((('KG1-2'!$AD21:$IM21="غياب بدون عذر")+('KG1-2'!$AD21:$IM21="غياب بعذر"))*('KG1-2'!$AD$7:$IM$7="✓"),'KG1-2'!$AD$5:$IM$5),19),""))</f>
        <v/>
      </c>
      <c r="E860">
        <f>IF(D860="","",INDEX('KG1-2'!$AD21:$IM21,MATCH(D860,'KG1-2'!$AD$5:$IM$5,0)))</f>
        <v/>
      </c>
      <c r="F860">
        <f>IF(D860="","",COUNTIFS('KG1-2'!$AD21:$IM21,"غياب بدون عذر",'KG1-2'!$AD$7:$IM$7,"✓",'KG1-2'!$AD$5:$IM$5,"&lt;="&amp;D860))</f>
        <v/>
      </c>
      <c r="G860">
        <f>G859+IF(D860="",0,1)</f>
        <v/>
      </c>
    </row>
    <row r="861">
      <c r="A861">
        <f>IF('KG1-2'!$B21="","",'KG1-2'!$B21)</f>
        <v/>
      </c>
      <c r="B861">
        <f>IF(A861="","",'KG1-2'!$C21)</f>
        <v/>
      </c>
      <c r="C861">
        <f>IF(A861="","",'KG1-2'!$B$2)</f>
        <v/>
      </c>
      <c r="D861" s="126">
        <f t="array" ref="D861">IF(A861="","",IFERROR(SMALL(IF((('KG1-2'!$AD21:$IM21="غياب بدون عذر")+('KG1-2'!$AD21:$IM21="غياب بعذر"))*('KG1-2'!$AD$7:$IM$7="✓"),'KG1-2'!$AD$5:$IM$5),20),""))</f>
        <v/>
      </c>
      <c r="E861">
        <f>IF(D861="","",INDEX('KG1-2'!$AD21:$IM21,MATCH(D861,'KG1-2'!$AD$5:$IM$5,0)))</f>
        <v/>
      </c>
      <c r="F861">
        <f>IF(D861="","",COUNTIFS('KG1-2'!$AD21:$IM21,"غياب بدون عذر",'KG1-2'!$AD$7:$IM$7,"✓",'KG1-2'!$AD$5:$IM$5,"&lt;="&amp;D861))</f>
        <v/>
      </c>
      <c r="G861">
        <f>G860+IF(D861="",0,1)</f>
        <v/>
      </c>
    </row>
    <row r="862">
      <c r="A862">
        <f>IF('KG1-2'!$B22="","",'KG1-2'!$B22)</f>
        <v/>
      </c>
      <c r="B862">
        <f>IF(A862="","",'KG1-2'!$C22)</f>
        <v/>
      </c>
      <c r="C862">
        <f>IF(A862="","",'KG1-2'!$B$2)</f>
        <v/>
      </c>
      <c r="D862" s="126">
        <f t="array" ref="D862">IF(A862="","",IFERROR(SMALL(IF((('KG1-2'!$AD22:$IM22="غياب بدون عذر")+('KG1-2'!$AD22:$IM22="غياب بعذر"))*('KG1-2'!$AD$7:$IM$7="✓"),'KG1-2'!$AD$5:$IM$5),1),""))</f>
        <v/>
      </c>
      <c r="E862">
        <f>IF(D862="","",INDEX('KG1-2'!$AD22:$IM22,MATCH(D862,'KG1-2'!$AD$5:$IM$5,0)))</f>
        <v/>
      </c>
      <c r="F862">
        <f>IF(D862="","",COUNTIFS('KG1-2'!$AD22:$IM22,"غياب بدون عذر",'KG1-2'!$AD$7:$IM$7,"✓",'KG1-2'!$AD$5:$IM$5,"&lt;="&amp;D862))</f>
        <v/>
      </c>
      <c r="G862">
        <f>G861+IF(D862="",0,1)</f>
        <v/>
      </c>
    </row>
    <row r="863">
      <c r="A863">
        <f>IF('KG1-2'!$B22="","",'KG1-2'!$B22)</f>
        <v/>
      </c>
      <c r="B863">
        <f>IF(A863="","",'KG1-2'!$C22)</f>
        <v/>
      </c>
      <c r="C863">
        <f>IF(A863="","",'KG1-2'!$B$2)</f>
        <v/>
      </c>
      <c r="D863" s="126">
        <f t="array" ref="D863">IF(A863="","",IFERROR(SMALL(IF((('KG1-2'!$AD22:$IM22="غياب بدون عذر")+('KG1-2'!$AD22:$IM22="غياب بعذر"))*('KG1-2'!$AD$7:$IM$7="✓"),'KG1-2'!$AD$5:$IM$5),2),""))</f>
        <v/>
      </c>
      <c r="E863">
        <f>IF(D863="","",INDEX('KG1-2'!$AD22:$IM22,MATCH(D863,'KG1-2'!$AD$5:$IM$5,0)))</f>
        <v/>
      </c>
      <c r="F863">
        <f>IF(D863="","",COUNTIFS('KG1-2'!$AD22:$IM22,"غياب بدون عذر",'KG1-2'!$AD$7:$IM$7,"✓",'KG1-2'!$AD$5:$IM$5,"&lt;="&amp;D863))</f>
        <v/>
      </c>
      <c r="G863">
        <f>G862+IF(D863="",0,1)</f>
        <v/>
      </c>
    </row>
    <row r="864">
      <c r="A864">
        <f>IF('KG1-2'!$B22="","",'KG1-2'!$B22)</f>
        <v/>
      </c>
      <c r="B864">
        <f>IF(A864="","",'KG1-2'!$C22)</f>
        <v/>
      </c>
      <c r="C864">
        <f>IF(A864="","",'KG1-2'!$B$2)</f>
        <v/>
      </c>
      <c r="D864" s="126">
        <f t="array" ref="D864">IF(A864="","",IFERROR(SMALL(IF((('KG1-2'!$AD22:$IM22="غياب بدون عذر")+('KG1-2'!$AD22:$IM22="غياب بعذر"))*('KG1-2'!$AD$7:$IM$7="✓"),'KG1-2'!$AD$5:$IM$5),3),""))</f>
        <v/>
      </c>
      <c r="E864">
        <f>IF(D864="","",INDEX('KG1-2'!$AD22:$IM22,MATCH(D864,'KG1-2'!$AD$5:$IM$5,0)))</f>
        <v/>
      </c>
      <c r="F864">
        <f>IF(D864="","",COUNTIFS('KG1-2'!$AD22:$IM22,"غياب بدون عذر",'KG1-2'!$AD$7:$IM$7,"✓",'KG1-2'!$AD$5:$IM$5,"&lt;="&amp;D864))</f>
        <v/>
      </c>
      <c r="G864">
        <f>G863+IF(D864="",0,1)</f>
        <v/>
      </c>
    </row>
    <row r="865">
      <c r="A865">
        <f>IF('KG1-2'!$B22="","",'KG1-2'!$B22)</f>
        <v/>
      </c>
      <c r="B865">
        <f>IF(A865="","",'KG1-2'!$C22)</f>
        <v/>
      </c>
      <c r="C865">
        <f>IF(A865="","",'KG1-2'!$B$2)</f>
        <v/>
      </c>
      <c r="D865" s="126">
        <f t="array" ref="D865">IF(A865="","",IFERROR(SMALL(IF((('KG1-2'!$AD22:$IM22="غياب بدون عذر")+('KG1-2'!$AD22:$IM22="غياب بعذر"))*('KG1-2'!$AD$7:$IM$7="✓"),'KG1-2'!$AD$5:$IM$5),4),""))</f>
        <v/>
      </c>
      <c r="E865">
        <f>IF(D865="","",INDEX('KG1-2'!$AD22:$IM22,MATCH(D865,'KG1-2'!$AD$5:$IM$5,0)))</f>
        <v/>
      </c>
      <c r="F865">
        <f>IF(D865="","",COUNTIFS('KG1-2'!$AD22:$IM22,"غياب بدون عذر",'KG1-2'!$AD$7:$IM$7,"✓",'KG1-2'!$AD$5:$IM$5,"&lt;="&amp;D865))</f>
        <v/>
      </c>
      <c r="G865">
        <f>G864+IF(D865="",0,1)</f>
        <v/>
      </c>
    </row>
    <row r="866">
      <c r="A866">
        <f>IF('KG1-2'!$B22="","",'KG1-2'!$B22)</f>
        <v/>
      </c>
      <c r="B866">
        <f>IF(A866="","",'KG1-2'!$C22)</f>
        <v/>
      </c>
      <c r="C866">
        <f>IF(A866="","",'KG1-2'!$B$2)</f>
        <v/>
      </c>
      <c r="D866" s="126">
        <f t="array" ref="D866">IF(A866="","",IFERROR(SMALL(IF((('KG1-2'!$AD22:$IM22="غياب بدون عذر")+('KG1-2'!$AD22:$IM22="غياب بعذر"))*('KG1-2'!$AD$7:$IM$7="✓"),'KG1-2'!$AD$5:$IM$5),5),""))</f>
        <v/>
      </c>
      <c r="E866">
        <f>IF(D866="","",INDEX('KG1-2'!$AD22:$IM22,MATCH(D866,'KG1-2'!$AD$5:$IM$5,0)))</f>
        <v/>
      </c>
      <c r="F866">
        <f>IF(D866="","",COUNTIFS('KG1-2'!$AD22:$IM22,"غياب بدون عذر",'KG1-2'!$AD$7:$IM$7,"✓",'KG1-2'!$AD$5:$IM$5,"&lt;="&amp;D866))</f>
        <v/>
      </c>
      <c r="G866">
        <f>G865+IF(D866="",0,1)</f>
        <v/>
      </c>
    </row>
    <row r="867">
      <c r="A867">
        <f>IF('KG1-2'!$B22="","",'KG1-2'!$B22)</f>
        <v/>
      </c>
      <c r="B867">
        <f>IF(A867="","",'KG1-2'!$C22)</f>
        <v/>
      </c>
      <c r="C867">
        <f>IF(A867="","",'KG1-2'!$B$2)</f>
        <v/>
      </c>
      <c r="D867" s="126">
        <f t="array" ref="D867">IF(A867="","",IFERROR(SMALL(IF((('KG1-2'!$AD22:$IM22="غياب بدون عذر")+('KG1-2'!$AD22:$IM22="غياب بعذر"))*('KG1-2'!$AD$7:$IM$7="✓"),'KG1-2'!$AD$5:$IM$5),6),""))</f>
        <v/>
      </c>
      <c r="E867">
        <f>IF(D867="","",INDEX('KG1-2'!$AD22:$IM22,MATCH(D867,'KG1-2'!$AD$5:$IM$5,0)))</f>
        <v/>
      </c>
      <c r="F867">
        <f>IF(D867="","",COUNTIFS('KG1-2'!$AD22:$IM22,"غياب بدون عذر",'KG1-2'!$AD$7:$IM$7,"✓",'KG1-2'!$AD$5:$IM$5,"&lt;="&amp;D867))</f>
        <v/>
      </c>
      <c r="G867">
        <f>G866+IF(D867="",0,1)</f>
        <v/>
      </c>
    </row>
    <row r="868">
      <c r="A868">
        <f>IF('KG1-2'!$B22="","",'KG1-2'!$B22)</f>
        <v/>
      </c>
      <c r="B868">
        <f>IF(A868="","",'KG1-2'!$C22)</f>
        <v/>
      </c>
      <c r="C868">
        <f>IF(A868="","",'KG1-2'!$B$2)</f>
        <v/>
      </c>
      <c r="D868" s="126">
        <f t="array" ref="D868">IF(A868="","",IFERROR(SMALL(IF((('KG1-2'!$AD22:$IM22="غياب بدون عذر")+('KG1-2'!$AD22:$IM22="غياب بعذر"))*('KG1-2'!$AD$7:$IM$7="✓"),'KG1-2'!$AD$5:$IM$5),7),""))</f>
        <v/>
      </c>
      <c r="E868">
        <f>IF(D868="","",INDEX('KG1-2'!$AD22:$IM22,MATCH(D868,'KG1-2'!$AD$5:$IM$5,0)))</f>
        <v/>
      </c>
      <c r="F868">
        <f>IF(D868="","",COUNTIFS('KG1-2'!$AD22:$IM22,"غياب بدون عذر",'KG1-2'!$AD$7:$IM$7,"✓",'KG1-2'!$AD$5:$IM$5,"&lt;="&amp;D868))</f>
        <v/>
      </c>
      <c r="G868">
        <f>G867+IF(D868="",0,1)</f>
        <v/>
      </c>
    </row>
    <row r="869">
      <c r="A869">
        <f>IF('KG1-2'!$B22="","",'KG1-2'!$B22)</f>
        <v/>
      </c>
      <c r="B869">
        <f>IF(A869="","",'KG1-2'!$C22)</f>
        <v/>
      </c>
      <c r="C869">
        <f>IF(A869="","",'KG1-2'!$B$2)</f>
        <v/>
      </c>
      <c r="D869" s="126">
        <f t="array" ref="D869">IF(A869="","",IFERROR(SMALL(IF((('KG1-2'!$AD22:$IM22="غياب بدون عذر")+('KG1-2'!$AD22:$IM22="غياب بعذر"))*('KG1-2'!$AD$7:$IM$7="✓"),'KG1-2'!$AD$5:$IM$5),8),""))</f>
        <v/>
      </c>
      <c r="E869">
        <f>IF(D869="","",INDEX('KG1-2'!$AD22:$IM22,MATCH(D869,'KG1-2'!$AD$5:$IM$5,0)))</f>
        <v/>
      </c>
      <c r="F869">
        <f>IF(D869="","",COUNTIFS('KG1-2'!$AD22:$IM22,"غياب بدون عذر",'KG1-2'!$AD$7:$IM$7,"✓",'KG1-2'!$AD$5:$IM$5,"&lt;="&amp;D869))</f>
        <v/>
      </c>
      <c r="G869">
        <f>G868+IF(D869="",0,1)</f>
        <v/>
      </c>
    </row>
    <row r="870">
      <c r="A870">
        <f>IF('KG1-2'!$B22="","",'KG1-2'!$B22)</f>
        <v/>
      </c>
      <c r="B870">
        <f>IF(A870="","",'KG1-2'!$C22)</f>
        <v/>
      </c>
      <c r="C870">
        <f>IF(A870="","",'KG1-2'!$B$2)</f>
        <v/>
      </c>
      <c r="D870" s="126">
        <f t="array" ref="D870">IF(A870="","",IFERROR(SMALL(IF((('KG1-2'!$AD22:$IM22="غياب بدون عذر")+('KG1-2'!$AD22:$IM22="غياب بعذر"))*('KG1-2'!$AD$7:$IM$7="✓"),'KG1-2'!$AD$5:$IM$5),9),""))</f>
        <v/>
      </c>
      <c r="E870">
        <f>IF(D870="","",INDEX('KG1-2'!$AD22:$IM22,MATCH(D870,'KG1-2'!$AD$5:$IM$5,0)))</f>
        <v/>
      </c>
      <c r="F870">
        <f>IF(D870="","",COUNTIFS('KG1-2'!$AD22:$IM22,"غياب بدون عذر",'KG1-2'!$AD$7:$IM$7,"✓",'KG1-2'!$AD$5:$IM$5,"&lt;="&amp;D870))</f>
        <v/>
      </c>
      <c r="G870">
        <f>G869+IF(D870="",0,1)</f>
        <v/>
      </c>
    </row>
    <row r="871">
      <c r="A871">
        <f>IF('KG1-2'!$B22="","",'KG1-2'!$B22)</f>
        <v/>
      </c>
      <c r="B871">
        <f>IF(A871="","",'KG1-2'!$C22)</f>
        <v/>
      </c>
      <c r="C871">
        <f>IF(A871="","",'KG1-2'!$B$2)</f>
        <v/>
      </c>
      <c r="D871" s="126">
        <f t="array" ref="D871">IF(A871="","",IFERROR(SMALL(IF((('KG1-2'!$AD22:$IM22="غياب بدون عذر")+('KG1-2'!$AD22:$IM22="غياب بعذر"))*('KG1-2'!$AD$7:$IM$7="✓"),'KG1-2'!$AD$5:$IM$5),10),""))</f>
        <v/>
      </c>
      <c r="E871">
        <f>IF(D871="","",INDEX('KG1-2'!$AD22:$IM22,MATCH(D871,'KG1-2'!$AD$5:$IM$5,0)))</f>
        <v/>
      </c>
      <c r="F871">
        <f>IF(D871="","",COUNTIFS('KG1-2'!$AD22:$IM22,"غياب بدون عذر",'KG1-2'!$AD$7:$IM$7,"✓",'KG1-2'!$AD$5:$IM$5,"&lt;="&amp;D871))</f>
        <v/>
      </c>
      <c r="G871">
        <f>G870+IF(D871="",0,1)</f>
        <v/>
      </c>
    </row>
    <row r="872">
      <c r="A872">
        <f>IF('KG1-2'!$B22="","",'KG1-2'!$B22)</f>
        <v/>
      </c>
      <c r="B872">
        <f>IF(A872="","",'KG1-2'!$C22)</f>
        <v/>
      </c>
      <c r="C872">
        <f>IF(A872="","",'KG1-2'!$B$2)</f>
        <v/>
      </c>
      <c r="D872" s="126">
        <f t="array" ref="D872">IF(A872="","",IFERROR(SMALL(IF((('KG1-2'!$AD22:$IM22="غياب بدون عذر")+('KG1-2'!$AD22:$IM22="غياب بعذر"))*('KG1-2'!$AD$7:$IM$7="✓"),'KG1-2'!$AD$5:$IM$5),11),""))</f>
        <v/>
      </c>
      <c r="E872">
        <f>IF(D872="","",INDEX('KG1-2'!$AD22:$IM22,MATCH(D872,'KG1-2'!$AD$5:$IM$5,0)))</f>
        <v/>
      </c>
      <c r="F872">
        <f>IF(D872="","",COUNTIFS('KG1-2'!$AD22:$IM22,"غياب بدون عذر",'KG1-2'!$AD$7:$IM$7,"✓",'KG1-2'!$AD$5:$IM$5,"&lt;="&amp;D872))</f>
        <v/>
      </c>
      <c r="G872">
        <f>G871+IF(D872="",0,1)</f>
        <v/>
      </c>
    </row>
    <row r="873">
      <c r="A873">
        <f>IF('KG1-2'!$B22="","",'KG1-2'!$B22)</f>
        <v/>
      </c>
      <c r="B873">
        <f>IF(A873="","",'KG1-2'!$C22)</f>
        <v/>
      </c>
      <c r="C873">
        <f>IF(A873="","",'KG1-2'!$B$2)</f>
        <v/>
      </c>
      <c r="D873" s="126">
        <f t="array" ref="D873">IF(A873="","",IFERROR(SMALL(IF((('KG1-2'!$AD22:$IM22="غياب بدون عذر")+('KG1-2'!$AD22:$IM22="غياب بعذر"))*('KG1-2'!$AD$7:$IM$7="✓"),'KG1-2'!$AD$5:$IM$5),12),""))</f>
        <v/>
      </c>
      <c r="E873">
        <f>IF(D873="","",INDEX('KG1-2'!$AD22:$IM22,MATCH(D873,'KG1-2'!$AD$5:$IM$5,0)))</f>
        <v/>
      </c>
      <c r="F873">
        <f>IF(D873="","",COUNTIFS('KG1-2'!$AD22:$IM22,"غياب بدون عذر",'KG1-2'!$AD$7:$IM$7,"✓",'KG1-2'!$AD$5:$IM$5,"&lt;="&amp;D873))</f>
        <v/>
      </c>
      <c r="G873">
        <f>G872+IF(D873="",0,1)</f>
        <v/>
      </c>
    </row>
    <row r="874">
      <c r="A874">
        <f>IF('KG1-2'!$B22="","",'KG1-2'!$B22)</f>
        <v/>
      </c>
      <c r="B874">
        <f>IF(A874="","",'KG1-2'!$C22)</f>
        <v/>
      </c>
      <c r="C874">
        <f>IF(A874="","",'KG1-2'!$B$2)</f>
        <v/>
      </c>
      <c r="D874" s="126">
        <f t="array" ref="D874">IF(A874="","",IFERROR(SMALL(IF((('KG1-2'!$AD22:$IM22="غياب بدون عذر")+('KG1-2'!$AD22:$IM22="غياب بعذر"))*('KG1-2'!$AD$7:$IM$7="✓"),'KG1-2'!$AD$5:$IM$5),13),""))</f>
        <v/>
      </c>
      <c r="E874">
        <f>IF(D874="","",INDEX('KG1-2'!$AD22:$IM22,MATCH(D874,'KG1-2'!$AD$5:$IM$5,0)))</f>
        <v/>
      </c>
      <c r="F874">
        <f>IF(D874="","",COUNTIFS('KG1-2'!$AD22:$IM22,"غياب بدون عذر",'KG1-2'!$AD$7:$IM$7,"✓",'KG1-2'!$AD$5:$IM$5,"&lt;="&amp;D874))</f>
        <v/>
      </c>
      <c r="G874">
        <f>G873+IF(D874="",0,1)</f>
        <v/>
      </c>
    </row>
    <row r="875">
      <c r="A875">
        <f>IF('KG1-2'!$B22="","",'KG1-2'!$B22)</f>
        <v/>
      </c>
      <c r="B875">
        <f>IF(A875="","",'KG1-2'!$C22)</f>
        <v/>
      </c>
      <c r="C875">
        <f>IF(A875="","",'KG1-2'!$B$2)</f>
        <v/>
      </c>
      <c r="D875" s="126">
        <f t="array" ref="D875">IF(A875="","",IFERROR(SMALL(IF((('KG1-2'!$AD22:$IM22="غياب بدون عذر")+('KG1-2'!$AD22:$IM22="غياب بعذر"))*('KG1-2'!$AD$7:$IM$7="✓"),'KG1-2'!$AD$5:$IM$5),14),""))</f>
        <v/>
      </c>
      <c r="E875">
        <f>IF(D875="","",INDEX('KG1-2'!$AD22:$IM22,MATCH(D875,'KG1-2'!$AD$5:$IM$5,0)))</f>
        <v/>
      </c>
      <c r="F875">
        <f>IF(D875="","",COUNTIFS('KG1-2'!$AD22:$IM22,"غياب بدون عذر",'KG1-2'!$AD$7:$IM$7,"✓",'KG1-2'!$AD$5:$IM$5,"&lt;="&amp;D875))</f>
        <v/>
      </c>
      <c r="G875">
        <f>G874+IF(D875="",0,1)</f>
        <v/>
      </c>
    </row>
    <row r="876">
      <c r="A876">
        <f>IF('KG1-2'!$B22="","",'KG1-2'!$B22)</f>
        <v/>
      </c>
      <c r="B876">
        <f>IF(A876="","",'KG1-2'!$C22)</f>
        <v/>
      </c>
      <c r="C876">
        <f>IF(A876="","",'KG1-2'!$B$2)</f>
        <v/>
      </c>
      <c r="D876" s="126">
        <f t="array" ref="D876">IF(A876="","",IFERROR(SMALL(IF((('KG1-2'!$AD22:$IM22="غياب بدون عذر")+('KG1-2'!$AD22:$IM22="غياب بعذر"))*('KG1-2'!$AD$7:$IM$7="✓"),'KG1-2'!$AD$5:$IM$5),15),""))</f>
        <v/>
      </c>
      <c r="E876">
        <f>IF(D876="","",INDEX('KG1-2'!$AD22:$IM22,MATCH(D876,'KG1-2'!$AD$5:$IM$5,0)))</f>
        <v/>
      </c>
      <c r="F876">
        <f>IF(D876="","",COUNTIFS('KG1-2'!$AD22:$IM22,"غياب بدون عذر",'KG1-2'!$AD$7:$IM$7,"✓",'KG1-2'!$AD$5:$IM$5,"&lt;="&amp;D876))</f>
        <v/>
      </c>
      <c r="G876">
        <f>G875+IF(D876="",0,1)</f>
        <v/>
      </c>
    </row>
    <row r="877">
      <c r="A877">
        <f>IF('KG1-2'!$B22="","",'KG1-2'!$B22)</f>
        <v/>
      </c>
      <c r="B877">
        <f>IF(A877="","",'KG1-2'!$C22)</f>
        <v/>
      </c>
      <c r="C877">
        <f>IF(A877="","",'KG1-2'!$B$2)</f>
        <v/>
      </c>
      <c r="D877" s="126">
        <f t="array" ref="D877">IF(A877="","",IFERROR(SMALL(IF((('KG1-2'!$AD22:$IM22="غياب بدون عذر")+('KG1-2'!$AD22:$IM22="غياب بعذر"))*('KG1-2'!$AD$7:$IM$7="✓"),'KG1-2'!$AD$5:$IM$5),16),""))</f>
        <v/>
      </c>
      <c r="E877">
        <f>IF(D877="","",INDEX('KG1-2'!$AD22:$IM22,MATCH(D877,'KG1-2'!$AD$5:$IM$5,0)))</f>
        <v/>
      </c>
      <c r="F877">
        <f>IF(D877="","",COUNTIFS('KG1-2'!$AD22:$IM22,"غياب بدون عذر",'KG1-2'!$AD$7:$IM$7,"✓",'KG1-2'!$AD$5:$IM$5,"&lt;="&amp;D877))</f>
        <v/>
      </c>
      <c r="G877">
        <f>G876+IF(D877="",0,1)</f>
        <v/>
      </c>
    </row>
    <row r="878">
      <c r="A878">
        <f>IF('KG1-2'!$B22="","",'KG1-2'!$B22)</f>
        <v/>
      </c>
      <c r="B878">
        <f>IF(A878="","",'KG1-2'!$C22)</f>
        <v/>
      </c>
      <c r="C878">
        <f>IF(A878="","",'KG1-2'!$B$2)</f>
        <v/>
      </c>
      <c r="D878" s="126">
        <f t="array" ref="D878">IF(A878="","",IFERROR(SMALL(IF((('KG1-2'!$AD22:$IM22="غياب بدون عذر")+('KG1-2'!$AD22:$IM22="غياب بعذر"))*('KG1-2'!$AD$7:$IM$7="✓"),'KG1-2'!$AD$5:$IM$5),17),""))</f>
        <v/>
      </c>
      <c r="E878">
        <f>IF(D878="","",INDEX('KG1-2'!$AD22:$IM22,MATCH(D878,'KG1-2'!$AD$5:$IM$5,0)))</f>
        <v/>
      </c>
      <c r="F878">
        <f>IF(D878="","",COUNTIFS('KG1-2'!$AD22:$IM22,"غياب بدون عذر",'KG1-2'!$AD$7:$IM$7,"✓",'KG1-2'!$AD$5:$IM$5,"&lt;="&amp;D878))</f>
        <v/>
      </c>
      <c r="G878">
        <f>G877+IF(D878="",0,1)</f>
        <v/>
      </c>
    </row>
    <row r="879">
      <c r="A879">
        <f>IF('KG1-2'!$B22="","",'KG1-2'!$B22)</f>
        <v/>
      </c>
      <c r="B879">
        <f>IF(A879="","",'KG1-2'!$C22)</f>
        <v/>
      </c>
      <c r="C879">
        <f>IF(A879="","",'KG1-2'!$B$2)</f>
        <v/>
      </c>
      <c r="D879" s="126">
        <f t="array" ref="D879">IF(A879="","",IFERROR(SMALL(IF((('KG1-2'!$AD22:$IM22="غياب بدون عذر")+('KG1-2'!$AD22:$IM22="غياب بعذر"))*('KG1-2'!$AD$7:$IM$7="✓"),'KG1-2'!$AD$5:$IM$5),18),""))</f>
        <v/>
      </c>
      <c r="E879">
        <f>IF(D879="","",INDEX('KG1-2'!$AD22:$IM22,MATCH(D879,'KG1-2'!$AD$5:$IM$5,0)))</f>
        <v/>
      </c>
      <c r="F879">
        <f>IF(D879="","",COUNTIFS('KG1-2'!$AD22:$IM22,"غياب بدون عذر",'KG1-2'!$AD$7:$IM$7,"✓",'KG1-2'!$AD$5:$IM$5,"&lt;="&amp;D879))</f>
        <v/>
      </c>
      <c r="G879">
        <f>G878+IF(D879="",0,1)</f>
        <v/>
      </c>
    </row>
    <row r="880">
      <c r="A880">
        <f>IF('KG1-2'!$B22="","",'KG1-2'!$B22)</f>
        <v/>
      </c>
      <c r="B880">
        <f>IF(A880="","",'KG1-2'!$C22)</f>
        <v/>
      </c>
      <c r="C880">
        <f>IF(A880="","",'KG1-2'!$B$2)</f>
        <v/>
      </c>
      <c r="D880" s="126">
        <f t="array" ref="D880">IF(A880="","",IFERROR(SMALL(IF((('KG1-2'!$AD22:$IM22="غياب بدون عذر")+('KG1-2'!$AD22:$IM22="غياب بعذر"))*('KG1-2'!$AD$7:$IM$7="✓"),'KG1-2'!$AD$5:$IM$5),19),""))</f>
        <v/>
      </c>
      <c r="E880">
        <f>IF(D880="","",INDEX('KG1-2'!$AD22:$IM22,MATCH(D880,'KG1-2'!$AD$5:$IM$5,0)))</f>
        <v/>
      </c>
      <c r="F880">
        <f>IF(D880="","",COUNTIFS('KG1-2'!$AD22:$IM22,"غياب بدون عذر",'KG1-2'!$AD$7:$IM$7,"✓",'KG1-2'!$AD$5:$IM$5,"&lt;="&amp;D880))</f>
        <v/>
      </c>
      <c r="G880">
        <f>G879+IF(D880="",0,1)</f>
        <v/>
      </c>
    </row>
    <row r="881">
      <c r="A881">
        <f>IF('KG1-2'!$B22="","",'KG1-2'!$B22)</f>
        <v/>
      </c>
      <c r="B881">
        <f>IF(A881="","",'KG1-2'!$C22)</f>
        <v/>
      </c>
      <c r="C881">
        <f>IF(A881="","",'KG1-2'!$B$2)</f>
        <v/>
      </c>
      <c r="D881" s="126">
        <f t="array" ref="D881">IF(A881="","",IFERROR(SMALL(IF((('KG1-2'!$AD22:$IM22="غياب بدون عذر")+('KG1-2'!$AD22:$IM22="غياب بعذر"))*('KG1-2'!$AD$7:$IM$7="✓"),'KG1-2'!$AD$5:$IM$5),20),""))</f>
        <v/>
      </c>
      <c r="E881">
        <f>IF(D881="","",INDEX('KG1-2'!$AD22:$IM22,MATCH(D881,'KG1-2'!$AD$5:$IM$5,0)))</f>
        <v/>
      </c>
      <c r="F881">
        <f>IF(D881="","",COUNTIFS('KG1-2'!$AD22:$IM22,"غياب بدون عذر",'KG1-2'!$AD$7:$IM$7,"✓",'KG1-2'!$AD$5:$IM$5,"&lt;="&amp;D881))</f>
        <v/>
      </c>
      <c r="G881">
        <f>G880+IF(D881="",0,1)</f>
        <v/>
      </c>
    </row>
    <row r="882">
      <c r="A882">
        <f>IF('KG1-2'!$B23="","",'KG1-2'!$B23)</f>
        <v/>
      </c>
      <c r="B882">
        <f>IF(A882="","",'KG1-2'!$C23)</f>
        <v/>
      </c>
      <c r="C882">
        <f>IF(A882="","",'KG1-2'!$B$2)</f>
        <v/>
      </c>
      <c r="D882" s="126">
        <f t="array" ref="D882">IF(A882="","",IFERROR(SMALL(IF((('KG1-2'!$AD23:$IM23="غياب بدون عذر")+('KG1-2'!$AD23:$IM23="غياب بعذر"))*('KG1-2'!$AD$7:$IM$7="✓"),'KG1-2'!$AD$5:$IM$5),1),""))</f>
        <v/>
      </c>
      <c r="E882">
        <f>IF(D882="","",INDEX('KG1-2'!$AD23:$IM23,MATCH(D882,'KG1-2'!$AD$5:$IM$5,0)))</f>
        <v/>
      </c>
      <c r="F882">
        <f>IF(D882="","",COUNTIFS('KG1-2'!$AD23:$IM23,"غياب بدون عذر",'KG1-2'!$AD$7:$IM$7,"✓",'KG1-2'!$AD$5:$IM$5,"&lt;="&amp;D882))</f>
        <v/>
      </c>
      <c r="G882">
        <f>G881+IF(D882="",0,1)</f>
        <v/>
      </c>
    </row>
    <row r="883">
      <c r="A883">
        <f>IF('KG1-2'!$B23="","",'KG1-2'!$B23)</f>
        <v/>
      </c>
      <c r="B883">
        <f>IF(A883="","",'KG1-2'!$C23)</f>
        <v/>
      </c>
      <c r="C883">
        <f>IF(A883="","",'KG1-2'!$B$2)</f>
        <v/>
      </c>
      <c r="D883" s="126">
        <f t="array" ref="D883">IF(A883="","",IFERROR(SMALL(IF((('KG1-2'!$AD23:$IM23="غياب بدون عذر")+('KG1-2'!$AD23:$IM23="غياب بعذر"))*('KG1-2'!$AD$7:$IM$7="✓"),'KG1-2'!$AD$5:$IM$5),2),""))</f>
        <v/>
      </c>
      <c r="E883">
        <f>IF(D883="","",INDEX('KG1-2'!$AD23:$IM23,MATCH(D883,'KG1-2'!$AD$5:$IM$5,0)))</f>
        <v/>
      </c>
      <c r="F883">
        <f>IF(D883="","",COUNTIFS('KG1-2'!$AD23:$IM23,"غياب بدون عذر",'KG1-2'!$AD$7:$IM$7,"✓",'KG1-2'!$AD$5:$IM$5,"&lt;="&amp;D883))</f>
        <v/>
      </c>
      <c r="G883">
        <f>G882+IF(D883="",0,1)</f>
        <v/>
      </c>
    </row>
    <row r="884">
      <c r="A884">
        <f>IF('KG1-2'!$B23="","",'KG1-2'!$B23)</f>
        <v/>
      </c>
      <c r="B884">
        <f>IF(A884="","",'KG1-2'!$C23)</f>
        <v/>
      </c>
      <c r="C884">
        <f>IF(A884="","",'KG1-2'!$B$2)</f>
        <v/>
      </c>
      <c r="D884" s="126">
        <f t="array" ref="D884">IF(A884="","",IFERROR(SMALL(IF((('KG1-2'!$AD23:$IM23="غياب بدون عذر")+('KG1-2'!$AD23:$IM23="غياب بعذر"))*('KG1-2'!$AD$7:$IM$7="✓"),'KG1-2'!$AD$5:$IM$5),3),""))</f>
        <v/>
      </c>
      <c r="E884">
        <f>IF(D884="","",INDEX('KG1-2'!$AD23:$IM23,MATCH(D884,'KG1-2'!$AD$5:$IM$5,0)))</f>
        <v/>
      </c>
      <c r="F884">
        <f>IF(D884="","",COUNTIFS('KG1-2'!$AD23:$IM23,"غياب بدون عذر",'KG1-2'!$AD$7:$IM$7,"✓",'KG1-2'!$AD$5:$IM$5,"&lt;="&amp;D884))</f>
        <v/>
      </c>
      <c r="G884">
        <f>G883+IF(D884="",0,1)</f>
        <v/>
      </c>
    </row>
    <row r="885">
      <c r="A885">
        <f>IF('KG1-2'!$B23="","",'KG1-2'!$B23)</f>
        <v/>
      </c>
      <c r="B885">
        <f>IF(A885="","",'KG1-2'!$C23)</f>
        <v/>
      </c>
      <c r="C885">
        <f>IF(A885="","",'KG1-2'!$B$2)</f>
        <v/>
      </c>
      <c r="D885" s="126">
        <f t="array" ref="D885">IF(A885="","",IFERROR(SMALL(IF((('KG1-2'!$AD23:$IM23="غياب بدون عذر")+('KG1-2'!$AD23:$IM23="غياب بعذر"))*('KG1-2'!$AD$7:$IM$7="✓"),'KG1-2'!$AD$5:$IM$5),4),""))</f>
        <v/>
      </c>
      <c r="E885">
        <f>IF(D885="","",INDEX('KG1-2'!$AD23:$IM23,MATCH(D885,'KG1-2'!$AD$5:$IM$5,0)))</f>
        <v/>
      </c>
      <c r="F885">
        <f>IF(D885="","",COUNTIFS('KG1-2'!$AD23:$IM23,"غياب بدون عذر",'KG1-2'!$AD$7:$IM$7,"✓",'KG1-2'!$AD$5:$IM$5,"&lt;="&amp;D885))</f>
        <v/>
      </c>
      <c r="G885">
        <f>G884+IF(D885="",0,1)</f>
        <v/>
      </c>
    </row>
    <row r="886">
      <c r="A886">
        <f>IF('KG1-2'!$B23="","",'KG1-2'!$B23)</f>
        <v/>
      </c>
      <c r="B886">
        <f>IF(A886="","",'KG1-2'!$C23)</f>
        <v/>
      </c>
      <c r="C886">
        <f>IF(A886="","",'KG1-2'!$B$2)</f>
        <v/>
      </c>
      <c r="D886" s="126">
        <f t="array" ref="D886">IF(A886="","",IFERROR(SMALL(IF((('KG1-2'!$AD23:$IM23="غياب بدون عذر")+('KG1-2'!$AD23:$IM23="غياب بعذر"))*('KG1-2'!$AD$7:$IM$7="✓"),'KG1-2'!$AD$5:$IM$5),5),""))</f>
        <v/>
      </c>
      <c r="E886">
        <f>IF(D886="","",INDEX('KG1-2'!$AD23:$IM23,MATCH(D886,'KG1-2'!$AD$5:$IM$5,0)))</f>
        <v/>
      </c>
      <c r="F886">
        <f>IF(D886="","",COUNTIFS('KG1-2'!$AD23:$IM23,"غياب بدون عذر",'KG1-2'!$AD$7:$IM$7,"✓",'KG1-2'!$AD$5:$IM$5,"&lt;="&amp;D886))</f>
        <v/>
      </c>
      <c r="G886">
        <f>G885+IF(D886="",0,1)</f>
        <v/>
      </c>
    </row>
    <row r="887">
      <c r="A887">
        <f>IF('KG1-2'!$B23="","",'KG1-2'!$B23)</f>
        <v/>
      </c>
      <c r="B887">
        <f>IF(A887="","",'KG1-2'!$C23)</f>
        <v/>
      </c>
      <c r="C887">
        <f>IF(A887="","",'KG1-2'!$B$2)</f>
        <v/>
      </c>
      <c r="D887" s="126">
        <f t="array" ref="D887">IF(A887="","",IFERROR(SMALL(IF((('KG1-2'!$AD23:$IM23="غياب بدون عذر")+('KG1-2'!$AD23:$IM23="غياب بعذر"))*('KG1-2'!$AD$7:$IM$7="✓"),'KG1-2'!$AD$5:$IM$5),6),""))</f>
        <v/>
      </c>
      <c r="E887">
        <f>IF(D887="","",INDEX('KG1-2'!$AD23:$IM23,MATCH(D887,'KG1-2'!$AD$5:$IM$5,0)))</f>
        <v/>
      </c>
      <c r="F887">
        <f>IF(D887="","",COUNTIFS('KG1-2'!$AD23:$IM23,"غياب بدون عذر",'KG1-2'!$AD$7:$IM$7,"✓",'KG1-2'!$AD$5:$IM$5,"&lt;="&amp;D887))</f>
        <v/>
      </c>
      <c r="G887">
        <f>G886+IF(D887="",0,1)</f>
        <v/>
      </c>
    </row>
    <row r="888">
      <c r="A888">
        <f>IF('KG1-2'!$B23="","",'KG1-2'!$B23)</f>
        <v/>
      </c>
      <c r="B888">
        <f>IF(A888="","",'KG1-2'!$C23)</f>
        <v/>
      </c>
      <c r="C888">
        <f>IF(A888="","",'KG1-2'!$B$2)</f>
        <v/>
      </c>
      <c r="D888" s="126">
        <f t="array" ref="D888">IF(A888="","",IFERROR(SMALL(IF((('KG1-2'!$AD23:$IM23="غياب بدون عذر")+('KG1-2'!$AD23:$IM23="غياب بعذر"))*('KG1-2'!$AD$7:$IM$7="✓"),'KG1-2'!$AD$5:$IM$5),7),""))</f>
        <v/>
      </c>
      <c r="E888">
        <f>IF(D888="","",INDEX('KG1-2'!$AD23:$IM23,MATCH(D888,'KG1-2'!$AD$5:$IM$5,0)))</f>
        <v/>
      </c>
      <c r="F888">
        <f>IF(D888="","",COUNTIFS('KG1-2'!$AD23:$IM23,"غياب بدون عذر",'KG1-2'!$AD$7:$IM$7,"✓",'KG1-2'!$AD$5:$IM$5,"&lt;="&amp;D888))</f>
        <v/>
      </c>
      <c r="G888">
        <f>G887+IF(D888="",0,1)</f>
        <v/>
      </c>
    </row>
    <row r="889">
      <c r="A889">
        <f>IF('KG1-2'!$B23="","",'KG1-2'!$B23)</f>
        <v/>
      </c>
      <c r="B889">
        <f>IF(A889="","",'KG1-2'!$C23)</f>
        <v/>
      </c>
      <c r="C889">
        <f>IF(A889="","",'KG1-2'!$B$2)</f>
        <v/>
      </c>
      <c r="D889" s="126">
        <f t="array" ref="D889">IF(A889="","",IFERROR(SMALL(IF((('KG1-2'!$AD23:$IM23="غياب بدون عذر")+('KG1-2'!$AD23:$IM23="غياب بعذر"))*('KG1-2'!$AD$7:$IM$7="✓"),'KG1-2'!$AD$5:$IM$5),8),""))</f>
        <v/>
      </c>
      <c r="E889">
        <f>IF(D889="","",INDEX('KG1-2'!$AD23:$IM23,MATCH(D889,'KG1-2'!$AD$5:$IM$5,0)))</f>
        <v/>
      </c>
      <c r="F889">
        <f>IF(D889="","",COUNTIFS('KG1-2'!$AD23:$IM23,"غياب بدون عذر",'KG1-2'!$AD$7:$IM$7,"✓",'KG1-2'!$AD$5:$IM$5,"&lt;="&amp;D889))</f>
        <v/>
      </c>
      <c r="G889">
        <f>G888+IF(D889="",0,1)</f>
        <v/>
      </c>
    </row>
    <row r="890">
      <c r="A890">
        <f>IF('KG1-2'!$B23="","",'KG1-2'!$B23)</f>
        <v/>
      </c>
      <c r="B890">
        <f>IF(A890="","",'KG1-2'!$C23)</f>
        <v/>
      </c>
      <c r="C890">
        <f>IF(A890="","",'KG1-2'!$B$2)</f>
        <v/>
      </c>
      <c r="D890" s="126">
        <f t="array" ref="D890">IF(A890="","",IFERROR(SMALL(IF((('KG1-2'!$AD23:$IM23="غياب بدون عذر")+('KG1-2'!$AD23:$IM23="غياب بعذر"))*('KG1-2'!$AD$7:$IM$7="✓"),'KG1-2'!$AD$5:$IM$5),9),""))</f>
        <v/>
      </c>
      <c r="E890">
        <f>IF(D890="","",INDEX('KG1-2'!$AD23:$IM23,MATCH(D890,'KG1-2'!$AD$5:$IM$5,0)))</f>
        <v/>
      </c>
      <c r="F890">
        <f>IF(D890="","",COUNTIFS('KG1-2'!$AD23:$IM23,"غياب بدون عذر",'KG1-2'!$AD$7:$IM$7,"✓",'KG1-2'!$AD$5:$IM$5,"&lt;="&amp;D890))</f>
        <v/>
      </c>
      <c r="G890">
        <f>G889+IF(D890="",0,1)</f>
        <v/>
      </c>
    </row>
    <row r="891">
      <c r="A891">
        <f>IF('KG1-2'!$B23="","",'KG1-2'!$B23)</f>
        <v/>
      </c>
      <c r="B891">
        <f>IF(A891="","",'KG1-2'!$C23)</f>
        <v/>
      </c>
      <c r="C891">
        <f>IF(A891="","",'KG1-2'!$B$2)</f>
        <v/>
      </c>
      <c r="D891" s="126">
        <f t="array" ref="D891">IF(A891="","",IFERROR(SMALL(IF((('KG1-2'!$AD23:$IM23="غياب بدون عذر")+('KG1-2'!$AD23:$IM23="غياب بعذر"))*('KG1-2'!$AD$7:$IM$7="✓"),'KG1-2'!$AD$5:$IM$5),10),""))</f>
        <v/>
      </c>
      <c r="E891">
        <f>IF(D891="","",INDEX('KG1-2'!$AD23:$IM23,MATCH(D891,'KG1-2'!$AD$5:$IM$5,0)))</f>
        <v/>
      </c>
      <c r="F891">
        <f>IF(D891="","",COUNTIFS('KG1-2'!$AD23:$IM23,"غياب بدون عذر",'KG1-2'!$AD$7:$IM$7,"✓",'KG1-2'!$AD$5:$IM$5,"&lt;="&amp;D891))</f>
        <v/>
      </c>
      <c r="G891">
        <f>G890+IF(D891="",0,1)</f>
        <v/>
      </c>
    </row>
    <row r="892">
      <c r="A892">
        <f>IF('KG1-2'!$B23="","",'KG1-2'!$B23)</f>
        <v/>
      </c>
      <c r="B892">
        <f>IF(A892="","",'KG1-2'!$C23)</f>
        <v/>
      </c>
      <c r="C892">
        <f>IF(A892="","",'KG1-2'!$B$2)</f>
        <v/>
      </c>
      <c r="D892" s="126">
        <f t="array" ref="D892">IF(A892="","",IFERROR(SMALL(IF((('KG1-2'!$AD23:$IM23="غياب بدون عذر")+('KG1-2'!$AD23:$IM23="غياب بعذر"))*('KG1-2'!$AD$7:$IM$7="✓"),'KG1-2'!$AD$5:$IM$5),11),""))</f>
        <v/>
      </c>
      <c r="E892">
        <f>IF(D892="","",INDEX('KG1-2'!$AD23:$IM23,MATCH(D892,'KG1-2'!$AD$5:$IM$5,0)))</f>
        <v/>
      </c>
      <c r="F892">
        <f>IF(D892="","",COUNTIFS('KG1-2'!$AD23:$IM23,"غياب بدون عذر",'KG1-2'!$AD$7:$IM$7,"✓",'KG1-2'!$AD$5:$IM$5,"&lt;="&amp;D892))</f>
        <v/>
      </c>
      <c r="G892">
        <f>G891+IF(D892="",0,1)</f>
        <v/>
      </c>
    </row>
    <row r="893">
      <c r="A893">
        <f>IF('KG1-2'!$B23="","",'KG1-2'!$B23)</f>
        <v/>
      </c>
      <c r="B893">
        <f>IF(A893="","",'KG1-2'!$C23)</f>
        <v/>
      </c>
      <c r="C893">
        <f>IF(A893="","",'KG1-2'!$B$2)</f>
        <v/>
      </c>
      <c r="D893" s="126">
        <f t="array" ref="D893">IF(A893="","",IFERROR(SMALL(IF((('KG1-2'!$AD23:$IM23="غياب بدون عذر")+('KG1-2'!$AD23:$IM23="غياب بعذر"))*('KG1-2'!$AD$7:$IM$7="✓"),'KG1-2'!$AD$5:$IM$5),12),""))</f>
        <v/>
      </c>
      <c r="E893">
        <f>IF(D893="","",INDEX('KG1-2'!$AD23:$IM23,MATCH(D893,'KG1-2'!$AD$5:$IM$5,0)))</f>
        <v/>
      </c>
      <c r="F893">
        <f>IF(D893="","",COUNTIFS('KG1-2'!$AD23:$IM23,"غياب بدون عذر",'KG1-2'!$AD$7:$IM$7,"✓",'KG1-2'!$AD$5:$IM$5,"&lt;="&amp;D893))</f>
        <v/>
      </c>
      <c r="G893">
        <f>G892+IF(D893="",0,1)</f>
        <v/>
      </c>
    </row>
    <row r="894">
      <c r="A894">
        <f>IF('KG1-2'!$B23="","",'KG1-2'!$B23)</f>
        <v/>
      </c>
      <c r="B894">
        <f>IF(A894="","",'KG1-2'!$C23)</f>
        <v/>
      </c>
      <c r="C894">
        <f>IF(A894="","",'KG1-2'!$B$2)</f>
        <v/>
      </c>
      <c r="D894" s="126">
        <f t="array" ref="D894">IF(A894="","",IFERROR(SMALL(IF((('KG1-2'!$AD23:$IM23="غياب بدون عذر")+('KG1-2'!$AD23:$IM23="غياب بعذر"))*('KG1-2'!$AD$7:$IM$7="✓"),'KG1-2'!$AD$5:$IM$5),13),""))</f>
        <v/>
      </c>
      <c r="E894">
        <f>IF(D894="","",INDEX('KG1-2'!$AD23:$IM23,MATCH(D894,'KG1-2'!$AD$5:$IM$5,0)))</f>
        <v/>
      </c>
      <c r="F894">
        <f>IF(D894="","",COUNTIFS('KG1-2'!$AD23:$IM23,"غياب بدون عذر",'KG1-2'!$AD$7:$IM$7,"✓",'KG1-2'!$AD$5:$IM$5,"&lt;="&amp;D894))</f>
        <v/>
      </c>
      <c r="G894">
        <f>G893+IF(D894="",0,1)</f>
        <v/>
      </c>
    </row>
    <row r="895">
      <c r="A895">
        <f>IF('KG1-2'!$B23="","",'KG1-2'!$B23)</f>
        <v/>
      </c>
      <c r="B895">
        <f>IF(A895="","",'KG1-2'!$C23)</f>
        <v/>
      </c>
      <c r="C895">
        <f>IF(A895="","",'KG1-2'!$B$2)</f>
        <v/>
      </c>
      <c r="D895" s="126">
        <f t="array" ref="D895">IF(A895="","",IFERROR(SMALL(IF((('KG1-2'!$AD23:$IM23="غياب بدون عذر")+('KG1-2'!$AD23:$IM23="غياب بعذر"))*('KG1-2'!$AD$7:$IM$7="✓"),'KG1-2'!$AD$5:$IM$5),14),""))</f>
        <v/>
      </c>
      <c r="E895">
        <f>IF(D895="","",INDEX('KG1-2'!$AD23:$IM23,MATCH(D895,'KG1-2'!$AD$5:$IM$5,0)))</f>
        <v/>
      </c>
      <c r="F895">
        <f>IF(D895="","",COUNTIFS('KG1-2'!$AD23:$IM23,"غياب بدون عذر",'KG1-2'!$AD$7:$IM$7,"✓",'KG1-2'!$AD$5:$IM$5,"&lt;="&amp;D895))</f>
        <v/>
      </c>
      <c r="G895">
        <f>G894+IF(D895="",0,1)</f>
        <v/>
      </c>
    </row>
    <row r="896">
      <c r="A896">
        <f>IF('KG1-2'!$B23="","",'KG1-2'!$B23)</f>
        <v/>
      </c>
      <c r="B896">
        <f>IF(A896="","",'KG1-2'!$C23)</f>
        <v/>
      </c>
      <c r="C896">
        <f>IF(A896="","",'KG1-2'!$B$2)</f>
        <v/>
      </c>
      <c r="D896" s="126">
        <f t="array" ref="D896">IF(A896="","",IFERROR(SMALL(IF((('KG1-2'!$AD23:$IM23="غياب بدون عذر")+('KG1-2'!$AD23:$IM23="غياب بعذر"))*('KG1-2'!$AD$7:$IM$7="✓"),'KG1-2'!$AD$5:$IM$5),15),""))</f>
        <v/>
      </c>
      <c r="E896">
        <f>IF(D896="","",INDEX('KG1-2'!$AD23:$IM23,MATCH(D896,'KG1-2'!$AD$5:$IM$5,0)))</f>
        <v/>
      </c>
      <c r="F896">
        <f>IF(D896="","",COUNTIFS('KG1-2'!$AD23:$IM23,"غياب بدون عذر",'KG1-2'!$AD$7:$IM$7,"✓",'KG1-2'!$AD$5:$IM$5,"&lt;="&amp;D896))</f>
        <v/>
      </c>
      <c r="G896">
        <f>G895+IF(D896="",0,1)</f>
        <v/>
      </c>
    </row>
    <row r="897">
      <c r="A897">
        <f>IF('KG1-2'!$B23="","",'KG1-2'!$B23)</f>
        <v/>
      </c>
      <c r="B897">
        <f>IF(A897="","",'KG1-2'!$C23)</f>
        <v/>
      </c>
      <c r="C897">
        <f>IF(A897="","",'KG1-2'!$B$2)</f>
        <v/>
      </c>
      <c r="D897" s="126">
        <f t="array" ref="D897">IF(A897="","",IFERROR(SMALL(IF((('KG1-2'!$AD23:$IM23="غياب بدون عذر")+('KG1-2'!$AD23:$IM23="غياب بعذر"))*('KG1-2'!$AD$7:$IM$7="✓"),'KG1-2'!$AD$5:$IM$5),16),""))</f>
        <v/>
      </c>
      <c r="E897">
        <f>IF(D897="","",INDEX('KG1-2'!$AD23:$IM23,MATCH(D897,'KG1-2'!$AD$5:$IM$5,0)))</f>
        <v/>
      </c>
      <c r="F897">
        <f>IF(D897="","",COUNTIFS('KG1-2'!$AD23:$IM23,"غياب بدون عذر",'KG1-2'!$AD$7:$IM$7,"✓",'KG1-2'!$AD$5:$IM$5,"&lt;="&amp;D897))</f>
        <v/>
      </c>
      <c r="G897">
        <f>G896+IF(D897="",0,1)</f>
        <v/>
      </c>
    </row>
    <row r="898">
      <c r="A898">
        <f>IF('KG1-2'!$B23="","",'KG1-2'!$B23)</f>
        <v/>
      </c>
      <c r="B898">
        <f>IF(A898="","",'KG1-2'!$C23)</f>
        <v/>
      </c>
      <c r="C898">
        <f>IF(A898="","",'KG1-2'!$B$2)</f>
        <v/>
      </c>
      <c r="D898" s="126">
        <f t="array" ref="D898">IF(A898="","",IFERROR(SMALL(IF((('KG1-2'!$AD23:$IM23="غياب بدون عذر")+('KG1-2'!$AD23:$IM23="غياب بعذر"))*('KG1-2'!$AD$7:$IM$7="✓"),'KG1-2'!$AD$5:$IM$5),17),""))</f>
        <v/>
      </c>
      <c r="E898">
        <f>IF(D898="","",INDEX('KG1-2'!$AD23:$IM23,MATCH(D898,'KG1-2'!$AD$5:$IM$5,0)))</f>
        <v/>
      </c>
      <c r="F898">
        <f>IF(D898="","",COUNTIFS('KG1-2'!$AD23:$IM23,"غياب بدون عذر",'KG1-2'!$AD$7:$IM$7,"✓",'KG1-2'!$AD$5:$IM$5,"&lt;="&amp;D898))</f>
        <v/>
      </c>
      <c r="G898">
        <f>G897+IF(D898="",0,1)</f>
        <v/>
      </c>
    </row>
    <row r="899">
      <c r="A899">
        <f>IF('KG1-2'!$B23="","",'KG1-2'!$B23)</f>
        <v/>
      </c>
      <c r="B899">
        <f>IF(A899="","",'KG1-2'!$C23)</f>
        <v/>
      </c>
      <c r="C899">
        <f>IF(A899="","",'KG1-2'!$B$2)</f>
        <v/>
      </c>
      <c r="D899" s="126">
        <f t="array" ref="D899">IF(A899="","",IFERROR(SMALL(IF((('KG1-2'!$AD23:$IM23="غياب بدون عذر")+('KG1-2'!$AD23:$IM23="غياب بعذر"))*('KG1-2'!$AD$7:$IM$7="✓"),'KG1-2'!$AD$5:$IM$5),18),""))</f>
        <v/>
      </c>
      <c r="E899">
        <f>IF(D899="","",INDEX('KG1-2'!$AD23:$IM23,MATCH(D899,'KG1-2'!$AD$5:$IM$5,0)))</f>
        <v/>
      </c>
      <c r="F899">
        <f>IF(D899="","",COUNTIFS('KG1-2'!$AD23:$IM23,"غياب بدون عذر",'KG1-2'!$AD$7:$IM$7,"✓",'KG1-2'!$AD$5:$IM$5,"&lt;="&amp;D899))</f>
        <v/>
      </c>
      <c r="G899">
        <f>G898+IF(D899="",0,1)</f>
        <v/>
      </c>
    </row>
    <row r="900">
      <c r="A900">
        <f>IF('KG1-2'!$B23="","",'KG1-2'!$B23)</f>
        <v/>
      </c>
      <c r="B900">
        <f>IF(A900="","",'KG1-2'!$C23)</f>
        <v/>
      </c>
      <c r="C900">
        <f>IF(A900="","",'KG1-2'!$B$2)</f>
        <v/>
      </c>
      <c r="D900" s="126">
        <f t="array" ref="D900">IF(A900="","",IFERROR(SMALL(IF((('KG1-2'!$AD23:$IM23="غياب بدون عذر")+('KG1-2'!$AD23:$IM23="غياب بعذر"))*('KG1-2'!$AD$7:$IM$7="✓"),'KG1-2'!$AD$5:$IM$5),19),""))</f>
        <v/>
      </c>
      <c r="E900">
        <f>IF(D900="","",INDEX('KG1-2'!$AD23:$IM23,MATCH(D900,'KG1-2'!$AD$5:$IM$5,0)))</f>
        <v/>
      </c>
      <c r="F900">
        <f>IF(D900="","",COUNTIFS('KG1-2'!$AD23:$IM23,"غياب بدون عذر",'KG1-2'!$AD$7:$IM$7,"✓",'KG1-2'!$AD$5:$IM$5,"&lt;="&amp;D900))</f>
        <v/>
      </c>
      <c r="G900">
        <f>G899+IF(D900="",0,1)</f>
        <v/>
      </c>
    </row>
    <row r="901">
      <c r="A901">
        <f>IF('KG1-2'!$B23="","",'KG1-2'!$B23)</f>
        <v/>
      </c>
      <c r="B901">
        <f>IF(A901="","",'KG1-2'!$C23)</f>
        <v/>
      </c>
      <c r="C901">
        <f>IF(A901="","",'KG1-2'!$B$2)</f>
        <v/>
      </c>
      <c r="D901" s="126">
        <f t="array" ref="D901">IF(A901="","",IFERROR(SMALL(IF((('KG1-2'!$AD23:$IM23="غياب بدون عذر")+('KG1-2'!$AD23:$IM23="غياب بعذر"))*('KG1-2'!$AD$7:$IM$7="✓"),'KG1-2'!$AD$5:$IM$5),20),""))</f>
        <v/>
      </c>
      <c r="E901">
        <f>IF(D901="","",INDEX('KG1-2'!$AD23:$IM23,MATCH(D901,'KG1-2'!$AD$5:$IM$5,0)))</f>
        <v/>
      </c>
      <c r="F901">
        <f>IF(D901="","",COUNTIFS('KG1-2'!$AD23:$IM23,"غياب بدون عذر",'KG1-2'!$AD$7:$IM$7,"✓",'KG1-2'!$AD$5:$IM$5,"&lt;="&amp;D901))</f>
        <v/>
      </c>
      <c r="G901">
        <f>G900+IF(D901="",0,1)</f>
        <v/>
      </c>
    </row>
    <row r="902">
      <c r="A902">
        <f>IF('KG1-2'!$B24="","",'KG1-2'!$B24)</f>
        <v/>
      </c>
      <c r="B902">
        <f>IF(A902="","",'KG1-2'!$C24)</f>
        <v/>
      </c>
      <c r="C902">
        <f>IF(A902="","",'KG1-2'!$B$2)</f>
        <v/>
      </c>
      <c r="D902" s="126">
        <f t="array" ref="D902">IF(A902="","",IFERROR(SMALL(IF((('KG1-2'!$AD24:$IM24="غياب بدون عذر")+('KG1-2'!$AD24:$IM24="غياب بعذر"))*('KG1-2'!$AD$7:$IM$7="✓"),'KG1-2'!$AD$5:$IM$5),1),""))</f>
        <v/>
      </c>
      <c r="E902">
        <f>IF(D902="","",INDEX('KG1-2'!$AD24:$IM24,MATCH(D902,'KG1-2'!$AD$5:$IM$5,0)))</f>
        <v/>
      </c>
      <c r="F902">
        <f>IF(D902="","",COUNTIFS('KG1-2'!$AD24:$IM24,"غياب بدون عذر",'KG1-2'!$AD$7:$IM$7,"✓",'KG1-2'!$AD$5:$IM$5,"&lt;="&amp;D902))</f>
        <v/>
      </c>
      <c r="G902">
        <f>G901+IF(D902="",0,1)</f>
        <v/>
      </c>
    </row>
    <row r="903">
      <c r="A903">
        <f>IF('KG1-2'!$B24="","",'KG1-2'!$B24)</f>
        <v/>
      </c>
      <c r="B903">
        <f>IF(A903="","",'KG1-2'!$C24)</f>
        <v/>
      </c>
      <c r="C903">
        <f>IF(A903="","",'KG1-2'!$B$2)</f>
        <v/>
      </c>
      <c r="D903" s="126">
        <f t="array" ref="D903">IF(A903="","",IFERROR(SMALL(IF((('KG1-2'!$AD24:$IM24="غياب بدون عذر")+('KG1-2'!$AD24:$IM24="غياب بعذر"))*('KG1-2'!$AD$7:$IM$7="✓"),'KG1-2'!$AD$5:$IM$5),2),""))</f>
        <v/>
      </c>
      <c r="E903">
        <f>IF(D903="","",INDEX('KG1-2'!$AD24:$IM24,MATCH(D903,'KG1-2'!$AD$5:$IM$5,0)))</f>
        <v/>
      </c>
      <c r="F903">
        <f>IF(D903="","",COUNTIFS('KG1-2'!$AD24:$IM24,"غياب بدون عذر",'KG1-2'!$AD$7:$IM$7,"✓",'KG1-2'!$AD$5:$IM$5,"&lt;="&amp;D903))</f>
        <v/>
      </c>
      <c r="G903">
        <f>G902+IF(D903="",0,1)</f>
        <v/>
      </c>
    </row>
    <row r="904">
      <c r="A904">
        <f>IF('KG1-2'!$B24="","",'KG1-2'!$B24)</f>
        <v/>
      </c>
      <c r="B904">
        <f>IF(A904="","",'KG1-2'!$C24)</f>
        <v/>
      </c>
      <c r="C904">
        <f>IF(A904="","",'KG1-2'!$B$2)</f>
        <v/>
      </c>
      <c r="D904" s="126">
        <f t="array" ref="D904">IF(A904="","",IFERROR(SMALL(IF((('KG1-2'!$AD24:$IM24="غياب بدون عذر")+('KG1-2'!$AD24:$IM24="غياب بعذر"))*('KG1-2'!$AD$7:$IM$7="✓"),'KG1-2'!$AD$5:$IM$5),3),""))</f>
        <v/>
      </c>
      <c r="E904">
        <f>IF(D904="","",INDEX('KG1-2'!$AD24:$IM24,MATCH(D904,'KG1-2'!$AD$5:$IM$5,0)))</f>
        <v/>
      </c>
      <c r="F904">
        <f>IF(D904="","",COUNTIFS('KG1-2'!$AD24:$IM24,"غياب بدون عذر",'KG1-2'!$AD$7:$IM$7,"✓",'KG1-2'!$AD$5:$IM$5,"&lt;="&amp;D904))</f>
        <v/>
      </c>
      <c r="G904">
        <f>G903+IF(D904="",0,1)</f>
        <v/>
      </c>
    </row>
    <row r="905">
      <c r="A905">
        <f>IF('KG1-2'!$B24="","",'KG1-2'!$B24)</f>
        <v/>
      </c>
      <c r="B905">
        <f>IF(A905="","",'KG1-2'!$C24)</f>
        <v/>
      </c>
      <c r="C905">
        <f>IF(A905="","",'KG1-2'!$B$2)</f>
        <v/>
      </c>
      <c r="D905" s="126">
        <f t="array" ref="D905">IF(A905="","",IFERROR(SMALL(IF((('KG1-2'!$AD24:$IM24="غياب بدون عذر")+('KG1-2'!$AD24:$IM24="غياب بعذر"))*('KG1-2'!$AD$7:$IM$7="✓"),'KG1-2'!$AD$5:$IM$5),4),""))</f>
        <v/>
      </c>
      <c r="E905">
        <f>IF(D905="","",INDEX('KG1-2'!$AD24:$IM24,MATCH(D905,'KG1-2'!$AD$5:$IM$5,0)))</f>
        <v/>
      </c>
      <c r="F905">
        <f>IF(D905="","",COUNTIFS('KG1-2'!$AD24:$IM24,"غياب بدون عذر",'KG1-2'!$AD$7:$IM$7,"✓",'KG1-2'!$AD$5:$IM$5,"&lt;="&amp;D905))</f>
        <v/>
      </c>
      <c r="G905">
        <f>G904+IF(D905="",0,1)</f>
        <v/>
      </c>
    </row>
    <row r="906">
      <c r="A906">
        <f>IF('KG1-2'!$B24="","",'KG1-2'!$B24)</f>
        <v/>
      </c>
      <c r="B906">
        <f>IF(A906="","",'KG1-2'!$C24)</f>
        <v/>
      </c>
      <c r="C906">
        <f>IF(A906="","",'KG1-2'!$B$2)</f>
        <v/>
      </c>
      <c r="D906" s="126">
        <f t="array" ref="D906">IF(A906="","",IFERROR(SMALL(IF((('KG1-2'!$AD24:$IM24="غياب بدون عذر")+('KG1-2'!$AD24:$IM24="غياب بعذر"))*('KG1-2'!$AD$7:$IM$7="✓"),'KG1-2'!$AD$5:$IM$5),5),""))</f>
        <v/>
      </c>
      <c r="E906">
        <f>IF(D906="","",INDEX('KG1-2'!$AD24:$IM24,MATCH(D906,'KG1-2'!$AD$5:$IM$5,0)))</f>
        <v/>
      </c>
      <c r="F906">
        <f>IF(D906="","",COUNTIFS('KG1-2'!$AD24:$IM24,"غياب بدون عذر",'KG1-2'!$AD$7:$IM$7,"✓",'KG1-2'!$AD$5:$IM$5,"&lt;="&amp;D906))</f>
        <v/>
      </c>
      <c r="G906">
        <f>G905+IF(D906="",0,1)</f>
        <v/>
      </c>
    </row>
    <row r="907">
      <c r="A907">
        <f>IF('KG1-2'!$B24="","",'KG1-2'!$B24)</f>
        <v/>
      </c>
      <c r="B907">
        <f>IF(A907="","",'KG1-2'!$C24)</f>
        <v/>
      </c>
      <c r="C907">
        <f>IF(A907="","",'KG1-2'!$B$2)</f>
        <v/>
      </c>
      <c r="D907" s="126">
        <f t="array" ref="D907">IF(A907="","",IFERROR(SMALL(IF((('KG1-2'!$AD24:$IM24="غياب بدون عذر")+('KG1-2'!$AD24:$IM24="غياب بعذر"))*('KG1-2'!$AD$7:$IM$7="✓"),'KG1-2'!$AD$5:$IM$5),6),""))</f>
        <v/>
      </c>
      <c r="E907">
        <f>IF(D907="","",INDEX('KG1-2'!$AD24:$IM24,MATCH(D907,'KG1-2'!$AD$5:$IM$5,0)))</f>
        <v/>
      </c>
      <c r="F907">
        <f>IF(D907="","",COUNTIFS('KG1-2'!$AD24:$IM24,"غياب بدون عذر",'KG1-2'!$AD$7:$IM$7,"✓",'KG1-2'!$AD$5:$IM$5,"&lt;="&amp;D907))</f>
        <v/>
      </c>
      <c r="G907">
        <f>G906+IF(D907="",0,1)</f>
        <v/>
      </c>
    </row>
    <row r="908">
      <c r="A908">
        <f>IF('KG1-2'!$B24="","",'KG1-2'!$B24)</f>
        <v/>
      </c>
      <c r="B908">
        <f>IF(A908="","",'KG1-2'!$C24)</f>
        <v/>
      </c>
      <c r="C908">
        <f>IF(A908="","",'KG1-2'!$B$2)</f>
        <v/>
      </c>
      <c r="D908" s="126">
        <f t="array" ref="D908">IF(A908="","",IFERROR(SMALL(IF((('KG1-2'!$AD24:$IM24="غياب بدون عذر")+('KG1-2'!$AD24:$IM24="غياب بعذر"))*('KG1-2'!$AD$7:$IM$7="✓"),'KG1-2'!$AD$5:$IM$5),7),""))</f>
        <v/>
      </c>
      <c r="E908">
        <f>IF(D908="","",INDEX('KG1-2'!$AD24:$IM24,MATCH(D908,'KG1-2'!$AD$5:$IM$5,0)))</f>
        <v/>
      </c>
      <c r="F908">
        <f>IF(D908="","",COUNTIFS('KG1-2'!$AD24:$IM24,"غياب بدون عذر",'KG1-2'!$AD$7:$IM$7,"✓",'KG1-2'!$AD$5:$IM$5,"&lt;="&amp;D908))</f>
        <v/>
      </c>
      <c r="G908">
        <f>G907+IF(D908="",0,1)</f>
        <v/>
      </c>
    </row>
    <row r="909">
      <c r="A909">
        <f>IF('KG1-2'!$B24="","",'KG1-2'!$B24)</f>
        <v/>
      </c>
      <c r="B909">
        <f>IF(A909="","",'KG1-2'!$C24)</f>
        <v/>
      </c>
      <c r="C909">
        <f>IF(A909="","",'KG1-2'!$B$2)</f>
        <v/>
      </c>
      <c r="D909" s="126">
        <f t="array" ref="D909">IF(A909="","",IFERROR(SMALL(IF((('KG1-2'!$AD24:$IM24="غياب بدون عذر")+('KG1-2'!$AD24:$IM24="غياب بعذر"))*('KG1-2'!$AD$7:$IM$7="✓"),'KG1-2'!$AD$5:$IM$5),8),""))</f>
        <v/>
      </c>
      <c r="E909">
        <f>IF(D909="","",INDEX('KG1-2'!$AD24:$IM24,MATCH(D909,'KG1-2'!$AD$5:$IM$5,0)))</f>
        <v/>
      </c>
      <c r="F909">
        <f>IF(D909="","",COUNTIFS('KG1-2'!$AD24:$IM24,"غياب بدون عذر",'KG1-2'!$AD$7:$IM$7,"✓",'KG1-2'!$AD$5:$IM$5,"&lt;="&amp;D909))</f>
        <v/>
      </c>
      <c r="G909">
        <f>G908+IF(D909="",0,1)</f>
        <v/>
      </c>
    </row>
    <row r="910">
      <c r="A910">
        <f>IF('KG1-2'!$B24="","",'KG1-2'!$B24)</f>
        <v/>
      </c>
      <c r="B910">
        <f>IF(A910="","",'KG1-2'!$C24)</f>
        <v/>
      </c>
      <c r="C910">
        <f>IF(A910="","",'KG1-2'!$B$2)</f>
        <v/>
      </c>
      <c r="D910" s="126">
        <f t="array" ref="D910">IF(A910="","",IFERROR(SMALL(IF((('KG1-2'!$AD24:$IM24="غياب بدون عذر")+('KG1-2'!$AD24:$IM24="غياب بعذر"))*('KG1-2'!$AD$7:$IM$7="✓"),'KG1-2'!$AD$5:$IM$5),9),""))</f>
        <v/>
      </c>
      <c r="E910">
        <f>IF(D910="","",INDEX('KG1-2'!$AD24:$IM24,MATCH(D910,'KG1-2'!$AD$5:$IM$5,0)))</f>
        <v/>
      </c>
      <c r="F910">
        <f>IF(D910="","",COUNTIFS('KG1-2'!$AD24:$IM24,"غياب بدون عذر",'KG1-2'!$AD$7:$IM$7,"✓",'KG1-2'!$AD$5:$IM$5,"&lt;="&amp;D910))</f>
        <v/>
      </c>
      <c r="G910">
        <f>G909+IF(D910="",0,1)</f>
        <v/>
      </c>
    </row>
    <row r="911">
      <c r="A911">
        <f>IF('KG1-2'!$B24="","",'KG1-2'!$B24)</f>
        <v/>
      </c>
      <c r="B911">
        <f>IF(A911="","",'KG1-2'!$C24)</f>
        <v/>
      </c>
      <c r="C911">
        <f>IF(A911="","",'KG1-2'!$B$2)</f>
        <v/>
      </c>
      <c r="D911" s="126">
        <f t="array" ref="D911">IF(A911="","",IFERROR(SMALL(IF((('KG1-2'!$AD24:$IM24="غياب بدون عذر")+('KG1-2'!$AD24:$IM24="غياب بعذر"))*('KG1-2'!$AD$7:$IM$7="✓"),'KG1-2'!$AD$5:$IM$5),10),""))</f>
        <v/>
      </c>
      <c r="E911">
        <f>IF(D911="","",INDEX('KG1-2'!$AD24:$IM24,MATCH(D911,'KG1-2'!$AD$5:$IM$5,0)))</f>
        <v/>
      </c>
      <c r="F911">
        <f>IF(D911="","",COUNTIFS('KG1-2'!$AD24:$IM24,"غياب بدون عذر",'KG1-2'!$AD$7:$IM$7,"✓",'KG1-2'!$AD$5:$IM$5,"&lt;="&amp;D911))</f>
        <v/>
      </c>
      <c r="G911">
        <f>G910+IF(D911="",0,1)</f>
        <v/>
      </c>
    </row>
    <row r="912">
      <c r="A912">
        <f>IF('KG1-2'!$B24="","",'KG1-2'!$B24)</f>
        <v/>
      </c>
      <c r="B912">
        <f>IF(A912="","",'KG1-2'!$C24)</f>
        <v/>
      </c>
      <c r="C912">
        <f>IF(A912="","",'KG1-2'!$B$2)</f>
        <v/>
      </c>
      <c r="D912" s="126">
        <f t="array" ref="D912">IF(A912="","",IFERROR(SMALL(IF((('KG1-2'!$AD24:$IM24="غياب بدون عذر")+('KG1-2'!$AD24:$IM24="غياب بعذر"))*('KG1-2'!$AD$7:$IM$7="✓"),'KG1-2'!$AD$5:$IM$5),11),""))</f>
        <v/>
      </c>
      <c r="E912">
        <f>IF(D912="","",INDEX('KG1-2'!$AD24:$IM24,MATCH(D912,'KG1-2'!$AD$5:$IM$5,0)))</f>
        <v/>
      </c>
      <c r="F912">
        <f>IF(D912="","",COUNTIFS('KG1-2'!$AD24:$IM24,"غياب بدون عذر",'KG1-2'!$AD$7:$IM$7,"✓",'KG1-2'!$AD$5:$IM$5,"&lt;="&amp;D912))</f>
        <v/>
      </c>
      <c r="G912">
        <f>G911+IF(D912="",0,1)</f>
        <v/>
      </c>
    </row>
    <row r="913">
      <c r="A913">
        <f>IF('KG1-2'!$B24="","",'KG1-2'!$B24)</f>
        <v/>
      </c>
      <c r="B913">
        <f>IF(A913="","",'KG1-2'!$C24)</f>
        <v/>
      </c>
      <c r="C913">
        <f>IF(A913="","",'KG1-2'!$B$2)</f>
        <v/>
      </c>
      <c r="D913" s="126">
        <f t="array" ref="D913">IF(A913="","",IFERROR(SMALL(IF((('KG1-2'!$AD24:$IM24="غياب بدون عذر")+('KG1-2'!$AD24:$IM24="غياب بعذر"))*('KG1-2'!$AD$7:$IM$7="✓"),'KG1-2'!$AD$5:$IM$5),12),""))</f>
        <v/>
      </c>
      <c r="E913">
        <f>IF(D913="","",INDEX('KG1-2'!$AD24:$IM24,MATCH(D913,'KG1-2'!$AD$5:$IM$5,0)))</f>
        <v/>
      </c>
      <c r="F913">
        <f>IF(D913="","",COUNTIFS('KG1-2'!$AD24:$IM24,"غياب بدون عذر",'KG1-2'!$AD$7:$IM$7,"✓",'KG1-2'!$AD$5:$IM$5,"&lt;="&amp;D913))</f>
        <v/>
      </c>
      <c r="G913">
        <f>G912+IF(D913="",0,1)</f>
        <v/>
      </c>
    </row>
    <row r="914">
      <c r="A914">
        <f>IF('KG1-2'!$B24="","",'KG1-2'!$B24)</f>
        <v/>
      </c>
      <c r="B914">
        <f>IF(A914="","",'KG1-2'!$C24)</f>
        <v/>
      </c>
      <c r="C914">
        <f>IF(A914="","",'KG1-2'!$B$2)</f>
        <v/>
      </c>
      <c r="D914" s="126">
        <f t="array" ref="D914">IF(A914="","",IFERROR(SMALL(IF((('KG1-2'!$AD24:$IM24="غياب بدون عذر")+('KG1-2'!$AD24:$IM24="غياب بعذر"))*('KG1-2'!$AD$7:$IM$7="✓"),'KG1-2'!$AD$5:$IM$5),13),""))</f>
        <v/>
      </c>
      <c r="E914">
        <f>IF(D914="","",INDEX('KG1-2'!$AD24:$IM24,MATCH(D914,'KG1-2'!$AD$5:$IM$5,0)))</f>
        <v/>
      </c>
      <c r="F914">
        <f>IF(D914="","",COUNTIFS('KG1-2'!$AD24:$IM24,"غياب بدون عذر",'KG1-2'!$AD$7:$IM$7,"✓",'KG1-2'!$AD$5:$IM$5,"&lt;="&amp;D914))</f>
        <v/>
      </c>
      <c r="G914">
        <f>G913+IF(D914="",0,1)</f>
        <v/>
      </c>
    </row>
    <row r="915">
      <c r="A915">
        <f>IF('KG1-2'!$B24="","",'KG1-2'!$B24)</f>
        <v/>
      </c>
      <c r="B915">
        <f>IF(A915="","",'KG1-2'!$C24)</f>
        <v/>
      </c>
      <c r="C915">
        <f>IF(A915="","",'KG1-2'!$B$2)</f>
        <v/>
      </c>
      <c r="D915" s="126">
        <f t="array" ref="D915">IF(A915="","",IFERROR(SMALL(IF((('KG1-2'!$AD24:$IM24="غياب بدون عذر")+('KG1-2'!$AD24:$IM24="غياب بعذر"))*('KG1-2'!$AD$7:$IM$7="✓"),'KG1-2'!$AD$5:$IM$5),14),""))</f>
        <v/>
      </c>
      <c r="E915">
        <f>IF(D915="","",INDEX('KG1-2'!$AD24:$IM24,MATCH(D915,'KG1-2'!$AD$5:$IM$5,0)))</f>
        <v/>
      </c>
      <c r="F915">
        <f>IF(D915="","",COUNTIFS('KG1-2'!$AD24:$IM24,"غياب بدون عذر",'KG1-2'!$AD$7:$IM$7,"✓",'KG1-2'!$AD$5:$IM$5,"&lt;="&amp;D915))</f>
        <v/>
      </c>
      <c r="G915">
        <f>G914+IF(D915="",0,1)</f>
        <v/>
      </c>
    </row>
    <row r="916">
      <c r="A916">
        <f>IF('KG1-2'!$B24="","",'KG1-2'!$B24)</f>
        <v/>
      </c>
      <c r="B916">
        <f>IF(A916="","",'KG1-2'!$C24)</f>
        <v/>
      </c>
      <c r="C916">
        <f>IF(A916="","",'KG1-2'!$B$2)</f>
        <v/>
      </c>
      <c r="D916" s="126">
        <f t="array" ref="D916">IF(A916="","",IFERROR(SMALL(IF((('KG1-2'!$AD24:$IM24="غياب بدون عذر")+('KG1-2'!$AD24:$IM24="غياب بعذر"))*('KG1-2'!$AD$7:$IM$7="✓"),'KG1-2'!$AD$5:$IM$5),15),""))</f>
        <v/>
      </c>
      <c r="E916">
        <f>IF(D916="","",INDEX('KG1-2'!$AD24:$IM24,MATCH(D916,'KG1-2'!$AD$5:$IM$5,0)))</f>
        <v/>
      </c>
      <c r="F916">
        <f>IF(D916="","",COUNTIFS('KG1-2'!$AD24:$IM24,"غياب بدون عذر",'KG1-2'!$AD$7:$IM$7,"✓",'KG1-2'!$AD$5:$IM$5,"&lt;="&amp;D916))</f>
        <v/>
      </c>
      <c r="G916">
        <f>G915+IF(D916="",0,1)</f>
        <v/>
      </c>
    </row>
    <row r="917">
      <c r="A917">
        <f>IF('KG1-2'!$B24="","",'KG1-2'!$B24)</f>
        <v/>
      </c>
      <c r="B917">
        <f>IF(A917="","",'KG1-2'!$C24)</f>
        <v/>
      </c>
      <c r="C917">
        <f>IF(A917="","",'KG1-2'!$B$2)</f>
        <v/>
      </c>
      <c r="D917" s="126">
        <f t="array" ref="D917">IF(A917="","",IFERROR(SMALL(IF((('KG1-2'!$AD24:$IM24="غياب بدون عذر")+('KG1-2'!$AD24:$IM24="غياب بعذر"))*('KG1-2'!$AD$7:$IM$7="✓"),'KG1-2'!$AD$5:$IM$5),16),""))</f>
        <v/>
      </c>
      <c r="E917">
        <f>IF(D917="","",INDEX('KG1-2'!$AD24:$IM24,MATCH(D917,'KG1-2'!$AD$5:$IM$5,0)))</f>
        <v/>
      </c>
      <c r="F917">
        <f>IF(D917="","",COUNTIFS('KG1-2'!$AD24:$IM24,"غياب بدون عذر",'KG1-2'!$AD$7:$IM$7,"✓",'KG1-2'!$AD$5:$IM$5,"&lt;="&amp;D917))</f>
        <v/>
      </c>
      <c r="G917">
        <f>G916+IF(D917="",0,1)</f>
        <v/>
      </c>
    </row>
    <row r="918">
      <c r="A918">
        <f>IF('KG1-2'!$B24="","",'KG1-2'!$B24)</f>
        <v/>
      </c>
      <c r="B918">
        <f>IF(A918="","",'KG1-2'!$C24)</f>
        <v/>
      </c>
      <c r="C918">
        <f>IF(A918="","",'KG1-2'!$B$2)</f>
        <v/>
      </c>
      <c r="D918" s="126">
        <f t="array" ref="D918">IF(A918="","",IFERROR(SMALL(IF((('KG1-2'!$AD24:$IM24="غياب بدون عذر")+('KG1-2'!$AD24:$IM24="غياب بعذر"))*('KG1-2'!$AD$7:$IM$7="✓"),'KG1-2'!$AD$5:$IM$5),17),""))</f>
        <v/>
      </c>
      <c r="E918">
        <f>IF(D918="","",INDEX('KG1-2'!$AD24:$IM24,MATCH(D918,'KG1-2'!$AD$5:$IM$5,0)))</f>
        <v/>
      </c>
      <c r="F918">
        <f>IF(D918="","",COUNTIFS('KG1-2'!$AD24:$IM24,"غياب بدون عذر",'KG1-2'!$AD$7:$IM$7,"✓",'KG1-2'!$AD$5:$IM$5,"&lt;="&amp;D918))</f>
        <v/>
      </c>
      <c r="G918">
        <f>G917+IF(D918="",0,1)</f>
        <v/>
      </c>
    </row>
    <row r="919">
      <c r="A919">
        <f>IF('KG1-2'!$B24="","",'KG1-2'!$B24)</f>
        <v/>
      </c>
      <c r="B919">
        <f>IF(A919="","",'KG1-2'!$C24)</f>
        <v/>
      </c>
      <c r="C919">
        <f>IF(A919="","",'KG1-2'!$B$2)</f>
        <v/>
      </c>
      <c r="D919" s="126">
        <f t="array" ref="D919">IF(A919="","",IFERROR(SMALL(IF((('KG1-2'!$AD24:$IM24="غياب بدون عذر")+('KG1-2'!$AD24:$IM24="غياب بعذر"))*('KG1-2'!$AD$7:$IM$7="✓"),'KG1-2'!$AD$5:$IM$5),18),""))</f>
        <v/>
      </c>
      <c r="E919">
        <f>IF(D919="","",INDEX('KG1-2'!$AD24:$IM24,MATCH(D919,'KG1-2'!$AD$5:$IM$5,0)))</f>
        <v/>
      </c>
      <c r="F919">
        <f>IF(D919="","",COUNTIFS('KG1-2'!$AD24:$IM24,"غياب بدون عذر",'KG1-2'!$AD$7:$IM$7,"✓",'KG1-2'!$AD$5:$IM$5,"&lt;="&amp;D919))</f>
        <v/>
      </c>
      <c r="G919">
        <f>G918+IF(D919="",0,1)</f>
        <v/>
      </c>
    </row>
    <row r="920">
      <c r="A920">
        <f>IF('KG1-2'!$B24="","",'KG1-2'!$B24)</f>
        <v/>
      </c>
      <c r="B920">
        <f>IF(A920="","",'KG1-2'!$C24)</f>
        <v/>
      </c>
      <c r="C920">
        <f>IF(A920="","",'KG1-2'!$B$2)</f>
        <v/>
      </c>
      <c r="D920" s="126">
        <f t="array" ref="D920">IF(A920="","",IFERROR(SMALL(IF((('KG1-2'!$AD24:$IM24="غياب بدون عذر")+('KG1-2'!$AD24:$IM24="غياب بعذر"))*('KG1-2'!$AD$7:$IM$7="✓"),'KG1-2'!$AD$5:$IM$5),19),""))</f>
        <v/>
      </c>
      <c r="E920">
        <f>IF(D920="","",INDEX('KG1-2'!$AD24:$IM24,MATCH(D920,'KG1-2'!$AD$5:$IM$5,0)))</f>
        <v/>
      </c>
      <c r="F920">
        <f>IF(D920="","",COUNTIFS('KG1-2'!$AD24:$IM24,"غياب بدون عذر",'KG1-2'!$AD$7:$IM$7,"✓",'KG1-2'!$AD$5:$IM$5,"&lt;="&amp;D920))</f>
        <v/>
      </c>
      <c r="G920">
        <f>G919+IF(D920="",0,1)</f>
        <v/>
      </c>
    </row>
    <row r="921">
      <c r="A921">
        <f>IF('KG1-2'!$B24="","",'KG1-2'!$B24)</f>
        <v/>
      </c>
      <c r="B921">
        <f>IF(A921="","",'KG1-2'!$C24)</f>
        <v/>
      </c>
      <c r="C921">
        <f>IF(A921="","",'KG1-2'!$B$2)</f>
        <v/>
      </c>
      <c r="D921" s="126">
        <f t="array" ref="D921">IF(A921="","",IFERROR(SMALL(IF((('KG1-2'!$AD24:$IM24="غياب بدون عذر")+('KG1-2'!$AD24:$IM24="غياب بعذر"))*('KG1-2'!$AD$7:$IM$7="✓"),'KG1-2'!$AD$5:$IM$5),20),""))</f>
        <v/>
      </c>
      <c r="E921">
        <f>IF(D921="","",INDEX('KG1-2'!$AD24:$IM24,MATCH(D921,'KG1-2'!$AD$5:$IM$5,0)))</f>
        <v/>
      </c>
      <c r="F921">
        <f>IF(D921="","",COUNTIFS('KG1-2'!$AD24:$IM24,"غياب بدون عذر",'KG1-2'!$AD$7:$IM$7,"✓",'KG1-2'!$AD$5:$IM$5,"&lt;="&amp;D921))</f>
        <v/>
      </c>
      <c r="G921">
        <f>G920+IF(D921="",0,1)</f>
        <v/>
      </c>
    </row>
    <row r="922">
      <c r="A922">
        <f>IF('KG1-2'!$B25="","",'KG1-2'!$B25)</f>
        <v/>
      </c>
      <c r="B922">
        <f>IF(A922="","",'KG1-2'!$C25)</f>
        <v/>
      </c>
      <c r="C922">
        <f>IF(A922="","",'KG1-2'!$B$2)</f>
        <v/>
      </c>
      <c r="D922" s="126">
        <f t="array" ref="D922">IF(A922="","",IFERROR(SMALL(IF((('KG1-2'!$AD25:$IM25="غياب بدون عذر")+('KG1-2'!$AD25:$IM25="غياب بعذر"))*('KG1-2'!$AD$7:$IM$7="✓"),'KG1-2'!$AD$5:$IM$5),1),""))</f>
        <v/>
      </c>
      <c r="E922">
        <f>IF(D922="","",INDEX('KG1-2'!$AD25:$IM25,MATCH(D922,'KG1-2'!$AD$5:$IM$5,0)))</f>
        <v/>
      </c>
      <c r="F922">
        <f>IF(D922="","",COUNTIFS('KG1-2'!$AD25:$IM25,"غياب بدون عذر",'KG1-2'!$AD$7:$IM$7,"✓",'KG1-2'!$AD$5:$IM$5,"&lt;="&amp;D922))</f>
        <v/>
      </c>
      <c r="G922">
        <f>G921+IF(D922="",0,1)</f>
        <v/>
      </c>
    </row>
    <row r="923">
      <c r="A923">
        <f>IF('KG1-2'!$B25="","",'KG1-2'!$B25)</f>
        <v/>
      </c>
      <c r="B923">
        <f>IF(A923="","",'KG1-2'!$C25)</f>
        <v/>
      </c>
      <c r="C923">
        <f>IF(A923="","",'KG1-2'!$B$2)</f>
        <v/>
      </c>
      <c r="D923" s="126">
        <f t="array" ref="D923">IF(A923="","",IFERROR(SMALL(IF((('KG1-2'!$AD25:$IM25="غياب بدون عذر")+('KG1-2'!$AD25:$IM25="غياب بعذر"))*('KG1-2'!$AD$7:$IM$7="✓"),'KG1-2'!$AD$5:$IM$5),2),""))</f>
        <v/>
      </c>
      <c r="E923">
        <f>IF(D923="","",INDEX('KG1-2'!$AD25:$IM25,MATCH(D923,'KG1-2'!$AD$5:$IM$5,0)))</f>
        <v/>
      </c>
      <c r="F923">
        <f>IF(D923="","",COUNTIFS('KG1-2'!$AD25:$IM25,"غياب بدون عذر",'KG1-2'!$AD$7:$IM$7,"✓",'KG1-2'!$AD$5:$IM$5,"&lt;="&amp;D923))</f>
        <v/>
      </c>
      <c r="G923">
        <f>G922+IF(D923="",0,1)</f>
        <v/>
      </c>
    </row>
    <row r="924">
      <c r="A924">
        <f>IF('KG1-2'!$B25="","",'KG1-2'!$B25)</f>
        <v/>
      </c>
      <c r="B924">
        <f>IF(A924="","",'KG1-2'!$C25)</f>
        <v/>
      </c>
      <c r="C924">
        <f>IF(A924="","",'KG1-2'!$B$2)</f>
        <v/>
      </c>
      <c r="D924" s="126">
        <f t="array" ref="D924">IF(A924="","",IFERROR(SMALL(IF((('KG1-2'!$AD25:$IM25="غياب بدون عذر")+('KG1-2'!$AD25:$IM25="غياب بعذر"))*('KG1-2'!$AD$7:$IM$7="✓"),'KG1-2'!$AD$5:$IM$5),3),""))</f>
        <v/>
      </c>
      <c r="E924">
        <f>IF(D924="","",INDEX('KG1-2'!$AD25:$IM25,MATCH(D924,'KG1-2'!$AD$5:$IM$5,0)))</f>
        <v/>
      </c>
      <c r="F924">
        <f>IF(D924="","",COUNTIFS('KG1-2'!$AD25:$IM25,"غياب بدون عذر",'KG1-2'!$AD$7:$IM$7,"✓",'KG1-2'!$AD$5:$IM$5,"&lt;="&amp;D924))</f>
        <v/>
      </c>
      <c r="G924">
        <f>G923+IF(D924="",0,1)</f>
        <v/>
      </c>
    </row>
    <row r="925">
      <c r="A925">
        <f>IF('KG1-2'!$B25="","",'KG1-2'!$B25)</f>
        <v/>
      </c>
      <c r="B925">
        <f>IF(A925="","",'KG1-2'!$C25)</f>
        <v/>
      </c>
      <c r="C925">
        <f>IF(A925="","",'KG1-2'!$B$2)</f>
        <v/>
      </c>
      <c r="D925" s="126">
        <f t="array" ref="D925">IF(A925="","",IFERROR(SMALL(IF((('KG1-2'!$AD25:$IM25="غياب بدون عذر")+('KG1-2'!$AD25:$IM25="غياب بعذر"))*('KG1-2'!$AD$7:$IM$7="✓"),'KG1-2'!$AD$5:$IM$5),4),""))</f>
        <v/>
      </c>
      <c r="E925">
        <f>IF(D925="","",INDEX('KG1-2'!$AD25:$IM25,MATCH(D925,'KG1-2'!$AD$5:$IM$5,0)))</f>
        <v/>
      </c>
      <c r="F925">
        <f>IF(D925="","",COUNTIFS('KG1-2'!$AD25:$IM25,"غياب بدون عذر",'KG1-2'!$AD$7:$IM$7,"✓",'KG1-2'!$AD$5:$IM$5,"&lt;="&amp;D925))</f>
        <v/>
      </c>
      <c r="G925">
        <f>G924+IF(D925="",0,1)</f>
        <v/>
      </c>
    </row>
    <row r="926">
      <c r="A926">
        <f>IF('KG1-2'!$B25="","",'KG1-2'!$B25)</f>
        <v/>
      </c>
      <c r="B926">
        <f>IF(A926="","",'KG1-2'!$C25)</f>
        <v/>
      </c>
      <c r="C926">
        <f>IF(A926="","",'KG1-2'!$B$2)</f>
        <v/>
      </c>
      <c r="D926" s="126">
        <f t="array" ref="D926">IF(A926="","",IFERROR(SMALL(IF((('KG1-2'!$AD25:$IM25="غياب بدون عذر")+('KG1-2'!$AD25:$IM25="غياب بعذر"))*('KG1-2'!$AD$7:$IM$7="✓"),'KG1-2'!$AD$5:$IM$5),5),""))</f>
        <v/>
      </c>
      <c r="E926">
        <f>IF(D926="","",INDEX('KG1-2'!$AD25:$IM25,MATCH(D926,'KG1-2'!$AD$5:$IM$5,0)))</f>
        <v/>
      </c>
      <c r="F926">
        <f>IF(D926="","",COUNTIFS('KG1-2'!$AD25:$IM25,"غياب بدون عذر",'KG1-2'!$AD$7:$IM$7,"✓",'KG1-2'!$AD$5:$IM$5,"&lt;="&amp;D926))</f>
        <v/>
      </c>
      <c r="G926">
        <f>G925+IF(D926="",0,1)</f>
        <v/>
      </c>
    </row>
    <row r="927">
      <c r="A927">
        <f>IF('KG1-2'!$B25="","",'KG1-2'!$B25)</f>
        <v/>
      </c>
      <c r="B927">
        <f>IF(A927="","",'KG1-2'!$C25)</f>
        <v/>
      </c>
      <c r="C927">
        <f>IF(A927="","",'KG1-2'!$B$2)</f>
        <v/>
      </c>
      <c r="D927" s="126">
        <f t="array" ref="D927">IF(A927="","",IFERROR(SMALL(IF((('KG1-2'!$AD25:$IM25="غياب بدون عذر")+('KG1-2'!$AD25:$IM25="غياب بعذر"))*('KG1-2'!$AD$7:$IM$7="✓"),'KG1-2'!$AD$5:$IM$5),6),""))</f>
        <v/>
      </c>
      <c r="E927">
        <f>IF(D927="","",INDEX('KG1-2'!$AD25:$IM25,MATCH(D927,'KG1-2'!$AD$5:$IM$5,0)))</f>
        <v/>
      </c>
      <c r="F927">
        <f>IF(D927="","",COUNTIFS('KG1-2'!$AD25:$IM25,"غياب بدون عذر",'KG1-2'!$AD$7:$IM$7,"✓",'KG1-2'!$AD$5:$IM$5,"&lt;="&amp;D927))</f>
        <v/>
      </c>
      <c r="G927">
        <f>G926+IF(D927="",0,1)</f>
        <v/>
      </c>
    </row>
    <row r="928">
      <c r="A928">
        <f>IF('KG1-2'!$B25="","",'KG1-2'!$B25)</f>
        <v/>
      </c>
      <c r="B928">
        <f>IF(A928="","",'KG1-2'!$C25)</f>
        <v/>
      </c>
      <c r="C928">
        <f>IF(A928="","",'KG1-2'!$B$2)</f>
        <v/>
      </c>
      <c r="D928" s="126">
        <f t="array" ref="D928">IF(A928="","",IFERROR(SMALL(IF((('KG1-2'!$AD25:$IM25="غياب بدون عذر")+('KG1-2'!$AD25:$IM25="غياب بعذر"))*('KG1-2'!$AD$7:$IM$7="✓"),'KG1-2'!$AD$5:$IM$5),7),""))</f>
        <v/>
      </c>
      <c r="E928">
        <f>IF(D928="","",INDEX('KG1-2'!$AD25:$IM25,MATCH(D928,'KG1-2'!$AD$5:$IM$5,0)))</f>
        <v/>
      </c>
      <c r="F928">
        <f>IF(D928="","",COUNTIFS('KG1-2'!$AD25:$IM25,"غياب بدون عذر",'KG1-2'!$AD$7:$IM$7,"✓",'KG1-2'!$AD$5:$IM$5,"&lt;="&amp;D928))</f>
        <v/>
      </c>
      <c r="G928">
        <f>G927+IF(D928="",0,1)</f>
        <v/>
      </c>
    </row>
    <row r="929">
      <c r="A929">
        <f>IF('KG1-2'!$B25="","",'KG1-2'!$B25)</f>
        <v/>
      </c>
      <c r="B929">
        <f>IF(A929="","",'KG1-2'!$C25)</f>
        <v/>
      </c>
      <c r="C929">
        <f>IF(A929="","",'KG1-2'!$B$2)</f>
        <v/>
      </c>
      <c r="D929" s="126">
        <f t="array" ref="D929">IF(A929="","",IFERROR(SMALL(IF((('KG1-2'!$AD25:$IM25="غياب بدون عذر")+('KG1-2'!$AD25:$IM25="غياب بعذر"))*('KG1-2'!$AD$7:$IM$7="✓"),'KG1-2'!$AD$5:$IM$5),8),""))</f>
        <v/>
      </c>
      <c r="E929">
        <f>IF(D929="","",INDEX('KG1-2'!$AD25:$IM25,MATCH(D929,'KG1-2'!$AD$5:$IM$5,0)))</f>
        <v/>
      </c>
      <c r="F929">
        <f>IF(D929="","",COUNTIFS('KG1-2'!$AD25:$IM25,"غياب بدون عذر",'KG1-2'!$AD$7:$IM$7,"✓",'KG1-2'!$AD$5:$IM$5,"&lt;="&amp;D929))</f>
        <v/>
      </c>
      <c r="G929">
        <f>G928+IF(D929="",0,1)</f>
        <v/>
      </c>
    </row>
    <row r="930">
      <c r="A930">
        <f>IF('KG1-2'!$B25="","",'KG1-2'!$B25)</f>
        <v/>
      </c>
      <c r="B930">
        <f>IF(A930="","",'KG1-2'!$C25)</f>
        <v/>
      </c>
      <c r="C930">
        <f>IF(A930="","",'KG1-2'!$B$2)</f>
        <v/>
      </c>
      <c r="D930" s="126">
        <f t="array" ref="D930">IF(A930="","",IFERROR(SMALL(IF((('KG1-2'!$AD25:$IM25="غياب بدون عذر")+('KG1-2'!$AD25:$IM25="غياب بعذر"))*('KG1-2'!$AD$7:$IM$7="✓"),'KG1-2'!$AD$5:$IM$5),9),""))</f>
        <v/>
      </c>
      <c r="E930">
        <f>IF(D930="","",INDEX('KG1-2'!$AD25:$IM25,MATCH(D930,'KG1-2'!$AD$5:$IM$5,0)))</f>
        <v/>
      </c>
      <c r="F930">
        <f>IF(D930="","",COUNTIFS('KG1-2'!$AD25:$IM25,"غياب بدون عذر",'KG1-2'!$AD$7:$IM$7,"✓",'KG1-2'!$AD$5:$IM$5,"&lt;="&amp;D930))</f>
        <v/>
      </c>
      <c r="G930">
        <f>G929+IF(D930="",0,1)</f>
        <v/>
      </c>
    </row>
    <row r="931">
      <c r="A931">
        <f>IF('KG1-2'!$B25="","",'KG1-2'!$B25)</f>
        <v/>
      </c>
      <c r="B931">
        <f>IF(A931="","",'KG1-2'!$C25)</f>
        <v/>
      </c>
      <c r="C931">
        <f>IF(A931="","",'KG1-2'!$B$2)</f>
        <v/>
      </c>
      <c r="D931" s="126">
        <f t="array" ref="D931">IF(A931="","",IFERROR(SMALL(IF((('KG1-2'!$AD25:$IM25="غياب بدون عذر")+('KG1-2'!$AD25:$IM25="غياب بعذر"))*('KG1-2'!$AD$7:$IM$7="✓"),'KG1-2'!$AD$5:$IM$5),10),""))</f>
        <v/>
      </c>
      <c r="E931">
        <f>IF(D931="","",INDEX('KG1-2'!$AD25:$IM25,MATCH(D931,'KG1-2'!$AD$5:$IM$5,0)))</f>
        <v/>
      </c>
      <c r="F931">
        <f>IF(D931="","",COUNTIFS('KG1-2'!$AD25:$IM25,"غياب بدون عذر",'KG1-2'!$AD$7:$IM$7,"✓",'KG1-2'!$AD$5:$IM$5,"&lt;="&amp;D931))</f>
        <v/>
      </c>
      <c r="G931">
        <f>G930+IF(D931="",0,1)</f>
        <v/>
      </c>
    </row>
    <row r="932">
      <c r="A932">
        <f>IF('KG1-2'!$B25="","",'KG1-2'!$B25)</f>
        <v/>
      </c>
      <c r="B932">
        <f>IF(A932="","",'KG1-2'!$C25)</f>
        <v/>
      </c>
      <c r="C932">
        <f>IF(A932="","",'KG1-2'!$B$2)</f>
        <v/>
      </c>
      <c r="D932" s="126">
        <f t="array" ref="D932">IF(A932="","",IFERROR(SMALL(IF((('KG1-2'!$AD25:$IM25="غياب بدون عذر")+('KG1-2'!$AD25:$IM25="غياب بعذر"))*('KG1-2'!$AD$7:$IM$7="✓"),'KG1-2'!$AD$5:$IM$5),11),""))</f>
        <v/>
      </c>
      <c r="E932">
        <f>IF(D932="","",INDEX('KG1-2'!$AD25:$IM25,MATCH(D932,'KG1-2'!$AD$5:$IM$5,0)))</f>
        <v/>
      </c>
      <c r="F932">
        <f>IF(D932="","",COUNTIFS('KG1-2'!$AD25:$IM25,"غياب بدون عذر",'KG1-2'!$AD$7:$IM$7,"✓",'KG1-2'!$AD$5:$IM$5,"&lt;="&amp;D932))</f>
        <v/>
      </c>
      <c r="G932">
        <f>G931+IF(D932="",0,1)</f>
        <v/>
      </c>
    </row>
    <row r="933">
      <c r="A933">
        <f>IF('KG1-2'!$B25="","",'KG1-2'!$B25)</f>
        <v/>
      </c>
      <c r="B933">
        <f>IF(A933="","",'KG1-2'!$C25)</f>
        <v/>
      </c>
      <c r="C933">
        <f>IF(A933="","",'KG1-2'!$B$2)</f>
        <v/>
      </c>
      <c r="D933" s="126">
        <f t="array" ref="D933">IF(A933="","",IFERROR(SMALL(IF((('KG1-2'!$AD25:$IM25="غياب بدون عذر")+('KG1-2'!$AD25:$IM25="غياب بعذر"))*('KG1-2'!$AD$7:$IM$7="✓"),'KG1-2'!$AD$5:$IM$5),12),""))</f>
        <v/>
      </c>
      <c r="E933">
        <f>IF(D933="","",INDEX('KG1-2'!$AD25:$IM25,MATCH(D933,'KG1-2'!$AD$5:$IM$5,0)))</f>
        <v/>
      </c>
      <c r="F933">
        <f>IF(D933="","",COUNTIFS('KG1-2'!$AD25:$IM25,"غياب بدون عذر",'KG1-2'!$AD$7:$IM$7,"✓",'KG1-2'!$AD$5:$IM$5,"&lt;="&amp;D933))</f>
        <v/>
      </c>
      <c r="G933">
        <f>G932+IF(D933="",0,1)</f>
        <v/>
      </c>
    </row>
    <row r="934">
      <c r="A934">
        <f>IF('KG1-2'!$B25="","",'KG1-2'!$B25)</f>
        <v/>
      </c>
      <c r="B934">
        <f>IF(A934="","",'KG1-2'!$C25)</f>
        <v/>
      </c>
      <c r="C934">
        <f>IF(A934="","",'KG1-2'!$B$2)</f>
        <v/>
      </c>
      <c r="D934" s="126">
        <f t="array" ref="D934">IF(A934="","",IFERROR(SMALL(IF((('KG1-2'!$AD25:$IM25="غياب بدون عذر")+('KG1-2'!$AD25:$IM25="غياب بعذر"))*('KG1-2'!$AD$7:$IM$7="✓"),'KG1-2'!$AD$5:$IM$5),13),""))</f>
        <v/>
      </c>
      <c r="E934">
        <f>IF(D934="","",INDEX('KG1-2'!$AD25:$IM25,MATCH(D934,'KG1-2'!$AD$5:$IM$5,0)))</f>
        <v/>
      </c>
      <c r="F934">
        <f>IF(D934="","",COUNTIFS('KG1-2'!$AD25:$IM25,"غياب بدون عذر",'KG1-2'!$AD$7:$IM$7,"✓",'KG1-2'!$AD$5:$IM$5,"&lt;="&amp;D934))</f>
        <v/>
      </c>
      <c r="G934">
        <f>G933+IF(D934="",0,1)</f>
        <v/>
      </c>
    </row>
    <row r="935">
      <c r="A935">
        <f>IF('KG1-2'!$B25="","",'KG1-2'!$B25)</f>
        <v/>
      </c>
      <c r="B935">
        <f>IF(A935="","",'KG1-2'!$C25)</f>
        <v/>
      </c>
      <c r="C935">
        <f>IF(A935="","",'KG1-2'!$B$2)</f>
        <v/>
      </c>
      <c r="D935" s="126">
        <f t="array" ref="D935">IF(A935="","",IFERROR(SMALL(IF((('KG1-2'!$AD25:$IM25="غياب بدون عذر")+('KG1-2'!$AD25:$IM25="غياب بعذر"))*('KG1-2'!$AD$7:$IM$7="✓"),'KG1-2'!$AD$5:$IM$5),14),""))</f>
        <v/>
      </c>
      <c r="E935">
        <f>IF(D935="","",INDEX('KG1-2'!$AD25:$IM25,MATCH(D935,'KG1-2'!$AD$5:$IM$5,0)))</f>
        <v/>
      </c>
      <c r="F935">
        <f>IF(D935="","",COUNTIFS('KG1-2'!$AD25:$IM25,"غياب بدون عذر",'KG1-2'!$AD$7:$IM$7,"✓",'KG1-2'!$AD$5:$IM$5,"&lt;="&amp;D935))</f>
        <v/>
      </c>
      <c r="G935">
        <f>G934+IF(D935="",0,1)</f>
        <v/>
      </c>
    </row>
    <row r="936">
      <c r="A936">
        <f>IF('KG1-2'!$B25="","",'KG1-2'!$B25)</f>
        <v/>
      </c>
      <c r="B936">
        <f>IF(A936="","",'KG1-2'!$C25)</f>
        <v/>
      </c>
      <c r="C936">
        <f>IF(A936="","",'KG1-2'!$B$2)</f>
        <v/>
      </c>
      <c r="D936" s="126">
        <f t="array" ref="D936">IF(A936="","",IFERROR(SMALL(IF((('KG1-2'!$AD25:$IM25="غياب بدون عذر")+('KG1-2'!$AD25:$IM25="غياب بعذر"))*('KG1-2'!$AD$7:$IM$7="✓"),'KG1-2'!$AD$5:$IM$5),15),""))</f>
        <v/>
      </c>
      <c r="E936">
        <f>IF(D936="","",INDEX('KG1-2'!$AD25:$IM25,MATCH(D936,'KG1-2'!$AD$5:$IM$5,0)))</f>
        <v/>
      </c>
      <c r="F936">
        <f>IF(D936="","",COUNTIFS('KG1-2'!$AD25:$IM25,"غياب بدون عذر",'KG1-2'!$AD$7:$IM$7,"✓",'KG1-2'!$AD$5:$IM$5,"&lt;="&amp;D936))</f>
        <v/>
      </c>
      <c r="G936">
        <f>G935+IF(D936="",0,1)</f>
        <v/>
      </c>
    </row>
    <row r="937">
      <c r="A937">
        <f>IF('KG1-2'!$B25="","",'KG1-2'!$B25)</f>
        <v/>
      </c>
      <c r="B937">
        <f>IF(A937="","",'KG1-2'!$C25)</f>
        <v/>
      </c>
      <c r="C937">
        <f>IF(A937="","",'KG1-2'!$B$2)</f>
        <v/>
      </c>
      <c r="D937" s="126">
        <f t="array" ref="D937">IF(A937="","",IFERROR(SMALL(IF((('KG1-2'!$AD25:$IM25="غياب بدون عذر")+('KG1-2'!$AD25:$IM25="غياب بعذر"))*('KG1-2'!$AD$7:$IM$7="✓"),'KG1-2'!$AD$5:$IM$5),16),""))</f>
        <v/>
      </c>
      <c r="E937">
        <f>IF(D937="","",INDEX('KG1-2'!$AD25:$IM25,MATCH(D937,'KG1-2'!$AD$5:$IM$5,0)))</f>
        <v/>
      </c>
      <c r="F937">
        <f>IF(D937="","",COUNTIFS('KG1-2'!$AD25:$IM25,"غياب بدون عذر",'KG1-2'!$AD$7:$IM$7,"✓",'KG1-2'!$AD$5:$IM$5,"&lt;="&amp;D937))</f>
        <v/>
      </c>
      <c r="G937">
        <f>G936+IF(D937="",0,1)</f>
        <v/>
      </c>
    </row>
    <row r="938">
      <c r="A938">
        <f>IF('KG1-2'!$B25="","",'KG1-2'!$B25)</f>
        <v/>
      </c>
      <c r="B938">
        <f>IF(A938="","",'KG1-2'!$C25)</f>
        <v/>
      </c>
      <c r="C938">
        <f>IF(A938="","",'KG1-2'!$B$2)</f>
        <v/>
      </c>
      <c r="D938" s="126">
        <f t="array" ref="D938">IF(A938="","",IFERROR(SMALL(IF((('KG1-2'!$AD25:$IM25="غياب بدون عذر")+('KG1-2'!$AD25:$IM25="غياب بعذر"))*('KG1-2'!$AD$7:$IM$7="✓"),'KG1-2'!$AD$5:$IM$5),17),""))</f>
        <v/>
      </c>
      <c r="E938">
        <f>IF(D938="","",INDEX('KG1-2'!$AD25:$IM25,MATCH(D938,'KG1-2'!$AD$5:$IM$5,0)))</f>
        <v/>
      </c>
      <c r="F938">
        <f>IF(D938="","",COUNTIFS('KG1-2'!$AD25:$IM25,"غياب بدون عذر",'KG1-2'!$AD$7:$IM$7,"✓",'KG1-2'!$AD$5:$IM$5,"&lt;="&amp;D938))</f>
        <v/>
      </c>
      <c r="G938">
        <f>G937+IF(D938="",0,1)</f>
        <v/>
      </c>
    </row>
    <row r="939">
      <c r="A939">
        <f>IF('KG1-2'!$B25="","",'KG1-2'!$B25)</f>
        <v/>
      </c>
      <c r="B939">
        <f>IF(A939="","",'KG1-2'!$C25)</f>
        <v/>
      </c>
      <c r="C939">
        <f>IF(A939="","",'KG1-2'!$B$2)</f>
        <v/>
      </c>
      <c r="D939" s="126">
        <f t="array" ref="D939">IF(A939="","",IFERROR(SMALL(IF((('KG1-2'!$AD25:$IM25="غياب بدون عذر")+('KG1-2'!$AD25:$IM25="غياب بعذر"))*('KG1-2'!$AD$7:$IM$7="✓"),'KG1-2'!$AD$5:$IM$5),18),""))</f>
        <v/>
      </c>
      <c r="E939">
        <f>IF(D939="","",INDEX('KG1-2'!$AD25:$IM25,MATCH(D939,'KG1-2'!$AD$5:$IM$5,0)))</f>
        <v/>
      </c>
      <c r="F939">
        <f>IF(D939="","",COUNTIFS('KG1-2'!$AD25:$IM25,"غياب بدون عذر",'KG1-2'!$AD$7:$IM$7,"✓",'KG1-2'!$AD$5:$IM$5,"&lt;="&amp;D939))</f>
        <v/>
      </c>
      <c r="G939">
        <f>G938+IF(D939="",0,1)</f>
        <v/>
      </c>
    </row>
    <row r="940">
      <c r="A940">
        <f>IF('KG1-2'!$B25="","",'KG1-2'!$B25)</f>
        <v/>
      </c>
      <c r="B940">
        <f>IF(A940="","",'KG1-2'!$C25)</f>
        <v/>
      </c>
      <c r="C940">
        <f>IF(A940="","",'KG1-2'!$B$2)</f>
        <v/>
      </c>
      <c r="D940" s="126">
        <f t="array" ref="D940">IF(A940="","",IFERROR(SMALL(IF((('KG1-2'!$AD25:$IM25="غياب بدون عذر")+('KG1-2'!$AD25:$IM25="غياب بعذر"))*('KG1-2'!$AD$7:$IM$7="✓"),'KG1-2'!$AD$5:$IM$5),19),""))</f>
        <v/>
      </c>
      <c r="E940">
        <f>IF(D940="","",INDEX('KG1-2'!$AD25:$IM25,MATCH(D940,'KG1-2'!$AD$5:$IM$5,0)))</f>
        <v/>
      </c>
      <c r="F940">
        <f>IF(D940="","",COUNTIFS('KG1-2'!$AD25:$IM25,"غياب بدون عذر",'KG1-2'!$AD$7:$IM$7,"✓",'KG1-2'!$AD$5:$IM$5,"&lt;="&amp;D940))</f>
        <v/>
      </c>
      <c r="G940">
        <f>G939+IF(D940="",0,1)</f>
        <v/>
      </c>
    </row>
    <row r="941">
      <c r="A941">
        <f>IF('KG1-2'!$B25="","",'KG1-2'!$B25)</f>
        <v/>
      </c>
      <c r="B941">
        <f>IF(A941="","",'KG1-2'!$C25)</f>
        <v/>
      </c>
      <c r="C941">
        <f>IF(A941="","",'KG1-2'!$B$2)</f>
        <v/>
      </c>
      <c r="D941" s="126">
        <f t="array" ref="D941">IF(A941="","",IFERROR(SMALL(IF((('KG1-2'!$AD25:$IM25="غياب بدون عذر")+('KG1-2'!$AD25:$IM25="غياب بعذر"))*('KG1-2'!$AD$7:$IM$7="✓"),'KG1-2'!$AD$5:$IM$5),20),""))</f>
        <v/>
      </c>
      <c r="E941">
        <f>IF(D941="","",INDEX('KG1-2'!$AD25:$IM25,MATCH(D941,'KG1-2'!$AD$5:$IM$5,0)))</f>
        <v/>
      </c>
      <c r="F941">
        <f>IF(D941="","",COUNTIFS('KG1-2'!$AD25:$IM25,"غياب بدون عذر",'KG1-2'!$AD$7:$IM$7,"✓",'KG1-2'!$AD$5:$IM$5,"&lt;="&amp;D941))</f>
        <v/>
      </c>
      <c r="G941">
        <f>G940+IF(D941="",0,1)</f>
        <v/>
      </c>
    </row>
    <row r="942">
      <c r="A942">
        <f>IF('KG1-2'!$B26="","",'KG1-2'!$B26)</f>
        <v/>
      </c>
      <c r="B942">
        <f>IF(A942="","",'KG1-2'!$C26)</f>
        <v/>
      </c>
      <c r="C942">
        <f>IF(A942="","",'KG1-2'!$B$2)</f>
        <v/>
      </c>
      <c r="D942" s="126">
        <f t="array" ref="D942">IF(A942="","",IFERROR(SMALL(IF((('KG1-2'!$AD26:$IM26="غياب بدون عذر")+('KG1-2'!$AD26:$IM26="غياب بعذر"))*('KG1-2'!$AD$7:$IM$7="✓"),'KG1-2'!$AD$5:$IM$5),1),""))</f>
        <v/>
      </c>
      <c r="E942">
        <f>IF(D942="","",INDEX('KG1-2'!$AD26:$IM26,MATCH(D942,'KG1-2'!$AD$5:$IM$5,0)))</f>
        <v/>
      </c>
      <c r="F942">
        <f>IF(D942="","",COUNTIFS('KG1-2'!$AD26:$IM26,"غياب بدون عذر",'KG1-2'!$AD$7:$IM$7,"✓",'KG1-2'!$AD$5:$IM$5,"&lt;="&amp;D942))</f>
        <v/>
      </c>
      <c r="G942">
        <f>G941+IF(D942="",0,1)</f>
        <v/>
      </c>
    </row>
    <row r="943">
      <c r="A943">
        <f>IF('KG1-2'!$B26="","",'KG1-2'!$B26)</f>
        <v/>
      </c>
      <c r="B943">
        <f>IF(A943="","",'KG1-2'!$C26)</f>
        <v/>
      </c>
      <c r="C943">
        <f>IF(A943="","",'KG1-2'!$B$2)</f>
        <v/>
      </c>
      <c r="D943" s="126">
        <f t="array" ref="D943">IF(A943="","",IFERROR(SMALL(IF((('KG1-2'!$AD26:$IM26="غياب بدون عذر")+('KG1-2'!$AD26:$IM26="غياب بعذر"))*('KG1-2'!$AD$7:$IM$7="✓"),'KG1-2'!$AD$5:$IM$5),2),""))</f>
        <v/>
      </c>
      <c r="E943">
        <f>IF(D943="","",INDEX('KG1-2'!$AD26:$IM26,MATCH(D943,'KG1-2'!$AD$5:$IM$5,0)))</f>
        <v/>
      </c>
      <c r="F943">
        <f>IF(D943="","",COUNTIFS('KG1-2'!$AD26:$IM26,"غياب بدون عذر",'KG1-2'!$AD$7:$IM$7,"✓",'KG1-2'!$AD$5:$IM$5,"&lt;="&amp;D943))</f>
        <v/>
      </c>
      <c r="G943">
        <f>G942+IF(D943="",0,1)</f>
        <v/>
      </c>
    </row>
    <row r="944">
      <c r="A944">
        <f>IF('KG1-2'!$B26="","",'KG1-2'!$B26)</f>
        <v/>
      </c>
      <c r="B944">
        <f>IF(A944="","",'KG1-2'!$C26)</f>
        <v/>
      </c>
      <c r="C944">
        <f>IF(A944="","",'KG1-2'!$B$2)</f>
        <v/>
      </c>
      <c r="D944" s="126">
        <f t="array" ref="D944">IF(A944="","",IFERROR(SMALL(IF((('KG1-2'!$AD26:$IM26="غياب بدون عذر")+('KG1-2'!$AD26:$IM26="غياب بعذر"))*('KG1-2'!$AD$7:$IM$7="✓"),'KG1-2'!$AD$5:$IM$5),3),""))</f>
        <v/>
      </c>
      <c r="E944">
        <f>IF(D944="","",INDEX('KG1-2'!$AD26:$IM26,MATCH(D944,'KG1-2'!$AD$5:$IM$5,0)))</f>
        <v/>
      </c>
      <c r="F944">
        <f>IF(D944="","",COUNTIFS('KG1-2'!$AD26:$IM26,"غياب بدون عذر",'KG1-2'!$AD$7:$IM$7,"✓",'KG1-2'!$AD$5:$IM$5,"&lt;="&amp;D944))</f>
        <v/>
      </c>
      <c r="G944">
        <f>G943+IF(D944="",0,1)</f>
        <v/>
      </c>
    </row>
    <row r="945">
      <c r="A945">
        <f>IF('KG1-2'!$B26="","",'KG1-2'!$B26)</f>
        <v/>
      </c>
      <c r="B945">
        <f>IF(A945="","",'KG1-2'!$C26)</f>
        <v/>
      </c>
      <c r="C945">
        <f>IF(A945="","",'KG1-2'!$B$2)</f>
        <v/>
      </c>
      <c r="D945" s="126">
        <f t="array" ref="D945">IF(A945="","",IFERROR(SMALL(IF((('KG1-2'!$AD26:$IM26="غياب بدون عذر")+('KG1-2'!$AD26:$IM26="غياب بعذر"))*('KG1-2'!$AD$7:$IM$7="✓"),'KG1-2'!$AD$5:$IM$5),4),""))</f>
        <v/>
      </c>
      <c r="E945">
        <f>IF(D945="","",INDEX('KG1-2'!$AD26:$IM26,MATCH(D945,'KG1-2'!$AD$5:$IM$5,0)))</f>
        <v/>
      </c>
      <c r="F945">
        <f>IF(D945="","",COUNTIFS('KG1-2'!$AD26:$IM26,"غياب بدون عذر",'KG1-2'!$AD$7:$IM$7,"✓",'KG1-2'!$AD$5:$IM$5,"&lt;="&amp;D945))</f>
        <v/>
      </c>
      <c r="G945">
        <f>G944+IF(D945="",0,1)</f>
        <v/>
      </c>
    </row>
    <row r="946">
      <c r="A946">
        <f>IF('KG1-2'!$B26="","",'KG1-2'!$B26)</f>
        <v/>
      </c>
      <c r="B946">
        <f>IF(A946="","",'KG1-2'!$C26)</f>
        <v/>
      </c>
      <c r="C946">
        <f>IF(A946="","",'KG1-2'!$B$2)</f>
        <v/>
      </c>
      <c r="D946" s="126">
        <f t="array" ref="D946">IF(A946="","",IFERROR(SMALL(IF((('KG1-2'!$AD26:$IM26="غياب بدون عذر")+('KG1-2'!$AD26:$IM26="غياب بعذر"))*('KG1-2'!$AD$7:$IM$7="✓"),'KG1-2'!$AD$5:$IM$5),5),""))</f>
        <v/>
      </c>
      <c r="E946">
        <f>IF(D946="","",INDEX('KG1-2'!$AD26:$IM26,MATCH(D946,'KG1-2'!$AD$5:$IM$5,0)))</f>
        <v/>
      </c>
      <c r="F946">
        <f>IF(D946="","",COUNTIFS('KG1-2'!$AD26:$IM26,"غياب بدون عذر",'KG1-2'!$AD$7:$IM$7,"✓",'KG1-2'!$AD$5:$IM$5,"&lt;="&amp;D946))</f>
        <v/>
      </c>
      <c r="G946">
        <f>G945+IF(D946="",0,1)</f>
        <v/>
      </c>
    </row>
    <row r="947">
      <c r="A947">
        <f>IF('KG1-2'!$B26="","",'KG1-2'!$B26)</f>
        <v/>
      </c>
      <c r="B947">
        <f>IF(A947="","",'KG1-2'!$C26)</f>
        <v/>
      </c>
      <c r="C947">
        <f>IF(A947="","",'KG1-2'!$B$2)</f>
        <v/>
      </c>
      <c r="D947" s="126">
        <f t="array" ref="D947">IF(A947="","",IFERROR(SMALL(IF((('KG1-2'!$AD26:$IM26="غياب بدون عذر")+('KG1-2'!$AD26:$IM26="غياب بعذر"))*('KG1-2'!$AD$7:$IM$7="✓"),'KG1-2'!$AD$5:$IM$5),6),""))</f>
        <v/>
      </c>
      <c r="E947">
        <f>IF(D947="","",INDEX('KG1-2'!$AD26:$IM26,MATCH(D947,'KG1-2'!$AD$5:$IM$5,0)))</f>
        <v/>
      </c>
      <c r="F947">
        <f>IF(D947="","",COUNTIFS('KG1-2'!$AD26:$IM26,"غياب بدون عذر",'KG1-2'!$AD$7:$IM$7,"✓",'KG1-2'!$AD$5:$IM$5,"&lt;="&amp;D947))</f>
        <v/>
      </c>
      <c r="G947">
        <f>G946+IF(D947="",0,1)</f>
        <v/>
      </c>
    </row>
    <row r="948">
      <c r="A948">
        <f>IF('KG1-2'!$B26="","",'KG1-2'!$B26)</f>
        <v/>
      </c>
      <c r="B948">
        <f>IF(A948="","",'KG1-2'!$C26)</f>
        <v/>
      </c>
      <c r="C948">
        <f>IF(A948="","",'KG1-2'!$B$2)</f>
        <v/>
      </c>
      <c r="D948" s="126">
        <f t="array" ref="D948">IF(A948="","",IFERROR(SMALL(IF((('KG1-2'!$AD26:$IM26="غياب بدون عذر")+('KG1-2'!$AD26:$IM26="غياب بعذر"))*('KG1-2'!$AD$7:$IM$7="✓"),'KG1-2'!$AD$5:$IM$5),7),""))</f>
        <v/>
      </c>
      <c r="E948">
        <f>IF(D948="","",INDEX('KG1-2'!$AD26:$IM26,MATCH(D948,'KG1-2'!$AD$5:$IM$5,0)))</f>
        <v/>
      </c>
      <c r="F948">
        <f>IF(D948="","",COUNTIFS('KG1-2'!$AD26:$IM26,"غياب بدون عذر",'KG1-2'!$AD$7:$IM$7,"✓",'KG1-2'!$AD$5:$IM$5,"&lt;="&amp;D948))</f>
        <v/>
      </c>
      <c r="G948">
        <f>G947+IF(D948="",0,1)</f>
        <v/>
      </c>
    </row>
    <row r="949">
      <c r="A949">
        <f>IF('KG1-2'!$B26="","",'KG1-2'!$B26)</f>
        <v/>
      </c>
      <c r="B949">
        <f>IF(A949="","",'KG1-2'!$C26)</f>
        <v/>
      </c>
      <c r="C949">
        <f>IF(A949="","",'KG1-2'!$B$2)</f>
        <v/>
      </c>
      <c r="D949" s="126">
        <f t="array" ref="D949">IF(A949="","",IFERROR(SMALL(IF((('KG1-2'!$AD26:$IM26="غياب بدون عذر")+('KG1-2'!$AD26:$IM26="غياب بعذر"))*('KG1-2'!$AD$7:$IM$7="✓"),'KG1-2'!$AD$5:$IM$5),8),""))</f>
        <v/>
      </c>
      <c r="E949">
        <f>IF(D949="","",INDEX('KG1-2'!$AD26:$IM26,MATCH(D949,'KG1-2'!$AD$5:$IM$5,0)))</f>
        <v/>
      </c>
      <c r="F949">
        <f>IF(D949="","",COUNTIFS('KG1-2'!$AD26:$IM26,"غياب بدون عذر",'KG1-2'!$AD$7:$IM$7,"✓",'KG1-2'!$AD$5:$IM$5,"&lt;="&amp;D949))</f>
        <v/>
      </c>
      <c r="G949">
        <f>G948+IF(D949="",0,1)</f>
        <v/>
      </c>
    </row>
    <row r="950">
      <c r="A950">
        <f>IF('KG1-2'!$B26="","",'KG1-2'!$B26)</f>
        <v/>
      </c>
      <c r="B950">
        <f>IF(A950="","",'KG1-2'!$C26)</f>
        <v/>
      </c>
      <c r="C950">
        <f>IF(A950="","",'KG1-2'!$B$2)</f>
        <v/>
      </c>
      <c r="D950" s="126">
        <f t="array" ref="D950">IF(A950="","",IFERROR(SMALL(IF((('KG1-2'!$AD26:$IM26="غياب بدون عذر")+('KG1-2'!$AD26:$IM26="غياب بعذر"))*('KG1-2'!$AD$7:$IM$7="✓"),'KG1-2'!$AD$5:$IM$5),9),""))</f>
        <v/>
      </c>
      <c r="E950">
        <f>IF(D950="","",INDEX('KG1-2'!$AD26:$IM26,MATCH(D950,'KG1-2'!$AD$5:$IM$5,0)))</f>
        <v/>
      </c>
      <c r="F950">
        <f>IF(D950="","",COUNTIFS('KG1-2'!$AD26:$IM26,"غياب بدون عذر",'KG1-2'!$AD$7:$IM$7,"✓",'KG1-2'!$AD$5:$IM$5,"&lt;="&amp;D950))</f>
        <v/>
      </c>
      <c r="G950">
        <f>G949+IF(D950="",0,1)</f>
        <v/>
      </c>
    </row>
    <row r="951">
      <c r="A951">
        <f>IF('KG1-2'!$B26="","",'KG1-2'!$B26)</f>
        <v/>
      </c>
      <c r="B951">
        <f>IF(A951="","",'KG1-2'!$C26)</f>
        <v/>
      </c>
      <c r="C951">
        <f>IF(A951="","",'KG1-2'!$B$2)</f>
        <v/>
      </c>
      <c r="D951" s="126">
        <f t="array" ref="D951">IF(A951="","",IFERROR(SMALL(IF((('KG1-2'!$AD26:$IM26="غياب بدون عذر")+('KG1-2'!$AD26:$IM26="غياب بعذر"))*('KG1-2'!$AD$7:$IM$7="✓"),'KG1-2'!$AD$5:$IM$5),10),""))</f>
        <v/>
      </c>
      <c r="E951">
        <f>IF(D951="","",INDEX('KG1-2'!$AD26:$IM26,MATCH(D951,'KG1-2'!$AD$5:$IM$5,0)))</f>
        <v/>
      </c>
      <c r="F951">
        <f>IF(D951="","",COUNTIFS('KG1-2'!$AD26:$IM26,"غياب بدون عذر",'KG1-2'!$AD$7:$IM$7,"✓",'KG1-2'!$AD$5:$IM$5,"&lt;="&amp;D951))</f>
        <v/>
      </c>
      <c r="G951">
        <f>G950+IF(D951="",0,1)</f>
        <v/>
      </c>
    </row>
    <row r="952">
      <c r="A952">
        <f>IF('KG1-2'!$B26="","",'KG1-2'!$B26)</f>
        <v/>
      </c>
      <c r="B952">
        <f>IF(A952="","",'KG1-2'!$C26)</f>
        <v/>
      </c>
      <c r="C952">
        <f>IF(A952="","",'KG1-2'!$B$2)</f>
        <v/>
      </c>
      <c r="D952" s="126">
        <f t="array" ref="D952">IF(A952="","",IFERROR(SMALL(IF((('KG1-2'!$AD26:$IM26="غياب بدون عذر")+('KG1-2'!$AD26:$IM26="غياب بعذر"))*('KG1-2'!$AD$7:$IM$7="✓"),'KG1-2'!$AD$5:$IM$5),11),""))</f>
        <v/>
      </c>
      <c r="E952">
        <f>IF(D952="","",INDEX('KG1-2'!$AD26:$IM26,MATCH(D952,'KG1-2'!$AD$5:$IM$5,0)))</f>
        <v/>
      </c>
      <c r="F952">
        <f>IF(D952="","",COUNTIFS('KG1-2'!$AD26:$IM26,"غياب بدون عذر",'KG1-2'!$AD$7:$IM$7,"✓",'KG1-2'!$AD$5:$IM$5,"&lt;="&amp;D952))</f>
        <v/>
      </c>
      <c r="G952">
        <f>G951+IF(D952="",0,1)</f>
        <v/>
      </c>
    </row>
    <row r="953">
      <c r="A953">
        <f>IF('KG1-2'!$B26="","",'KG1-2'!$B26)</f>
        <v/>
      </c>
      <c r="B953">
        <f>IF(A953="","",'KG1-2'!$C26)</f>
        <v/>
      </c>
      <c r="C953">
        <f>IF(A953="","",'KG1-2'!$B$2)</f>
        <v/>
      </c>
      <c r="D953" s="126">
        <f t="array" ref="D953">IF(A953="","",IFERROR(SMALL(IF((('KG1-2'!$AD26:$IM26="غياب بدون عذر")+('KG1-2'!$AD26:$IM26="غياب بعذر"))*('KG1-2'!$AD$7:$IM$7="✓"),'KG1-2'!$AD$5:$IM$5),12),""))</f>
        <v/>
      </c>
      <c r="E953">
        <f>IF(D953="","",INDEX('KG1-2'!$AD26:$IM26,MATCH(D953,'KG1-2'!$AD$5:$IM$5,0)))</f>
        <v/>
      </c>
      <c r="F953">
        <f>IF(D953="","",COUNTIFS('KG1-2'!$AD26:$IM26,"غياب بدون عذر",'KG1-2'!$AD$7:$IM$7,"✓",'KG1-2'!$AD$5:$IM$5,"&lt;="&amp;D953))</f>
        <v/>
      </c>
      <c r="G953">
        <f>G952+IF(D953="",0,1)</f>
        <v/>
      </c>
    </row>
    <row r="954">
      <c r="A954">
        <f>IF('KG1-2'!$B26="","",'KG1-2'!$B26)</f>
        <v/>
      </c>
      <c r="B954">
        <f>IF(A954="","",'KG1-2'!$C26)</f>
        <v/>
      </c>
      <c r="C954">
        <f>IF(A954="","",'KG1-2'!$B$2)</f>
        <v/>
      </c>
      <c r="D954" s="126">
        <f t="array" ref="D954">IF(A954="","",IFERROR(SMALL(IF((('KG1-2'!$AD26:$IM26="غياب بدون عذر")+('KG1-2'!$AD26:$IM26="غياب بعذر"))*('KG1-2'!$AD$7:$IM$7="✓"),'KG1-2'!$AD$5:$IM$5),13),""))</f>
        <v/>
      </c>
      <c r="E954">
        <f>IF(D954="","",INDEX('KG1-2'!$AD26:$IM26,MATCH(D954,'KG1-2'!$AD$5:$IM$5,0)))</f>
        <v/>
      </c>
      <c r="F954">
        <f>IF(D954="","",COUNTIFS('KG1-2'!$AD26:$IM26,"غياب بدون عذر",'KG1-2'!$AD$7:$IM$7,"✓",'KG1-2'!$AD$5:$IM$5,"&lt;="&amp;D954))</f>
        <v/>
      </c>
      <c r="G954">
        <f>G953+IF(D954="",0,1)</f>
        <v/>
      </c>
    </row>
    <row r="955">
      <c r="A955">
        <f>IF('KG1-2'!$B26="","",'KG1-2'!$B26)</f>
        <v/>
      </c>
      <c r="B955">
        <f>IF(A955="","",'KG1-2'!$C26)</f>
        <v/>
      </c>
      <c r="C955">
        <f>IF(A955="","",'KG1-2'!$B$2)</f>
        <v/>
      </c>
      <c r="D955" s="126">
        <f t="array" ref="D955">IF(A955="","",IFERROR(SMALL(IF((('KG1-2'!$AD26:$IM26="غياب بدون عذر")+('KG1-2'!$AD26:$IM26="غياب بعذر"))*('KG1-2'!$AD$7:$IM$7="✓"),'KG1-2'!$AD$5:$IM$5),14),""))</f>
        <v/>
      </c>
      <c r="E955">
        <f>IF(D955="","",INDEX('KG1-2'!$AD26:$IM26,MATCH(D955,'KG1-2'!$AD$5:$IM$5,0)))</f>
        <v/>
      </c>
      <c r="F955">
        <f>IF(D955="","",COUNTIFS('KG1-2'!$AD26:$IM26,"غياب بدون عذر",'KG1-2'!$AD$7:$IM$7,"✓",'KG1-2'!$AD$5:$IM$5,"&lt;="&amp;D955))</f>
        <v/>
      </c>
      <c r="G955">
        <f>G954+IF(D955="",0,1)</f>
        <v/>
      </c>
    </row>
    <row r="956">
      <c r="A956">
        <f>IF('KG1-2'!$B26="","",'KG1-2'!$B26)</f>
        <v/>
      </c>
      <c r="B956">
        <f>IF(A956="","",'KG1-2'!$C26)</f>
        <v/>
      </c>
      <c r="C956">
        <f>IF(A956="","",'KG1-2'!$B$2)</f>
        <v/>
      </c>
      <c r="D956" s="126">
        <f t="array" ref="D956">IF(A956="","",IFERROR(SMALL(IF((('KG1-2'!$AD26:$IM26="غياب بدون عذر")+('KG1-2'!$AD26:$IM26="غياب بعذر"))*('KG1-2'!$AD$7:$IM$7="✓"),'KG1-2'!$AD$5:$IM$5),15),""))</f>
        <v/>
      </c>
      <c r="E956">
        <f>IF(D956="","",INDEX('KG1-2'!$AD26:$IM26,MATCH(D956,'KG1-2'!$AD$5:$IM$5,0)))</f>
        <v/>
      </c>
      <c r="F956">
        <f>IF(D956="","",COUNTIFS('KG1-2'!$AD26:$IM26,"غياب بدون عذر",'KG1-2'!$AD$7:$IM$7,"✓",'KG1-2'!$AD$5:$IM$5,"&lt;="&amp;D956))</f>
        <v/>
      </c>
      <c r="G956">
        <f>G955+IF(D956="",0,1)</f>
        <v/>
      </c>
    </row>
    <row r="957">
      <c r="A957">
        <f>IF('KG1-2'!$B26="","",'KG1-2'!$B26)</f>
        <v/>
      </c>
      <c r="B957">
        <f>IF(A957="","",'KG1-2'!$C26)</f>
        <v/>
      </c>
      <c r="C957">
        <f>IF(A957="","",'KG1-2'!$B$2)</f>
        <v/>
      </c>
      <c r="D957" s="126">
        <f t="array" ref="D957">IF(A957="","",IFERROR(SMALL(IF((('KG1-2'!$AD26:$IM26="غياب بدون عذر")+('KG1-2'!$AD26:$IM26="غياب بعذر"))*('KG1-2'!$AD$7:$IM$7="✓"),'KG1-2'!$AD$5:$IM$5),16),""))</f>
        <v/>
      </c>
      <c r="E957">
        <f>IF(D957="","",INDEX('KG1-2'!$AD26:$IM26,MATCH(D957,'KG1-2'!$AD$5:$IM$5,0)))</f>
        <v/>
      </c>
      <c r="F957">
        <f>IF(D957="","",COUNTIFS('KG1-2'!$AD26:$IM26,"غياب بدون عذر",'KG1-2'!$AD$7:$IM$7,"✓",'KG1-2'!$AD$5:$IM$5,"&lt;="&amp;D957))</f>
        <v/>
      </c>
      <c r="G957">
        <f>G956+IF(D957="",0,1)</f>
        <v/>
      </c>
    </row>
    <row r="958">
      <c r="A958">
        <f>IF('KG1-2'!$B26="","",'KG1-2'!$B26)</f>
        <v/>
      </c>
      <c r="B958">
        <f>IF(A958="","",'KG1-2'!$C26)</f>
        <v/>
      </c>
      <c r="C958">
        <f>IF(A958="","",'KG1-2'!$B$2)</f>
        <v/>
      </c>
      <c r="D958" s="126">
        <f t="array" ref="D958">IF(A958="","",IFERROR(SMALL(IF((('KG1-2'!$AD26:$IM26="غياب بدون عذر")+('KG1-2'!$AD26:$IM26="غياب بعذر"))*('KG1-2'!$AD$7:$IM$7="✓"),'KG1-2'!$AD$5:$IM$5),17),""))</f>
        <v/>
      </c>
      <c r="E958">
        <f>IF(D958="","",INDEX('KG1-2'!$AD26:$IM26,MATCH(D958,'KG1-2'!$AD$5:$IM$5,0)))</f>
        <v/>
      </c>
      <c r="F958">
        <f>IF(D958="","",COUNTIFS('KG1-2'!$AD26:$IM26,"غياب بدون عذر",'KG1-2'!$AD$7:$IM$7,"✓",'KG1-2'!$AD$5:$IM$5,"&lt;="&amp;D958))</f>
        <v/>
      </c>
      <c r="G958">
        <f>G957+IF(D958="",0,1)</f>
        <v/>
      </c>
    </row>
    <row r="959">
      <c r="A959">
        <f>IF('KG1-2'!$B26="","",'KG1-2'!$B26)</f>
        <v/>
      </c>
      <c r="B959">
        <f>IF(A959="","",'KG1-2'!$C26)</f>
        <v/>
      </c>
      <c r="C959">
        <f>IF(A959="","",'KG1-2'!$B$2)</f>
        <v/>
      </c>
      <c r="D959" s="126">
        <f t="array" ref="D959">IF(A959="","",IFERROR(SMALL(IF((('KG1-2'!$AD26:$IM26="غياب بدون عذر")+('KG1-2'!$AD26:$IM26="غياب بعذر"))*('KG1-2'!$AD$7:$IM$7="✓"),'KG1-2'!$AD$5:$IM$5),18),""))</f>
        <v/>
      </c>
      <c r="E959">
        <f>IF(D959="","",INDEX('KG1-2'!$AD26:$IM26,MATCH(D959,'KG1-2'!$AD$5:$IM$5,0)))</f>
        <v/>
      </c>
      <c r="F959">
        <f>IF(D959="","",COUNTIFS('KG1-2'!$AD26:$IM26,"غياب بدون عذر",'KG1-2'!$AD$7:$IM$7,"✓",'KG1-2'!$AD$5:$IM$5,"&lt;="&amp;D959))</f>
        <v/>
      </c>
      <c r="G959">
        <f>G958+IF(D959="",0,1)</f>
        <v/>
      </c>
    </row>
    <row r="960">
      <c r="A960">
        <f>IF('KG1-2'!$B26="","",'KG1-2'!$B26)</f>
        <v/>
      </c>
      <c r="B960">
        <f>IF(A960="","",'KG1-2'!$C26)</f>
        <v/>
      </c>
      <c r="C960">
        <f>IF(A960="","",'KG1-2'!$B$2)</f>
        <v/>
      </c>
      <c r="D960" s="126">
        <f t="array" ref="D960">IF(A960="","",IFERROR(SMALL(IF((('KG1-2'!$AD26:$IM26="غياب بدون عذر")+('KG1-2'!$AD26:$IM26="غياب بعذر"))*('KG1-2'!$AD$7:$IM$7="✓"),'KG1-2'!$AD$5:$IM$5),19),""))</f>
        <v/>
      </c>
      <c r="E960">
        <f>IF(D960="","",INDEX('KG1-2'!$AD26:$IM26,MATCH(D960,'KG1-2'!$AD$5:$IM$5,0)))</f>
        <v/>
      </c>
      <c r="F960">
        <f>IF(D960="","",COUNTIFS('KG1-2'!$AD26:$IM26,"غياب بدون عذر",'KG1-2'!$AD$7:$IM$7,"✓",'KG1-2'!$AD$5:$IM$5,"&lt;="&amp;D960))</f>
        <v/>
      </c>
      <c r="G960">
        <f>G959+IF(D960="",0,1)</f>
        <v/>
      </c>
    </row>
    <row r="961">
      <c r="A961">
        <f>IF('KG1-2'!$B26="","",'KG1-2'!$B26)</f>
        <v/>
      </c>
      <c r="B961">
        <f>IF(A961="","",'KG1-2'!$C26)</f>
        <v/>
      </c>
      <c r="C961">
        <f>IF(A961="","",'KG1-2'!$B$2)</f>
        <v/>
      </c>
      <c r="D961" s="126">
        <f t="array" ref="D961">IF(A961="","",IFERROR(SMALL(IF((('KG1-2'!$AD26:$IM26="غياب بدون عذر")+('KG1-2'!$AD26:$IM26="غياب بعذر"))*('KG1-2'!$AD$7:$IM$7="✓"),'KG1-2'!$AD$5:$IM$5),20),""))</f>
        <v/>
      </c>
      <c r="E961">
        <f>IF(D961="","",INDEX('KG1-2'!$AD26:$IM26,MATCH(D961,'KG1-2'!$AD$5:$IM$5,0)))</f>
        <v/>
      </c>
      <c r="F961">
        <f>IF(D961="","",COUNTIFS('KG1-2'!$AD26:$IM26,"غياب بدون عذر",'KG1-2'!$AD$7:$IM$7,"✓",'KG1-2'!$AD$5:$IM$5,"&lt;="&amp;D961))</f>
        <v/>
      </c>
      <c r="G961">
        <f>G960+IF(D961="",0,1)</f>
        <v/>
      </c>
    </row>
    <row r="962">
      <c r="A962">
        <f>IF('KG1-2'!$B27="","",'KG1-2'!$B27)</f>
        <v/>
      </c>
      <c r="B962">
        <f>IF(A962="","",'KG1-2'!$C27)</f>
        <v/>
      </c>
      <c r="C962">
        <f>IF(A962="","",'KG1-2'!$B$2)</f>
        <v/>
      </c>
      <c r="D962" s="126">
        <f t="array" ref="D962">IF(A962="","",IFERROR(SMALL(IF((('KG1-2'!$AD27:$IM27="غياب بدون عذر")+('KG1-2'!$AD27:$IM27="غياب بعذر"))*('KG1-2'!$AD$7:$IM$7="✓"),'KG1-2'!$AD$5:$IM$5),1),""))</f>
        <v/>
      </c>
      <c r="E962">
        <f>IF(D962="","",INDEX('KG1-2'!$AD27:$IM27,MATCH(D962,'KG1-2'!$AD$5:$IM$5,0)))</f>
        <v/>
      </c>
      <c r="F962">
        <f>IF(D962="","",COUNTIFS('KG1-2'!$AD27:$IM27,"غياب بدون عذر",'KG1-2'!$AD$7:$IM$7,"✓",'KG1-2'!$AD$5:$IM$5,"&lt;="&amp;D962))</f>
        <v/>
      </c>
      <c r="G962">
        <f>G961+IF(D962="",0,1)</f>
        <v/>
      </c>
    </row>
    <row r="963">
      <c r="A963">
        <f>IF('KG1-2'!$B27="","",'KG1-2'!$B27)</f>
        <v/>
      </c>
      <c r="B963">
        <f>IF(A963="","",'KG1-2'!$C27)</f>
        <v/>
      </c>
      <c r="C963">
        <f>IF(A963="","",'KG1-2'!$B$2)</f>
        <v/>
      </c>
      <c r="D963" s="126">
        <f t="array" ref="D963">IF(A963="","",IFERROR(SMALL(IF((('KG1-2'!$AD27:$IM27="غياب بدون عذر")+('KG1-2'!$AD27:$IM27="غياب بعذر"))*('KG1-2'!$AD$7:$IM$7="✓"),'KG1-2'!$AD$5:$IM$5),2),""))</f>
        <v/>
      </c>
      <c r="E963">
        <f>IF(D963="","",INDEX('KG1-2'!$AD27:$IM27,MATCH(D963,'KG1-2'!$AD$5:$IM$5,0)))</f>
        <v/>
      </c>
      <c r="F963">
        <f>IF(D963="","",COUNTIFS('KG1-2'!$AD27:$IM27,"غياب بدون عذر",'KG1-2'!$AD$7:$IM$7,"✓",'KG1-2'!$AD$5:$IM$5,"&lt;="&amp;D963))</f>
        <v/>
      </c>
      <c r="G963">
        <f>G962+IF(D963="",0,1)</f>
        <v/>
      </c>
    </row>
    <row r="964">
      <c r="A964">
        <f>IF('KG1-2'!$B27="","",'KG1-2'!$B27)</f>
        <v/>
      </c>
      <c r="B964">
        <f>IF(A964="","",'KG1-2'!$C27)</f>
        <v/>
      </c>
      <c r="C964">
        <f>IF(A964="","",'KG1-2'!$B$2)</f>
        <v/>
      </c>
      <c r="D964" s="126">
        <f t="array" ref="D964">IF(A964="","",IFERROR(SMALL(IF((('KG1-2'!$AD27:$IM27="غياب بدون عذر")+('KG1-2'!$AD27:$IM27="غياب بعذر"))*('KG1-2'!$AD$7:$IM$7="✓"),'KG1-2'!$AD$5:$IM$5),3),""))</f>
        <v/>
      </c>
      <c r="E964">
        <f>IF(D964="","",INDEX('KG1-2'!$AD27:$IM27,MATCH(D964,'KG1-2'!$AD$5:$IM$5,0)))</f>
        <v/>
      </c>
      <c r="F964">
        <f>IF(D964="","",COUNTIFS('KG1-2'!$AD27:$IM27,"غياب بدون عذر",'KG1-2'!$AD$7:$IM$7,"✓",'KG1-2'!$AD$5:$IM$5,"&lt;="&amp;D964))</f>
        <v/>
      </c>
      <c r="G964">
        <f>G963+IF(D964="",0,1)</f>
        <v/>
      </c>
    </row>
    <row r="965">
      <c r="A965">
        <f>IF('KG1-2'!$B27="","",'KG1-2'!$B27)</f>
        <v/>
      </c>
      <c r="B965">
        <f>IF(A965="","",'KG1-2'!$C27)</f>
        <v/>
      </c>
      <c r="C965">
        <f>IF(A965="","",'KG1-2'!$B$2)</f>
        <v/>
      </c>
      <c r="D965" s="126">
        <f t="array" ref="D965">IF(A965="","",IFERROR(SMALL(IF((('KG1-2'!$AD27:$IM27="غياب بدون عذر")+('KG1-2'!$AD27:$IM27="غياب بعذر"))*('KG1-2'!$AD$7:$IM$7="✓"),'KG1-2'!$AD$5:$IM$5),4),""))</f>
        <v/>
      </c>
      <c r="E965">
        <f>IF(D965="","",INDEX('KG1-2'!$AD27:$IM27,MATCH(D965,'KG1-2'!$AD$5:$IM$5,0)))</f>
        <v/>
      </c>
      <c r="F965">
        <f>IF(D965="","",COUNTIFS('KG1-2'!$AD27:$IM27,"غياب بدون عذر",'KG1-2'!$AD$7:$IM$7,"✓",'KG1-2'!$AD$5:$IM$5,"&lt;="&amp;D965))</f>
        <v/>
      </c>
      <c r="G965">
        <f>G964+IF(D965="",0,1)</f>
        <v/>
      </c>
    </row>
    <row r="966">
      <c r="A966">
        <f>IF('KG1-2'!$B27="","",'KG1-2'!$B27)</f>
        <v/>
      </c>
      <c r="B966">
        <f>IF(A966="","",'KG1-2'!$C27)</f>
        <v/>
      </c>
      <c r="C966">
        <f>IF(A966="","",'KG1-2'!$B$2)</f>
        <v/>
      </c>
      <c r="D966" s="126">
        <f t="array" ref="D966">IF(A966="","",IFERROR(SMALL(IF((('KG1-2'!$AD27:$IM27="غياب بدون عذر")+('KG1-2'!$AD27:$IM27="غياب بعذر"))*('KG1-2'!$AD$7:$IM$7="✓"),'KG1-2'!$AD$5:$IM$5),5),""))</f>
        <v/>
      </c>
      <c r="E966">
        <f>IF(D966="","",INDEX('KG1-2'!$AD27:$IM27,MATCH(D966,'KG1-2'!$AD$5:$IM$5,0)))</f>
        <v/>
      </c>
      <c r="F966">
        <f>IF(D966="","",COUNTIFS('KG1-2'!$AD27:$IM27,"غياب بدون عذر",'KG1-2'!$AD$7:$IM$7,"✓",'KG1-2'!$AD$5:$IM$5,"&lt;="&amp;D966))</f>
        <v/>
      </c>
      <c r="G966">
        <f>G965+IF(D966="",0,1)</f>
        <v/>
      </c>
    </row>
    <row r="967">
      <c r="A967">
        <f>IF('KG1-2'!$B27="","",'KG1-2'!$B27)</f>
        <v/>
      </c>
      <c r="B967">
        <f>IF(A967="","",'KG1-2'!$C27)</f>
        <v/>
      </c>
      <c r="C967">
        <f>IF(A967="","",'KG1-2'!$B$2)</f>
        <v/>
      </c>
      <c r="D967" s="126">
        <f t="array" ref="D967">IF(A967="","",IFERROR(SMALL(IF((('KG1-2'!$AD27:$IM27="غياب بدون عذر")+('KG1-2'!$AD27:$IM27="غياب بعذر"))*('KG1-2'!$AD$7:$IM$7="✓"),'KG1-2'!$AD$5:$IM$5),6),""))</f>
        <v/>
      </c>
      <c r="E967">
        <f>IF(D967="","",INDEX('KG1-2'!$AD27:$IM27,MATCH(D967,'KG1-2'!$AD$5:$IM$5,0)))</f>
        <v/>
      </c>
      <c r="F967">
        <f>IF(D967="","",COUNTIFS('KG1-2'!$AD27:$IM27,"غياب بدون عذر",'KG1-2'!$AD$7:$IM$7,"✓",'KG1-2'!$AD$5:$IM$5,"&lt;="&amp;D967))</f>
        <v/>
      </c>
      <c r="G967">
        <f>G966+IF(D967="",0,1)</f>
        <v/>
      </c>
    </row>
    <row r="968">
      <c r="A968">
        <f>IF('KG1-2'!$B27="","",'KG1-2'!$B27)</f>
        <v/>
      </c>
      <c r="B968">
        <f>IF(A968="","",'KG1-2'!$C27)</f>
        <v/>
      </c>
      <c r="C968">
        <f>IF(A968="","",'KG1-2'!$B$2)</f>
        <v/>
      </c>
      <c r="D968" s="126">
        <f t="array" ref="D968">IF(A968="","",IFERROR(SMALL(IF((('KG1-2'!$AD27:$IM27="غياب بدون عذر")+('KG1-2'!$AD27:$IM27="غياب بعذر"))*('KG1-2'!$AD$7:$IM$7="✓"),'KG1-2'!$AD$5:$IM$5),7),""))</f>
        <v/>
      </c>
      <c r="E968">
        <f>IF(D968="","",INDEX('KG1-2'!$AD27:$IM27,MATCH(D968,'KG1-2'!$AD$5:$IM$5,0)))</f>
        <v/>
      </c>
      <c r="F968">
        <f>IF(D968="","",COUNTIFS('KG1-2'!$AD27:$IM27,"غياب بدون عذر",'KG1-2'!$AD$7:$IM$7,"✓",'KG1-2'!$AD$5:$IM$5,"&lt;="&amp;D968))</f>
        <v/>
      </c>
      <c r="G968">
        <f>G967+IF(D968="",0,1)</f>
        <v/>
      </c>
    </row>
    <row r="969">
      <c r="A969">
        <f>IF('KG1-2'!$B27="","",'KG1-2'!$B27)</f>
        <v/>
      </c>
      <c r="B969">
        <f>IF(A969="","",'KG1-2'!$C27)</f>
        <v/>
      </c>
      <c r="C969">
        <f>IF(A969="","",'KG1-2'!$B$2)</f>
        <v/>
      </c>
      <c r="D969" s="126">
        <f t="array" ref="D969">IF(A969="","",IFERROR(SMALL(IF((('KG1-2'!$AD27:$IM27="غياب بدون عذر")+('KG1-2'!$AD27:$IM27="غياب بعذر"))*('KG1-2'!$AD$7:$IM$7="✓"),'KG1-2'!$AD$5:$IM$5),8),""))</f>
        <v/>
      </c>
      <c r="E969">
        <f>IF(D969="","",INDEX('KG1-2'!$AD27:$IM27,MATCH(D969,'KG1-2'!$AD$5:$IM$5,0)))</f>
        <v/>
      </c>
      <c r="F969">
        <f>IF(D969="","",COUNTIFS('KG1-2'!$AD27:$IM27,"غياب بدون عذر",'KG1-2'!$AD$7:$IM$7,"✓",'KG1-2'!$AD$5:$IM$5,"&lt;="&amp;D969))</f>
        <v/>
      </c>
      <c r="G969">
        <f>G968+IF(D969="",0,1)</f>
        <v/>
      </c>
    </row>
    <row r="970">
      <c r="A970">
        <f>IF('KG1-2'!$B27="","",'KG1-2'!$B27)</f>
        <v/>
      </c>
      <c r="B970">
        <f>IF(A970="","",'KG1-2'!$C27)</f>
        <v/>
      </c>
      <c r="C970">
        <f>IF(A970="","",'KG1-2'!$B$2)</f>
        <v/>
      </c>
      <c r="D970" s="126">
        <f t="array" ref="D970">IF(A970="","",IFERROR(SMALL(IF((('KG1-2'!$AD27:$IM27="غياب بدون عذر")+('KG1-2'!$AD27:$IM27="غياب بعذر"))*('KG1-2'!$AD$7:$IM$7="✓"),'KG1-2'!$AD$5:$IM$5),9),""))</f>
        <v/>
      </c>
      <c r="E970">
        <f>IF(D970="","",INDEX('KG1-2'!$AD27:$IM27,MATCH(D970,'KG1-2'!$AD$5:$IM$5,0)))</f>
        <v/>
      </c>
      <c r="F970">
        <f>IF(D970="","",COUNTIFS('KG1-2'!$AD27:$IM27,"غياب بدون عذر",'KG1-2'!$AD$7:$IM$7,"✓",'KG1-2'!$AD$5:$IM$5,"&lt;="&amp;D970))</f>
        <v/>
      </c>
      <c r="G970">
        <f>G969+IF(D970="",0,1)</f>
        <v/>
      </c>
    </row>
    <row r="971">
      <c r="A971">
        <f>IF('KG1-2'!$B27="","",'KG1-2'!$B27)</f>
        <v/>
      </c>
      <c r="B971">
        <f>IF(A971="","",'KG1-2'!$C27)</f>
        <v/>
      </c>
      <c r="C971">
        <f>IF(A971="","",'KG1-2'!$B$2)</f>
        <v/>
      </c>
      <c r="D971" s="126">
        <f t="array" ref="D971">IF(A971="","",IFERROR(SMALL(IF((('KG1-2'!$AD27:$IM27="غياب بدون عذر")+('KG1-2'!$AD27:$IM27="غياب بعذر"))*('KG1-2'!$AD$7:$IM$7="✓"),'KG1-2'!$AD$5:$IM$5),10),""))</f>
        <v/>
      </c>
      <c r="E971">
        <f>IF(D971="","",INDEX('KG1-2'!$AD27:$IM27,MATCH(D971,'KG1-2'!$AD$5:$IM$5,0)))</f>
        <v/>
      </c>
      <c r="F971">
        <f>IF(D971="","",COUNTIFS('KG1-2'!$AD27:$IM27,"غياب بدون عذر",'KG1-2'!$AD$7:$IM$7,"✓",'KG1-2'!$AD$5:$IM$5,"&lt;="&amp;D971))</f>
        <v/>
      </c>
      <c r="G971">
        <f>G970+IF(D971="",0,1)</f>
        <v/>
      </c>
    </row>
    <row r="972">
      <c r="A972">
        <f>IF('KG1-2'!$B27="","",'KG1-2'!$B27)</f>
        <v/>
      </c>
      <c r="B972">
        <f>IF(A972="","",'KG1-2'!$C27)</f>
        <v/>
      </c>
      <c r="C972">
        <f>IF(A972="","",'KG1-2'!$B$2)</f>
        <v/>
      </c>
      <c r="D972" s="126">
        <f t="array" ref="D972">IF(A972="","",IFERROR(SMALL(IF((('KG1-2'!$AD27:$IM27="غياب بدون عذر")+('KG1-2'!$AD27:$IM27="غياب بعذر"))*('KG1-2'!$AD$7:$IM$7="✓"),'KG1-2'!$AD$5:$IM$5),11),""))</f>
        <v/>
      </c>
      <c r="E972">
        <f>IF(D972="","",INDEX('KG1-2'!$AD27:$IM27,MATCH(D972,'KG1-2'!$AD$5:$IM$5,0)))</f>
        <v/>
      </c>
      <c r="F972">
        <f>IF(D972="","",COUNTIFS('KG1-2'!$AD27:$IM27,"غياب بدون عذر",'KG1-2'!$AD$7:$IM$7,"✓",'KG1-2'!$AD$5:$IM$5,"&lt;="&amp;D972))</f>
        <v/>
      </c>
      <c r="G972">
        <f>G971+IF(D972="",0,1)</f>
        <v/>
      </c>
    </row>
    <row r="973">
      <c r="A973">
        <f>IF('KG1-2'!$B27="","",'KG1-2'!$B27)</f>
        <v/>
      </c>
      <c r="B973">
        <f>IF(A973="","",'KG1-2'!$C27)</f>
        <v/>
      </c>
      <c r="C973">
        <f>IF(A973="","",'KG1-2'!$B$2)</f>
        <v/>
      </c>
      <c r="D973" s="126">
        <f t="array" ref="D973">IF(A973="","",IFERROR(SMALL(IF((('KG1-2'!$AD27:$IM27="غياب بدون عذر")+('KG1-2'!$AD27:$IM27="غياب بعذر"))*('KG1-2'!$AD$7:$IM$7="✓"),'KG1-2'!$AD$5:$IM$5),12),""))</f>
        <v/>
      </c>
      <c r="E973">
        <f>IF(D973="","",INDEX('KG1-2'!$AD27:$IM27,MATCH(D973,'KG1-2'!$AD$5:$IM$5,0)))</f>
        <v/>
      </c>
      <c r="F973">
        <f>IF(D973="","",COUNTIFS('KG1-2'!$AD27:$IM27,"غياب بدون عذر",'KG1-2'!$AD$7:$IM$7,"✓",'KG1-2'!$AD$5:$IM$5,"&lt;="&amp;D973))</f>
        <v/>
      </c>
      <c r="G973">
        <f>G972+IF(D973="",0,1)</f>
        <v/>
      </c>
    </row>
    <row r="974">
      <c r="A974">
        <f>IF('KG1-2'!$B27="","",'KG1-2'!$B27)</f>
        <v/>
      </c>
      <c r="B974">
        <f>IF(A974="","",'KG1-2'!$C27)</f>
        <v/>
      </c>
      <c r="C974">
        <f>IF(A974="","",'KG1-2'!$B$2)</f>
        <v/>
      </c>
      <c r="D974" s="126">
        <f t="array" ref="D974">IF(A974="","",IFERROR(SMALL(IF((('KG1-2'!$AD27:$IM27="غياب بدون عذر")+('KG1-2'!$AD27:$IM27="غياب بعذر"))*('KG1-2'!$AD$7:$IM$7="✓"),'KG1-2'!$AD$5:$IM$5),13),""))</f>
        <v/>
      </c>
      <c r="E974">
        <f>IF(D974="","",INDEX('KG1-2'!$AD27:$IM27,MATCH(D974,'KG1-2'!$AD$5:$IM$5,0)))</f>
        <v/>
      </c>
      <c r="F974">
        <f>IF(D974="","",COUNTIFS('KG1-2'!$AD27:$IM27,"غياب بدون عذر",'KG1-2'!$AD$7:$IM$7,"✓",'KG1-2'!$AD$5:$IM$5,"&lt;="&amp;D974))</f>
        <v/>
      </c>
      <c r="G974">
        <f>G973+IF(D974="",0,1)</f>
        <v/>
      </c>
    </row>
    <row r="975">
      <c r="A975">
        <f>IF('KG1-2'!$B27="","",'KG1-2'!$B27)</f>
        <v/>
      </c>
      <c r="B975">
        <f>IF(A975="","",'KG1-2'!$C27)</f>
        <v/>
      </c>
      <c r="C975">
        <f>IF(A975="","",'KG1-2'!$B$2)</f>
        <v/>
      </c>
      <c r="D975" s="126">
        <f t="array" ref="D975">IF(A975="","",IFERROR(SMALL(IF((('KG1-2'!$AD27:$IM27="غياب بدون عذر")+('KG1-2'!$AD27:$IM27="غياب بعذر"))*('KG1-2'!$AD$7:$IM$7="✓"),'KG1-2'!$AD$5:$IM$5),14),""))</f>
        <v/>
      </c>
      <c r="E975">
        <f>IF(D975="","",INDEX('KG1-2'!$AD27:$IM27,MATCH(D975,'KG1-2'!$AD$5:$IM$5,0)))</f>
        <v/>
      </c>
      <c r="F975">
        <f>IF(D975="","",COUNTIFS('KG1-2'!$AD27:$IM27,"غياب بدون عذر",'KG1-2'!$AD$7:$IM$7,"✓",'KG1-2'!$AD$5:$IM$5,"&lt;="&amp;D975))</f>
        <v/>
      </c>
      <c r="G975">
        <f>G974+IF(D975="",0,1)</f>
        <v/>
      </c>
    </row>
    <row r="976">
      <c r="A976">
        <f>IF('KG1-2'!$B27="","",'KG1-2'!$B27)</f>
        <v/>
      </c>
      <c r="B976">
        <f>IF(A976="","",'KG1-2'!$C27)</f>
        <v/>
      </c>
      <c r="C976">
        <f>IF(A976="","",'KG1-2'!$B$2)</f>
        <v/>
      </c>
      <c r="D976" s="126">
        <f t="array" ref="D976">IF(A976="","",IFERROR(SMALL(IF((('KG1-2'!$AD27:$IM27="غياب بدون عذر")+('KG1-2'!$AD27:$IM27="غياب بعذر"))*('KG1-2'!$AD$7:$IM$7="✓"),'KG1-2'!$AD$5:$IM$5),15),""))</f>
        <v/>
      </c>
      <c r="E976">
        <f>IF(D976="","",INDEX('KG1-2'!$AD27:$IM27,MATCH(D976,'KG1-2'!$AD$5:$IM$5,0)))</f>
        <v/>
      </c>
      <c r="F976">
        <f>IF(D976="","",COUNTIFS('KG1-2'!$AD27:$IM27,"غياب بدون عذر",'KG1-2'!$AD$7:$IM$7,"✓",'KG1-2'!$AD$5:$IM$5,"&lt;="&amp;D976))</f>
        <v/>
      </c>
      <c r="G976">
        <f>G975+IF(D976="",0,1)</f>
        <v/>
      </c>
    </row>
    <row r="977">
      <c r="A977">
        <f>IF('KG1-2'!$B27="","",'KG1-2'!$B27)</f>
        <v/>
      </c>
      <c r="B977">
        <f>IF(A977="","",'KG1-2'!$C27)</f>
        <v/>
      </c>
      <c r="C977">
        <f>IF(A977="","",'KG1-2'!$B$2)</f>
        <v/>
      </c>
      <c r="D977" s="126">
        <f t="array" ref="D977">IF(A977="","",IFERROR(SMALL(IF((('KG1-2'!$AD27:$IM27="غياب بدون عذر")+('KG1-2'!$AD27:$IM27="غياب بعذر"))*('KG1-2'!$AD$7:$IM$7="✓"),'KG1-2'!$AD$5:$IM$5),16),""))</f>
        <v/>
      </c>
      <c r="E977">
        <f>IF(D977="","",INDEX('KG1-2'!$AD27:$IM27,MATCH(D977,'KG1-2'!$AD$5:$IM$5,0)))</f>
        <v/>
      </c>
      <c r="F977">
        <f>IF(D977="","",COUNTIFS('KG1-2'!$AD27:$IM27,"غياب بدون عذر",'KG1-2'!$AD$7:$IM$7,"✓",'KG1-2'!$AD$5:$IM$5,"&lt;="&amp;D977))</f>
        <v/>
      </c>
      <c r="G977">
        <f>G976+IF(D977="",0,1)</f>
        <v/>
      </c>
    </row>
    <row r="978">
      <c r="A978">
        <f>IF('KG1-2'!$B27="","",'KG1-2'!$B27)</f>
        <v/>
      </c>
      <c r="B978">
        <f>IF(A978="","",'KG1-2'!$C27)</f>
        <v/>
      </c>
      <c r="C978">
        <f>IF(A978="","",'KG1-2'!$B$2)</f>
        <v/>
      </c>
      <c r="D978" s="126">
        <f t="array" ref="D978">IF(A978="","",IFERROR(SMALL(IF((('KG1-2'!$AD27:$IM27="غياب بدون عذر")+('KG1-2'!$AD27:$IM27="غياب بعذر"))*('KG1-2'!$AD$7:$IM$7="✓"),'KG1-2'!$AD$5:$IM$5),17),""))</f>
        <v/>
      </c>
      <c r="E978">
        <f>IF(D978="","",INDEX('KG1-2'!$AD27:$IM27,MATCH(D978,'KG1-2'!$AD$5:$IM$5,0)))</f>
        <v/>
      </c>
      <c r="F978">
        <f>IF(D978="","",COUNTIFS('KG1-2'!$AD27:$IM27,"غياب بدون عذر",'KG1-2'!$AD$7:$IM$7,"✓",'KG1-2'!$AD$5:$IM$5,"&lt;="&amp;D978))</f>
        <v/>
      </c>
      <c r="G978">
        <f>G977+IF(D978="",0,1)</f>
        <v/>
      </c>
    </row>
    <row r="979">
      <c r="A979">
        <f>IF('KG1-2'!$B27="","",'KG1-2'!$B27)</f>
        <v/>
      </c>
      <c r="B979">
        <f>IF(A979="","",'KG1-2'!$C27)</f>
        <v/>
      </c>
      <c r="C979">
        <f>IF(A979="","",'KG1-2'!$B$2)</f>
        <v/>
      </c>
      <c r="D979" s="126">
        <f t="array" ref="D979">IF(A979="","",IFERROR(SMALL(IF((('KG1-2'!$AD27:$IM27="غياب بدون عذر")+('KG1-2'!$AD27:$IM27="غياب بعذر"))*('KG1-2'!$AD$7:$IM$7="✓"),'KG1-2'!$AD$5:$IM$5),18),""))</f>
        <v/>
      </c>
      <c r="E979">
        <f>IF(D979="","",INDEX('KG1-2'!$AD27:$IM27,MATCH(D979,'KG1-2'!$AD$5:$IM$5,0)))</f>
        <v/>
      </c>
      <c r="F979">
        <f>IF(D979="","",COUNTIFS('KG1-2'!$AD27:$IM27,"غياب بدون عذر",'KG1-2'!$AD$7:$IM$7,"✓",'KG1-2'!$AD$5:$IM$5,"&lt;="&amp;D979))</f>
        <v/>
      </c>
      <c r="G979">
        <f>G978+IF(D979="",0,1)</f>
        <v/>
      </c>
    </row>
    <row r="980">
      <c r="A980">
        <f>IF('KG1-2'!$B27="","",'KG1-2'!$B27)</f>
        <v/>
      </c>
      <c r="B980">
        <f>IF(A980="","",'KG1-2'!$C27)</f>
        <v/>
      </c>
      <c r="C980">
        <f>IF(A980="","",'KG1-2'!$B$2)</f>
        <v/>
      </c>
      <c r="D980" s="126">
        <f t="array" ref="D980">IF(A980="","",IFERROR(SMALL(IF((('KG1-2'!$AD27:$IM27="غياب بدون عذر")+('KG1-2'!$AD27:$IM27="غياب بعذر"))*('KG1-2'!$AD$7:$IM$7="✓"),'KG1-2'!$AD$5:$IM$5),19),""))</f>
        <v/>
      </c>
      <c r="E980">
        <f>IF(D980="","",INDEX('KG1-2'!$AD27:$IM27,MATCH(D980,'KG1-2'!$AD$5:$IM$5,0)))</f>
        <v/>
      </c>
      <c r="F980">
        <f>IF(D980="","",COUNTIFS('KG1-2'!$AD27:$IM27,"غياب بدون عذر",'KG1-2'!$AD$7:$IM$7,"✓",'KG1-2'!$AD$5:$IM$5,"&lt;="&amp;D980))</f>
        <v/>
      </c>
      <c r="G980">
        <f>G979+IF(D980="",0,1)</f>
        <v/>
      </c>
    </row>
    <row r="981">
      <c r="A981">
        <f>IF('KG1-2'!$B27="","",'KG1-2'!$B27)</f>
        <v/>
      </c>
      <c r="B981">
        <f>IF(A981="","",'KG1-2'!$C27)</f>
        <v/>
      </c>
      <c r="C981">
        <f>IF(A981="","",'KG1-2'!$B$2)</f>
        <v/>
      </c>
      <c r="D981" s="126">
        <f t="array" ref="D981">IF(A981="","",IFERROR(SMALL(IF((('KG1-2'!$AD27:$IM27="غياب بدون عذر")+('KG1-2'!$AD27:$IM27="غياب بعذر"))*('KG1-2'!$AD$7:$IM$7="✓"),'KG1-2'!$AD$5:$IM$5),20),""))</f>
        <v/>
      </c>
      <c r="E981">
        <f>IF(D981="","",INDEX('KG1-2'!$AD27:$IM27,MATCH(D981,'KG1-2'!$AD$5:$IM$5,0)))</f>
        <v/>
      </c>
      <c r="F981">
        <f>IF(D981="","",COUNTIFS('KG1-2'!$AD27:$IM27,"غياب بدون عذر",'KG1-2'!$AD$7:$IM$7,"✓",'KG1-2'!$AD$5:$IM$5,"&lt;="&amp;D981))</f>
        <v/>
      </c>
      <c r="G981">
        <f>G980+IF(D981="",0,1)</f>
        <v/>
      </c>
    </row>
    <row r="982">
      <c r="A982">
        <f>IF('KG1-2'!$B28="","",'KG1-2'!$B28)</f>
        <v/>
      </c>
      <c r="B982">
        <f>IF(A982="","",'KG1-2'!$C28)</f>
        <v/>
      </c>
      <c r="C982">
        <f>IF(A982="","",'KG1-2'!$B$2)</f>
        <v/>
      </c>
      <c r="D982" s="126">
        <f t="array" ref="D982">IF(A982="","",IFERROR(SMALL(IF((('KG1-2'!$AD28:$IM28="غياب بدون عذر")+('KG1-2'!$AD28:$IM28="غياب بعذر"))*('KG1-2'!$AD$7:$IM$7="✓"),'KG1-2'!$AD$5:$IM$5),1),""))</f>
        <v/>
      </c>
      <c r="E982">
        <f>IF(D982="","",INDEX('KG1-2'!$AD28:$IM28,MATCH(D982,'KG1-2'!$AD$5:$IM$5,0)))</f>
        <v/>
      </c>
      <c r="F982">
        <f>IF(D982="","",COUNTIFS('KG1-2'!$AD28:$IM28,"غياب بدون عذر",'KG1-2'!$AD$7:$IM$7,"✓",'KG1-2'!$AD$5:$IM$5,"&lt;="&amp;D982))</f>
        <v/>
      </c>
      <c r="G982">
        <f>G981+IF(D982="",0,1)</f>
        <v/>
      </c>
    </row>
    <row r="983">
      <c r="A983">
        <f>IF('KG1-2'!$B28="","",'KG1-2'!$B28)</f>
        <v/>
      </c>
      <c r="B983">
        <f>IF(A983="","",'KG1-2'!$C28)</f>
        <v/>
      </c>
      <c r="C983">
        <f>IF(A983="","",'KG1-2'!$B$2)</f>
        <v/>
      </c>
      <c r="D983" s="126">
        <f t="array" ref="D983">IF(A983="","",IFERROR(SMALL(IF((('KG1-2'!$AD28:$IM28="غياب بدون عذر")+('KG1-2'!$AD28:$IM28="غياب بعذر"))*('KG1-2'!$AD$7:$IM$7="✓"),'KG1-2'!$AD$5:$IM$5),2),""))</f>
        <v/>
      </c>
      <c r="E983">
        <f>IF(D983="","",INDEX('KG1-2'!$AD28:$IM28,MATCH(D983,'KG1-2'!$AD$5:$IM$5,0)))</f>
        <v/>
      </c>
      <c r="F983">
        <f>IF(D983="","",COUNTIFS('KG1-2'!$AD28:$IM28,"غياب بدون عذر",'KG1-2'!$AD$7:$IM$7,"✓",'KG1-2'!$AD$5:$IM$5,"&lt;="&amp;D983))</f>
        <v/>
      </c>
      <c r="G983">
        <f>G982+IF(D983="",0,1)</f>
        <v/>
      </c>
    </row>
    <row r="984">
      <c r="A984">
        <f>IF('KG1-2'!$B28="","",'KG1-2'!$B28)</f>
        <v/>
      </c>
      <c r="B984">
        <f>IF(A984="","",'KG1-2'!$C28)</f>
        <v/>
      </c>
      <c r="C984">
        <f>IF(A984="","",'KG1-2'!$B$2)</f>
        <v/>
      </c>
      <c r="D984" s="126">
        <f t="array" ref="D984">IF(A984="","",IFERROR(SMALL(IF((('KG1-2'!$AD28:$IM28="غياب بدون عذر")+('KG1-2'!$AD28:$IM28="غياب بعذر"))*('KG1-2'!$AD$7:$IM$7="✓"),'KG1-2'!$AD$5:$IM$5),3),""))</f>
        <v/>
      </c>
      <c r="E984">
        <f>IF(D984="","",INDEX('KG1-2'!$AD28:$IM28,MATCH(D984,'KG1-2'!$AD$5:$IM$5,0)))</f>
        <v/>
      </c>
      <c r="F984">
        <f>IF(D984="","",COUNTIFS('KG1-2'!$AD28:$IM28,"غياب بدون عذر",'KG1-2'!$AD$7:$IM$7,"✓",'KG1-2'!$AD$5:$IM$5,"&lt;="&amp;D984))</f>
        <v/>
      </c>
      <c r="G984">
        <f>G983+IF(D984="",0,1)</f>
        <v/>
      </c>
    </row>
    <row r="985">
      <c r="A985">
        <f>IF('KG1-2'!$B28="","",'KG1-2'!$B28)</f>
        <v/>
      </c>
      <c r="B985">
        <f>IF(A985="","",'KG1-2'!$C28)</f>
        <v/>
      </c>
      <c r="C985">
        <f>IF(A985="","",'KG1-2'!$B$2)</f>
        <v/>
      </c>
      <c r="D985" s="126">
        <f t="array" ref="D985">IF(A985="","",IFERROR(SMALL(IF((('KG1-2'!$AD28:$IM28="غياب بدون عذر")+('KG1-2'!$AD28:$IM28="غياب بعذر"))*('KG1-2'!$AD$7:$IM$7="✓"),'KG1-2'!$AD$5:$IM$5),4),""))</f>
        <v/>
      </c>
      <c r="E985">
        <f>IF(D985="","",INDEX('KG1-2'!$AD28:$IM28,MATCH(D985,'KG1-2'!$AD$5:$IM$5,0)))</f>
        <v/>
      </c>
      <c r="F985">
        <f>IF(D985="","",COUNTIFS('KG1-2'!$AD28:$IM28,"غياب بدون عذر",'KG1-2'!$AD$7:$IM$7,"✓",'KG1-2'!$AD$5:$IM$5,"&lt;="&amp;D985))</f>
        <v/>
      </c>
      <c r="G985">
        <f>G984+IF(D985="",0,1)</f>
        <v/>
      </c>
    </row>
    <row r="986">
      <c r="A986">
        <f>IF('KG1-2'!$B28="","",'KG1-2'!$B28)</f>
        <v/>
      </c>
      <c r="B986">
        <f>IF(A986="","",'KG1-2'!$C28)</f>
        <v/>
      </c>
      <c r="C986">
        <f>IF(A986="","",'KG1-2'!$B$2)</f>
        <v/>
      </c>
      <c r="D986" s="126">
        <f t="array" ref="D986">IF(A986="","",IFERROR(SMALL(IF((('KG1-2'!$AD28:$IM28="غياب بدون عذر")+('KG1-2'!$AD28:$IM28="غياب بعذر"))*('KG1-2'!$AD$7:$IM$7="✓"),'KG1-2'!$AD$5:$IM$5),5),""))</f>
        <v/>
      </c>
      <c r="E986">
        <f>IF(D986="","",INDEX('KG1-2'!$AD28:$IM28,MATCH(D986,'KG1-2'!$AD$5:$IM$5,0)))</f>
        <v/>
      </c>
      <c r="F986">
        <f>IF(D986="","",COUNTIFS('KG1-2'!$AD28:$IM28,"غياب بدون عذر",'KG1-2'!$AD$7:$IM$7,"✓",'KG1-2'!$AD$5:$IM$5,"&lt;="&amp;D986))</f>
        <v/>
      </c>
      <c r="G986">
        <f>G985+IF(D986="",0,1)</f>
        <v/>
      </c>
    </row>
    <row r="987">
      <c r="A987">
        <f>IF('KG1-2'!$B28="","",'KG1-2'!$B28)</f>
        <v/>
      </c>
      <c r="B987">
        <f>IF(A987="","",'KG1-2'!$C28)</f>
        <v/>
      </c>
      <c r="C987">
        <f>IF(A987="","",'KG1-2'!$B$2)</f>
        <v/>
      </c>
      <c r="D987" s="126">
        <f t="array" ref="D987">IF(A987="","",IFERROR(SMALL(IF((('KG1-2'!$AD28:$IM28="غياب بدون عذر")+('KG1-2'!$AD28:$IM28="غياب بعذر"))*('KG1-2'!$AD$7:$IM$7="✓"),'KG1-2'!$AD$5:$IM$5),6),""))</f>
        <v/>
      </c>
      <c r="E987">
        <f>IF(D987="","",INDEX('KG1-2'!$AD28:$IM28,MATCH(D987,'KG1-2'!$AD$5:$IM$5,0)))</f>
        <v/>
      </c>
      <c r="F987">
        <f>IF(D987="","",COUNTIFS('KG1-2'!$AD28:$IM28,"غياب بدون عذر",'KG1-2'!$AD$7:$IM$7,"✓",'KG1-2'!$AD$5:$IM$5,"&lt;="&amp;D987))</f>
        <v/>
      </c>
      <c r="G987">
        <f>G986+IF(D987="",0,1)</f>
        <v/>
      </c>
    </row>
    <row r="988">
      <c r="A988">
        <f>IF('KG1-2'!$B28="","",'KG1-2'!$B28)</f>
        <v/>
      </c>
      <c r="B988">
        <f>IF(A988="","",'KG1-2'!$C28)</f>
        <v/>
      </c>
      <c r="C988">
        <f>IF(A988="","",'KG1-2'!$B$2)</f>
        <v/>
      </c>
      <c r="D988" s="126">
        <f t="array" ref="D988">IF(A988="","",IFERROR(SMALL(IF((('KG1-2'!$AD28:$IM28="غياب بدون عذر")+('KG1-2'!$AD28:$IM28="غياب بعذر"))*('KG1-2'!$AD$7:$IM$7="✓"),'KG1-2'!$AD$5:$IM$5),7),""))</f>
        <v/>
      </c>
      <c r="E988">
        <f>IF(D988="","",INDEX('KG1-2'!$AD28:$IM28,MATCH(D988,'KG1-2'!$AD$5:$IM$5,0)))</f>
        <v/>
      </c>
      <c r="F988">
        <f>IF(D988="","",COUNTIFS('KG1-2'!$AD28:$IM28,"غياب بدون عذر",'KG1-2'!$AD$7:$IM$7,"✓",'KG1-2'!$AD$5:$IM$5,"&lt;="&amp;D988))</f>
        <v/>
      </c>
      <c r="G988">
        <f>G987+IF(D988="",0,1)</f>
        <v/>
      </c>
    </row>
    <row r="989">
      <c r="A989">
        <f>IF('KG1-2'!$B28="","",'KG1-2'!$B28)</f>
        <v/>
      </c>
      <c r="B989">
        <f>IF(A989="","",'KG1-2'!$C28)</f>
        <v/>
      </c>
      <c r="C989">
        <f>IF(A989="","",'KG1-2'!$B$2)</f>
        <v/>
      </c>
      <c r="D989" s="126">
        <f t="array" ref="D989">IF(A989="","",IFERROR(SMALL(IF((('KG1-2'!$AD28:$IM28="غياب بدون عذر")+('KG1-2'!$AD28:$IM28="غياب بعذر"))*('KG1-2'!$AD$7:$IM$7="✓"),'KG1-2'!$AD$5:$IM$5),8),""))</f>
        <v/>
      </c>
      <c r="E989">
        <f>IF(D989="","",INDEX('KG1-2'!$AD28:$IM28,MATCH(D989,'KG1-2'!$AD$5:$IM$5,0)))</f>
        <v/>
      </c>
      <c r="F989">
        <f>IF(D989="","",COUNTIFS('KG1-2'!$AD28:$IM28,"غياب بدون عذر",'KG1-2'!$AD$7:$IM$7,"✓",'KG1-2'!$AD$5:$IM$5,"&lt;="&amp;D989))</f>
        <v/>
      </c>
      <c r="G989">
        <f>G988+IF(D989="",0,1)</f>
        <v/>
      </c>
    </row>
    <row r="990">
      <c r="A990">
        <f>IF('KG1-2'!$B28="","",'KG1-2'!$B28)</f>
        <v/>
      </c>
      <c r="B990">
        <f>IF(A990="","",'KG1-2'!$C28)</f>
        <v/>
      </c>
      <c r="C990">
        <f>IF(A990="","",'KG1-2'!$B$2)</f>
        <v/>
      </c>
      <c r="D990" s="126">
        <f t="array" ref="D990">IF(A990="","",IFERROR(SMALL(IF((('KG1-2'!$AD28:$IM28="غياب بدون عذر")+('KG1-2'!$AD28:$IM28="غياب بعذر"))*('KG1-2'!$AD$7:$IM$7="✓"),'KG1-2'!$AD$5:$IM$5),9),""))</f>
        <v/>
      </c>
      <c r="E990">
        <f>IF(D990="","",INDEX('KG1-2'!$AD28:$IM28,MATCH(D990,'KG1-2'!$AD$5:$IM$5,0)))</f>
        <v/>
      </c>
      <c r="F990">
        <f>IF(D990="","",COUNTIFS('KG1-2'!$AD28:$IM28,"غياب بدون عذر",'KG1-2'!$AD$7:$IM$7,"✓",'KG1-2'!$AD$5:$IM$5,"&lt;="&amp;D990))</f>
        <v/>
      </c>
      <c r="G990">
        <f>G989+IF(D990="",0,1)</f>
        <v/>
      </c>
    </row>
    <row r="991">
      <c r="A991">
        <f>IF('KG1-2'!$B28="","",'KG1-2'!$B28)</f>
        <v/>
      </c>
      <c r="B991">
        <f>IF(A991="","",'KG1-2'!$C28)</f>
        <v/>
      </c>
      <c r="C991">
        <f>IF(A991="","",'KG1-2'!$B$2)</f>
        <v/>
      </c>
      <c r="D991" s="126">
        <f t="array" ref="D991">IF(A991="","",IFERROR(SMALL(IF((('KG1-2'!$AD28:$IM28="غياب بدون عذر")+('KG1-2'!$AD28:$IM28="غياب بعذر"))*('KG1-2'!$AD$7:$IM$7="✓"),'KG1-2'!$AD$5:$IM$5),10),""))</f>
        <v/>
      </c>
      <c r="E991">
        <f>IF(D991="","",INDEX('KG1-2'!$AD28:$IM28,MATCH(D991,'KG1-2'!$AD$5:$IM$5,0)))</f>
        <v/>
      </c>
      <c r="F991">
        <f>IF(D991="","",COUNTIFS('KG1-2'!$AD28:$IM28,"غياب بدون عذر",'KG1-2'!$AD$7:$IM$7,"✓",'KG1-2'!$AD$5:$IM$5,"&lt;="&amp;D991))</f>
        <v/>
      </c>
      <c r="G991">
        <f>G990+IF(D991="",0,1)</f>
        <v/>
      </c>
    </row>
    <row r="992">
      <c r="A992">
        <f>IF('KG1-2'!$B28="","",'KG1-2'!$B28)</f>
        <v/>
      </c>
      <c r="B992">
        <f>IF(A992="","",'KG1-2'!$C28)</f>
        <v/>
      </c>
      <c r="C992">
        <f>IF(A992="","",'KG1-2'!$B$2)</f>
        <v/>
      </c>
      <c r="D992" s="126">
        <f t="array" ref="D992">IF(A992="","",IFERROR(SMALL(IF((('KG1-2'!$AD28:$IM28="غياب بدون عذر")+('KG1-2'!$AD28:$IM28="غياب بعذر"))*('KG1-2'!$AD$7:$IM$7="✓"),'KG1-2'!$AD$5:$IM$5),11),""))</f>
        <v/>
      </c>
      <c r="E992">
        <f>IF(D992="","",INDEX('KG1-2'!$AD28:$IM28,MATCH(D992,'KG1-2'!$AD$5:$IM$5,0)))</f>
        <v/>
      </c>
      <c r="F992">
        <f>IF(D992="","",COUNTIFS('KG1-2'!$AD28:$IM28,"غياب بدون عذر",'KG1-2'!$AD$7:$IM$7,"✓",'KG1-2'!$AD$5:$IM$5,"&lt;="&amp;D992))</f>
        <v/>
      </c>
      <c r="G992">
        <f>G991+IF(D992="",0,1)</f>
        <v/>
      </c>
    </row>
    <row r="993">
      <c r="A993">
        <f>IF('KG1-2'!$B28="","",'KG1-2'!$B28)</f>
        <v/>
      </c>
      <c r="B993">
        <f>IF(A993="","",'KG1-2'!$C28)</f>
        <v/>
      </c>
      <c r="C993">
        <f>IF(A993="","",'KG1-2'!$B$2)</f>
        <v/>
      </c>
      <c r="D993" s="126">
        <f t="array" ref="D993">IF(A993="","",IFERROR(SMALL(IF((('KG1-2'!$AD28:$IM28="غياب بدون عذر")+('KG1-2'!$AD28:$IM28="غياب بعذر"))*('KG1-2'!$AD$7:$IM$7="✓"),'KG1-2'!$AD$5:$IM$5),12),""))</f>
        <v/>
      </c>
      <c r="E993">
        <f>IF(D993="","",INDEX('KG1-2'!$AD28:$IM28,MATCH(D993,'KG1-2'!$AD$5:$IM$5,0)))</f>
        <v/>
      </c>
      <c r="F993">
        <f>IF(D993="","",COUNTIFS('KG1-2'!$AD28:$IM28,"غياب بدون عذر",'KG1-2'!$AD$7:$IM$7,"✓",'KG1-2'!$AD$5:$IM$5,"&lt;="&amp;D993))</f>
        <v/>
      </c>
      <c r="G993">
        <f>G992+IF(D993="",0,1)</f>
        <v/>
      </c>
    </row>
    <row r="994">
      <c r="A994">
        <f>IF('KG1-2'!$B28="","",'KG1-2'!$B28)</f>
        <v/>
      </c>
      <c r="B994">
        <f>IF(A994="","",'KG1-2'!$C28)</f>
        <v/>
      </c>
      <c r="C994">
        <f>IF(A994="","",'KG1-2'!$B$2)</f>
        <v/>
      </c>
      <c r="D994" s="126">
        <f t="array" ref="D994">IF(A994="","",IFERROR(SMALL(IF((('KG1-2'!$AD28:$IM28="غياب بدون عذر")+('KG1-2'!$AD28:$IM28="غياب بعذر"))*('KG1-2'!$AD$7:$IM$7="✓"),'KG1-2'!$AD$5:$IM$5),13),""))</f>
        <v/>
      </c>
      <c r="E994">
        <f>IF(D994="","",INDEX('KG1-2'!$AD28:$IM28,MATCH(D994,'KG1-2'!$AD$5:$IM$5,0)))</f>
        <v/>
      </c>
      <c r="F994">
        <f>IF(D994="","",COUNTIFS('KG1-2'!$AD28:$IM28,"غياب بدون عذر",'KG1-2'!$AD$7:$IM$7,"✓",'KG1-2'!$AD$5:$IM$5,"&lt;="&amp;D994))</f>
        <v/>
      </c>
      <c r="G994">
        <f>G993+IF(D994="",0,1)</f>
        <v/>
      </c>
    </row>
    <row r="995">
      <c r="A995">
        <f>IF('KG1-2'!$B28="","",'KG1-2'!$B28)</f>
        <v/>
      </c>
      <c r="B995">
        <f>IF(A995="","",'KG1-2'!$C28)</f>
        <v/>
      </c>
      <c r="C995">
        <f>IF(A995="","",'KG1-2'!$B$2)</f>
        <v/>
      </c>
      <c r="D995" s="126">
        <f t="array" ref="D995">IF(A995="","",IFERROR(SMALL(IF((('KG1-2'!$AD28:$IM28="غياب بدون عذر")+('KG1-2'!$AD28:$IM28="غياب بعذر"))*('KG1-2'!$AD$7:$IM$7="✓"),'KG1-2'!$AD$5:$IM$5),14),""))</f>
        <v/>
      </c>
      <c r="E995">
        <f>IF(D995="","",INDEX('KG1-2'!$AD28:$IM28,MATCH(D995,'KG1-2'!$AD$5:$IM$5,0)))</f>
        <v/>
      </c>
      <c r="F995">
        <f>IF(D995="","",COUNTIFS('KG1-2'!$AD28:$IM28,"غياب بدون عذر",'KG1-2'!$AD$7:$IM$7,"✓",'KG1-2'!$AD$5:$IM$5,"&lt;="&amp;D995))</f>
        <v/>
      </c>
      <c r="G995">
        <f>G994+IF(D995="",0,1)</f>
        <v/>
      </c>
    </row>
    <row r="996">
      <c r="A996">
        <f>IF('KG1-2'!$B28="","",'KG1-2'!$B28)</f>
        <v/>
      </c>
      <c r="B996">
        <f>IF(A996="","",'KG1-2'!$C28)</f>
        <v/>
      </c>
      <c r="C996">
        <f>IF(A996="","",'KG1-2'!$B$2)</f>
        <v/>
      </c>
      <c r="D996" s="126">
        <f t="array" ref="D996">IF(A996="","",IFERROR(SMALL(IF((('KG1-2'!$AD28:$IM28="غياب بدون عذر")+('KG1-2'!$AD28:$IM28="غياب بعذر"))*('KG1-2'!$AD$7:$IM$7="✓"),'KG1-2'!$AD$5:$IM$5),15),""))</f>
        <v/>
      </c>
      <c r="E996">
        <f>IF(D996="","",INDEX('KG1-2'!$AD28:$IM28,MATCH(D996,'KG1-2'!$AD$5:$IM$5,0)))</f>
        <v/>
      </c>
      <c r="F996">
        <f>IF(D996="","",COUNTIFS('KG1-2'!$AD28:$IM28,"غياب بدون عذر",'KG1-2'!$AD$7:$IM$7,"✓",'KG1-2'!$AD$5:$IM$5,"&lt;="&amp;D996))</f>
        <v/>
      </c>
      <c r="G996">
        <f>G995+IF(D996="",0,1)</f>
        <v/>
      </c>
    </row>
    <row r="997">
      <c r="A997">
        <f>IF('KG1-2'!$B28="","",'KG1-2'!$B28)</f>
        <v/>
      </c>
      <c r="B997">
        <f>IF(A997="","",'KG1-2'!$C28)</f>
        <v/>
      </c>
      <c r="C997">
        <f>IF(A997="","",'KG1-2'!$B$2)</f>
        <v/>
      </c>
      <c r="D997" s="126">
        <f t="array" ref="D997">IF(A997="","",IFERROR(SMALL(IF((('KG1-2'!$AD28:$IM28="غياب بدون عذر")+('KG1-2'!$AD28:$IM28="غياب بعذر"))*('KG1-2'!$AD$7:$IM$7="✓"),'KG1-2'!$AD$5:$IM$5),16),""))</f>
        <v/>
      </c>
      <c r="E997">
        <f>IF(D997="","",INDEX('KG1-2'!$AD28:$IM28,MATCH(D997,'KG1-2'!$AD$5:$IM$5,0)))</f>
        <v/>
      </c>
      <c r="F997">
        <f>IF(D997="","",COUNTIFS('KG1-2'!$AD28:$IM28,"غياب بدون عذر",'KG1-2'!$AD$7:$IM$7,"✓",'KG1-2'!$AD$5:$IM$5,"&lt;="&amp;D997))</f>
        <v/>
      </c>
      <c r="G997">
        <f>G996+IF(D997="",0,1)</f>
        <v/>
      </c>
    </row>
    <row r="998">
      <c r="A998">
        <f>IF('KG1-2'!$B28="","",'KG1-2'!$B28)</f>
        <v/>
      </c>
      <c r="B998">
        <f>IF(A998="","",'KG1-2'!$C28)</f>
        <v/>
      </c>
      <c r="C998">
        <f>IF(A998="","",'KG1-2'!$B$2)</f>
        <v/>
      </c>
      <c r="D998" s="126">
        <f t="array" ref="D998">IF(A998="","",IFERROR(SMALL(IF((('KG1-2'!$AD28:$IM28="غياب بدون عذر")+('KG1-2'!$AD28:$IM28="غياب بعذر"))*('KG1-2'!$AD$7:$IM$7="✓"),'KG1-2'!$AD$5:$IM$5),17),""))</f>
        <v/>
      </c>
      <c r="E998">
        <f>IF(D998="","",INDEX('KG1-2'!$AD28:$IM28,MATCH(D998,'KG1-2'!$AD$5:$IM$5,0)))</f>
        <v/>
      </c>
      <c r="F998">
        <f>IF(D998="","",COUNTIFS('KG1-2'!$AD28:$IM28,"غياب بدون عذر",'KG1-2'!$AD$7:$IM$7,"✓",'KG1-2'!$AD$5:$IM$5,"&lt;="&amp;D998))</f>
        <v/>
      </c>
      <c r="G998">
        <f>G997+IF(D998="",0,1)</f>
        <v/>
      </c>
    </row>
    <row r="999">
      <c r="A999">
        <f>IF('KG1-2'!$B28="","",'KG1-2'!$B28)</f>
        <v/>
      </c>
      <c r="B999">
        <f>IF(A999="","",'KG1-2'!$C28)</f>
        <v/>
      </c>
      <c r="C999">
        <f>IF(A999="","",'KG1-2'!$B$2)</f>
        <v/>
      </c>
      <c r="D999" s="126">
        <f t="array" ref="D999">IF(A999="","",IFERROR(SMALL(IF((('KG1-2'!$AD28:$IM28="غياب بدون عذر")+('KG1-2'!$AD28:$IM28="غياب بعذر"))*('KG1-2'!$AD$7:$IM$7="✓"),'KG1-2'!$AD$5:$IM$5),18),""))</f>
        <v/>
      </c>
      <c r="E999">
        <f>IF(D999="","",INDEX('KG1-2'!$AD28:$IM28,MATCH(D999,'KG1-2'!$AD$5:$IM$5,0)))</f>
        <v/>
      </c>
      <c r="F999">
        <f>IF(D999="","",COUNTIFS('KG1-2'!$AD28:$IM28,"غياب بدون عذر",'KG1-2'!$AD$7:$IM$7,"✓",'KG1-2'!$AD$5:$IM$5,"&lt;="&amp;D999))</f>
        <v/>
      </c>
      <c r="G999">
        <f>G998+IF(D999="",0,1)</f>
        <v/>
      </c>
    </row>
    <row r="1000">
      <c r="A1000">
        <f>IF('KG1-2'!$B28="","",'KG1-2'!$B28)</f>
        <v/>
      </c>
      <c r="B1000">
        <f>IF(A1000="","",'KG1-2'!$C28)</f>
        <v/>
      </c>
      <c r="C1000">
        <f>IF(A1000="","",'KG1-2'!$B$2)</f>
        <v/>
      </c>
      <c r="D1000" s="126">
        <f t="array" ref="D1000">IF(A1000="","",IFERROR(SMALL(IF((('KG1-2'!$AD28:$IM28="غياب بدون عذر")+('KG1-2'!$AD28:$IM28="غياب بعذر"))*('KG1-2'!$AD$7:$IM$7="✓"),'KG1-2'!$AD$5:$IM$5),19),""))</f>
        <v/>
      </c>
      <c r="E1000">
        <f>IF(D1000="","",INDEX('KG1-2'!$AD28:$IM28,MATCH(D1000,'KG1-2'!$AD$5:$IM$5,0)))</f>
        <v/>
      </c>
      <c r="F1000">
        <f>IF(D1000="","",COUNTIFS('KG1-2'!$AD28:$IM28,"غياب بدون عذر",'KG1-2'!$AD$7:$IM$7,"✓",'KG1-2'!$AD$5:$IM$5,"&lt;="&amp;D1000))</f>
        <v/>
      </c>
      <c r="G1000">
        <f>G999+IF(D1000="",0,1)</f>
        <v/>
      </c>
    </row>
    <row r="1001">
      <c r="A1001">
        <f>IF('KG1-2'!$B28="","",'KG1-2'!$B28)</f>
        <v/>
      </c>
      <c r="B1001">
        <f>IF(A1001="","",'KG1-2'!$C28)</f>
        <v/>
      </c>
      <c r="C1001">
        <f>IF(A1001="","",'KG1-2'!$B$2)</f>
        <v/>
      </c>
      <c r="D1001" s="126">
        <f t="array" ref="D1001">IF(A1001="","",IFERROR(SMALL(IF((('KG1-2'!$AD28:$IM28="غياب بدون عذر")+('KG1-2'!$AD28:$IM28="غياب بعذر"))*('KG1-2'!$AD$7:$IM$7="✓"),'KG1-2'!$AD$5:$IM$5),20),""))</f>
        <v/>
      </c>
      <c r="E1001">
        <f>IF(D1001="","",INDEX('KG1-2'!$AD28:$IM28,MATCH(D1001,'KG1-2'!$AD$5:$IM$5,0)))</f>
        <v/>
      </c>
      <c r="F1001">
        <f>IF(D1001="","",COUNTIFS('KG1-2'!$AD28:$IM28,"غياب بدون عذر",'KG1-2'!$AD$7:$IM$7,"✓",'KG1-2'!$AD$5:$IM$5,"&lt;="&amp;D1001))</f>
        <v/>
      </c>
      <c r="G1001">
        <f>G1000+IF(D1001="",0,1)</f>
        <v/>
      </c>
    </row>
    <row r="1002">
      <c r="A1002">
        <f>IF('KG1-2'!$B29="","",'KG1-2'!$B29)</f>
        <v/>
      </c>
      <c r="B1002">
        <f>IF(A1002="","",'KG1-2'!$C29)</f>
        <v/>
      </c>
      <c r="C1002">
        <f>IF(A1002="","",'KG1-2'!$B$2)</f>
        <v/>
      </c>
      <c r="D1002" s="126">
        <f t="array" ref="D1002">IF(A1002="","",IFERROR(SMALL(IF((('KG1-2'!$AD29:$IM29="غياب بدون عذر")+('KG1-2'!$AD29:$IM29="غياب بعذر"))*('KG1-2'!$AD$7:$IM$7="✓"),'KG1-2'!$AD$5:$IM$5),1),""))</f>
        <v/>
      </c>
      <c r="E1002">
        <f>IF(D1002="","",INDEX('KG1-2'!$AD29:$IM29,MATCH(D1002,'KG1-2'!$AD$5:$IM$5,0)))</f>
        <v/>
      </c>
      <c r="F1002">
        <f>IF(D1002="","",COUNTIFS('KG1-2'!$AD29:$IM29,"غياب بدون عذر",'KG1-2'!$AD$7:$IM$7,"✓",'KG1-2'!$AD$5:$IM$5,"&lt;="&amp;D1002))</f>
        <v/>
      </c>
      <c r="G1002">
        <f>G1001+IF(D1002="",0,1)</f>
        <v/>
      </c>
    </row>
    <row r="1003">
      <c r="A1003">
        <f>IF('KG1-2'!$B29="","",'KG1-2'!$B29)</f>
        <v/>
      </c>
      <c r="B1003">
        <f>IF(A1003="","",'KG1-2'!$C29)</f>
        <v/>
      </c>
      <c r="C1003">
        <f>IF(A1003="","",'KG1-2'!$B$2)</f>
        <v/>
      </c>
      <c r="D1003" s="126">
        <f t="array" ref="D1003">IF(A1003="","",IFERROR(SMALL(IF((('KG1-2'!$AD29:$IM29="غياب بدون عذر")+('KG1-2'!$AD29:$IM29="غياب بعذر"))*('KG1-2'!$AD$7:$IM$7="✓"),'KG1-2'!$AD$5:$IM$5),2),""))</f>
        <v/>
      </c>
      <c r="E1003">
        <f>IF(D1003="","",INDEX('KG1-2'!$AD29:$IM29,MATCH(D1003,'KG1-2'!$AD$5:$IM$5,0)))</f>
        <v/>
      </c>
      <c r="F1003">
        <f>IF(D1003="","",COUNTIFS('KG1-2'!$AD29:$IM29,"غياب بدون عذر",'KG1-2'!$AD$7:$IM$7,"✓",'KG1-2'!$AD$5:$IM$5,"&lt;="&amp;D1003))</f>
        <v/>
      </c>
      <c r="G1003">
        <f>G1002+IF(D1003="",0,1)</f>
        <v/>
      </c>
    </row>
    <row r="1004">
      <c r="A1004">
        <f>IF('KG1-2'!$B29="","",'KG1-2'!$B29)</f>
        <v/>
      </c>
      <c r="B1004">
        <f>IF(A1004="","",'KG1-2'!$C29)</f>
        <v/>
      </c>
      <c r="C1004">
        <f>IF(A1004="","",'KG1-2'!$B$2)</f>
        <v/>
      </c>
      <c r="D1004" s="126">
        <f t="array" ref="D1004">IF(A1004="","",IFERROR(SMALL(IF((('KG1-2'!$AD29:$IM29="غياب بدون عذر")+('KG1-2'!$AD29:$IM29="غياب بعذر"))*('KG1-2'!$AD$7:$IM$7="✓"),'KG1-2'!$AD$5:$IM$5),3),""))</f>
        <v/>
      </c>
      <c r="E1004">
        <f>IF(D1004="","",INDEX('KG1-2'!$AD29:$IM29,MATCH(D1004,'KG1-2'!$AD$5:$IM$5,0)))</f>
        <v/>
      </c>
      <c r="F1004">
        <f>IF(D1004="","",COUNTIFS('KG1-2'!$AD29:$IM29,"غياب بدون عذر",'KG1-2'!$AD$7:$IM$7,"✓",'KG1-2'!$AD$5:$IM$5,"&lt;="&amp;D1004))</f>
        <v/>
      </c>
      <c r="G1004">
        <f>G1003+IF(D1004="",0,1)</f>
        <v/>
      </c>
    </row>
    <row r="1005">
      <c r="A1005">
        <f>IF('KG1-2'!$B29="","",'KG1-2'!$B29)</f>
        <v/>
      </c>
      <c r="B1005">
        <f>IF(A1005="","",'KG1-2'!$C29)</f>
        <v/>
      </c>
      <c r="C1005">
        <f>IF(A1005="","",'KG1-2'!$B$2)</f>
        <v/>
      </c>
      <c r="D1005" s="126">
        <f t="array" ref="D1005">IF(A1005="","",IFERROR(SMALL(IF((('KG1-2'!$AD29:$IM29="غياب بدون عذر")+('KG1-2'!$AD29:$IM29="غياب بعذر"))*('KG1-2'!$AD$7:$IM$7="✓"),'KG1-2'!$AD$5:$IM$5),4),""))</f>
        <v/>
      </c>
      <c r="E1005">
        <f>IF(D1005="","",INDEX('KG1-2'!$AD29:$IM29,MATCH(D1005,'KG1-2'!$AD$5:$IM$5,0)))</f>
        <v/>
      </c>
      <c r="F1005">
        <f>IF(D1005="","",COUNTIFS('KG1-2'!$AD29:$IM29,"غياب بدون عذر",'KG1-2'!$AD$7:$IM$7,"✓",'KG1-2'!$AD$5:$IM$5,"&lt;="&amp;D1005))</f>
        <v/>
      </c>
      <c r="G1005">
        <f>G1004+IF(D1005="",0,1)</f>
        <v/>
      </c>
    </row>
    <row r="1006">
      <c r="A1006">
        <f>IF('KG1-2'!$B29="","",'KG1-2'!$B29)</f>
        <v/>
      </c>
      <c r="B1006">
        <f>IF(A1006="","",'KG1-2'!$C29)</f>
        <v/>
      </c>
      <c r="C1006">
        <f>IF(A1006="","",'KG1-2'!$B$2)</f>
        <v/>
      </c>
      <c r="D1006" s="126">
        <f t="array" ref="D1006">IF(A1006="","",IFERROR(SMALL(IF((('KG1-2'!$AD29:$IM29="غياب بدون عذر")+('KG1-2'!$AD29:$IM29="غياب بعذر"))*('KG1-2'!$AD$7:$IM$7="✓"),'KG1-2'!$AD$5:$IM$5),5),""))</f>
        <v/>
      </c>
      <c r="E1006">
        <f>IF(D1006="","",INDEX('KG1-2'!$AD29:$IM29,MATCH(D1006,'KG1-2'!$AD$5:$IM$5,0)))</f>
        <v/>
      </c>
      <c r="F1006">
        <f>IF(D1006="","",COUNTIFS('KG1-2'!$AD29:$IM29,"غياب بدون عذر",'KG1-2'!$AD$7:$IM$7,"✓",'KG1-2'!$AD$5:$IM$5,"&lt;="&amp;D1006))</f>
        <v/>
      </c>
      <c r="G1006">
        <f>G1005+IF(D1006="",0,1)</f>
        <v/>
      </c>
    </row>
    <row r="1007">
      <c r="A1007">
        <f>IF('KG1-2'!$B29="","",'KG1-2'!$B29)</f>
        <v/>
      </c>
      <c r="B1007">
        <f>IF(A1007="","",'KG1-2'!$C29)</f>
        <v/>
      </c>
      <c r="C1007">
        <f>IF(A1007="","",'KG1-2'!$B$2)</f>
        <v/>
      </c>
      <c r="D1007" s="126">
        <f t="array" ref="D1007">IF(A1007="","",IFERROR(SMALL(IF((('KG1-2'!$AD29:$IM29="غياب بدون عذر")+('KG1-2'!$AD29:$IM29="غياب بعذر"))*('KG1-2'!$AD$7:$IM$7="✓"),'KG1-2'!$AD$5:$IM$5),6),""))</f>
        <v/>
      </c>
      <c r="E1007">
        <f>IF(D1007="","",INDEX('KG1-2'!$AD29:$IM29,MATCH(D1007,'KG1-2'!$AD$5:$IM$5,0)))</f>
        <v/>
      </c>
      <c r="F1007">
        <f>IF(D1007="","",COUNTIFS('KG1-2'!$AD29:$IM29,"غياب بدون عذر",'KG1-2'!$AD$7:$IM$7,"✓",'KG1-2'!$AD$5:$IM$5,"&lt;="&amp;D1007))</f>
        <v/>
      </c>
      <c r="G1007">
        <f>G1006+IF(D1007="",0,1)</f>
        <v/>
      </c>
    </row>
    <row r="1008">
      <c r="A1008">
        <f>IF('KG1-2'!$B29="","",'KG1-2'!$B29)</f>
        <v/>
      </c>
      <c r="B1008">
        <f>IF(A1008="","",'KG1-2'!$C29)</f>
        <v/>
      </c>
      <c r="C1008">
        <f>IF(A1008="","",'KG1-2'!$B$2)</f>
        <v/>
      </c>
      <c r="D1008" s="126">
        <f t="array" ref="D1008">IF(A1008="","",IFERROR(SMALL(IF((('KG1-2'!$AD29:$IM29="غياب بدون عذر")+('KG1-2'!$AD29:$IM29="غياب بعذر"))*('KG1-2'!$AD$7:$IM$7="✓"),'KG1-2'!$AD$5:$IM$5),7),""))</f>
        <v/>
      </c>
      <c r="E1008">
        <f>IF(D1008="","",INDEX('KG1-2'!$AD29:$IM29,MATCH(D1008,'KG1-2'!$AD$5:$IM$5,0)))</f>
        <v/>
      </c>
      <c r="F1008">
        <f>IF(D1008="","",COUNTIFS('KG1-2'!$AD29:$IM29,"غياب بدون عذر",'KG1-2'!$AD$7:$IM$7,"✓",'KG1-2'!$AD$5:$IM$5,"&lt;="&amp;D1008))</f>
        <v/>
      </c>
      <c r="G1008">
        <f>G1007+IF(D1008="",0,1)</f>
        <v/>
      </c>
    </row>
    <row r="1009">
      <c r="A1009">
        <f>IF('KG1-2'!$B29="","",'KG1-2'!$B29)</f>
        <v/>
      </c>
      <c r="B1009">
        <f>IF(A1009="","",'KG1-2'!$C29)</f>
        <v/>
      </c>
      <c r="C1009">
        <f>IF(A1009="","",'KG1-2'!$B$2)</f>
        <v/>
      </c>
      <c r="D1009" s="126">
        <f t="array" ref="D1009">IF(A1009="","",IFERROR(SMALL(IF((('KG1-2'!$AD29:$IM29="غياب بدون عذر")+('KG1-2'!$AD29:$IM29="غياب بعذر"))*('KG1-2'!$AD$7:$IM$7="✓"),'KG1-2'!$AD$5:$IM$5),8),""))</f>
        <v/>
      </c>
      <c r="E1009">
        <f>IF(D1009="","",INDEX('KG1-2'!$AD29:$IM29,MATCH(D1009,'KG1-2'!$AD$5:$IM$5,0)))</f>
        <v/>
      </c>
      <c r="F1009">
        <f>IF(D1009="","",COUNTIFS('KG1-2'!$AD29:$IM29,"غياب بدون عذر",'KG1-2'!$AD$7:$IM$7,"✓",'KG1-2'!$AD$5:$IM$5,"&lt;="&amp;D1009))</f>
        <v/>
      </c>
      <c r="G1009">
        <f>G1008+IF(D1009="",0,1)</f>
        <v/>
      </c>
    </row>
    <row r="1010">
      <c r="A1010">
        <f>IF('KG1-2'!$B29="","",'KG1-2'!$B29)</f>
        <v/>
      </c>
      <c r="B1010">
        <f>IF(A1010="","",'KG1-2'!$C29)</f>
        <v/>
      </c>
      <c r="C1010">
        <f>IF(A1010="","",'KG1-2'!$B$2)</f>
        <v/>
      </c>
      <c r="D1010" s="126">
        <f t="array" ref="D1010">IF(A1010="","",IFERROR(SMALL(IF((('KG1-2'!$AD29:$IM29="غياب بدون عذر")+('KG1-2'!$AD29:$IM29="غياب بعذر"))*('KG1-2'!$AD$7:$IM$7="✓"),'KG1-2'!$AD$5:$IM$5),9),""))</f>
        <v/>
      </c>
      <c r="E1010">
        <f>IF(D1010="","",INDEX('KG1-2'!$AD29:$IM29,MATCH(D1010,'KG1-2'!$AD$5:$IM$5,0)))</f>
        <v/>
      </c>
      <c r="F1010">
        <f>IF(D1010="","",COUNTIFS('KG1-2'!$AD29:$IM29,"غياب بدون عذر",'KG1-2'!$AD$7:$IM$7,"✓",'KG1-2'!$AD$5:$IM$5,"&lt;="&amp;D1010))</f>
        <v/>
      </c>
      <c r="G1010">
        <f>G1009+IF(D1010="",0,1)</f>
        <v/>
      </c>
    </row>
    <row r="1011">
      <c r="A1011">
        <f>IF('KG1-2'!$B29="","",'KG1-2'!$B29)</f>
        <v/>
      </c>
      <c r="B1011">
        <f>IF(A1011="","",'KG1-2'!$C29)</f>
        <v/>
      </c>
      <c r="C1011">
        <f>IF(A1011="","",'KG1-2'!$B$2)</f>
        <v/>
      </c>
      <c r="D1011" s="126">
        <f t="array" ref="D1011">IF(A1011="","",IFERROR(SMALL(IF((('KG1-2'!$AD29:$IM29="غياب بدون عذر")+('KG1-2'!$AD29:$IM29="غياب بعذر"))*('KG1-2'!$AD$7:$IM$7="✓"),'KG1-2'!$AD$5:$IM$5),10),""))</f>
        <v/>
      </c>
      <c r="E1011">
        <f>IF(D1011="","",INDEX('KG1-2'!$AD29:$IM29,MATCH(D1011,'KG1-2'!$AD$5:$IM$5,0)))</f>
        <v/>
      </c>
      <c r="F1011">
        <f>IF(D1011="","",COUNTIFS('KG1-2'!$AD29:$IM29,"غياب بدون عذر",'KG1-2'!$AD$7:$IM$7,"✓",'KG1-2'!$AD$5:$IM$5,"&lt;="&amp;D1011))</f>
        <v/>
      </c>
      <c r="G1011">
        <f>G1010+IF(D1011="",0,1)</f>
        <v/>
      </c>
    </row>
    <row r="1012">
      <c r="A1012">
        <f>IF('KG1-2'!$B29="","",'KG1-2'!$B29)</f>
        <v/>
      </c>
      <c r="B1012">
        <f>IF(A1012="","",'KG1-2'!$C29)</f>
        <v/>
      </c>
      <c r="C1012">
        <f>IF(A1012="","",'KG1-2'!$B$2)</f>
        <v/>
      </c>
      <c r="D1012" s="126">
        <f t="array" ref="D1012">IF(A1012="","",IFERROR(SMALL(IF((('KG1-2'!$AD29:$IM29="غياب بدون عذر")+('KG1-2'!$AD29:$IM29="غياب بعذر"))*('KG1-2'!$AD$7:$IM$7="✓"),'KG1-2'!$AD$5:$IM$5),11),""))</f>
        <v/>
      </c>
      <c r="E1012">
        <f>IF(D1012="","",INDEX('KG1-2'!$AD29:$IM29,MATCH(D1012,'KG1-2'!$AD$5:$IM$5,0)))</f>
        <v/>
      </c>
      <c r="F1012">
        <f>IF(D1012="","",COUNTIFS('KG1-2'!$AD29:$IM29,"غياب بدون عذر",'KG1-2'!$AD$7:$IM$7,"✓",'KG1-2'!$AD$5:$IM$5,"&lt;="&amp;D1012))</f>
        <v/>
      </c>
      <c r="G1012">
        <f>G1011+IF(D1012="",0,1)</f>
        <v/>
      </c>
    </row>
    <row r="1013">
      <c r="A1013">
        <f>IF('KG1-2'!$B29="","",'KG1-2'!$B29)</f>
        <v/>
      </c>
      <c r="B1013">
        <f>IF(A1013="","",'KG1-2'!$C29)</f>
        <v/>
      </c>
      <c r="C1013">
        <f>IF(A1013="","",'KG1-2'!$B$2)</f>
        <v/>
      </c>
      <c r="D1013" s="126">
        <f t="array" ref="D1013">IF(A1013="","",IFERROR(SMALL(IF((('KG1-2'!$AD29:$IM29="غياب بدون عذر")+('KG1-2'!$AD29:$IM29="غياب بعذر"))*('KG1-2'!$AD$7:$IM$7="✓"),'KG1-2'!$AD$5:$IM$5),12),""))</f>
        <v/>
      </c>
      <c r="E1013">
        <f>IF(D1013="","",INDEX('KG1-2'!$AD29:$IM29,MATCH(D1013,'KG1-2'!$AD$5:$IM$5,0)))</f>
        <v/>
      </c>
      <c r="F1013">
        <f>IF(D1013="","",COUNTIFS('KG1-2'!$AD29:$IM29,"غياب بدون عذر",'KG1-2'!$AD$7:$IM$7,"✓",'KG1-2'!$AD$5:$IM$5,"&lt;="&amp;D1013))</f>
        <v/>
      </c>
      <c r="G1013">
        <f>G1012+IF(D1013="",0,1)</f>
        <v/>
      </c>
    </row>
    <row r="1014">
      <c r="A1014">
        <f>IF('KG1-2'!$B29="","",'KG1-2'!$B29)</f>
        <v/>
      </c>
      <c r="B1014">
        <f>IF(A1014="","",'KG1-2'!$C29)</f>
        <v/>
      </c>
      <c r="C1014">
        <f>IF(A1014="","",'KG1-2'!$B$2)</f>
        <v/>
      </c>
      <c r="D1014" s="126">
        <f t="array" ref="D1014">IF(A1014="","",IFERROR(SMALL(IF((('KG1-2'!$AD29:$IM29="غياب بدون عذر")+('KG1-2'!$AD29:$IM29="غياب بعذر"))*('KG1-2'!$AD$7:$IM$7="✓"),'KG1-2'!$AD$5:$IM$5),13),""))</f>
        <v/>
      </c>
      <c r="E1014">
        <f>IF(D1014="","",INDEX('KG1-2'!$AD29:$IM29,MATCH(D1014,'KG1-2'!$AD$5:$IM$5,0)))</f>
        <v/>
      </c>
      <c r="F1014">
        <f>IF(D1014="","",COUNTIFS('KG1-2'!$AD29:$IM29,"غياب بدون عذر",'KG1-2'!$AD$7:$IM$7,"✓",'KG1-2'!$AD$5:$IM$5,"&lt;="&amp;D1014))</f>
        <v/>
      </c>
      <c r="G1014">
        <f>G1013+IF(D1014="",0,1)</f>
        <v/>
      </c>
    </row>
    <row r="1015">
      <c r="A1015">
        <f>IF('KG1-2'!$B29="","",'KG1-2'!$B29)</f>
        <v/>
      </c>
      <c r="B1015">
        <f>IF(A1015="","",'KG1-2'!$C29)</f>
        <v/>
      </c>
      <c r="C1015">
        <f>IF(A1015="","",'KG1-2'!$B$2)</f>
        <v/>
      </c>
      <c r="D1015" s="126">
        <f t="array" ref="D1015">IF(A1015="","",IFERROR(SMALL(IF((('KG1-2'!$AD29:$IM29="غياب بدون عذر")+('KG1-2'!$AD29:$IM29="غياب بعذر"))*('KG1-2'!$AD$7:$IM$7="✓"),'KG1-2'!$AD$5:$IM$5),14),""))</f>
        <v/>
      </c>
      <c r="E1015">
        <f>IF(D1015="","",INDEX('KG1-2'!$AD29:$IM29,MATCH(D1015,'KG1-2'!$AD$5:$IM$5,0)))</f>
        <v/>
      </c>
      <c r="F1015">
        <f>IF(D1015="","",COUNTIFS('KG1-2'!$AD29:$IM29,"غياب بدون عذر",'KG1-2'!$AD$7:$IM$7,"✓",'KG1-2'!$AD$5:$IM$5,"&lt;="&amp;D1015))</f>
        <v/>
      </c>
      <c r="G1015">
        <f>G1014+IF(D1015="",0,1)</f>
        <v/>
      </c>
    </row>
    <row r="1016">
      <c r="A1016">
        <f>IF('KG1-2'!$B29="","",'KG1-2'!$B29)</f>
        <v/>
      </c>
      <c r="B1016">
        <f>IF(A1016="","",'KG1-2'!$C29)</f>
        <v/>
      </c>
      <c r="C1016">
        <f>IF(A1016="","",'KG1-2'!$B$2)</f>
        <v/>
      </c>
      <c r="D1016" s="126">
        <f t="array" ref="D1016">IF(A1016="","",IFERROR(SMALL(IF((('KG1-2'!$AD29:$IM29="غياب بدون عذر")+('KG1-2'!$AD29:$IM29="غياب بعذر"))*('KG1-2'!$AD$7:$IM$7="✓"),'KG1-2'!$AD$5:$IM$5),15),""))</f>
        <v/>
      </c>
      <c r="E1016">
        <f>IF(D1016="","",INDEX('KG1-2'!$AD29:$IM29,MATCH(D1016,'KG1-2'!$AD$5:$IM$5,0)))</f>
        <v/>
      </c>
      <c r="F1016">
        <f>IF(D1016="","",COUNTIFS('KG1-2'!$AD29:$IM29,"غياب بدون عذر",'KG1-2'!$AD$7:$IM$7,"✓",'KG1-2'!$AD$5:$IM$5,"&lt;="&amp;D1016))</f>
        <v/>
      </c>
      <c r="G1016">
        <f>G1015+IF(D1016="",0,1)</f>
        <v/>
      </c>
    </row>
    <row r="1017">
      <c r="A1017">
        <f>IF('KG1-2'!$B29="","",'KG1-2'!$B29)</f>
        <v/>
      </c>
      <c r="B1017">
        <f>IF(A1017="","",'KG1-2'!$C29)</f>
        <v/>
      </c>
      <c r="C1017">
        <f>IF(A1017="","",'KG1-2'!$B$2)</f>
        <v/>
      </c>
      <c r="D1017" s="126">
        <f t="array" ref="D1017">IF(A1017="","",IFERROR(SMALL(IF((('KG1-2'!$AD29:$IM29="غياب بدون عذر")+('KG1-2'!$AD29:$IM29="غياب بعذر"))*('KG1-2'!$AD$7:$IM$7="✓"),'KG1-2'!$AD$5:$IM$5),16),""))</f>
        <v/>
      </c>
      <c r="E1017">
        <f>IF(D1017="","",INDEX('KG1-2'!$AD29:$IM29,MATCH(D1017,'KG1-2'!$AD$5:$IM$5,0)))</f>
        <v/>
      </c>
      <c r="F1017">
        <f>IF(D1017="","",COUNTIFS('KG1-2'!$AD29:$IM29,"غياب بدون عذر",'KG1-2'!$AD$7:$IM$7,"✓",'KG1-2'!$AD$5:$IM$5,"&lt;="&amp;D1017))</f>
        <v/>
      </c>
      <c r="G1017">
        <f>G1016+IF(D1017="",0,1)</f>
        <v/>
      </c>
    </row>
    <row r="1018">
      <c r="A1018">
        <f>IF('KG1-2'!$B29="","",'KG1-2'!$B29)</f>
        <v/>
      </c>
      <c r="B1018">
        <f>IF(A1018="","",'KG1-2'!$C29)</f>
        <v/>
      </c>
      <c r="C1018">
        <f>IF(A1018="","",'KG1-2'!$B$2)</f>
        <v/>
      </c>
      <c r="D1018" s="126">
        <f t="array" ref="D1018">IF(A1018="","",IFERROR(SMALL(IF((('KG1-2'!$AD29:$IM29="غياب بدون عذر")+('KG1-2'!$AD29:$IM29="غياب بعذر"))*('KG1-2'!$AD$7:$IM$7="✓"),'KG1-2'!$AD$5:$IM$5),17),""))</f>
        <v/>
      </c>
      <c r="E1018">
        <f>IF(D1018="","",INDEX('KG1-2'!$AD29:$IM29,MATCH(D1018,'KG1-2'!$AD$5:$IM$5,0)))</f>
        <v/>
      </c>
      <c r="F1018">
        <f>IF(D1018="","",COUNTIFS('KG1-2'!$AD29:$IM29,"غياب بدون عذر",'KG1-2'!$AD$7:$IM$7,"✓",'KG1-2'!$AD$5:$IM$5,"&lt;="&amp;D1018))</f>
        <v/>
      </c>
      <c r="G1018">
        <f>G1017+IF(D1018="",0,1)</f>
        <v/>
      </c>
    </row>
    <row r="1019">
      <c r="A1019">
        <f>IF('KG1-2'!$B29="","",'KG1-2'!$B29)</f>
        <v/>
      </c>
      <c r="B1019">
        <f>IF(A1019="","",'KG1-2'!$C29)</f>
        <v/>
      </c>
      <c r="C1019">
        <f>IF(A1019="","",'KG1-2'!$B$2)</f>
        <v/>
      </c>
      <c r="D1019" s="126">
        <f t="array" ref="D1019">IF(A1019="","",IFERROR(SMALL(IF((('KG1-2'!$AD29:$IM29="غياب بدون عذر")+('KG1-2'!$AD29:$IM29="غياب بعذر"))*('KG1-2'!$AD$7:$IM$7="✓"),'KG1-2'!$AD$5:$IM$5),18),""))</f>
        <v/>
      </c>
      <c r="E1019">
        <f>IF(D1019="","",INDEX('KG1-2'!$AD29:$IM29,MATCH(D1019,'KG1-2'!$AD$5:$IM$5,0)))</f>
        <v/>
      </c>
      <c r="F1019">
        <f>IF(D1019="","",COUNTIFS('KG1-2'!$AD29:$IM29,"غياب بدون عذر",'KG1-2'!$AD$7:$IM$7,"✓",'KG1-2'!$AD$5:$IM$5,"&lt;="&amp;D1019))</f>
        <v/>
      </c>
      <c r="G1019">
        <f>G1018+IF(D1019="",0,1)</f>
        <v/>
      </c>
    </row>
    <row r="1020">
      <c r="A1020">
        <f>IF('KG1-2'!$B29="","",'KG1-2'!$B29)</f>
        <v/>
      </c>
      <c r="B1020">
        <f>IF(A1020="","",'KG1-2'!$C29)</f>
        <v/>
      </c>
      <c r="C1020">
        <f>IF(A1020="","",'KG1-2'!$B$2)</f>
        <v/>
      </c>
      <c r="D1020" s="126">
        <f t="array" ref="D1020">IF(A1020="","",IFERROR(SMALL(IF((('KG1-2'!$AD29:$IM29="غياب بدون عذر")+('KG1-2'!$AD29:$IM29="غياب بعذر"))*('KG1-2'!$AD$7:$IM$7="✓"),'KG1-2'!$AD$5:$IM$5),19),""))</f>
        <v/>
      </c>
      <c r="E1020">
        <f>IF(D1020="","",INDEX('KG1-2'!$AD29:$IM29,MATCH(D1020,'KG1-2'!$AD$5:$IM$5,0)))</f>
        <v/>
      </c>
      <c r="F1020">
        <f>IF(D1020="","",COUNTIFS('KG1-2'!$AD29:$IM29,"غياب بدون عذر",'KG1-2'!$AD$7:$IM$7,"✓",'KG1-2'!$AD$5:$IM$5,"&lt;="&amp;D1020))</f>
        <v/>
      </c>
      <c r="G1020">
        <f>G1019+IF(D1020="",0,1)</f>
        <v/>
      </c>
    </row>
    <row r="1021">
      <c r="A1021">
        <f>IF('KG1-2'!$B29="","",'KG1-2'!$B29)</f>
        <v/>
      </c>
      <c r="B1021">
        <f>IF(A1021="","",'KG1-2'!$C29)</f>
        <v/>
      </c>
      <c r="C1021">
        <f>IF(A1021="","",'KG1-2'!$B$2)</f>
        <v/>
      </c>
      <c r="D1021" s="126">
        <f t="array" ref="D1021">IF(A1021="","",IFERROR(SMALL(IF((('KG1-2'!$AD29:$IM29="غياب بدون عذر")+('KG1-2'!$AD29:$IM29="غياب بعذر"))*('KG1-2'!$AD$7:$IM$7="✓"),'KG1-2'!$AD$5:$IM$5),20),""))</f>
        <v/>
      </c>
      <c r="E1021">
        <f>IF(D1021="","",INDEX('KG1-2'!$AD29:$IM29,MATCH(D1021,'KG1-2'!$AD$5:$IM$5,0)))</f>
        <v/>
      </c>
      <c r="F1021">
        <f>IF(D1021="","",COUNTIFS('KG1-2'!$AD29:$IM29,"غياب بدون عذر",'KG1-2'!$AD$7:$IM$7,"✓",'KG1-2'!$AD$5:$IM$5,"&lt;="&amp;D1021))</f>
        <v/>
      </c>
      <c r="G1021">
        <f>G1020+IF(D1021="",0,1)</f>
        <v/>
      </c>
    </row>
    <row r="1022">
      <c r="A1022">
        <f>IF('KG1-2'!$B30="","",'KG1-2'!$B30)</f>
        <v/>
      </c>
      <c r="B1022">
        <f>IF(A1022="","",'KG1-2'!$C30)</f>
        <v/>
      </c>
      <c r="C1022">
        <f>IF(A1022="","",'KG1-2'!$B$2)</f>
        <v/>
      </c>
      <c r="D1022" s="126">
        <f t="array" ref="D1022">IF(A1022="","",IFERROR(SMALL(IF((('KG1-2'!$AD30:$IM30="غياب بدون عذر")+('KG1-2'!$AD30:$IM30="غياب بعذر"))*('KG1-2'!$AD$7:$IM$7="✓"),'KG1-2'!$AD$5:$IM$5),1),""))</f>
        <v/>
      </c>
      <c r="E1022">
        <f>IF(D1022="","",INDEX('KG1-2'!$AD30:$IM30,MATCH(D1022,'KG1-2'!$AD$5:$IM$5,0)))</f>
        <v/>
      </c>
      <c r="F1022">
        <f>IF(D1022="","",COUNTIFS('KG1-2'!$AD30:$IM30,"غياب بدون عذر",'KG1-2'!$AD$7:$IM$7,"✓",'KG1-2'!$AD$5:$IM$5,"&lt;="&amp;D1022))</f>
        <v/>
      </c>
      <c r="G1022">
        <f>G1021+IF(D1022="",0,1)</f>
        <v/>
      </c>
    </row>
    <row r="1023">
      <c r="A1023">
        <f>IF('KG1-2'!$B30="","",'KG1-2'!$B30)</f>
        <v/>
      </c>
      <c r="B1023">
        <f>IF(A1023="","",'KG1-2'!$C30)</f>
        <v/>
      </c>
      <c r="C1023">
        <f>IF(A1023="","",'KG1-2'!$B$2)</f>
        <v/>
      </c>
      <c r="D1023" s="126">
        <f t="array" ref="D1023">IF(A1023="","",IFERROR(SMALL(IF((('KG1-2'!$AD30:$IM30="غياب بدون عذر")+('KG1-2'!$AD30:$IM30="غياب بعذر"))*('KG1-2'!$AD$7:$IM$7="✓"),'KG1-2'!$AD$5:$IM$5),2),""))</f>
        <v/>
      </c>
      <c r="E1023">
        <f>IF(D1023="","",INDEX('KG1-2'!$AD30:$IM30,MATCH(D1023,'KG1-2'!$AD$5:$IM$5,0)))</f>
        <v/>
      </c>
      <c r="F1023">
        <f>IF(D1023="","",COUNTIFS('KG1-2'!$AD30:$IM30,"غياب بدون عذر",'KG1-2'!$AD$7:$IM$7,"✓",'KG1-2'!$AD$5:$IM$5,"&lt;="&amp;D1023))</f>
        <v/>
      </c>
      <c r="G1023">
        <f>G1022+IF(D1023="",0,1)</f>
        <v/>
      </c>
    </row>
    <row r="1024">
      <c r="A1024">
        <f>IF('KG1-2'!$B30="","",'KG1-2'!$B30)</f>
        <v/>
      </c>
      <c r="B1024">
        <f>IF(A1024="","",'KG1-2'!$C30)</f>
        <v/>
      </c>
      <c r="C1024">
        <f>IF(A1024="","",'KG1-2'!$B$2)</f>
        <v/>
      </c>
      <c r="D1024" s="126">
        <f t="array" ref="D1024">IF(A1024="","",IFERROR(SMALL(IF((('KG1-2'!$AD30:$IM30="غياب بدون عذر")+('KG1-2'!$AD30:$IM30="غياب بعذر"))*('KG1-2'!$AD$7:$IM$7="✓"),'KG1-2'!$AD$5:$IM$5),3),""))</f>
        <v/>
      </c>
      <c r="E1024">
        <f>IF(D1024="","",INDEX('KG1-2'!$AD30:$IM30,MATCH(D1024,'KG1-2'!$AD$5:$IM$5,0)))</f>
        <v/>
      </c>
      <c r="F1024">
        <f>IF(D1024="","",COUNTIFS('KG1-2'!$AD30:$IM30,"غياب بدون عذر",'KG1-2'!$AD$7:$IM$7,"✓",'KG1-2'!$AD$5:$IM$5,"&lt;="&amp;D1024))</f>
        <v/>
      </c>
      <c r="G1024">
        <f>G1023+IF(D1024="",0,1)</f>
        <v/>
      </c>
    </row>
    <row r="1025">
      <c r="A1025">
        <f>IF('KG1-2'!$B30="","",'KG1-2'!$B30)</f>
        <v/>
      </c>
      <c r="B1025">
        <f>IF(A1025="","",'KG1-2'!$C30)</f>
        <v/>
      </c>
      <c r="C1025">
        <f>IF(A1025="","",'KG1-2'!$B$2)</f>
        <v/>
      </c>
      <c r="D1025" s="126">
        <f t="array" ref="D1025">IF(A1025="","",IFERROR(SMALL(IF((('KG1-2'!$AD30:$IM30="غياب بدون عذر")+('KG1-2'!$AD30:$IM30="غياب بعذر"))*('KG1-2'!$AD$7:$IM$7="✓"),'KG1-2'!$AD$5:$IM$5),4),""))</f>
        <v/>
      </c>
      <c r="E1025">
        <f>IF(D1025="","",INDEX('KG1-2'!$AD30:$IM30,MATCH(D1025,'KG1-2'!$AD$5:$IM$5,0)))</f>
        <v/>
      </c>
      <c r="F1025">
        <f>IF(D1025="","",COUNTIFS('KG1-2'!$AD30:$IM30,"غياب بدون عذر",'KG1-2'!$AD$7:$IM$7,"✓",'KG1-2'!$AD$5:$IM$5,"&lt;="&amp;D1025))</f>
        <v/>
      </c>
      <c r="G1025">
        <f>G1024+IF(D1025="",0,1)</f>
        <v/>
      </c>
    </row>
    <row r="1026">
      <c r="A1026">
        <f>IF('KG1-2'!$B30="","",'KG1-2'!$B30)</f>
        <v/>
      </c>
      <c r="B1026">
        <f>IF(A1026="","",'KG1-2'!$C30)</f>
        <v/>
      </c>
      <c r="C1026">
        <f>IF(A1026="","",'KG1-2'!$B$2)</f>
        <v/>
      </c>
      <c r="D1026" s="126">
        <f t="array" ref="D1026">IF(A1026="","",IFERROR(SMALL(IF((('KG1-2'!$AD30:$IM30="غياب بدون عذر")+('KG1-2'!$AD30:$IM30="غياب بعذر"))*('KG1-2'!$AD$7:$IM$7="✓"),'KG1-2'!$AD$5:$IM$5),5),""))</f>
        <v/>
      </c>
      <c r="E1026">
        <f>IF(D1026="","",INDEX('KG1-2'!$AD30:$IM30,MATCH(D1026,'KG1-2'!$AD$5:$IM$5,0)))</f>
        <v/>
      </c>
      <c r="F1026">
        <f>IF(D1026="","",COUNTIFS('KG1-2'!$AD30:$IM30,"غياب بدون عذر",'KG1-2'!$AD$7:$IM$7,"✓",'KG1-2'!$AD$5:$IM$5,"&lt;="&amp;D1026))</f>
        <v/>
      </c>
      <c r="G1026">
        <f>G1025+IF(D1026="",0,1)</f>
        <v/>
      </c>
    </row>
    <row r="1027">
      <c r="A1027">
        <f>IF('KG1-2'!$B30="","",'KG1-2'!$B30)</f>
        <v/>
      </c>
      <c r="B1027">
        <f>IF(A1027="","",'KG1-2'!$C30)</f>
        <v/>
      </c>
      <c r="C1027">
        <f>IF(A1027="","",'KG1-2'!$B$2)</f>
        <v/>
      </c>
      <c r="D1027" s="126">
        <f t="array" ref="D1027">IF(A1027="","",IFERROR(SMALL(IF((('KG1-2'!$AD30:$IM30="غياب بدون عذر")+('KG1-2'!$AD30:$IM30="غياب بعذر"))*('KG1-2'!$AD$7:$IM$7="✓"),'KG1-2'!$AD$5:$IM$5),6),""))</f>
        <v/>
      </c>
      <c r="E1027">
        <f>IF(D1027="","",INDEX('KG1-2'!$AD30:$IM30,MATCH(D1027,'KG1-2'!$AD$5:$IM$5,0)))</f>
        <v/>
      </c>
      <c r="F1027">
        <f>IF(D1027="","",COUNTIFS('KG1-2'!$AD30:$IM30,"غياب بدون عذر",'KG1-2'!$AD$7:$IM$7,"✓",'KG1-2'!$AD$5:$IM$5,"&lt;="&amp;D1027))</f>
        <v/>
      </c>
      <c r="G1027">
        <f>G1026+IF(D1027="",0,1)</f>
        <v/>
      </c>
    </row>
    <row r="1028">
      <c r="A1028">
        <f>IF('KG1-2'!$B30="","",'KG1-2'!$B30)</f>
        <v/>
      </c>
      <c r="B1028">
        <f>IF(A1028="","",'KG1-2'!$C30)</f>
        <v/>
      </c>
      <c r="C1028">
        <f>IF(A1028="","",'KG1-2'!$B$2)</f>
        <v/>
      </c>
      <c r="D1028" s="126">
        <f t="array" ref="D1028">IF(A1028="","",IFERROR(SMALL(IF((('KG1-2'!$AD30:$IM30="غياب بدون عذر")+('KG1-2'!$AD30:$IM30="غياب بعذر"))*('KG1-2'!$AD$7:$IM$7="✓"),'KG1-2'!$AD$5:$IM$5),7),""))</f>
        <v/>
      </c>
      <c r="E1028">
        <f>IF(D1028="","",INDEX('KG1-2'!$AD30:$IM30,MATCH(D1028,'KG1-2'!$AD$5:$IM$5,0)))</f>
        <v/>
      </c>
      <c r="F1028">
        <f>IF(D1028="","",COUNTIFS('KG1-2'!$AD30:$IM30,"غياب بدون عذر",'KG1-2'!$AD$7:$IM$7,"✓",'KG1-2'!$AD$5:$IM$5,"&lt;="&amp;D1028))</f>
        <v/>
      </c>
      <c r="G1028">
        <f>G1027+IF(D1028="",0,1)</f>
        <v/>
      </c>
    </row>
    <row r="1029">
      <c r="A1029">
        <f>IF('KG1-2'!$B30="","",'KG1-2'!$B30)</f>
        <v/>
      </c>
      <c r="B1029">
        <f>IF(A1029="","",'KG1-2'!$C30)</f>
        <v/>
      </c>
      <c r="C1029">
        <f>IF(A1029="","",'KG1-2'!$B$2)</f>
        <v/>
      </c>
      <c r="D1029" s="126">
        <f t="array" ref="D1029">IF(A1029="","",IFERROR(SMALL(IF((('KG1-2'!$AD30:$IM30="غياب بدون عذر")+('KG1-2'!$AD30:$IM30="غياب بعذر"))*('KG1-2'!$AD$7:$IM$7="✓"),'KG1-2'!$AD$5:$IM$5),8),""))</f>
        <v/>
      </c>
      <c r="E1029">
        <f>IF(D1029="","",INDEX('KG1-2'!$AD30:$IM30,MATCH(D1029,'KG1-2'!$AD$5:$IM$5,0)))</f>
        <v/>
      </c>
      <c r="F1029">
        <f>IF(D1029="","",COUNTIFS('KG1-2'!$AD30:$IM30,"غياب بدون عذر",'KG1-2'!$AD$7:$IM$7,"✓",'KG1-2'!$AD$5:$IM$5,"&lt;="&amp;D1029))</f>
        <v/>
      </c>
      <c r="G1029">
        <f>G1028+IF(D1029="",0,1)</f>
        <v/>
      </c>
    </row>
    <row r="1030">
      <c r="A1030">
        <f>IF('KG1-2'!$B30="","",'KG1-2'!$B30)</f>
        <v/>
      </c>
      <c r="B1030">
        <f>IF(A1030="","",'KG1-2'!$C30)</f>
        <v/>
      </c>
      <c r="C1030">
        <f>IF(A1030="","",'KG1-2'!$B$2)</f>
        <v/>
      </c>
      <c r="D1030" s="126">
        <f t="array" ref="D1030">IF(A1030="","",IFERROR(SMALL(IF((('KG1-2'!$AD30:$IM30="غياب بدون عذر")+('KG1-2'!$AD30:$IM30="غياب بعذر"))*('KG1-2'!$AD$7:$IM$7="✓"),'KG1-2'!$AD$5:$IM$5),9),""))</f>
        <v/>
      </c>
      <c r="E1030">
        <f>IF(D1030="","",INDEX('KG1-2'!$AD30:$IM30,MATCH(D1030,'KG1-2'!$AD$5:$IM$5,0)))</f>
        <v/>
      </c>
      <c r="F1030">
        <f>IF(D1030="","",COUNTIFS('KG1-2'!$AD30:$IM30,"غياب بدون عذر",'KG1-2'!$AD$7:$IM$7,"✓",'KG1-2'!$AD$5:$IM$5,"&lt;="&amp;D1030))</f>
        <v/>
      </c>
      <c r="G1030">
        <f>G1029+IF(D1030="",0,1)</f>
        <v/>
      </c>
    </row>
    <row r="1031">
      <c r="A1031">
        <f>IF('KG1-2'!$B30="","",'KG1-2'!$B30)</f>
        <v/>
      </c>
      <c r="B1031">
        <f>IF(A1031="","",'KG1-2'!$C30)</f>
        <v/>
      </c>
      <c r="C1031">
        <f>IF(A1031="","",'KG1-2'!$B$2)</f>
        <v/>
      </c>
      <c r="D1031" s="126">
        <f t="array" ref="D1031">IF(A1031="","",IFERROR(SMALL(IF((('KG1-2'!$AD30:$IM30="غياب بدون عذر")+('KG1-2'!$AD30:$IM30="غياب بعذر"))*('KG1-2'!$AD$7:$IM$7="✓"),'KG1-2'!$AD$5:$IM$5),10),""))</f>
        <v/>
      </c>
      <c r="E1031">
        <f>IF(D1031="","",INDEX('KG1-2'!$AD30:$IM30,MATCH(D1031,'KG1-2'!$AD$5:$IM$5,0)))</f>
        <v/>
      </c>
      <c r="F1031">
        <f>IF(D1031="","",COUNTIFS('KG1-2'!$AD30:$IM30,"غياب بدون عذر",'KG1-2'!$AD$7:$IM$7,"✓",'KG1-2'!$AD$5:$IM$5,"&lt;="&amp;D1031))</f>
        <v/>
      </c>
      <c r="G1031">
        <f>G1030+IF(D1031="",0,1)</f>
        <v/>
      </c>
    </row>
    <row r="1032">
      <c r="A1032">
        <f>IF('KG1-2'!$B30="","",'KG1-2'!$B30)</f>
        <v/>
      </c>
      <c r="B1032">
        <f>IF(A1032="","",'KG1-2'!$C30)</f>
        <v/>
      </c>
      <c r="C1032">
        <f>IF(A1032="","",'KG1-2'!$B$2)</f>
        <v/>
      </c>
      <c r="D1032" s="126">
        <f t="array" ref="D1032">IF(A1032="","",IFERROR(SMALL(IF((('KG1-2'!$AD30:$IM30="غياب بدون عذر")+('KG1-2'!$AD30:$IM30="غياب بعذر"))*('KG1-2'!$AD$7:$IM$7="✓"),'KG1-2'!$AD$5:$IM$5),11),""))</f>
        <v/>
      </c>
      <c r="E1032">
        <f>IF(D1032="","",INDEX('KG1-2'!$AD30:$IM30,MATCH(D1032,'KG1-2'!$AD$5:$IM$5,0)))</f>
        <v/>
      </c>
      <c r="F1032">
        <f>IF(D1032="","",COUNTIFS('KG1-2'!$AD30:$IM30,"غياب بدون عذر",'KG1-2'!$AD$7:$IM$7,"✓",'KG1-2'!$AD$5:$IM$5,"&lt;="&amp;D1032))</f>
        <v/>
      </c>
      <c r="G1032">
        <f>G1031+IF(D1032="",0,1)</f>
        <v/>
      </c>
    </row>
    <row r="1033">
      <c r="A1033">
        <f>IF('KG1-2'!$B30="","",'KG1-2'!$B30)</f>
        <v/>
      </c>
      <c r="B1033">
        <f>IF(A1033="","",'KG1-2'!$C30)</f>
        <v/>
      </c>
      <c r="C1033">
        <f>IF(A1033="","",'KG1-2'!$B$2)</f>
        <v/>
      </c>
      <c r="D1033" s="126">
        <f t="array" ref="D1033">IF(A1033="","",IFERROR(SMALL(IF((('KG1-2'!$AD30:$IM30="غياب بدون عذر")+('KG1-2'!$AD30:$IM30="غياب بعذر"))*('KG1-2'!$AD$7:$IM$7="✓"),'KG1-2'!$AD$5:$IM$5),12),""))</f>
        <v/>
      </c>
      <c r="E1033">
        <f>IF(D1033="","",INDEX('KG1-2'!$AD30:$IM30,MATCH(D1033,'KG1-2'!$AD$5:$IM$5,0)))</f>
        <v/>
      </c>
      <c r="F1033">
        <f>IF(D1033="","",COUNTIFS('KG1-2'!$AD30:$IM30,"غياب بدون عذر",'KG1-2'!$AD$7:$IM$7,"✓",'KG1-2'!$AD$5:$IM$5,"&lt;="&amp;D1033))</f>
        <v/>
      </c>
      <c r="G1033">
        <f>G1032+IF(D1033="",0,1)</f>
        <v/>
      </c>
    </row>
    <row r="1034">
      <c r="A1034">
        <f>IF('KG1-2'!$B30="","",'KG1-2'!$B30)</f>
        <v/>
      </c>
      <c r="B1034">
        <f>IF(A1034="","",'KG1-2'!$C30)</f>
        <v/>
      </c>
      <c r="C1034">
        <f>IF(A1034="","",'KG1-2'!$B$2)</f>
        <v/>
      </c>
      <c r="D1034" s="126">
        <f t="array" ref="D1034">IF(A1034="","",IFERROR(SMALL(IF((('KG1-2'!$AD30:$IM30="غياب بدون عذر")+('KG1-2'!$AD30:$IM30="غياب بعذر"))*('KG1-2'!$AD$7:$IM$7="✓"),'KG1-2'!$AD$5:$IM$5),13),""))</f>
        <v/>
      </c>
      <c r="E1034">
        <f>IF(D1034="","",INDEX('KG1-2'!$AD30:$IM30,MATCH(D1034,'KG1-2'!$AD$5:$IM$5,0)))</f>
        <v/>
      </c>
      <c r="F1034">
        <f>IF(D1034="","",COUNTIFS('KG1-2'!$AD30:$IM30,"غياب بدون عذر",'KG1-2'!$AD$7:$IM$7,"✓",'KG1-2'!$AD$5:$IM$5,"&lt;="&amp;D1034))</f>
        <v/>
      </c>
      <c r="G1034">
        <f>G1033+IF(D1034="",0,1)</f>
        <v/>
      </c>
    </row>
    <row r="1035">
      <c r="A1035">
        <f>IF('KG1-2'!$B30="","",'KG1-2'!$B30)</f>
        <v/>
      </c>
      <c r="B1035">
        <f>IF(A1035="","",'KG1-2'!$C30)</f>
        <v/>
      </c>
      <c r="C1035">
        <f>IF(A1035="","",'KG1-2'!$B$2)</f>
        <v/>
      </c>
      <c r="D1035" s="126">
        <f t="array" ref="D1035">IF(A1035="","",IFERROR(SMALL(IF((('KG1-2'!$AD30:$IM30="غياب بدون عذر")+('KG1-2'!$AD30:$IM30="غياب بعذر"))*('KG1-2'!$AD$7:$IM$7="✓"),'KG1-2'!$AD$5:$IM$5),14),""))</f>
        <v/>
      </c>
      <c r="E1035">
        <f>IF(D1035="","",INDEX('KG1-2'!$AD30:$IM30,MATCH(D1035,'KG1-2'!$AD$5:$IM$5,0)))</f>
        <v/>
      </c>
      <c r="F1035">
        <f>IF(D1035="","",COUNTIFS('KG1-2'!$AD30:$IM30,"غياب بدون عذر",'KG1-2'!$AD$7:$IM$7,"✓",'KG1-2'!$AD$5:$IM$5,"&lt;="&amp;D1035))</f>
        <v/>
      </c>
      <c r="G1035">
        <f>G1034+IF(D1035="",0,1)</f>
        <v/>
      </c>
    </row>
    <row r="1036">
      <c r="A1036">
        <f>IF('KG1-2'!$B30="","",'KG1-2'!$B30)</f>
        <v/>
      </c>
      <c r="B1036">
        <f>IF(A1036="","",'KG1-2'!$C30)</f>
        <v/>
      </c>
      <c r="C1036">
        <f>IF(A1036="","",'KG1-2'!$B$2)</f>
        <v/>
      </c>
      <c r="D1036" s="126">
        <f t="array" ref="D1036">IF(A1036="","",IFERROR(SMALL(IF((('KG1-2'!$AD30:$IM30="غياب بدون عذر")+('KG1-2'!$AD30:$IM30="غياب بعذر"))*('KG1-2'!$AD$7:$IM$7="✓"),'KG1-2'!$AD$5:$IM$5),15),""))</f>
        <v/>
      </c>
      <c r="E1036">
        <f>IF(D1036="","",INDEX('KG1-2'!$AD30:$IM30,MATCH(D1036,'KG1-2'!$AD$5:$IM$5,0)))</f>
        <v/>
      </c>
      <c r="F1036">
        <f>IF(D1036="","",COUNTIFS('KG1-2'!$AD30:$IM30,"غياب بدون عذر",'KG1-2'!$AD$7:$IM$7,"✓",'KG1-2'!$AD$5:$IM$5,"&lt;="&amp;D1036))</f>
        <v/>
      </c>
      <c r="G1036">
        <f>G1035+IF(D1036="",0,1)</f>
        <v/>
      </c>
    </row>
    <row r="1037">
      <c r="A1037">
        <f>IF('KG1-2'!$B30="","",'KG1-2'!$B30)</f>
        <v/>
      </c>
      <c r="B1037">
        <f>IF(A1037="","",'KG1-2'!$C30)</f>
        <v/>
      </c>
      <c r="C1037">
        <f>IF(A1037="","",'KG1-2'!$B$2)</f>
        <v/>
      </c>
      <c r="D1037" s="126">
        <f t="array" ref="D1037">IF(A1037="","",IFERROR(SMALL(IF((('KG1-2'!$AD30:$IM30="غياب بدون عذر")+('KG1-2'!$AD30:$IM30="غياب بعذر"))*('KG1-2'!$AD$7:$IM$7="✓"),'KG1-2'!$AD$5:$IM$5),16),""))</f>
        <v/>
      </c>
      <c r="E1037">
        <f>IF(D1037="","",INDEX('KG1-2'!$AD30:$IM30,MATCH(D1037,'KG1-2'!$AD$5:$IM$5,0)))</f>
        <v/>
      </c>
      <c r="F1037">
        <f>IF(D1037="","",COUNTIFS('KG1-2'!$AD30:$IM30,"غياب بدون عذر",'KG1-2'!$AD$7:$IM$7,"✓",'KG1-2'!$AD$5:$IM$5,"&lt;="&amp;D1037))</f>
        <v/>
      </c>
      <c r="G1037">
        <f>G1036+IF(D1037="",0,1)</f>
        <v/>
      </c>
    </row>
    <row r="1038">
      <c r="A1038">
        <f>IF('KG1-2'!$B30="","",'KG1-2'!$B30)</f>
        <v/>
      </c>
      <c r="B1038">
        <f>IF(A1038="","",'KG1-2'!$C30)</f>
        <v/>
      </c>
      <c r="C1038">
        <f>IF(A1038="","",'KG1-2'!$B$2)</f>
        <v/>
      </c>
      <c r="D1038" s="126">
        <f t="array" ref="D1038">IF(A1038="","",IFERROR(SMALL(IF((('KG1-2'!$AD30:$IM30="غياب بدون عذر")+('KG1-2'!$AD30:$IM30="غياب بعذر"))*('KG1-2'!$AD$7:$IM$7="✓"),'KG1-2'!$AD$5:$IM$5),17),""))</f>
        <v/>
      </c>
      <c r="E1038">
        <f>IF(D1038="","",INDEX('KG1-2'!$AD30:$IM30,MATCH(D1038,'KG1-2'!$AD$5:$IM$5,0)))</f>
        <v/>
      </c>
      <c r="F1038">
        <f>IF(D1038="","",COUNTIFS('KG1-2'!$AD30:$IM30,"غياب بدون عذر",'KG1-2'!$AD$7:$IM$7,"✓",'KG1-2'!$AD$5:$IM$5,"&lt;="&amp;D1038))</f>
        <v/>
      </c>
      <c r="G1038">
        <f>G1037+IF(D1038="",0,1)</f>
        <v/>
      </c>
    </row>
    <row r="1039">
      <c r="A1039">
        <f>IF('KG1-2'!$B30="","",'KG1-2'!$B30)</f>
        <v/>
      </c>
      <c r="B1039">
        <f>IF(A1039="","",'KG1-2'!$C30)</f>
        <v/>
      </c>
      <c r="C1039">
        <f>IF(A1039="","",'KG1-2'!$B$2)</f>
        <v/>
      </c>
      <c r="D1039" s="126">
        <f t="array" ref="D1039">IF(A1039="","",IFERROR(SMALL(IF((('KG1-2'!$AD30:$IM30="غياب بدون عذر")+('KG1-2'!$AD30:$IM30="غياب بعذر"))*('KG1-2'!$AD$7:$IM$7="✓"),'KG1-2'!$AD$5:$IM$5),18),""))</f>
        <v/>
      </c>
      <c r="E1039">
        <f>IF(D1039="","",INDEX('KG1-2'!$AD30:$IM30,MATCH(D1039,'KG1-2'!$AD$5:$IM$5,0)))</f>
        <v/>
      </c>
      <c r="F1039">
        <f>IF(D1039="","",COUNTIFS('KG1-2'!$AD30:$IM30,"غياب بدون عذر",'KG1-2'!$AD$7:$IM$7,"✓",'KG1-2'!$AD$5:$IM$5,"&lt;="&amp;D1039))</f>
        <v/>
      </c>
      <c r="G1039">
        <f>G1038+IF(D1039="",0,1)</f>
        <v/>
      </c>
    </row>
    <row r="1040">
      <c r="A1040">
        <f>IF('KG1-2'!$B30="","",'KG1-2'!$B30)</f>
        <v/>
      </c>
      <c r="B1040">
        <f>IF(A1040="","",'KG1-2'!$C30)</f>
        <v/>
      </c>
      <c r="C1040">
        <f>IF(A1040="","",'KG1-2'!$B$2)</f>
        <v/>
      </c>
      <c r="D1040" s="126">
        <f t="array" ref="D1040">IF(A1040="","",IFERROR(SMALL(IF((('KG1-2'!$AD30:$IM30="غياب بدون عذر")+('KG1-2'!$AD30:$IM30="غياب بعذر"))*('KG1-2'!$AD$7:$IM$7="✓"),'KG1-2'!$AD$5:$IM$5),19),""))</f>
        <v/>
      </c>
      <c r="E1040">
        <f>IF(D1040="","",INDEX('KG1-2'!$AD30:$IM30,MATCH(D1040,'KG1-2'!$AD$5:$IM$5,0)))</f>
        <v/>
      </c>
      <c r="F1040">
        <f>IF(D1040="","",COUNTIFS('KG1-2'!$AD30:$IM30,"غياب بدون عذر",'KG1-2'!$AD$7:$IM$7,"✓",'KG1-2'!$AD$5:$IM$5,"&lt;="&amp;D1040))</f>
        <v/>
      </c>
      <c r="G1040">
        <f>G1039+IF(D1040="",0,1)</f>
        <v/>
      </c>
    </row>
    <row r="1041">
      <c r="A1041">
        <f>IF('KG1-2'!$B30="","",'KG1-2'!$B30)</f>
        <v/>
      </c>
      <c r="B1041">
        <f>IF(A1041="","",'KG1-2'!$C30)</f>
        <v/>
      </c>
      <c r="C1041">
        <f>IF(A1041="","",'KG1-2'!$B$2)</f>
        <v/>
      </c>
      <c r="D1041" s="126">
        <f t="array" ref="D1041">IF(A1041="","",IFERROR(SMALL(IF((('KG1-2'!$AD30:$IM30="غياب بدون عذر")+('KG1-2'!$AD30:$IM30="غياب بعذر"))*('KG1-2'!$AD$7:$IM$7="✓"),'KG1-2'!$AD$5:$IM$5),20),""))</f>
        <v/>
      </c>
      <c r="E1041">
        <f>IF(D1041="","",INDEX('KG1-2'!$AD30:$IM30,MATCH(D1041,'KG1-2'!$AD$5:$IM$5,0)))</f>
        <v/>
      </c>
      <c r="F1041">
        <f>IF(D1041="","",COUNTIFS('KG1-2'!$AD30:$IM30,"غياب بدون عذر",'KG1-2'!$AD$7:$IM$7,"✓",'KG1-2'!$AD$5:$IM$5,"&lt;="&amp;D1041))</f>
        <v/>
      </c>
      <c r="G1041">
        <f>G1040+IF(D1041="",0,1)</f>
        <v/>
      </c>
    </row>
    <row r="1042">
      <c r="A1042">
        <f>IF('KG1-2'!$B31="","",'KG1-2'!$B31)</f>
        <v/>
      </c>
      <c r="B1042">
        <f>IF(A1042="","",'KG1-2'!$C31)</f>
        <v/>
      </c>
      <c r="C1042">
        <f>IF(A1042="","",'KG1-2'!$B$2)</f>
        <v/>
      </c>
      <c r="D1042" s="126">
        <f t="array" ref="D1042">IF(A1042="","",IFERROR(SMALL(IF((('KG1-2'!$AD31:$IM31="غياب بدون عذر")+('KG1-2'!$AD31:$IM31="غياب بعذر"))*('KG1-2'!$AD$7:$IM$7="✓"),'KG1-2'!$AD$5:$IM$5),1),""))</f>
        <v/>
      </c>
      <c r="E1042">
        <f>IF(D1042="","",INDEX('KG1-2'!$AD31:$IM31,MATCH(D1042,'KG1-2'!$AD$5:$IM$5,0)))</f>
        <v/>
      </c>
      <c r="F1042">
        <f>IF(D1042="","",COUNTIFS('KG1-2'!$AD31:$IM31,"غياب بدون عذر",'KG1-2'!$AD$7:$IM$7,"✓",'KG1-2'!$AD$5:$IM$5,"&lt;="&amp;D1042))</f>
        <v/>
      </c>
      <c r="G1042">
        <f>G1041+IF(D1042="",0,1)</f>
        <v/>
      </c>
    </row>
    <row r="1043">
      <c r="A1043">
        <f>IF('KG1-2'!$B31="","",'KG1-2'!$B31)</f>
        <v/>
      </c>
      <c r="B1043">
        <f>IF(A1043="","",'KG1-2'!$C31)</f>
        <v/>
      </c>
      <c r="C1043">
        <f>IF(A1043="","",'KG1-2'!$B$2)</f>
        <v/>
      </c>
      <c r="D1043" s="126">
        <f t="array" ref="D1043">IF(A1043="","",IFERROR(SMALL(IF((('KG1-2'!$AD31:$IM31="غياب بدون عذر")+('KG1-2'!$AD31:$IM31="غياب بعذر"))*('KG1-2'!$AD$7:$IM$7="✓"),'KG1-2'!$AD$5:$IM$5),2),""))</f>
        <v/>
      </c>
      <c r="E1043">
        <f>IF(D1043="","",INDEX('KG1-2'!$AD31:$IM31,MATCH(D1043,'KG1-2'!$AD$5:$IM$5,0)))</f>
        <v/>
      </c>
      <c r="F1043">
        <f>IF(D1043="","",COUNTIFS('KG1-2'!$AD31:$IM31,"غياب بدون عذر",'KG1-2'!$AD$7:$IM$7,"✓",'KG1-2'!$AD$5:$IM$5,"&lt;="&amp;D1043))</f>
        <v/>
      </c>
      <c r="G1043">
        <f>G1042+IF(D1043="",0,1)</f>
        <v/>
      </c>
    </row>
    <row r="1044">
      <c r="A1044">
        <f>IF('KG1-2'!$B31="","",'KG1-2'!$B31)</f>
        <v/>
      </c>
      <c r="B1044">
        <f>IF(A1044="","",'KG1-2'!$C31)</f>
        <v/>
      </c>
      <c r="C1044">
        <f>IF(A1044="","",'KG1-2'!$B$2)</f>
        <v/>
      </c>
      <c r="D1044" s="126">
        <f t="array" ref="D1044">IF(A1044="","",IFERROR(SMALL(IF((('KG1-2'!$AD31:$IM31="غياب بدون عذر")+('KG1-2'!$AD31:$IM31="غياب بعذر"))*('KG1-2'!$AD$7:$IM$7="✓"),'KG1-2'!$AD$5:$IM$5),3),""))</f>
        <v/>
      </c>
      <c r="E1044">
        <f>IF(D1044="","",INDEX('KG1-2'!$AD31:$IM31,MATCH(D1044,'KG1-2'!$AD$5:$IM$5,0)))</f>
        <v/>
      </c>
      <c r="F1044">
        <f>IF(D1044="","",COUNTIFS('KG1-2'!$AD31:$IM31,"غياب بدون عذر",'KG1-2'!$AD$7:$IM$7,"✓",'KG1-2'!$AD$5:$IM$5,"&lt;="&amp;D1044))</f>
        <v/>
      </c>
      <c r="G1044">
        <f>G1043+IF(D1044="",0,1)</f>
        <v/>
      </c>
    </row>
    <row r="1045">
      <c r="A1045">
        <f>IF('KG1-2'!$B31="","",'KG1-2'!$B31)</f>
        <v/>
      </c>
      <c r="B1045">
        <f>IF(A1045="","",'KG1-2'!$C31)</f>
        <v/>
      </c>
      <c r="C1045">
        <f>IF(A1045="","",'KG1-2'!$B$2)</f>
        <v/>
      </c>
      <c r="D1045" s="126">
        <f t="array" ref="D1045">IF(A1045="","",IFERROR(SMALL(IF((('KG1-2'!$AD31:$IM31="غياب بدون عذر")+('KG1-2'!$AD31:$IM31="غياب بعذر"))*('KG1-2'!$AD$7:$IM$7="✓"),'KG1-2'!$AD$5:$IM$5),4),""))</f>
        <v/>
      </c>
      <c r="E1045">
        <f>IF(D1045="","",INDEX('KG1-2'!$AD31:$IM31,MATCH(D1045,'KG1-2'!$AD$5:$IM$5,0)))</f>
        <v/>
      </c>
      <c r="F1045">
        <f>IF(D1045="","",COUNTIFS('KG1-2'!$AD31:$IM31,"غياب بدون عذر",'KG1-2'!$AD$7:$IM$7,"✓",'KG1-2'!$AD$5:$IM$5,"&lt;="&amp;D1045))</f>
        <v/>
      </c>
      <c r="G1045">
        <f>G1044+IF(D1045="",0,1)</f>
        <v/>
      </c>
    </row>
    <row r="1046">
      <c r="A1046">
        <f>IF('KG1-2'!$B31="","",'KG1-2'!$B31)</f>
        <v/>
      </c>
      <c r="B1046">
        <f>IF(A1046="","",'KG1-2'!$C31)</f>
        <v/>
      </c>
      <c r="C1046">
        <f>IF(A1046="","",'KG1-2'!$B$2)</f>
        <v/>
      </c>
      <c r="D1046" s="126">
        <f t="array" ref="D1046">IF(A1046="","",IFERROR(SMALL(IF((('KG1-2'!$AD31:$IM31="غياب بدون عذر")+('KG1-2'!$AD31:$IM31="غياب بعذر"))*('KG1-2'!$AD$7:$IM$7="✓"),'KG1-2'!$AD$5:$IM$5),5),""))</f>
        <v/>
      </c>
      <c r="E1046">
        <f>IF(D1046="","",INDEX('KG1-2'!$AD31:$IM31,MATCH(D1046,'KG1-2'!$AD$5:$IM$5,0)))</f>
        <v/>
      </c>
      <c r="F1046">
        <f>IF(D1046="","",COUNTIFS('KG1-2'!$AD31:$IM31,"غياب بدون عذر",'KG1-2'!$AD$7:$IM$7,"✓",'KG1-2'!$AD$5:$IM$5,"&lt;="&amp;D1046))</f>
        <v/>
      </c>
      <c r="G1046">
        <f>G1045+IF(D1046="",0,1)</f>
        <v/>
      </c>
    </row>
    <row r="1047">
      <c r="A1047">
        <f>IF('KG1-2'!$B31="","",'KG1-2'!$B31)</f>
        <v/>
      </c>
      <c r="B1047">
        <f>IF(A1047="","",'KG1-2'!$C31)</f>
        <v/>
      </c>
      <c r="C1047">
        <f>IF(A1047="","",'KG1-2'!$B$2)</f>
        <v/>
      </c>
      <c r="D1047" s="126">
        <f t="array" ref="D1047">IF(A1047="","",IFERROR(SMALL(IF((('KG1-2'!$AD31:$IM31="غياب بدون عذر")+('KG1-2'!$AD31:$IM31="غياب بعذر"))*('KG1-2'!$AD$7:$IM$7="✓"),'KG1-2'!$AD$5:$IM$5),6),""))</f>
        <v/>
      </c>
      <c r="E1047">
        <f>IF(D1047="","",INDEX('KG1-2'!$AD31:$IM31,MATCH(D1047,'KG1-2'!$AD$5:$IM$5,0)))</f>
        <v/>
      </c>
      <c r="F1047">
        <f>IF(D1047="","",COUNTIFS('KG1-2'!$AD31:$IM31,"غياب بدون عذر",'KG1-2'!$AD$7:$IM$7,"✓",'KG1-2'!$AD$5:$IM$5,"&lt;="&amp;D1047))</f>
        <v/>
      </c>
      <c r="G1047">
        <f>G1046+IF(D1047="",0,1)</f>
        <v/>
      </c>
    </row>
    <row r="1048">
      <c r="A1048">
        <f>IF('KG1-2'!$B31="","",'KG1-2'!$B31)</f>
        <v/>
      </c>
      <c r="B1048">
        <f>IF(A1048="","",'KG1-2'!$C31)</f>
        <v/>
      </c>
      <c r="C1048">
        <f>IF(A1048="","",'KG1-2'!$B$2)</f>
        <v/>
      </c>
      <c r="D1048" s="126">
        <f t="array" ref="D1048">IF(A1048="","",IFERROR(SMALL(IF((('KG1-2'!$AD31:$IM31="غياب بدون عذر")+('KG1-2'!$AD31:$IM31="غياب بعذر"))*('KG1-2'!$AD$7:$IM$7="✓"),'KG1-2'!$AD$5:$IM$5),7),""))</f>
        <v/>
      </c>
      <c r="E1048">
        <f>IF(D1048="","",INDEX('KG1-2'!$AD31:$IM31,MATCH(D1048,'KG1-2'!$AD$5:$IM$5,0)))</f>
        <v/>
      </c>
      <c r="F1048">
        <f>IF(D1048="","",COUNTIFS('KG1-2'!$AD31:$IM31,"غياب بدون عذر",'KG1-2'!$AD$7:$IM$7,"✓",'KG1-2'!$AD$5:$IM$5,"&lt;="&amp;D1048))</f>
        <v/>
      </c>
      <c r="G1048">
        <f>G1047+IF(D1048="",0,1)</f>
        <v/>
      </c>
    </row>
    <row r="1049">
      <c r="A1049">
        <f>IF('KG1-2'!$B31="","",'KG1-2'!$B31)</f>
        <v/>
      </c>
      <c r="B1049">
        <f>IF(A1049="","",'KG1-2'!$C31)</f>
        <v/>
      </c>
      <c r="C1049">
        <f>IF(A1049="","",'KG1-2'!$B$2)</f>
        <v/>
      </c>
      <c r="D1049" s="126">
        <f t="array" ref="D1049">IF(A1049="","",IFERROR(SMALL(IF((('KG1-2'!$AD31:$IM31="غياب بدون عذر")+('KG1-2'!$AD31:$IM31="غياب بعذر"))*('KG1-2'!$AD$7:$IM$7="✓"),'KG1-2'!$AD$5:$IM$5),8),""))</f>
        <v/>
      </c>
      <c r="E1049">
        <f>IF(D1049="","",INDEX('KG1-2'!$AD31:$IM31,MATCH(D1049,'KG1-2'!$AD$5:$IM$5,0)))</f>
        <v/>
      </c>
      <c r="F1049">
        <f>IF(D1049="","",COUNTIFS('KG1-2'!$AD31:$IM31,"غياب بدون عذر",'KG1-2'!$AD$7:$IM$7,"✓",'KG1-2'!$AD$5:$IM$5,"&lt;="&amp;D1049))</f>
        <v/>
      </c>
      <c r="G1049">
        <f>G1048+IF(D1049="",0,1)</f>
        <v/>
      </c>
    </row>
    <row r="1050">
      <c r="A1050">
        <f>IF('KG1-2'!$B31="","",'KG1-2'!$B31)</f>
        <v/>
      </c>
      <c r="B1050">
        <f>IF(A1050="","",'KG1-2'!$C31)</f>
        <v/>
      </c>
      <c r="C1050">
        <f>IF(A1050="","",'KG1-2'!$B$2)</f>
        <v/>
      </c>
      <c r="D1050" s="126">
        <f t="array" ref="D1050">IF(A1050="","",IFERROR(SMALL(IF((('KG1-2'!$AD31:$IM31="غياب بدون عذر")+('KG1-2'!$AD31:$IM31="غياب بعذر"))*('KG1-2'!$AD$7:$IM$7="✓"),'KG1-2'!$AD$5:$IM$5),9),""))</f>
        <v/>
      </c>
      <c r="E1050">
        <f>IF(D1050="","",INDEX('KG1-2'!$AD31:$IM31,MATCH(D1050,'KG1-2'!$AD$5:$IM$5,0)))</f>
        <v/>
      </c>
      <c r="F1050">
        <f>IF(D1050="","",COUNTIFS('KG1-2'!$AD31:$IM31,"غياب بدون عذر",'KG1-2'!$AD$7:$IM$7,"✓",'KG1-2'!$AD$5:$IM$5,"&lt;="&amp;D1050))</f>
        <v/>
      </c>
      <c r="G1050">
        <f>G1049+IF(D1050="",0,1)</f>
        <v/>
      </c>
    </row>
    <row r="1051">
      <c r="A1051">
        <f>IF('KG1-2'!$B31="","",'KG1-2'!$B31)</f>
        <v/>
      </c>
      <c r="B1051">
        <f>IF(A1051="","",'KG1-2'!$C31)</f>
        <v/>
      </c>
      <c r="C1051">
        <f>IF(A1051="","",'KG1-2'!$B$2)</f>
        <v/>
      </c>
      <c r="D1051" s="126">
        <f t="array" ref="D1051">IF(A1051="","",IFERROR(SMALL(IF((('KG1-2'!$AD31:$IM31="غياب بدون عذر")+('KG1-2'!$AD31:$IM31="غياب بعذر"))*('KG1-2'!$AD$7:$IM$7="✓"),'KG1-2'!$AD$5:$IM$5),10),""))</f>
        <v/>
      </c>
      <c r="E1051">
        <f>IF(D1051="","",INDEX('KG1-2'!$AD31:$IM31,MATCH(D1051,'KG1-2'!$AD$5:$IM$5,0)))</f>
        <v/>
      </c>
      <c r="F1051">
        <f>IF(D1051="","",COUNTIFS('KG1-2'!$AD31:$IM31,"غياب بدون عذر",'KG1-2'!$AD$7:$IM$7,"✓",'KG1-2'!$AD$5:$IM$5,"&lt;="&amp;D1051))</f>
        <v/>
      </c>
      <c r="G1051">
        <f>G1050+IF(D1051="",0,1)</f>
        <v/>
      </c>
    </row>
    <row r="1052">
      <c r="A1052">
        <f>IF('KG1-2'!$B31="","",'KG1-2'!$B31)</f>
        <v/>
      </c>
      <c r="B1052">
        <f>IF(A1052="","",'KG1-2'!$C31)</f>
        <v/>
      </c>
      <c r="C1052">
        <f>IF(A1052="","",'KG1-2'!$B$2)</f>
        <v/>
      </c>
      <c r="D1052" s="126">
        <f t="array" ref="D1052">IF(A1052="","",IFERROR(SMALL(IF((('KG1-2'!$AD31:$IM31="غياب بدون عذر")+('KG1-2'!$AD31:$IM31="غياب بعذر"))*('KG1-2'!$AD$7:$IM$7="✓"),'KG1-2'!$AD$5:$IM$5),11),""))</f>
        <v/>
      </c>
      <c r="E1052">
        <f>IF(D1052="","",INDEX('KG1-2'!$AD31:$IM31,MATCH(D1052,'KG1-2'!$AD$5:$IM$5,0)))</f>
        <v/>
      </c>
      <c r="F1052">
        <f>IF(D1052="","",COUNTIFS('KG1-2'!$AD31:$IM31,"غياب بدون عذر",'KG1-2'!$AD$7:$IM$7,"✓",'KG1-2'!$AD$5:$IM$5,"&lt;="&amp;D1052))</f>
        <v/>
      </c>
      <c r="G1052">
        <f>G1051+IF(D1052="",0,1)</f>
        <v/>
      </c>
    </row>
    <row r="1053">
      <c r="A1053">
        <f>IF('KG1-2'!$B31="","",'KG1-2'!$B31)</f>
        <v/>
      </c>
      <c r="B1053">
        <f>IF(A1053="","",'KG1-2'!$C31)</f>
        <v/>
      </c>
      <c r="C1053">
        <f>IF(A1053="","",'KG1-2'!$B$2)</f>
        <v/>
      </c>
      <c r="D1053" s="126">
        <f t="array" ref="D1053">IF(A1053="","",IFERROR(SMALL(IF((('KG1-2'!$AD31:$IM31="غياب بدون عذر")+('KG1-2'!$AD31:$IM31="غياب بعذر"))*('KG1-2'!$AD$7:$IM$7="✓"),'KG1-2'!$AD$5:$IM$5),12),""))</f>
        <v/>
      </c>
      <c r="E1053">
        <f>IF(D1053="","",INDEX('KG1-2'!$AD31:$IM31,MATCH(D1053,'KG1-2'!$AD$5:$IM$5,0)))</f>
        <v/>
      </c>
      <c r="F1053">
        <f>IF(D1053="","",COUNTIFS('KG1-2'!$AD31:$IM31,"غياب بدون عذر",'KG1-2'!$AD$7:$IM$7,"✓",'KG1-2'!$AD$5:$IM$5,"&lt;="&amp;D1053))</f>
        <v/>
      </c>
      <c r="G1053">
        <f>G1052+IF(D1053="",0,1)</f>
        <v/>
      </c>
    </row>
    <row r="1054">
      <c r="A1054">
        <f>IF('KG1-2'!$B31="","",'KG1-2'!$B31)</f>
        <v/>
      </c>
      <c r="B1054">
        <f>IF(A1054="","",'KG1-2'!$C31)</f>
        <v/>
      </c>
      <c r="C1054">
        <f>IF(A1054="","",'KG1-2'!$B$2)</f>
        <v/>
      </c>
      <c r="D1054" s="126">
        <f t="array" ref="D1054">IF(A1054="","",IFERROR(SMALL(IF((('KG1-2'!$AD31:$IM31="غياب بدون عذر")+('KG1-2'!$AD31:$IM31="غياب بعذر"))*('KG1-2'!$AD$7:$IM$7="✓"),'KG1-2'!$AD$5:$IM$5),13),""))</f>
        <v/>
      </c>
      <c r="E1054">
        <f>IF(D1054="","",INDEX('KG1-2'!$AD31:$IM31,MATCH(D1054,'KG1-2'!$AD$5:$IM$5,0)))</f>
        <v/>
      </c>
      <c r="F1054">
        <f>IF(D1054="","",COUNTIFS('KG1-2'!$AD31:$IM31,"غياب بدون عذر",'KG1-2'!$AD$7:$IM$7,"✓",'KG1-2'!$AD$5:$IM$5,"&lt;="&amp;D1054))</f>
        <v/>
      </c>
      <c r="G1054">
        <f>G1053+IF(D1054="",0,1)</f>
        <v/>
      </c>
    </row>
    <row r="1055">
      <c r="A1055">
        <f>IF('KG1-2'!$B31="","",'KG1-2'!$B31)</f>
        <v/>
      </c>
      <c r="B1055">
        <f>IF(A1055="","",'KG1-2'!$C31)</f>
        <v/>
      </c>
      <c r="C1055">
        <f>IF(A1055="","",'KG1-2'!$B$2)</f>
        <v/>
      </c>
      <c r="D1055" s="126">
        <f t="array" ref="D1055">IF(A1055="","",IFERROR(SMALL(IF((('KG1-2'!$AD31:$IM31="غياب بدون عذر")+('KG1-2'!$AD31:$IM31="غياب بعذر"))*('KG1-2'!$AD$7:$IM$7="✓"),'KG1-2'!$AD$5:$IM$5),14),""))</f>
        <v/>
      </c>
      <c r="E1055">
        <f>IF(D1055="","",INDEX('KG1-2'!$AD31:$IM31,MATCH(D1055,'KG1-2'!$AD$5:$IM$5,0)))</f>
        <v/>
      </c>
      <c r="F1055">
        <f>IF(D1055="","",COUNTIFS('KG1-2'!$AD31:$IM31,"غياب بدون عذر",'KG1-2'!$AD$7:$IM$7,"✓",'KG1-2'!$AD$5:$IM$5,"&lt;="&amp;D1055))</f>
        <v/>
      </c>
      <c r="G1055">
        <f>G1054+IF(D1055="",0,1)</f>
        <v/>
      </c>
    </row>
    <row r="1056">
      <c r="A1056">
        <f>IF('KG1-2'!$B31="","",'KG1-2'!$B31)</f>
        <v/>
      </c>
      <c r="B1056">
        <f>IF(A1056="","",'KG1-2'!$C31)</f>
        <v/>
      </c>
      <c r="C1056">
        <f>IF(A1056="","",'KG1-2'!$B$2)</f>
        <v/>
      </c>
      <c r="D1056" s="126">
        <f t="array" ref="D1056">IF(A1056="","",IFERROR(SMALL(IF((('KG1-2'!$AD31:$IM31="غياب بدون عذر")+('KG1-2'!$AD31:$IM31="غياب بعذر"))*('KG1-2'!$AD$7:$IM$7="✓"),'KG1-2'!$AD$5:$IM$5),15),""))</f>
        <v/>
      </c>
      <c r="E1056">
        <f>IF(D1056="","",INDEX('KG1-2'!$AD31:$IM31,MATCH(D1056,'KG1-2'!$AD$5:$IM$5,0)))</f>
        <v/>
      </c>
      <c r="F1056">
        <f>IF(D1056="","",COUNTIFS('KG1-2'!$AD31:$IM31,"غياب بدون عذر",'KG1-2'!$AD$7:$IM$7,"✓",'KG1-2'!$AD$5:$IM$5,"&lt;="&amp;D1056))</f>
        <v/>
      </c>
      <c r="G1056">
        <f>G1055+IF(D1056="",0,1)</f>
        <v/>
      </c>
    </row>
    <row r="1057">
      <c r="A1057">
        <f>IF('KG1-2'!$B31="","",'KG1-2'!$B31)</f>
        <v/>
      </c>
      <c r="B1057">
        <f>IF(A1057="","",'KG1-2'!$C31)</f>
        <v/>
      </c>
      <c r="C1057">
        <f>IF(A1057="","",'KG1-2'!$B$2)</f>
        <v/>
      </c>
      <c r="D1057" s="126">
        <f t="array" ref="D1057">IF(A1057="","",IFERROR(SMALL(IF((('KG1-2'!$AD31:$IM31="غياب بدون عذر")+('KG1-2'!$AD31:$IM31="غياب بعذر"))*('KG1-2'!$AD$7:$IM$7="✓"),'KG1-2'!$AD$5:$IM$5),16),""))</f>
        <v/>
      </c>
      <c r="E1057">
        <f>IF(D1057="","",INDEX('KG1-2'!$AD31:$IM31,MATCH(D1057,'KG1-2'!$AD$5:$IM$5,0)))</f>
        <v/>
      </c>
      <c r="F1057">
        <f>IF(D1057="","",COUNTIFS('KG1-2'!$AD31:$IM31,"غياب بدون عذر",'KG1-2'!$AD$7:$IM$7,"✓",'KG1-2'!$AD$5:$IM$5,"&lt;="&amp;D1057))</f>
        <v/>
      </c>
      <c r="G1057">
        <f>G1056+IF(D1057="",0,1)</f>
        <v/>
      </c>
    </row>
    <row r="1058">
      <c r="A1058">
        <f>IF('KG1-2'!$B31="","",'KG1-2'!$B31)</f>
        <v/>
      </c>
      <c r="B1058">
        <f>IF(A1058="","",'KG1-2'!$C31)</f>
        <v/>
      </c>
      <c r="C1058">
        <f>IF(A1058="","",'KG1-2'!$B$2)</f>
        <v/>
      </c>
      <c r="D1058" s="126">
        <f t="array" ref="D1058">IF(A1058="","",IFERROR(SMALL(IF((('KG1-2'!$AD31:$IM31="غياب بدون عذر")+('KG1-2'!$AD31:$IM31="غياب بعذر"))*('KG1-2'!$AD$7:$IM$7="✓"),'KG1-2'!$AD$5:$IM$5),17),""))</f>
        <v/>
      </c>
      <c r="E1058">
        <f>IF(D1058="","",INDEX('KG1-2'!$AD31:$IM31,MATCH(D1058,'KG1-2'!$AD$5:$IM$5,0)))</f>
        <v/>
      </c>
      <c r="F1058">
        <f>IF(D1058="","",COUNTIFS('KG1-2'!$AD31:$IM31,"غياب بدون عذر",'KG1-2'!$AD$7:$IM$7,"✓",'KG1-2'!$AD$5:$IM$5,"&lt;="&amp;D1058))</f>
        <v/>
      </c>
      <c r="G1058">
        <f>G1057+IF(D1058="",0,1)</f>
        <v/>
      </c>
    </row>
    <row r="1059">
      <c r="A1059">
        <f>IF('KG1-2'!$B31="","",'KG1-2'!$B31)</f>
        <v/>
      </c>
      <c r="B1059">
        <f>IF(A1059="","",'KG1-2'!$C31)</f>
        <v/>
      </c>
      <c r="C1059">
        <f>IF(A1059="","",'KG1-2'!$B$2)</f>
        <v/>
      </c>
      <c r="D1059" s="126">
        <f t="array" ref="D1059">IF(A1059="","",IFERROR(SMALL(IF((('KG1-2'!$AD31:$IM31="غياب بدون عذر")+('KG1-2'!$AD31:$IM31="غياب بعذر"))*('KG1-2'!$AD$7:$IM$7="✓"),'KG1-2'!$AD$5:$IM$5),18),""))</f>
        <v/>
      </c>
      <c r="E1059">
        <f>IF(D1059="","",INDEX('KG1-2'!$AD31:$IM31,MATCH(D1059,'KG1-2'!$AD$5:$IM$5,0)))</f>
        <v/>
      </c>
      <c r="F1059">
        <f>IF(D1059="","",COUNTIFS('KG1-2'!$AD31:$IM31,"غياب بدون عذر",'KG1-2'!$AD$7:$IM$7,"✓",'KG1-2'!$AD$5:$IM$5,"&lt;="&amp;D1059))</f>
        <v/>
      </c>
      <c r="G1059">
        <f>G1058+IF(D1059="",0,1)</f>
        <v/>
      </c>
    </row>
    <row r="1060">
      <c r="A1060">
        <f>IF('KG1-2'!$B31="","",'KG1-2'!$B31)</f>
        <v/>
      </c>
      <c r="B1060">
        <f>IF(A1060="","",'KG1-2'!$C31)</f>
        <v/>
      </c>
      <c r="C1060">
        <f>IF(A1060="","",'KG1-2'!$B$2)</f>
        <v/>
      </c>
      <c r="D1060" s="126">
        <f t="array" ref="D1060">IF(A1060="","",IFERROR(SMALL(IF((('KG1-2'!$AD31:$IM31="غياب بدون عذر")+('KG1-2'!$AD31:$IM31="غياب بعذر"))*('KG1-2'!$AD$7:$IM$7="✓"),'KG1-2'!$AD$5:$IM$5),19),""))</f>
        <v/>
      </c>
      <c r="E1060">
        <f>IF(D1060="","",INDEX('KG1-2'!$AD31:$IM31,MATCH(D1060,'KG1-2'!$AD$5:$IM$5,0)))</f>
        <v/>
      </c>
      <c r="F1060">
        <f>IF(D1060="","",COUNTIFS('KG1-2'!$AD31:$IM31,"غياب بدون عذر",'KG1-2'!$AD$7:$IM$7,"✓",'KG1-2'!$AD$5:$IM$5,"&lt;="&amp;D1060))</f>
        <v/>
      </c>
      <c r="G1060">
        <f>G1059+IF(D1060="",0,1)</f>
        <v/>
      </c>
    </row>
    <row r="1061">
      <c r="A1061">
        <f>IF('KG1-2'!$B31="","",'KG1-2'!$B31)</f>
        <v/>
      </c>
      <c r="B1061">
        <f>IF(A1061="","",'KG1-2'!$C31)</f>
        <v/>
      </c>
      <c r="C1061">
        <f>IF(A1061="","",'KG1-2'!$B$2)</f>
        <v/>
      </c>
      <c r="D1061" s="126">
        <f t="array" ref="D1061">IF(A1061="","",IFERROR(SMALL(IF((('KG1-2'!$AD31:$IM31="غياب بدون عذر")+('KG1-2'!$AD31:$IM31="غياب بعذر"))*('KG1-2'!$AD$7:$IM$7="✓"),'KG1-2'!$AD$5:$IM$5),20),""))</f>
        <v/>
      </c>
      <c r="E1061">
        <f>IF(D1061="","",INDEX('KG1-2'!$AD31:$IM31,MATCH(D1061,'KG1-2'!$AD$5:$IM$5,0)))</f>
        <v/>
      </c>
      <c r="F1061">
        <f>IF(D1061="","",COUNTIFS('KG1-2'!$AD31:$IM31,"غياب بدون عذر",'KG1-2'!$AD$7:$IM$7,"✓",'KG1-2'!$AD$5:$IM$5,"&lt;="&amp;D1061))</f>
        <v/>
      </c>
      <c r="G1061">
        <f>G1060+IF(D1061="",0,1)</f>
        <v/>
      </c>
    </row>
    <row r="1062">
      <c r="A1062">
        <f>IF('KG1-2'!$B32="","",'KG1-2'!$B32)</f>
        <v/>
      </c>
      <c r="B1062">
        <f>IF(A1062="","",'KG1-2'!$C32)</f>
        <v/>
      </c>
      <c r="C1062">
        <f>IF(A1062="","",'KG1-2'!$B$2)</f>
        <v/>
      </c>
      <c r="D1062" s="126">
        <f t="array" ref="D1062">IF(A1062="","",IFERROR(SMALL(IF((('KG1-2'!$AD32:$IM32="غياب بدون عذر")+('KG1-2'!$AD32:$IM32="غياب بعذر"))*('KG1-2'!$AD$7:$IM$7="✓"),'KG1-2'!$AD$5:$IM$5),1),""))</f>
        <v/>
      </c>
      <c r="E1062">
        <f>IF(D1062="","",INDEX('KG1-2'!$AD32:$IM32,MATCH(D1062,'KG1-2'!$AD$5:$IM$5,0)))</f>
        <v/>
      </c>
      <c r="F1062">
        <f>IF(D1062="","",COUNTIFS('KG1-2'!$AD32:$IM32,"غياب بدون عذر",'KG1-2'!$AD$7:$IM$7,"✓",'KG1-2'!$AD$5:$IM$5,"&lt;="&amp;D1062))</f>
        <v/>
      </c>
      <c r="G1062">
        <f>G1061+IF(D1062="",0,1)</f>
        <v/>
      </c>
    </row>
    <row r="1063">
      <c r="A1063">
        <f>IF('KG1-2'!$B32="","",'KG1-2'!$B32)</f>
        <v/>
      </c>
      <c r="B1063">
        <f>IF(A1063="","",'KG1-2'!$C32)</f>
        <v/>
      </c>
      <c r="C1063">
        <f>IF(A1063="","",'KG1-2'!$B$2)</f>
        <v/>
      </c>
      <c r="D1063" s="126">
        <f t="array" ref="D1063">IF(A1063="","",IFERROR(SMALL(IF((('KG1-2'!$AD32:$IM32="غياب بدون عذر")+('KG1-2'!$AD32:$IM32="غياب بعذر"))*('KG1-2'!$AD$7:$IM$7="✓"),'KG1-2'!$AD$5:$IM$5),2),""))</f>
        <v/>
      </c>
      <c r="E1063">
        <f>IF(D1063="","",INDEX('KG1-2'!$AD32:$IM32,MATCH(D1063,'KG1-2'!$AD$5:$IM$5,0)))</f>
        <v/>
      </c>
      <c r="F1063">
        <f>IF(D1063="","",COUNTIFS('KG1-2'!$AD32:$IM32,"غياب بدون عذر",'KG1-2'!$AD$7:$IM$7,"✓",'KG1-2'!$AD$5:$IM$5,"&lt;="&amp;D1063))</f>
        <v/>
      </c>
      <c r="G1063">
        <f>G1062+IF(D1063="",0,1)</f>
        <v/>
      </c>
    </row>
    <row r="1064">
      <c r="A1064">
        <f>IF('KG1-2'!$B32="","",'KG1-2'!$B32)</f>
        <v/>
      </c>
      <c r="B1064">
        <f>IF(A1064="","",'KG1-2'!$C32)</f>
        <v/>
      </c>
      <c r="C1064">
        <f>IF(A1064="","",'KG1-2'!$B$2)</f>
        <v/>
      </c>
      <c r="D1064" s="126">
        <f t="array" ref="D1064">IF(A1064="","",IFERROR(SMALL(IF((('KG1-2'!$AD32:$IM32="غياب بدون عذر")+('KG1-2'!$AD32:$IM32="غياب بعذر"))*('KG1-2'!$AD$7:$IM$7="✓"),'KG1-2'!$AD$5:$IM$5),3),""))</f>
        <v/>
      </c>
      <c r="E1064">
        <f>IF(D1064="","",INDEX('KG1-2'!$AD32:$IM32,MATCH(D1064,'KG1-2'!$AD$5:$IM$5,0)))</f>
        <v/>
      </c>
      <c r="F1064">
        <f>IF(D1064="","",COUNTIFS('KG1-2'!$AD32:$IM32,"غياب بدون عذر",'KG1-2'!$AD$7:$IM$7,"✓",'KG1-2'!$AD$5:$IM$5,"&lt;="&amp;D1064))</f>
        <v/>
      </c>
      <c r="G1064">
        <f>G1063+IF(D1064="",0,1)</f>
        <v/>
      </c>
    </row>
    <row r="1065">
      <c r="A1065">
        <f>IF('KG1-2'!$B32="","",'KG1-2'!$B32)</f>
        <v/>
      </c>
      <c r="B1065">
        <f>IF(A1065="","",'KG1-2'!$C32)</f>
        <v/>
      </c>
      <c r="C1065">
        <f>IF(A1065="","",'KG1-2'!$B$2)</f>
        <v/>
      </c>
      <c r="D1065" s="126">
        <f t="array" ref="D1065">IF(A1065="","",IFERROR(SMALL(IF((('KG1-2'!$AD32:$IM32="غياب بدون عذر")+('KG1-2'!$AD32:$IM32="غياب بعذر"))*('KG1-2'!$AD$7:$IM$7="✓"),'KG1-2'!$AD$5:$IM$5),4),""))</f>
        <v/>
      </c>
      <c r="E1065">
        <f>IF(D1065="","",INDEX('KG1-2'!$AD32:$IM32,MATCH(D1065,'KG1-2'!$AD$5:$IM$5,0)))</f>
        <v/>
      </c>
      <c r="F1065">
        <f>IF(D1065="","",COUNTIFS('KG1-2'!$AD32:$IM32,"غياب بدون عذر",'KG1-2'!$AD$7:$IM$7,"✓",'KG1-2'!$AD$5:$IM$5,"&lt;="&amp;D1065))</f>
        <v/>
      </c>
      <c r="G1065">
        <f>G1064+IF(D1065="",0,1)</f>
        <v/>
      </c>
    </row>
    <row r="1066">
      <c r="A1066">
        <f>IF('KG1-2'!$B32="","",'KG1-2'!$B32)</f>
        <v/>
      </c>
      <c r="B1066">
        <f>IF(A1066="","",'KG1-2'!$C32)</f>
        <v/>
      </c>
      <c r="C1066">
        <f>IF(A1066="","",'KG1-2'!$B$2)</f>
        <v/>
      </c>
      <c r="D1066" s="126">
        <f t="array" ref="D1066">IF(A1066="","",IFERROR(SMALL(IF((('KG1-2'!$AD32:$IM32="غياب بدون عذر")+('KG1-2'!$AD32:$IM32="غياب بعذر"))*('KG1-2'!$AD$7:$IM$7="✓"),'KG1-2'!$AD$5:$IM$5),5),""))</f>
        <v/>
      </c>
      <c r="E1066">
        <f>IF(D1066="","",INDEX('KG1-2'!$AD32:$IM32,MATCH(D1066,'KG1-2'!$AD$5:$IM$5,0)))</f>
        <v/>
      </c>
      <c r="F1066">
        <f>IF(D1066="","",COUNTIFS('KG1-2'!$AD32:$IM32,"غياب بدون عذر",'KG1-2'!$AD$7:$IM$7,"✓",'KG1-2'!$AD$5:$IM$5,"&lt;="&amp;D1066))</f>
        <v/>
      </c>
      <c r="G1066">
        <f>G1065+IF(D1066="",0,1)</f>
        <v/>
      </c>
    </row>
    <row r="1067">
      <c r="A1067">
        <f>IF('KG1-2'!$B32="","",'KG1-2'!$B32)</f>
        <v/>
      </c>
      <c r="B1067">
        <f>IF(A1067="","",'KG1-2'!$C32)</f>
        <v/>
      </c>
      <c r="C1067">
        <f>IF(A1067="","",'KG1-2'!$B$2)</f>
        <v/>
      </c>
      <c r="D1067" s="126">
        <f t="array" ref="D1067">IF(A1067="","",IFERROR(SMALL(IF((('KG1-2'!$AD32:$IM32="غياب بدون عذر")+('KG1-2'!$AD32:$IM32="غياب بعذر"))*('KG1-2'!$AD$7:$IM$7="✓"),'KG1-2'!$AD$5:$IM$5),6),""))</f>
        <v/>
      </c>
      <c r="E1067">
        <f>IF(D1067="","",INDEX('KG1-2'!$AD32:$IM32,MATCH(D1067,'KG1-2'!$AD$5:$IM$5,0)))</f>
        <v/>
      </c>
      <c r="F1067">
        <f>IF(D1067="","",COUNTIFS('KG1-2'!$AD32:$IM32,"غياب بدون عذر",'KG1-2'!$AD$7:$IM$7,"✓",'KG1-2'!$AD$5:$IM$5,"&lt;="&amp;D1067))</f>
        <v/>
      </c>
      <c r="G1067">
        <f>G1066+IF(D1067="",0,1)</f>
        <v/>
      </c>
    </row>
    <row r="1068">
      <c r="A1068">
        <f>IF('KG1-2'!$B32="","",'KG1-2'!$B32)</f>
        <v/>
      </c>
      <c r="B1068">
        <f>IF(A1068="","",'KG1-2'!$C32)</f>
        <v/>
      </c>
      <c r="C1068">
        <f>IF(A1068="","",'KG1-2'!$B$2)</f>
        <v/>
      </c>
      <c r="D1068" s="126">
        <f t="array" ref="D1068">IF(A1068="","",IFERROR(SMALL(IF((('KG1-2'!$AD32:$IM32="غياب بدون عذر")+('KG1-2'!$AD32:$IM32="غياب بعذر"))*('KG1-2'!$AD$7:$IM$7="✓"),'KG1-2'!$AD$5:$IM$5),7),""))</f>
        <v/>
      </c>
      <c r="E1068">
        <f>IF(D1068="","",INDEX('KG1-2'!$AD32:$IM32,MATCH(D1068,'KG1-2'!$AD$5:$IM$5,0)))</f>
        <v/>
      </c>
      <c r="F1068">
        <f>IF(D1068="","",COUNTIFS('KG1-2'!$AD32:$IM32,"غياب بدون عذر",'KG1-2'!$AD$7:$IM$7,"✓",'KG1-2'!$AD$5:$IM$5,"&lt;="&amp;D1068))</f>
        <v/>
      </c>
      <c r="G1068">
        <f>G1067+IF(D1068="",0,1)</f>
        <v/>
      </c>
    </row>
    <row r="1069">
      <c r="A1069">
        <f>IF('KG1-2'!$B32="","",'KG1-2'!$B32)</f>
        <v/>
      </c>
      <c r="B1069">
        <f>IF(A1069="","",'KG1-2'!$C32)</f>
        <v/>
      </c>
      <c r="C1069">
        <f>IF(A1069="","",'KG1-2'!$B$2)</f>
        <v/>
      </c>
      <c r="D1069" s="126">
        <f t="array" ref="D1069">IF(A1069="","",IFERROR(SMALL(IF((('KG1-2'!$AD32:$IM32="غياب بدون عذر")+('KG1-2'!$AD32:$IM32="غياب بعذر"))*('KG1-2'!$AD$7:$IM$7="✓"),'KG1-2'!$AD$5:$IM$5),8),""))</f>
        <v/>
      </c>
      <c r="E1069">
        <f>IF(D1069="","",INDEX('KG1-2'!$AD32:$IM32,MATCH(D1069,'KG1-2'!$AD$5:$IM$5,0)))</f>
        <v/>
      </c>
      <c r="F1069">
        <f>IF(D1069="","",COUNTIFS('KG1-2'!$AD32:$IM32,"غياب بدون عذر",'KG1-2'!$AD$7:$IM$7,"✓",'KG1-2'!$AD$5:$IM$5,"&lt;="&amp;D1069))</f>
        <v/>
      </c>
      <c r="G1069">
        <f>G1068+IF(D1069="",0,1)</f>
        <v/>
      </c>
    </row>
    <row r="1070">
      <c r="A1070">
        <f>IF('KG1-2'!$B32="","",'KG1-2'!$B32)</f>
        <v/>
      </c>
      <c r="B1070">
        <f>IF(A1070="","",'KG1-2'!$C32)</f>
        <v/>
      </c>
      <c r="C1070">
        <f>IF(A1070="","",'KG1-2'!$B$2)</f>
        <v/>
      </c>
      <c r="D1070" s="126">
        <f t="array" ref="D1070">IF(A1070="","",IFERROR(SMALL(IF((('KG1-2'!$AD32:$IM32="غياب بدون عذر")+('KG1-2'!$AD32:$IM32="غياب بعذر"))*('KG1-2'!$AD$7:$IM$7="✓"),'KG1-2'!$AD$5:$IM$5),9),""))</f>
        <v/>
      </c>
      <c r="E1070">
        <f>IF(D1070="","",INDEX('KG1-2'!$AD32:$IM32,MATCH(D1070,'KG1-2'!$AD$5:$IM$5,0)))</f>
        <v/>
      </c>
      <c r="F1070">
        <f>IF(D1070="","",COUNTIFS('KG1-2'!$AD32:$IM32,"غياب بدون عذر",'KG1-2'!$AD$7:$IM$7,"✓",'KG1-2'!$AD$5:$IM$5,"&lt;="&amp;D1070))</f>
        <v/>
      </c>
      <c r="G1070">
        <f>G1069+IF(D1070="",0,1)</f>
        <v/>
      </c>
    </row>
    <row r="1071">
      <c r="A1071">
        <f>IF('KG1-2'!$B32="","",'KG1-2'!$B32)</f>
        <v/>
      </c>
      <c r="B1071">
        <f>IF(A1071="","",'KG1-2'!$C32)</f>
        <v/>
      </c>
      <c r="C1071">
        <f>IF(A1071="","",'KG1-2'!$B$2)</f>
        <v/>
      </c>
      <c r="D1071" s="126">
        <f t="array" ref="D1071">IF(A1071="","",IFERROR(SMALL(IF((('KG1-2'!$AD32:$IM32="غياب بدون عذر")+('KG1-2'!$AD32:$IM32="غياب بعذر"))*('KG1-2'!$AD$7:$IM$7="✓"),'KG1-2'!$AD$5:$IM$5),10),""))</f>
        <v/>
      </c>
      <c r="E1071">
        <f>IF(D1071="","",INDEX('KG1-2'!$AD32:$IM32,MATCH(D1071,'KG1-2'!$AD$5:$IM$5,0)))</f>
        <v/>
      </c>
      <c r="F1071">
        <f>IF(D1071="","",COUNTIFS('KG1-2'!$AD32:$IM32,"غياب بدون عذر",'KG1-2'!$AD$7:$IM$7,"✓",'KG1-2'!$AD$5:$IM$5,"&lt;="&amp;D1071))</f>
        <v/>
      </c>
      <c r="G1071">
        <f>G1070+IF(D1071="",0,1)</f>
        <v/>
      </c>
    </row>
    <row r="1072">
      <c r="A1072">
        <f>IF('KG1-2'!$B32="","",'KG1-2'!$B32)</f>
        <v/>
      </c>
      <c r="B1072">
        <f>IF(A1072="","",'KG1-2'!$C32)</f>
        <v/>
      </c>
      <c r="C1072">
        <f>IF(A1072="","",'KG1-2'!$B$2)</f>
        <v/>
      </c>
      <c r="D1072" s="126">
        <f t="array" ref="D1072">IF(A1072="","",IFERROR(SMALL(IF((('KG1-2'!$AD32:$IM32="غياب بدون عذر")+('KG1-2'!$AD32:$IM32="غياب بعذر"))*('KG1-2'!$AD$7:$IM$7="✓"),'KG1-2'!$AD$5:$IM$5),11),""))</f>
        <v/>
      </c>
      <c r="E1072">
        <f>IF(D1072="","",INDEX('KG1-2'!$AD32:$IM32,MATCH(D1072,'KG1-2'!$AD$5:$IM$5,0)))</f>
        <v/>
      </c>
      <c r="F1072">
        <f>IF(D1072="","",COUNTIFS('KG1-2'!$AD32:$IM32,"غياب بدون عذر",'KG1-2'!$AD$7:$IM$7,"✓",'KG1-2'!$AD$5:$IM$5,"&lt;="&amp;D1072))</f>
        <v/>
      </c>
      <c r="G1072">
        <f>G1071+IF(D1072="",0,1)</f>
        <v/>
      </c>
    </row>
    <row r="1073">
      <c r="A1073">
        <f>IF('KG1-2'!$B32="","",'KG1-2'!$B32)</f>
        <v/>
      </c>
      <c r="B1073">
        <f>IF(A1073="","",'KG1-2'!$C32)</f>
        <v/>
      </c>
      <c r="C1073">
        <f>IF(A1073="","",'KG1-2'!$B$2)</f>
        <v/>
      </c>
      <c r="D1073" s="126">
        <f t="array" ref="D1073">IF(A1073="","",IFERROR(SMALL(IF((('KG1-2'!$AD32:$IM32="غياب بدون عذر")+('KG1-2'!$AD32:$IM32="غياب بعذر"))*('KG1-2'!$AD$7:$IM$7="✓"),'KG1-2'!$AD$5:$IM$5),12),""))</f>
        <v/>
      </c>
      <c r="E1073">
        <f>IF(D1073="","",INDEX('KG1-2'!$AD32:$IM32,MATCH(D1073,'KG1-2'!$AD$5:$IM$5,0)))</f>
        <v/>
      </c>
      <c r="F1073">
        <f>IF(D1073="","",COUNTIFS('KG1-2'!$AD32:$IM32,"غياب بدون عذر",'KG1-2'!$AD$7:$IM$7,"✓",'KG1-2'!$AD$5:$IM$5,"&lt;="&amp;D1073))</f>
        <v/>
      </c>
      <c r="G1073">
        <f>G1072+IF(D1073="",0,1)</f>
        <v/>
      </c>
    </row>
    <row r="1074">
      <c r="A1074">
        <f>IF('KG1-2'!$B32="","",'KG1-2'!$B32)</f>
        <v/>
      </c>
      <c r="B1074">
        <f>IF(A1074="","",'KG1-2'!$C32)</f>
        <v/>
      </c>
      <c r="C1074">
        <f>IF(A1074="","",'KG1-2'!$B$2)</f>
        <v/>
      </c>
      <c r="D1074" s="126">
        <f t="array" ref="D1074">IF(A1074="","",IFERROR(SMALL(IF((('KG1-2'!$AD32:$IM32="غياب بدون عذر")+('KG1-2'!$AD32:$IM32="غياب بعذر"))*('KG1-2'!$AD$7:$IM$7="✓"),'KG1-2'!$AD$5:$IM$5),13),""))</f>
        <v/>
      </c>
      <c r="E1074">
        <f>IF(D1074="","",INDEX('KG1-2'!$AD32:$IM32,MATCH(D1074,'KG1-2'!$AD$5:$IM$5,0)))</f>
        <v/>
      </c>
      <c r="F1074">
        <f>IF(D1074="","",COUNTIFS('KG1-2'!$AD32:$IM32,"غياب بدون عذر",'KG1-2'!$AD$7:$IM$7,"✓",'KG1-2'!$AD$5:$IM$5,"&lt;="&amp;D1074))</f>
        <v/>
      </c>
      <c r="G1074">
        <f>G1073+IF(D1074="",0,1)</f>
        <v/>
      </c>
    </row>
    <row r="1075">
      <c r="A1075">
        <f>IF('KG1-2'!$B32="","",'KG1-2'!$B32)</f>
        <v/>
      </c>
      <c r="B1075">
        <f>IF(A1075="","",'KG1-2'!$C32)</f>
        <v/>
      </c>
      <c r="C1075">
        <f>IF(A1075="","",'KG1-2'!$B$2)</f>
        <v/>
      </c>
      <c r="D1075" s="126">
        <f t="array" ref="D1075">IF(A1075="","",IFERROR(SMALL(IF((('KG1-2'!$AD32:$IM32="غياب بدون عذر")+('KG1-2'!$AD32:$IM32="غياب بعذر"))*('KG1-2'!$AD$7:$IM$7="✓"),'KG1-2'!$AD$5:$IM$5),14),""))</f>
        <v/>
      </c>
      <c r="E1075">
        <f>IF(D1075="","",INDEX('KG1-2'!$AD32:$IM32,MATCH(D1075,'KG1-2'!$AD$5:$IM$5,0)))</f>
        <v/>
      </c>
      <c r="F1075">
        <f>IF(D1075="","",COUNTIFS('KG1-2'!$AD32:$IM32,"غياب بدون عذر",'KG1-2'!$AD$7:$IM$7,"✓",'KG1-2'!$AD$5:$IM$5,"&lt;="&amp;D1075))</f>
        <v/>
      </c>
      <c r="G1075">
        <f>G1074+IF(D1075="",0,1)</f>
        <v/>
      </c>
    </row>
    <row r="1076">
      <c r="A1076">
        <f>IF('KG1-2'!$B32="","",'KG1-2'!$B32)</f>
        <v/>
      </c>
      <c r="B1076">
        <f>IF(A1076="","",'KG1-2'!$C32)</f>
        <v/>
      </c>
      <c r="C1076">
        <f>IF(A1076="","",'KG1-2'!$B$2)</f>
        <v/>
      </c>
      <c r="D1076" s="126">
        <f t="array" ref="D1076">IF(A1076="","",IFERROR(SMALL(IF((('KG1-2'!$AD32:$IM32="غياب بدون عذر")+('KG1-2'!$AD32:$IM32="غياب بعذر"))*('KG1-2'!$AD$7:$IM$7="✓"),'KG1-2'!$AD$5:$IM$5),15),""))</f>
        <v/>
      </c>
      <c r="E1076">
        <f>IF(D1076="","",INDEX('KG1-2'!$AD32:$IM32,MATCH(D1076,'KG1-2'!$AD$5:$IM$5,0)))</f>
        <v/>
      </c>
      <c r="F1076">
        <f>IF(D1076="","",COUNTIFS('KG1-2'!$AD32:$IM32,"غياب بدون عذر",'KG1-2'!$AD$7:$IM$7,"✓",'KG1-2'!$AD$5:$IM$5,"&lt;="&amp;D1076))</f>
        <v/>
      </c>
      <c r="G1076">
        <f>G1075+IF(D1076="",0,1)</f>
        <v/>
      </c>
    </row>
    <row r="1077">
      <c r="A1077">
        <f>IF('KG1-2'!$B32="","",'KG1-2'!$B32)</f>
        <v/>
      </c>
      <c r="B1077">
        <f>IF(A1077="","",'KG1-2'!$C32)</f>
        <v/>
      </c>
      <c r="C1077">
        <f>IF(A1077="","",'KG1-2'!$B$2)</f>
        <v/>
      </c>
      <c r="D1077" s="126">
        <f t="array" ref="D1077">IF(A1077="","",IFERROR(SMALL(IF((('KG1-2'!$AD32:$IM32="غياب بدون عذر")+('KG1-2'!$AD32:$IM32="غياب بعذر"))*('KG1-2'!$AD$7:$IM$7="✓"),'KG1-2'!$AD$5:$IM$5),16),""))</f>
        <v/>
      </c>
      <c r="E1077">
        <f>IF(D1077="","",INDEX('KG1-2'!$AD32:$IM32,MATCH(D1077,'KG1-2'!$AD$5:$IM$5,0)))</f>
        <v/>
      </c>
      <c r="F1077">
        <f>IF(D1077="","",COUNTIFS('KG1-2'!$AD32:$IM32,"غياب بدون عذر",'KG1-2'!$AD$7:$IM$7,"✓",'KG1-2'!$AD$5:$IM$5,"&lt;="&amp;D1077))</f>
        <v/>
      </c>
      <c r="G1077">
        <f>G1076+IF(D1077="",0,1)</f>
        <v/>
      </c>
    </row>
    <row r="1078">
      <c r="A1078">
        <f>IF('KG1-2'!$B32="","",'KG1-2'!$B32)</f>
        <v/>
      </c>
      <c r="B1078">
        <f>IF(A1078="","",'KG1-2'!$C32)</f>
        <v/>
      </c>
      <c r="C1078">
        <f>IF(A1078="","",'KG1-2'!$B$2)</f>
        <v/>
      </c>
      <c r="D1078" s="126">
        <f t="array" ref="D1078">IF(A1078="","",IFERROR(SMALL(IF((('KG1-2'!$AD32:$IM32="غياب بدون عذر")+('KG1-2'!$AD32:$IM32="غياب بعذر"))*('KG1-2'!$AD$7:$IM$7="✓"),'KG1-2'!$AD$5:$IM$5),17),""))</f>
        <v/>
      </c>
      <c r="E1078">
        <f>IF(D1078="","",INDEX('KG1-2'!$AD32:$IM32,MATCH(D1078,'KG1-2'!$AD$5:$IM$5,0)))</f>
        <v/>
      </c>
      <c r="F1078">
        <f>IF(D1078="","",COUNTIFS('KG1-2'!$AD32:$IM32,"غياب بدون عذر",'KG1-2'!$AD$7:$IM$7,"✓",'KG1-2'!$AD$5:$IM$5,"&lt;="&amp;D1078))</f>
        <v/>
      </c>
      <c r="G1078">
        <f>G1077+IF(D1078="",0,1)</f>
        <v/>
      </c>
    </row>
    <row r="1079">
      <c r="A1079">
        <f>IF('KG1-2'!$B32="","",'KG1-2'!$B32)</f>
        <v/>
      </c>
      <c r="B1079">
        <f>IF(A1079="","",'KG1-2'!$C32)</f>
        <v/>
      </c>
      <c r="C1079">
        <f>IF(A1079="","",'KG1-2'!$B$2)</f>
        <v/>
      </c>
      <c r="D1079" s="126">
        <f t="array" ref="D1079">IF(A1079="","",IFERROR(SMALL(IF((('KG1-2'!$AD32:$IM32="غياب بدون عذر")+('KG1-2'!$AD32:$IM32="غياب بعذر"))*('KG1-2'!$AD$7:$IM$7="✓"),'KG1-2'!$AD$5:$IM$5),18),""))</f>
        <v/>
      </c>
      <c r="E1079">
        <f>IF(D1079="","",INDEX('KG1-2'!$AD32:$IM32,MATCH(D1079,'KG1-2'!$AD$5:$IM$5,0)))</f>
        <v/>
      </c>
      <c r="F1079">
        <f>IF(D1079="","",COUNTIFS('KG1-2'!$AD32:$IM32,"غياب بدون عذر",'KG1-2'!$AD$7:$IM$7,"✓",'KG1-2'!$AD$5:$IM$5,"&lt;="&amp;D1079))</f>
        <v/>
      </c>
      <c r="G1079">
        <f>G1078+IF(D1079="",0,1)</f>
        <v/>
      </c>
    </row>
    <row r="1080">
      <c r="A1080">
        <f>IF('KG1-2'!$B32="","",'KG1-2'!$B32)</f>
        <v/>
      </c>
      <c r="B1080">
        <f>IF(A1080="","",'KG1-2'!$C32)</f>
        <v/>
      </c>
      <c r="C1080">
        <f>IF(A1080="","",'KG1-2'!$B$2)</f>
        <v/>
      </c>
      <c r="D1080" s="126">
        <f t="array" ref="D1080">IF(A1080="","",IFERROR(SMALL(IF((('KG1-2'!$AD32:$IM32="غياب بدون عذر")+('KG1-2'!$AD32:$IM32="غياب بعذر"))*('KG1-2'!$AD$7:$IM$7="✓"),'KG1-2'!$AD$5:$IM$5),19),""))</f>
        <v/>
      </c>
      <c r="E1080">
        <f>IF(D1080="","",INDEX('KG1-2'!$AD32:$IM32,MATCH(D1080,'KG1-2'!$AD$5:$IM$5,0)))</f>
        <v/>
      </c>
      <c r="F1080">
        <f>IF(D1080="","",COUNTIFS('KG1-2'!$AD32:$IM32,"غياب بدون عذر",'KG1-2'!$AD$7:$IM$7,"✓",'KG1-2'!$AD$5:$IM$5,"&lt;="&amp;D1080))</f>
        <v/>
      </c>
      <c r="G1080">
        <f>G1079+IF(D1080="",0,1)</f>
        <v/>
      </c>
    </row>
    <row r="1081">
      <c r="A1081">
        <f>IF('KG1-2'!$B32="","",'KG1-2'!$B32)</f>
        <v/>
      </c>
      <c r="B1081">
        <f>IF(A1081="","",'KG1-2'!$C32)</f>
        <v/>
      </c>
      <c r="C1081">
        <f>IF(A1081="","",'KG1-2'!$B$2)</f>
        <v/>
      </c>
      <c r="D1081" s="126">
        <f t="array" ref="D1081">IF(A1081="","",IFERROR(SMALL(IF((('KG1-2'!$AD32:$IM32="غياب بدون عذر")+('KG1-2'!$AD32:$IM32="غياب بعذر"))*('KG1-2'!$AD$7:$IM$7="✓"),'KG1-2'!$AD$5:$IM$5),20),""))</f>
        <v/>
      </c>
      <c r="E1081">
        <f>IF(D1081="","",INDEX('KG1-2'!$AD32:$IM32,MATCH(D1081,'KG1-2'!$AD$5:$IM$5,0)))</f>
        <v/>
      </c>
      <c r="F1081">
        <f>IF(D1081="","",COUNTIFS('KG1-2'!$AD32:$IM32,"غياب بدون عذر",'KG1-2'!$AD$7:$IM$7,"✓",'KG1-2'!$AD$5:$IM$5,"&lt;="&amp;D1081))</f>
        <v/>
      </c>
      <c r="G1081">
        <f>G1080+IF(D1081="",0,1)</f>
        <v/>
      </c>
    </row>
    <row r="1082">
      <c r="A1082">
        <f>IF('KG1-2'!$B33="","",'KG1-2'!$B33)</f>
        <v/>
      </c>
      <c r="B1082">
        <f>IF(A1082="","",'KG1-2'!$C33)</f>
        <v/>
      </c>
      <c r="C1082">
        <f>IF(A1082="","",'KG1-2'!$B$2)</f>
        <v/>
      </c>
      <c r="D1082" s="126">
        <f t="array" ref="D1082">IF(A1082="","",IFERROR(SMALL(IF((('KG1-2'!$AD33:$IM33="غياب بدون عذر")+('KG1-2'!$AD33:$IM33="غياب بعذر"))*('KG1-2'!$AD$7:$IM$7="✓"),'KG1-2'!$AD$5:$IM$5),1),""))</f>
        <v/>
      </c>
      <c r="E1082">
        <f>IF(D1082="","",INDEX('KG1-2'!$AD33:$IM33,MATCH(D1082,'KG1-2'!$AD$5:$IM$5,0)))</f>
        <v/>
      </c>
      <c r="F1082">
        <f>IF(D1082="","",COUNTIFS('KG1-2'!$AD33:$IM33,"غياب بدون عذر",'KG1-2'!$AD$7:$IM$7,"✓",'KG1-2'!$AD$5:$IM$5,"&lt;="&amp;D1082))</f>
        <v/>
      </c>
      <c r="G1082">
        <f>G1081+IF(D1082="",0,1)</f>
        <v/>
      </c>
    </row>
    <row r="1083">
      <c r="A1083">
        <f>IF('KG1-2'!$B33="","",'KG1-2'!$B33)</f>
        <v/>
      </c>
      <c r="B1083">
        <f>IF(A1083="","",'KG1-2'!$C33)</f>
        <v/>
      </c>
      <c r="C1083">
        <f>IF(A1083="","",'KG1-2'!$B$2)</f>
        <v/>
      </c>
      <c r="D1083" s="126">
        <f t="array" ref="D1083">IF(A1083="","",IFERROR(SMALL(IF((('KG1-2'!$AD33:$IM33="غياب بدون عذر")+('KG1-2'!$AD33:$IM33="غياب بعذر"))*('KG1-2'!$AD$7:$IM$7="✓"),'KG1-2'!$AD$5:$IM$5),2),""))</f>
        <v/>
      </c>
      <c r="E1083">
        <f>IF(D1083="","",INDEX('KG1-2'!$AD33:$IM33,MATCH(D1083,'KG1-2'!$AD$5:$IM$5,0)))</f>
        <v/>
      </c>
      <c r="F1083">
        <f>IF(D1083="","",COUNTIFS('KG1-2'!$AD33:$IM33,"غياب بدون عذر",'KG1-2'!$AD$7:$IM$7,"✓",'KG1-2'!$AD$5:$IM$5,"&lt;="&amp;D1083))</f>
        <v/>
      </c>
      <c r="G1083">
        <f>G1082+IF(D1083="",0,1)</f>
        <v/>
      </c>
    </row>
    <row r="1084">
      <c r="A1084">
        <f>IF('KG1-2'!$B33="","",'KG1-2'!$B33)</f>
        <v/>
      </c>
      <c r="B1084">
        <f>IF(A1084="","",'KG1-2'!$C33)</f>
        <v/>
      </c>
      <c r="C1084">
        <f>IF(A1084="","",'KG1-2'!$B$2)</f>
        <v/>
      </c>
      <c r="D1084" s="126">
        <f t="array" ref="D1084">IF(A1084="","",IFERROR(SMALL(IF((('KG1-2'!$AD33:$IM33="غياب بدون عذر")+('KG1-2'!$AD33:$IM33="غياب بعذر"))*('KG1-2'!$AD$7:$IM$7="✓"),'KG1-2'!$AD$5:$IM$5),3),""))</f>
        <v/>
      </c>
      <c r="E1084">
        <f>IF(D1084="","",INDEX('KG1-2'!$AD33:$IM33,MATCH(D1084,'KG1-2'!$AD$5:$IM$5,0)))</f>
        <v/>
      </c>
      <c r="F1084">
        <f>IF(D1084="","",COUNTIFS('KG1-2'!$AD33:$IM33,"غياب بدون عذر",'KG1-2'!$AD$7:$IM$7,"✓",'KG1-2'!$AD$5:$IM$5,"&lt;="&amp;D1084))</f>
        <v/>
      </c>
      <c r="G1084">
        <f>G1083+IF(D1084="",0,1)</f>
        <v/>
      </c>
    </row>
    <row r="1085">
      <c r="A1085">
        <f>IF('KG1-2'!$B33="","",'KG1-2'!$B33)</f>
        <v/>
      </c>
      <c r="B1085">
        <f>IF(A1085="","",'KG1-2'!$C33)</f>
        <v/>
      </c>
      <c r="C1085">
        <f>IF(A1085="","",'KG1-2'!$B$2)</f>
        <v/>
      </c>
      <c r="D1085" s="126">
        <f t="array" ref="D1085">IF(A1085="","",IFERROR(SMALL(IF((('KG1-2'!$AD33:$IM33="غياب بدون عذر")+('KG1-2'!$AD33:$IM33="غياب بعذر"))*('KG1-2'!$AD$7:$IM$7="✓"),'KG1-2'!$AD$5:$IM$5),4),""))</f>
        <v/>
      </c>
      <c r="E1085">
        <f>IF(D1085="","",INDEX('KG1-2'!$AD33:$IM33,MATCH(D1085,'KG1-2'!$AD$5:$IM$5,0)))</f>
        <v/>
      </c>
      <c r="F1085">
        <f>IF(D1085="","",COUNTIFS('KG1-2'!$AD33:$IM33,"غياب بدون عذر",'KG1-2'!$AD$7:$IM$7,"✓",'KG1-2'!$AD$5:$IM$5,"&lt;="&amp;D1085))</f>
        <v/>
      </c>
      <c r="G1085">
        <f>G1084+IF(D1085="",0,1)</f>
        <v/>
      </c>
    </row>
    <row r="1086">
      <c r="A1086">
        <f>IF('KG1-2'!$B33="","",'KG1-2'!$B33)</f>
        <v/>
      </c>
      <c r="B1086">
        <f>IF(A1086="","",'KG1-2'!$C33)</f>
        <v/>
      </c>
      <c r="C1086">
        <f>IF(A1086="","",'KG1-2'!$B$2)</f>
        <v/>
      </c>
      <c r="D1086" s="126">
        <f t="array" ref="D1086">IF(A1086="","",IFERROR(SMALL(IF((('KG1-2'!$AD33:$IM33="غياب بدون عذر")+('KG1-2'!$AD33:$IM33="غياب بعذر"))*('KG1-2'!$AD$7:$IM$7="✓"),'KG1-2'!$AD$5:$IM$5),5),""))</f>
        <v/>
      </c>
      <c r="E1086">
        <f>IF(D1086="","",INDEX('KG1-2'!$AD33:$IM33,MATCH(D1086,'KG1-2'!$AD$5:$IM$5,0)))</f>
        <v/>
      </c>
      <c r="F1086">
        <f>IF(D1086="","",COUNTIFS('KG1-2'!$AD33:$IM33,"غياب بدون عذر",'KG1-2'!$AD$7:$IM$7,"✓",'KG1-2'!$AD$5:$IM$5,"&lt;="&amp;D1086))</f>
        <v/>
      </c>
      <c r="G1086">
        <f>G1085+IF(D1086="",0,1)</f>
        <v/>
      </c>
    </row>
    <row r="1087">
      <c r="A1087">
        <f>IF('KG1-2'!$B33="","",'KG1-2'!$B33)</f>
        <v/>
      </c>
      <c r="B1087">
        <f>IF(A1087="","",'KG1-2'!$C33)</f>
        <v/>
      </c>
      <c r="C1087">
        <f>IF(A1087="","",'KG1-2'!$B$2)</f>
        <v/>
      </c>
      <c r="D1087" s="126">
        <f t="array" ref="D1087">IF(A1087="","",IFERROR(SMALL(IF((('KG1-2'!$AD33:$IM33="غياب بدون عذر")+('KG1-2'!$AD33:$IM33="غياب بعذر"))*('KG1-2'!$AD$7:$IM$7="✓"),'KG1-2'!$AD$5:$IM$5),6),""))</f>
        <v/>
      </c>
      <c r="E1087">
        <f>IF(D1087="","",INDEX('KG1-2'!$AD33:$IM33,MATCH(D1087,'KG1-2'!$AD$5:$IM$5,0)))</f>
        <v/>
      </c>
      <c r="F1087">
        <f>IF(D1087="","",COUNTIFS('KG1-2'!$AD33:$IM33,"غياب بدون عذر",'KG1-2'!$AD$7:$IM$7,"✓",'KG1-2'!$AD$5:$IM$5,"&lt;="&amp;D1087))</f>
        <v/>
      </c>
      <c r="G1087">
        <f>G1086+IF(D1087="",0,1)</f>
        <v/>
      </c>
    </row>
    <row r="1088">
      <c r="A1088">
        <f>IF('KG1-2'!$B33="","",'KG1-2'!$B33)</f>
        <v/>
      </c>
      <c r="B1088">
        <f>IF(A1088="","",'KG1-2'!$C33)</f>
        <v/>
      </c>
      <c r="C1088">
        <f>IF(A1088="","",'KG1-2'!$B$2)</f>
        <v/>
      </c>
      <c r="D1088" s="126">
        <f t="array" ref="D1088">IF(A1088="","",IFERROR(SMALL(IF((('KG1-2'!$AD33:$IM33="غياب بدون عذر")+('KG1-2'!$AD33:$IM33="غياب بعذر"))*('KG1-2'!$AD$7:$IM$7="✓"),'KG1-2'!$AD$5:$IM$5),7),""))</f>
        <v/>
      </c>
      <c r="E1088">
        <f>IF(D1088="","",INDEX('KG1-2'!$AD33:$IM33,MATCH(D1088,'KG1-2'!$AD$5:$IM$5,0)))</f>
        <v/>
      </c>
      <c r="F1088">
        <f>IF(D1088="","",COUNTIFS('KG1-2'!$AD33:$IM33,"غياب بدون عذر",'KG1-2'!$AD$7:$IM$7,"✓",'KG1-2'!$AD$5:$IM$5,"&lt;="&amp;D1088))</f>
        <v/>
      </c>
      <c r="G1088">
        <f>G1087+IF(D1088="",0,1)</f>
        <v/>
      </c>
    </row>
    <row r="1089">
      <c r="A1089">
        <f>IF('KG1-2'!$B33="","",'KG1-2'!$B33)</f>
        <v/>
      </c>
      <c r="B1089">
        <f>IF(A1089="","",'KG1-2'!$C33)</f>
        <v/>
      </c>
      <c r="C1089">
        <f>IF(A1089="","",'KG1-2'!$B$2)</f>
        <v/>
      </c>
      <c r="D1089" s="126">
        <f t="array" ref="D1089">IF(A1089="","",IFERROR(SMALL(IF((('KG1-2'!$AD33:$IM33="غياب بدون عذر")+('KG1-2'!$AD33:$IM33="غياب بعذر"))*('KG1-2'!$AD$7:$IM$7="✓"),'KG1-2'!$AD$5:$IM$5),8),""))</f>
        <v/>
      </c>
      <c r="E1089">
        <f>IF(D1089="","",INDEX('KG1-2'!$AD33:$IM33,MATCH(D1089,'KG1-2'!$AD$5:$IM$5,0)))</f>
        <v/>
      </c>
      <c r="F1089">
        <f>IF(D1089="","",COUNTIFS('KG1-2'!$AD33:$IM33,"غياب بدون عذر",'KG1-2'!$AD$7:$IM$7,"✓",'KG1-2'!$AD$5:$IM$5,"&lt;="&amp;D1089))</f>
        <v/>
      </c>
      <c r="G1089">
        <f>G1088+IF(D1089="",0,1)</f>
        <v/>
      </c>
    </row>
    <row r="1090">
      <c r="A1090">
        <f>IF('KG1-2'!$B33="","",'KG1-2'!$B33)</f>
        <v/>
      </c>
      <c r="B1090">
        <f>IF(A1090="","",'KG1-2'!$C33)</f>
        <v/>
      </c>
      <c r="C1090">
        <f>IF(A1090="","",'KG1-2'!$B$2)</f>
        <v/>
      </c>
      <c r="D1090" s="126">
        <f t="array" ref="D1090">IF(A1090="","",IFERROR(SMALL(IF((('KG1-2'!$AD33:$IM33="غياب بدون عذر")+('KG1-2'!$AD33:$IM33="غياب بعذر"))*('KG1-2'!$AD$7:$IM$7="✓"),'KG1-2'!$AD$5:$IM$5),9),""))</f>
        <v/>
      </c>
      <c r="E1090">
        <f>IF(D1090="","",INDEX('KG1-2'!$AD33:$IM33,MATCH(D1090,'KG1-2'!$AD$5:$IM$5,0)))</f>
        <v/>
      </c>
      <c r="F1090">
        <f>IF(D1090="","",COUNTIFS('KG1-2'!$AD33:$IM33,"غياب بدون عذر",'KG1-2'!$AD$7:$IM$7,"✓",'KG1-2'!$AD$5:$IM$5,"&lt;="&amp;D1090))</f>
        <v/>
      </c>
      <c r="G1090">
        <f>G1089+IF(D1090="",0,1)</f>
        <v/>
      </c>
    </row>
    <row r="1091">
      <c r="A1091">
        <f>IF('KG1-2'!$B33="","",'KG1-2'!$B33)</f>
        <v/>
      </c>
      <c r="B1091">
        <f>IF(A1091="","",'KG1-2'!$C33)</f>
        <v/>
      </c>
      <c r="C1091">
        <f>IF(A1091="","",'KG1-2'!$B$2)</f>
        <v/>
      </c>
      <c r="D1091" s="126">
        <f t="array" ref="D1091">IF(A1091="","",IFERROR(SMALL(IF((('KG1-2'!$AD33:$IM33="غياب بدون عذر")+('KG1-2'!$AD33:$IM33="غياب بعذر"))*('KG1-2'!$AD$7:$IM$7="✓"),'KG1-2'!$AD$5:$IM$5),10),""))</f>
        <v/>
      </c>
      <c r="E1091">
        <f>IF(D1091="","",INDEX('KG1-2'!$AD33:$IM33,MATCH(D1091,'KG1-2'!$AD$5:$IM$5,0)))</f>
        <v/>
      </c>
      <c r="F1091">
        <f>IF(D1091="","",COUNTIFS('KG1-2'!$AD33:$IM33,"غياب بدون عذر",'KG1-2'!$AD$7:$IM$7,"✓",'KG1-2'!$AD$5:$IM$5,"&lt;="&amp;D1091))</f>
        <v/>
      </c>
      <c r="G1091">
        <f>G1090+IF(D1091="",0,1)</f>
        <v/>
      </c>
    </row>
    <row r="1092">
      <c r="A1092">
        <f>IF('KG1-2'!$B33="","",'KG1-2'!$B33)</f>
        <v/>
      </c>
      <c r="B1092">
        <f>IF(A1092="","",'KG1-2'!$C33)</f>
        <v/>
      </c>
      <c r="C1092">
        <f>IF(A1092="","",'KG1-2'!$B$2)</f>
        <v/>
      </c>
      <c r="D1092" s="126">
        <f t="array" ref="D1092">IF(A1092="","",IFERROR(SMALL(IF((('KG1-2'!$AD33:$IM33="غياب بدون عذر")+('KG1-2'!$AD33:$IM33="غياب بعذر"))*('KG1-2'!$AD$7:$IM$7="✓"),'KG1-2'!$AD$5:$IM$5),11),""))</f>
        <v/>
      </c>
      <c r="E1092">
        <f>IF(D1092="","",INDEX('KG1-2'!$AD33:$IM33,MATCH(D1092,'KG1-2'!$AD$5:$IM$5,0)))</f>
        <v/>
      </c>
      <c r="F1092">
        <f>IF(D1092="","",COUNTIFS('KG1-2'!$AD33:$IM33,"غياب بدون عذر",'KG1-2'!$AD$7:$IM$7,"✓",'KG1-2'!$AD$5:$IM$5,"&lt;="&amp;D1092))</f>
        <v/>
      </c>
      <c r="G1092">
        <f>G1091+IF(D1092="",0,1)</f>
        <v/>
      </c>
    </row>
    <row r="1093">
      <c r="A1093">
        <f>IF('KG1-2'!$B33="","",'KG1-2'!$B33)</f>
        <v/>
      </c>
      <c r="B1093">
        <f>IF(A1093="","",'KG1-2'!$C33)</f>
        <v/>
      </c>
      <c r="C1093">
        <f>IF(A1093="","",'KG1-2'!$B$2)</f>
        <v/>
      </c>
      <c r="D1093" s="126">
        <f t="array" ref="D1093">IF(A1093="","",IFERROR(SMALL(IF((('KG1-2'!$AD33:$IM33="غياب بدون عذر")+('KG1-2'!$AD33:$IM33="غياب بعذر"))*('KG1-2'!$AD$7:$IM$7="✓"),'KG1-2'!$AD$5:$IM$5),12),""))</f>
        <v/>
      </c>
      <c r="E1093">
        <f>IF(D1093="","",INDEX('KG1-2'!$AD33:$IM33,MATCH(D1093,'KG1-2'!$AD$5:$IM$5,0)))</f>
        <v/>
      </c>
      <c r="F1093">
        <f>IF(D1093="","",COUNTIFS('KG1-2'!$AD33:$IM33,"غياب بدون عذر",'KG1-2'!$AD$7:$IM$7,"✓",'KG1-2'!$AD$5:$IM$5,"&lt;="&amp;D1093))</f>
        <v/>
      </c>
      <c r="G1093">
        <f>G1092+IF(D1093="",0,1)</f>
        <v/>
      </c>
    </row>
    <row r="1094">
      <c r="A1094">
        <f>IF('KG1-2'!$B33="","",'KG1-2'!$B33)</f>
        <v/>
      </c>
      <c r="B1094">
        <f>IF(A1094="","",'KG1-2'!$C33)</f>
        <v/>
      </c>
      <c r="C1094">
        <f>IF(A1094="","",'KG1-2'!$B$2)</f>
        <v/>
      </c>
      <c r="D1094" s="126">
        <f t="array" ref="D1094">IF(A1094="","",IFERROR(SMALL(IF((('KG1-2'!$AD33:$IM33="غياب بدون عذر")+('KG1-2'!$AD33:$IM33="غياب بعذر"))*('KG1-2'!$AD$7:$IM$7="✓"),'KG1-2'!$AD$5:$IM$5),13),""))</f>
        <v/>
      </c>
      <c r="E1094">
        <f>IF(D1094="","",INDEX('KG1-2'!$AD33:$IM33,MATCH(D1094,'KG1-2'!$AD$5:$IM$5,0)))</f>
        <v/>
      </c>
      <c r="F1094">
        <f>IF(D1094="","",COUNTIFS('KG1-2'!$AD33:$IM33,"غياب بدون عذر",'KG1-2'!$AD$7:$IM$7,"✓",'KG1-2'!$AD$5:$IM$5,"&lt;="&amp;D1094))</f>
        <v/>
      </c>
      <c r="G1094">
        <f>G1093+IF(D1094="",0,1)</f>
        <v/>
      </c>
    </row>
    <row r="1095">
      <c r="A1095">
        <f>IF('KG1-2'!$B33="","",'KG1-2'!$B33)</f>
        <v/>
      </c>
      <c r="B1095">
        <f>IF(A1095="","",'KG1-2'!$C33)</f>
        <v/>
      </c>
      <c r="C1095">
        <f>IF(A1095="","",'KG1-2'!$B$2)</f>
        <v/>
      </c>
      <c r="D1095" s="126">
        <f t="array" ref="D1095">IF(A1095="","",IFERROR(SMALL(IF((('KG1-2'!$AD33:$IM33="غياب بدون عذر")+('KG1-2'!$AD33:$IM33="غياب بعذر"))*('KG1-2'!$AD$7:$IM$7="✓"),'KG1-2'!$AD$5:$IM$5),14),""))</f>
        <v/>
      </c>
      <c r="E1095">
        <f>IF(D1095="","",INDEX('KG1-2'!$AD33:$IM33,MATCH(D1095,'KG1-2'!$AD$5:$IM$5,0)))</f>
        <v/>
      </c>
      <c r="F1095">
        <f>IF(D1095="","",COUNTIFS('KG1-2'!$AD33:$IM33,"غياب بدون عذر",'KG1-2'!$AD$7:$IM$7,"✓",'KG1-2'!$AD$5:$IM$5,"&lt;="&amp;D1095))</f>
        <v/>
      </c>
      <c r="G1095">
        <f>G1094+IF(D1095="",0,1)</f>
        <v/>
      </c>
    </row>
    <row r="1096">
      <c r="A1096">
        <f>IF('KG1-2'!$B33="","",'KG1-2'!$B33)</f>
        <v/>
      </c>
      <c r="B1096">
        <f>IF(A1096="","",'KG1-2'!$C33)</f>
        <v/>
      </c>
      <c r="C1096">
        <f>IF(A1096="","",'KG1-2'!$B$2)</f>
        <v/>
      </c>
      <c r="D1096" s="126">
        <f t="array" ref="D1096">IF(A1096="","",IFERROR(SMALL(IF((('KG1-2'!$AD33:$IM33="غياب بدون عذر")+('KG1-2'!$AD33:$IM33="غياب بعذر"))*('KG1-2'!$AD$7:$IM$7="✓"),'KG1-2'!$AD$5:$IM$5),15),""))</f>
        <v/>
      </c>
      <c r="E1096">
        <f>IF(D1096="","",INDEX('KG1-2'!$AD33:$IM33,MATCH(D1096,'KG1-2'!$AD$5:$IM$5,0)))</f>
        <v/>
      </c>
      <c r="F1096">
        <f>IF(D1096="","",COUNTIFS('KG1-2'!$AD33:$IM33,"غياب بدون عذر",'KG1-2'!$AD$7:$IM$7,"✓",'KG1-2'!$AD$5:$IM$5,"&lt;="&amp;D1096))</f>
        <v/>
      </c>
      <c r="G1096">
        <f>G1095+IF(D1096="",0,1)</f>
        <v/>
      </c>
    </row>
    <row r="1097">
      <c r="A1097">
        <f>IF('KG1-2'!$B33="","",'KG1-2'!$B33)</f>
        <v/>
      </c>
      <c r="B1097">
        <f>IF(A1097="","",'KG1-2'!$C33)</f>
        <v/>
      </c>
      <c r="C1097">
        <f>IF(A1097="","",'KG1-2'!$B$2)</f>
        <v/>
      </c>
      <c r="D1097" s="126">
        <f t="array" ref="D1097">IF(A1097="","",IFERROR(SMALL(IF((('KG1-2'!$AD33:$IM33="غياب بدون عذر")+('KG1-2'!$AD33:$IM33="غياب بعذر"))*('KG1-2'!$AD$7:$IM$7="✓"),'KG1-2'!$AD$5:$IM$5),16),""))</f>
        <v/>
      </c>
      <c r="E1097">
        <f>IF(D1097="","",INDEX('KG1-2'!$AD33:$IM33,MATCH(D1097,'KG1-2'!$AD$5:$IM$5,0)))</f>
        <v/>
      </c>
      <c r="F1097">
        <f>IF(D1097="","",COUNTIFS('KG1-2'!$AD33:$IM33,"غياب بدون عذر",'KG1-2'!$AD$7:$IM$7,"✓",'KG1-2'!$AD$5:$IM$5,"&lt;="&amp;D1097))</f>
        <v/>
      </c>
      <c r="G1097">
        <f>G1096+IF(D1097="",0,1)</f>
        <v/>
      </c>
    </row>
    <row r="1098">
      <c r="A1098">
        <f>IF('KG1-2'!$B33="","",'KG1-2'!$B33)</f>
        <v/>
      </c>
      <c r="B1098">
        <f>IF(A1098="","",'KG1-2'!$C33)</f>
        <v/>
      </c>
      <c r="C1098">
        <f>IF(A1098="","",'KG1-2'!$B$2)</f>
        <v/>
      </c>
      <c r="D1098" s="126">
        <f t="array" ref="D1098">IF(A1098="","",IFERROR(SMALL(IF((('KG1-2'!$AD33:$IM33="غياب بدون عذر")+('KG1-2'!$AD33:$IM33="غياب بعذر"))*('KG1-2'!$AD$7:$IM$7="✓"),'KG1-2'!$AD$5:$IM$5),17),""))</f>
        <v/>
      </c>
      <c r="E1098">
        <f>IF(D1098="","",INDEX('KG1-2'!$AD33:$IM33,MATCH(D1098,'KG1-2'!$AD$5:$IM$5,0)))</f>
        <v/>
      </c>
      <c r="F1098">
        <f>IF(D1098="","",COUNTIFS('KG1-2'!$AD33:$IM33,"غياب بدون عذر",'KG1-2'!$AD$7:$IM$7,"✓",'KG1-2'!$AD$5:$IM$5,"&lt;="&amp;D1098))</f>
        <v/>
      </c>
      <c r="G1098">
        <f>G1097+IF(D1098="",0,1)</f>
        <v/>
      </c>
    </row>
    <row r="1099">
      <c r="A1099">
        <f>IF('KG1-2'!$B33="","",'KG1-2'!$B33)</f>
        <v/>
      </c>
      <c r="B1099">
        <f>IF(A1099="","",'KG1-2'!$C33)</f>
        <v/>
      </c>
      <c r="C1099">
        <f>IF(A1099="","",'KG1-2'!$B$2)</f>
        <v/>
      </c>
      <c r="D1099" s="126">
        <f t="array" ref="D1099">IF(A1099="","",IFERROR(SMALL(IF((('KG1-2'!$AD33:$IM33="غياب بدون عذر")+('KG1-2'!$AD33:$IM33="غياب بعذر"))*('KG1-2'!$AD$7:$IM$7="✓"),'KG1-2'!$AD$5:$IM$5),18),""))</f>
        <v/>
      </c>
      <c r="E1099">
        <f>IF(D1099="","",INDEX('KG1-2'!$AD33:$IM33,MATCH(D1099,'KG1-2'!$AD$5:$IM$5,0)))</f>
        <v/>
      </c>
      <c r="F1099">
        <f>IF(D1099="","",COUNTIFS('KG1-2'!$AD33:$IM33,"غياب بدون عذر",'KG1-2'!$AD$7:$IM$7,"✓",'KG1-2'!$AD$5:$IM$5,"&lt;="&amp;D1099))</f>
        <v/>
      </c>
      <c r="G1099">
        <f>G1098+IF(D1099="",0,1)</f>
        <v/>
      </c>
    </row>
    <row r="1100">
      <c r="A1100">
        <f>IF('KG1-2'!$B33="","",'KG1-2'!$B33)</f>
        <v/>
      </c>
      <c r="B1100">
        <f>IF(A1100="","",'KG1-2'!$C33)</f>
        <v/>
      </c>
      <c r="C1100">
        <f>IF(A1100="","",'KG1-2'!$B$2)</f>
        <v/>
      </c>
      <c r="D1100" s="126">
        <f t="array" ref="D1100">IF(A1100="","",IFERROR(SMALL(IF((('KG1-2'!$AD33:$IM33="غياب بدون عذر")+('KG1-2'!$AD33:$IM33="غياب بعذر"))*('KG1-2'!$AD$7:$IM$7="✓"),'KG1-2'!$AD$5:$IM$5),19),""))</f>
        <v/>
      </c>
      <c r="E1100">
        <f>IF(D1100="","",INDEX('KG1-2'!$AD33:$IM33,MATCH(D1100,'KG1-2'!$AD$5:$IM$5,0)))</f>
        <v/>
      </c>
      <c r="F1100">
        <f>IF(D1100="","",COUNTIFS('KG1-2'!$AD33:$IM33,"غياب بدون عذر",'KG1-2'!$AD$7:$IM$7,"✓",'KG1-2'!$AD$5:$IM$5,"&lt;="&amp;D1100))</f>
        <v/>
      </c>
      <c r="G1100">
        <f>G1099+IF(D1100="",0,1)</f>
        <v/>
      </c>
    </row>
    <row r="1101">
      <c r="A1101">
        <f>IF('KG1-2'!$B33="","",'KG1-2'!$B33)</f>
        <v/>
      </c>
      <c r="B1101">
        <f>IF(A1101="","",'KG1-2'!$C33)</f>
        <v/>
      </c>
      <c r="C1101">
        <f>IF(A1101="","",'KG1-2'!$B$2)</f>
        <v/>
      </c>
      <c r="D1101" s="126">
        <f t="array" ref="D1101">IF(A1101="","",IFERROR(SMALL(IF((('KG1-2'!$AD33:$IM33="غياب بدون عذر")+('KG1-2'!$AD33:$IM33="غياب بعذر"))*('KG1-2'!$AD$7:$IM$7="✓"),'KG1-2'!$AD$5:$IM$5),20),""))</f>
        <v/>
      </c>
      <c r="E1101">
        <f>IF(D1101="","",INDEX('KG1-2'!$AD33:$IM33,MATCH(D1101,'KG1-2'!$AD$5:$IM$5,0)))</f>
        <v/>
      </c>
      <c r="F1101">
        <f>IF(D1101="","",COUNTIFS('KG1-2'!$AD33:$IM33,"غياب بدون عذر",'KG1-2'!$AD$7:$IM$7,"✓",'KG1-2'!$AD$5:$IM$5,"&lt;="&amp;D1101))</f>
        <v/>
      </c>
      <c r="G1101">
        <f>G1100+IF(D1101="",0,1)</f>
        <v/>
      </c>
    </row>
    <row r="1102">
      <c r="A1102">
        <f>IF('KG1-2'!$B34="","",'KG1-2'!$B34)</f>
        <v/>
      </c>
      <c r="B1102">
        <f>IF(A1102="","",'KG1-2'!$C34)</f>
        <v/>
      </c>
      <c r="C1102">
        <f>IF(A1102="","",'KG1-2'!$B$2)</f>
        <v/>
      </c>
      <c r="D1102" s="126">
        <f t="array" ref="D1102">IF(A1102="","",IFERROR(SMALL(IF((('KG1-2'!$AD34:$IM34="غياب بدون عذر")+('KG1-2'!$AD34:$IM34="غياب بعذر"))*('KG1-2'!$AD$7:$IM$7="✓"),'KG1-2'!$AD$5:$IM$5),1),""))</f>
        <v/>
      </c>
      <c r="E1102">
        <f>IF(D1102="","",INDEX('KG1-2'!$AD34:$IM34,MATCH(D1102,'KG1-2'!$AD$5:$IM$5,0)))</f>
        <v/>
      </c>
      <c r="F1102">
        <f>IF(D1102="","",COUNTIFS('KG1-2'!$AD34:$IM34,"غياب بدون عذر",'KG1-2'!$AD$7:$IM$7,"✓",'KG1-2'!$AD$5:$IM$5,"&lt;="&amp;D1102))</f>
        <v/>
      </c>
      <c r="G1102">
        <f>G1101+IF(D1102="",0,1)</f>
        <v/>
      </c>
    </row>
    <row r="1103">
      <c r="A1103">
        <f>IF('KG1-2'!$B34="","",'KG1-2'!$B34)</f>
        <v/>
      </c>
      <c r="B1103">
        <f>IF(A1103="","",'KG1-2'!$C34)</f>
        <v/>
      </c>
      <c r="C1103">
        <f>IF(A1103="","",'KG1-2'!$B$2)</f>
        <v/>
      </c>
      <c r="D1103" s="126">
        <f t="array" ref="D1103">IF(A1103="","",IFERROR(SMALL(IF((('KG1-2'!$AD34:$IM34="غياب بدون عذر")+('KG1-2'!$AD34:$IM34="غياب بعذر"))*('KG1-2'!$AD$7:$IM$7="✓"),'KG1-2'!$AD$5:$IM$5),2),""))</f>
        <v/>
      </c>
      <c r="E1103">
        <f>IF(D1103="","",INDEX('KG1-2'!$AD34:$IM34,MATCH(D1103,'KG1-2'!$AD$5:$IM$5,0)))</f>
        <v/>
      </c>
      <c r="F1103">
        <f>IF(D1103="","",COUNTIFS('KG1-2'!$AD34:$IM34,"غياب بدون عذر",'KG1-2'!$AD$7:$IM$7,"✓",'KG1-2'!$AD$5:$IM$5,"&lt;="&amp;D1103))</f>
        <v/>
      </c>
      <c r="G1103">
        <f>G1102+IF(D1103="",0,1)</f>
        <v/>
      </c>
    </row>
    <row r="1104">
      <c r="A1104">
        <f>IF('KG1-2'!$B34="","",'KG1-2'!$B34)</f>
        <v/>
      </c>
      <c r="B1104">
        <f>IF(A1104="","",'KG1-2'!$C34)</f>
        <v/>
      </c>
      <c r="C1104">
        <f>IF(A1104="","",'KG1-2'!$B$2)</f>
        <v/>
      </c>
      <c r="D1104" s="126">
        <f t="array" ref="D1104">IF(A1104="","",IFERROR(SMALL(IF((('KG1-2'!$AD34:$IM34="غياب بدون عذر")+('KG1-2'!$AD34:$IM34="غياب بعذر"))*('KG1-2'!$AD$7:$IM$7="✓"),'KG1-2'!$AD$5:$IM$5),3),""))</f>
        <v/>
      </c>
      <c r="E1104">
        <f>IF(D1104="","",INDEX('KG1-2'!$AD34:$IM34,MATCH(D1104,'KG1-2'!$AD$5:$IM$5,0)))</f>
        <v/>
      </c>
      <c r="F1104">
        <f>IF(D1104="","",COUNTIFS('KG1-2'!$AD34:$IM34,"غياب بدون عذر",'KG1-2'!$AD$7:$IM$7,"✓",'KG1-2'!$AD$5:$IM$5,"&lt;="&amp;D1104))</f>
        <v/>
      </c>
      <c r="G1104">
        <f>G1103+IF(D1104="",0,1)</f>
        <v/>
      </c>
    </row>
    <row r="1105">
      <c r="A1105">
        <f>IF('KG1-2'!$B34="","",'KG1-2'!$B34)</f>
        <v/>
      </c>
      <c r="B1105">
        <f>IF(A1105="","",'KG1-2'!$C34)</f>
        <v/>
      </c>
      <c r="C1105">
        <f>IF(A1105="","",'KG1-2'!$B$2)</f>
        <v/>
      </c>
      <c r="D1105" s="126">
        <f t="array" ref="D1105">IF(A1105="","",IFERROR(SMALL(IF((('KG1-2'!$AD34:$IM34="غياب بدون عذر")+('KG1-2'!$AD34:$IM34="غياب بعذر"))*('KG1-2'!$AD$7:$IM$7="✓"),'KG1-2'!$AD$5:$IM$5),4),""))</f>
        <v/>
      </c>
      <c r="E1105">
        <f>IF(D1105="","",INDEX('KG1-2'!$AD34:$IM34,MATCH(D1105,'KG1-2'!$AD$5:$IM$5,0)))</f>
        <v/>
      </c>
      <c r="F1105">
        <f>IF(D1105="","",COUNTIFS('KG1-2'!$AD34:$IM34,"غياب بدون عذر",'KG1-2'!$AD$7:$IM$7,"✓",'KG1-2'!$AD$5:$IM$5,"&lt;="&amp;D1105))</f>
        <v/>
      </c>
      <c r="G1105">
        <f>G1104+IF(D1105="",0,1)</f>
        <v/>
      </c>
    </row>
    <row r="1106">
      <c r="A1106">
        <f>IF('KG1-2'!$B34="","",'KG1-2'!$B34)</f>
        <v/>
      </c>
      <c r="B1106">
        <f>IF(A1106="","",'KG1-2'!$C34)</f>
        <v/>
      </c>
      <c r="C1106">
        <f>IF(A1106="","",'KG1-2'!$B$2)</f>
        <v/>
      </c>
      <c r="D1106" s="126">
        <f t="array" ref="D1106">IF(A1106="","",IFERROR(SMALL(IF((('KG1-2'!$AD34:$IM34="غياب بدون عذر")+('KG1-2'!$AD34:$IM34="غياب بعذر"))*('KG1-2'!$AD$7:$IM$7="✓"),'KG1-2'!$AD$5:$IM$5),5),""))</f>
        <v/>
      </c>
      <c r="E1106">
        <f>IF(D1106="","",INDEX('KG1-2'!$AD34:$IM34,MATCH(D1106,'KG1-2'!$AD$5:$IM$5,0)))</f>
        <v/>
      </c>
      <c r="F1106">
        <f>IF(D1106="","",COUNTIFS('KG1-2'!$AD34:$IM34,"غياب بدون عذر",'KG1-2'!$AD$7:$IM$7,"✓",'KG1-2'!$AD$5:$IM$5,"&lt;="&amp;D1106))</f>
        <v/>
      </c>
      <c r="G1106">
        <f>G1105+IF(D1106="",0,1)</f>
        <v/>
      </c>
    </row>
    <row r="1107">
      <c r="A1107">
        <f>IF('KG1-2'!$B34="","",'KG1-2'!$B34)</f>
        <v/>
      </c>
      <c r="B1107">
        <f>IF(A1107="","",'KG1-2'!$C34)</f>
        <v/>
      </c>
      <c r="C1107">
        <f>IF(A1107="","",'KG1-2'!$B$2)</f>
        <v/>
      </c>
      <c r="D1107" s="126">
        <f t="array" ref="D1107">IF(A1107="","",IFERROR(SMALL(IF((('KG1-2'!$AD34:$IM34="غياب بدون عذر")+('KG1-2'!$AD34:$IM34="غياب بعذر"))*('KG1-2'!$AD$7:$IM$7="✓"),'KG1-2'!$AD$5:$IM$5),6),""))</f>
        <v/>
      </c>
      <c r="E1107">
        <f>IF(D1107="","",INDEX('KG1-2'!$AD34:$IM34,MATCH(D1107,'KG1-2'!$AD$5:$IM$5,0)))</f>
        <v/>
      </c>
      <c r="F1107">
        <f>IF(D1107="","",COUNTIFS('KG1-2'!$AD34:$IM34,"غياب بدون عذر",'KG1-2'!$AD$7:$IM$7,"✓",'KG1-2'!$AD$5:$IM$5,"&lt;="&amp;D1107))</f>
        <v/>
      </c>
      <c r="G1107">
        <f>G1106+IF(D1107="",0,1)</f>
        <v/>
      </c>
    </row>
    <row r="1108">
      <c r="A1108">
        <f>IF('KG1-2'!$B34="","",'KG1-2'!$B34)</f>
        <v/>
      </c>
      <c r="B1108">
        <f>IF(A1108="","",'KG1-2'!$C34)</f>
        <v/>
      </c>
      <c r="C1108">
        <f>IF(A1108="","",'KG1-2'!$B$2)</f>
        <v/>
      </c>
      <c r="D1108" s="126">
        <f t="array" ref="D1108">IF(A1108="","",IFERROR(SMALL(IF((('KG1-2'!$AD34:$IM34="غياب بدون عذر")+('KG1-2'!$AD34:$IM34="غياب بعذر"))*('KG1-2'!$AD$7:$IM$7="✓"),'KG1-2'!$AD$5:$IM$5),7),""))</f>
        <v/>
      </c>
      <c r="E1108">
        <f>IF(D1108="","",INDEX('KG1-2'!$AD34:$IM34,MATCH(D1108,'KG1-2'!$AD$5:$IM$5,0)))</f>
        <v/>
      </c>
      <c r="F1108">
        <f>IF(D1108="","",COUNTIFS('KG1-2'!$AD34:$IM34,"غياب بدون عذر",'KG1-2'!$AD$7:$IM$7,"✓",'KG1-2'!$AD$5:$IM$5,"&lt;="&amp;D1108))</f>
        <v/>
      </c>
      <c r="G1108">
        <f>G1107+IF(D1108="",0,1)</f>
        <v/>
      </c>
    </row>
    <row r="1109">
      <c r="A1109">
        <f>IF('KG1-2'!$B34="","",'KG1-2'!$B34)</f>
        <v/>
      </c>
      <c r="B1109">
        <f>IF(A1109="","",'KG1-2'!$C34)</f>
        <v/>
      </c>
      <c r="C1109">
        <f>IF(A1109="","",'KG1-2'!$B$2)</f>
        <v/>
      </c>
      <c r="D1109" s="126">
        <f t="array" ref="D1109">IF(A1109="","",IFERROR(SMALL(IF((('KG1-2'!$AD34:$IM34="غياب بدون عذر")+('KG1-2'!$AD34:$IM34="غياب بعذر"))*('KG1-2'!$AD$7:$IM$7="✓"),'KG1-2'!$AD$5:$IM$5),8),""))</f>
        <v/>
      </c>
      <c r="E1109">
        <f>IF(D1109="","",INDEX('KG1-2'!$AD34:$IM34,MATCH(D1109,'KG1-2'!$AD$5:$IM$5,0)))</f>
        <v/>
      </c>
      <c r="F1109">
        <f>IF(D1109="","",COUNTIFS('KG1-2'!$AD34:$IM34,"غياب بدون عذر",'KG1-2'!$AD$7:$IM$7,"✓",'KG1-2'!$AD$5:$IM$5,"&lt;="&amp;D1109))</f>
        <v/>
      </c>
      <c r="G1109">
        <f>G1108+IF(D1109="",0,1)</f>
        <v/>
      </c>
    </row>
    <row r="1110">
      <c r="A1110">
        <f>IF('KG1-2'!$B34="","",'KG1-2'!$B34)</f>
        <v/>
      </c>
      <c r="B1110">
        <f>IF(A1110="","",'KG1-2'!$C34)</f>
        <v/>
      </c>
      <c r="C1110">
        <f>IF(A1110="","",'KG1-2'!$B$2)</f>
        <v/>
      </c>
      <c r="D1110" s="126">
        <f t="array" ref="D1110">IF(A1110="","",IFERROR(SMALL(IF((('KG1-2'!$AD34:$IM34="غياب بدون عذر")+('KG1-2'!$AD34:$IM34="غياب بعذر"))*('KG1-2'!$AD$7:$IM$7="✓"),'KG1-2'!$AD$5:$IM$5),9),""))</f>
        <v/>
      </c>
      <c r="E1110">
        <f>IF(D1110="","",INDEX('KG1-2'!$AD34:$IM34,MATCH(D1110,'KG1-2'!$AD$5:$IM$5,0)))</f>
        <v/>
      </c>
      <c r="F1110">
        <f>IF(D1110="","",COUNTIFS('KG1-2'!$AD34:$IM34,"غياب بدون عذر",'KG1-2'!$AD$7:$IM$7,"✓",'KG1-2'!$AD$5:$IM$5,"&lt;="&amp;D1110))</f>
        <v/>
      </c>
      <c r="G1110">
        <f>G1109+IF(D1110="",0,1)</f>
        <v/>
      </c>
    </row>
    <row r="1111">
      <c r="A1111">
        <f>IF('KG1-2'!$B34="","",'KG1-2'!$B34)</f>
        <v/>
      </c>
      <c r="B1111">
        <f>IF(A1111="","",'KG1-2'!$C34)</f>
        <v/>
      </c>
      <c r="C1111">
        <f>IF(A1111="","",'KG1-2'!$B$2)</f>
        <v/>
      </c>
      <c r="D1111" s="126">
        <f t="array" ref="D1111">IF(A1111="","",IFERROR(SMALL(IF((('KG1-2'!$AD34:$IM34="غياب بدون عذر")+('KG1-2'!$AD34:$IM34="غياب بعذر"))*('KG1-2'!$AD$7:$IM$7="✓"),'KG1-2'!$AD$5:$IM$5),10),""))</f>
        <v/>
      </c>
      <c r="E1111">
        <f>IF(D1111="","",INDEX('KG1-2'!$AD34:$IM34,MATCH(D1111,'KG1-2'!$AD$5:$IM$5,0)))</f>
        <v/>
      </c>
      <c r="F1111">
        <f>IF(D1111="","",COUNTIFS('KG1-2'!$AD34:$IM34,"غياب بدون عذر",'KG1-2'!$AD$7:$IM$7,"✓",'KG1-2'!$AD$5:$IM$5,"&lt;="&amp;D1111))</f>
        <v/>
      </c>
      <c r="G1111">
        <f>G1110+IF(D1111="",0,1)</f>
        <v/>
      </c>
    </row>
    <row r="1112">
      <c r="A1112">
        <f>IF('KG1-2'!$B34="","",'KG1-2'!$B34)</f>
        <v/>
      </c>
      <c r="B1112">
        <f>IF(A1112="","",'KG1-2'!$C34)</f>
        <v/>
      </c>
      <c r="C1112">
        <f>IF(A1112="","",'KG1-2'!$B$2)</f>
        <v/>
      </c>
      <c r="D1112" s="126">
        <f t="array" ref="D1112">IF(A1112="","",IFERROR(SMALL(IF((('KG1-2'!$AD34:$IM34="غياب بدون عذر")+('KG1-2'!$AD34:$IM34="غياب بعذر"))*('KG1-2'!$AD$7:$IM$7="✓"),'KG1-2'!$AD$5:$IM$5),11),""))</f>
        <v/>
      </c>
      <c r="E1112">
        <f>IF(D1112="","",INDEX('KG1-2'!$AD34:$IM34,MATCH(D1112,'KG1-2'!$AD$5:$IM$5,0)))</f>
        <v/>
      </c>
      <c r="F1112">
        <f>IF(D1112="","",COUNTIFS('KG1-2'!$AD34:$IM34,"غياب بدون عذر",'KG1-2'!$AD$7:$IM$7,"✓",'KG1-2'!$AD$5:$IM$5,"&lt;="&amp;D1112))</f>
        <v/>
      </c>
      <c r="G1112">
        <f>G1111+IF(D1112="",0,1)</f>
        <v/>
      </c>
    </row>
    <row r="1113">
      <c r="A1113">
        <f>IF('KG1-2'!$B34="","",'KG1-2'!$B34)</f>
        <v/>
      </c>
      <c r="B1113">
        <f>IF(A1113="","",'KG1-2'!$C34)</f>
        <v/>
      </c>
      <c r="C1113">
        <f>IF(A1113="","",'KG1-2'!$B$2)</f>
        <v/>
      </c>
      <c r="D1113" s="126">
        <f t="array" ref="D1113">IF(A1113="","",IFERROR(SMALL(IF((('KG1-2'!$AD34:$IM34="غياب بدون عذر")+('KG1-2'!$AD34:$IM34="غياب بعذر"))*('KG1-2'!$AD$7:$IM$7="✓"),'KG1-2'!$AD$5:$IM$5),12),""))</f>
        <v/>
      </c>
      <c r="E1113">
        <f>IF(D1113="","",INDEX('KG1-2'!$AD34:$IM34,MATCH(D1113,'KG1-2'!$AD$5:$IM$5,0)))</f>
        <v/>
      </c>
      <c r="F1113">
        <f>IF(D1113="","",COUNTIFS('KG1-2'!$AD34:$IM34,"غياب بدون عذر",'KG1-2'!$AD$7:$IM$7,"✓",'KG1-2'!$AD$5:$IM$5,"&lt;="&amp;D1113))</f>
        <v/>
      </c>
      <c r="G1113">
        <f>G1112+IF(D1113="",0,1)</f>
        <v/>
      </c>
    </row>
    <row r="1114">
      <c r="A1114">
        <f>IF('KG1-2'!$B34="","",'KG1-2'!$B34)</f>
        <v/>
      </c>
      <c r="B1114">
        <f>IF(A1114="","",'KG1-2'!$C34)</f>
        <v/>
      </c>
      <c r="C1114">
        <f>IF(A1114="","",'KG1-2'!$B$2)</f>
        <v/>
      </c>
      <c r="D1114" s="126">
        <f t="array" ref="D1114">IF(A1114="","",IFERROR(SMALL(IF((('KG1-2'!$AD34:$IM34="غياب بدون عذر")+('KG1-2'!$AD34:$IM34="غياب بعذر"))*('KG1-2'!$AD$7:$IM$7="✓"),'KG1-2'!$AD$5:$IM$5),13),""))</f>
        <v/>
      </c>
      <c r="E1114">
        <f>IF(D1114="","",INDEX('KG1-2'!$AD34:$IM34,MATCH(D1114,'KG1-2'!$AD$5:$IM$5,0)))</f>
        <v/>
      </c>
      <c r="F1114">
        <f>IF(D1114="","",COUNTIFS('KG1-2'!$AD34:$IM34,"غياب بدون عذر",'KG1-2'!$AD$7:$IM$7,"✓",'KG1-2'!$AD$5:$IM$5,"&lt;="&amp;D1114))</f>
        <v/>
      </c>
      <c r="G1114">
        <f>G1113+IF(D1114="",0,1)</f>
        <v/>
      </c>
    </row>
    <row r="1115">
      <c r="A1115">
        <f>IF('KG1-2'!$B34="","",'KG1-2'!$B34)</f>
        <v/>
      </c>
      <c r="B1115">
        <f>IF(A1115="","",'KG1-2'!$C34)</f>
        <v/>
      </c>
      <c r="C1115">
        <f>IF(A1115="","",'KG1-2'!$B$2)</f>
        <v/>
      </c>
      <c r="D1115" s="126">
        <f t="array" ref="D1115">IF(A1115="","",IFERROR(SMALL(IF((('KG1-2'!$AD34:$IM34="غياب بدون عذر")+('KG1-2'!$AD34:$IM34="غياب بعذر"))*('KG1-2'!$AD$7:$IM$7="✓"),'KG1-2'!$AD$5:$IM$5),14),""))</f>
        <v/>
      </c>
      <c r="E1115">
        <f>IF(D1115="","",INDEX('KG1-2'!$AD34:$IM34,MATCH(D1115,'KG1-2'!$AD$5:$IM$5,0)))</f>
        <v/>
      </c>
      <c r="F1115">
        <f>IF(D1115="","",COUNTIFS('KG1-2'!$AD34:$IM34,"غياب بدون عذر",'KG1-2'!$AD$7:$IM$7,"✓",'KG1-2'!$AD$5:$IM$5,"&lt;="&amp;D1115))</f>
        <v/>
      </c>
      <c r="G1115">
        <f>G1114+IF(D1115="",0,1)</f>
        <v/>
      </c>
    </row>
    <row r="1116">
      <c r="A1116">
        <f>IF('KG1-2'!$B34="","",'KG1-2'!$B34)</f>
        <v/>
      </c>
      <c r="B1116">
        <f>IF(A1116="","",'KG1-2'!$C34)</f>
        <v/>
      </c>
      <c r="C1116">
        <f>IF(A1116="","",'KG1-2'!$B$2)</f>
        <v/>
      </c>
      <c r="D1116" s="126">
        <f t="array" ref="D1116">IF(A1116="","",IFERROR(SMALL(IF((('KG1-2'!$AD34:$IM34="غياب بدون عذر")+('KG1-2'!$AD34:$IM34="غياب بعذر"))*('KG1-2'!$AD$7:$IM$7="✓"),'KG1-2'!$AD$5:$IM$5),15),""))</f>
        <v/>
      </c>
      <c r="E1116">
        <f>IF(D1116="","",INDEX('KG1-2'!$AD34:$IM34,MATCH(D1116,'KG1-2'!$AD$5:$IM$5,0)))</f>
        <v/>
      </c>
      <c r="F1116">
        <f>IF(D1116="","",COUNTIFS('KG1-2'!$AD34:$IM34,"غياب بدون عذر",'KG1-2'!$AD$7:$IM$7,"✓",'KG1-2'!$AD$5:$IM$5,"&lt;="&amp;D1116))</f>
        <v/>
      </c>
      <c r="G1116">
        <f>G1115+IF(D1116="",0,1)</f>
        <v/>
      </c>
    </row>
    <row r="1117">
      <c r="A1117">
        <f>IF('KG1-2'!$B34="","",'KG1-2'!$B34)</f>
        <v/>
      </c>
      <c r="B1117">
        <f>IF(A1117="","",'KG1-2'!$C34)</f>
        <v/>
      </c>
      <c r="C1117">
        <f>IF(A1117="","",'KG1-2'!$B$2)</f>
        <v/>
      </c>
      <c r="D1117" s="126">
        <f t="array" ref="D1117">IF(A1117="","",IFERROR(SMALL(IF((('KG1-2'!$AD34:$IM34="غياب بدون عذر")+('KG1-2'!$AD34:$IM34="غياب بعذر"))*('KG1-2'!$AD$7:$IM$7="✓"),'KG1-2'!$AD$5:$IM$5),16),""))</f>
        <v/>
      </c>
      <c r="E1117">
        <f>IF(D1117="","",INDEX('KG1-2'!$AD34:$IM34,MATCH(D1117,'KG1-2'!$AD$5:$IM$5,0)))</f>
        <v/>
      </c>
      <c r="F1117">
        <f>IF(D1117="","",COUNTIFS('KG1-2'!$AD34:$IM34,"غياب بدون عذر",'KG1-2'!$AD$7:$IM$7,"✓",'KG1-2'!$AD$5:$IM$5,"&lt;="&amp;D1117))</f>
        <v/>
      </c>
      <c r="G1117">
        <f>G1116+IF(D1117="",0,1)</f>
        <v/>
      </c>
    </row>
    <row r="1118">
      <c r="A1118">
        <f>IF('KG1-2'!$B34="","",'KG1-2'!$B34)</f>
        <v/>
      </c>
      <c r="B1118">
        <f>IF(A1118="","",'KG1-2'!$C34)</f>
        <v/>
      </c>
      <c r="C1118">
        <f>IF(A1118="","",'KG1-2'!$B$2)</f>
        <v/>
      </c>
      <c r="D1118" s="126">
        <f t="array" ref="D1118">IF(A1118="","",IFERROR(SMALL(IF((('KG1-2'!$AD34:$IM34="غياب بدون عذر")+('KG1-2'!$AD34:$IM34="غياب بعذر"))*('KG1-2'!$AD$7:$IM$7="✓"),'KG1-2'!$AD$5:$IM$5),17),""))</f>
        <v/>
      </c>
      <c r="E1118">
        <f>IF(D1118="","",INDEX('KG1-2'!$AD34:$IM34,MATCH(D1118,'KG1-2'!$AD$5:$IM$5,0)))</f>
        <v/>
      </c>
      <c r="F1118">
        <f>IF(D1118="","",COUNTIFS('KG1-2'!$AD34:$IM34,"غياب بدون عذر",'KG1-2'!$AD$7:$IM$7,"✓",'KG1-2'!$AD$5:$IM$5,"&lt;="&amp;D1118))</f>
        <v/>
      </c>
      <c r="G1118">
        <f>G1117+IF(D1118="",0,1)</f>
        <v/>
      </c>
    </row>
    <row r="1119">
      <c r="A1119">
        <f>IF('KG1-2'!$B34="","",'KG1-2'!$B34)</f>
        <v/>
      </c>
      <c r="B1119">
        <f>IF(A1119="","",'KG1-2'!$C34)</f>
        <v/>
      </c>
      <c r="C1119">
        <f>IF(A1119="","",'KG1-2'!$B$2)</f>
        <v/>
      </c>
      <c r="D1119" s="126">
        <f t="array" ref="D1119">IF(A1119="","",IFERROR(SMALL(IF((('KG1-2'!$AD34:$IM34="غياب بدون عذر")+('KG1-2'!$AD34:$IM34="غياب بعذر"))*('KG1-2'!$AD$7:$IM$7="✓"),'KG1-2'!$AD$5:$IM$5),18),""))</f>
        <v/>
      </c>
      <c r="E1119">
        <f>IF(D1119="","",INDEX('KG1-2'!$AD34:$IM34,MATCH(D1119,'KG1-2'!$AD$5:$IM$5,0)))</f>
        <v/>
      </c>
      <c r="F1119">
        <f>IF(D1119="","",COUNTIFS('KG1-2'!$AD34:$IM34,"غياب بدون عذر",'KG1-2'!$AD$7:$IM$7,"✓",'KG1-2'!$AD$5:$IM$5,"&lt;="&amp;D1119))</f>
        <v/>
      </c>
      <c r="G1119">
        <f>G1118+IF(D1119="",0,1)</f>
        <v/>
      </c>
    </row>
    <row r="1120">
      <c r="A1120">
        <f>IF('KG1-2'!$B34="","",'KG1-2'!$B34)</f>
        <v/>
      </c>
      <c r="B1120">
        <f>IF(A1120="","",'KG1-2'!$C34)</f>
        <v/>
      </c>
      <c r="C1120">
        <f>IF(A1120="","",'KG1-2'!$B$2)</f>
        <v/>
      </c>
      <c r="D1120" s="126">
        <f t="array" ref="D1120">IF(A1120="","",IFERROR(SMALL(IF((('KG1-2'!$AD34:$IM34="غياب بدون عذر")+('KG1-2'!$AD34:$IM34="غياب بعذر"))*('KG1-2'!$AD$7:$IM$7="✓"),'KG1-2'!$AD$5:$IM$5),19),""))</f>
        <v/>
      </c>
      <c r="E1120">
        <f>IF(D1120="","",INDEX('KG1-2'!$AD34:$IM34,MATCH(D1120,'KG1-2'!$AD$5:$IM$5,0)))</f>
        <v/>
      </c>
      <c r="F1120">
        <f>IF(D1120="","",COUNTIFS('KG1-2'!$AD34:$IM34,"غياب بدون عذر",'KG1-2'!$AD$7:$IM$7,"✓",'KG1-2'!$AD$5:$IM$5,"&lt;="&amp;D1120))</f>
        <v/>
      </c>
      <c r="G1120">
        <f>G1119+IF(D1120="",0,1)</f>
        <v/>
      </c>
    </row>
    <row r="1121">
      <c r="A1121">
        <f>IF('KG1-2'!$B34="","",'KG1-2'!$B34)</f>
        <v/>
      </c>
      <c r="B1121">
        <f>IF(A1121="","",'KG1-2'!$C34)</f>
        <v/>
      </c>
      <c r="C1121">
        <f>IF(A1121="","",'KG1-2'!$B$2)</f>
        <v/>
      </c>
      <c r="D1121" s="126">
        <f t="array" ref="D1121">IF(A1121="","",IFERROR(SMALL(IF((('KG1-2'!$AD34:$IM34="غياب بدون عذر")+('KG1-2'!$AD34:$IM34="غياب بعذر"))*('KG1-2'!$AD$7:$IM$7="✓"),'KG1-2'!$AD$5:$IM$5),20),""))</f>
        <v/>
      </c>
      <c r="E1121">
        <f>IF(D1121="","",INDEX('KG1-2'!$AD34:$IM34,MATCH(D1121,'KG1-2'!$AD$5:$IM$5,0)))</f>
        <v/>
      </c>
      <c r="F1121">
        <f>IF(D1121="","",COUNTIFS('KG1-2'!$AD34:$IM34,"غياب بدون عذر",'KG1-2'!$AD$7:$IM$7,"✓",'KG1-2'!$AD$5:$IM$5,"&lt;="&amp;D1121))</f>
        <v/>
      </c>
      <c r="G1121">
        <f>G1120+IF(D1121="",0,1)</f>
        <v/>
      </c>
    </row>
    <row r="1122">
      <c r="A1122">
        <f>IF('KG1-2'!$B35="","",'KG1-2'!$B35)</f>
        <v/>
      </c>
      <c r="B1122">
        <f>IF(A1122="","",'KG1-2'!$C35)</f>
        <v/>
      </c>
      <c r="C1122">
        <f>IF(A1122="","",'KG1-2'!$B$2)</f>
        <v/>
      </c>
      <c r="D1122" s="126">
        <f t="array" ref="D1122">IF(A1122="","",IFERROR(SMALL(IF((('KG1-2'!$AD35:$IM35="غياب بدون عذر")+('KG1-2'!$AD35:$IM35="غياب بعذر"))*('KG1-2'!$AD$7:$IM$7="✓"),'KG1-2'!$AD$5:$IM$5),1),""))</f>
        <v/>
      </c>
      <c r="E1122">
        <f>IF(D1122="","",INDEX('KG1-2'!$AD35:$IM35,MATCH(D1122,'KG1-2'!$AD$5:$IM$5,0)))</f>
        <v/>
      </c>
      <c r="F1122">
        <f>IF(D1122="","",COUNTIFS('KG1-2'!$AD35:$IM35,"غياب بدون عذر",'KG1-2'!$AD$7:$IM$7,"✓",'KG1-2'!$AD$5:$IM$5,"&lt;="&amp;D1122))</f>
        <v/>
      </c>
      <c r="G1122">
        <f>G1121+IF(D1122="",0,1)</f>
        <v/>
      </c>
    </row>
    <row r="1123">
      <c r="A1123">
        <f>IF('KG1-2'!$B35="","",'KG1-2'!$B35)</f>
        <v/>
      </c>
      <c r="B1123">
        <f>IF(A1123="","",'KG1-2'!$C35)</f>
        <v/>
      </c>
      <c r="C1123">
        <f>IF(A1123="","",'KG1-2'!$B$2)</f>
        <v/>
      </c>
      <c r="D1123" s="126">
        <f t="array" ref="D1123">IF(A1123="","",IFERROR(SMALL(IF((('KG1-2'!$AD35:$IM35="غياب بدون عذر")+('KG1-2'!$AD35:$IM35="غياب بعذر"))*('KG1-2'!$AD$7:$IM$7="✓"),'KG1-2'!$AD$5:$IM$5),2),""))</f>
        <v/>
      </c>
      <c r="E1123">
        <f>IF(D1123="","",INDEX('KG1-2'!$AD35:$IM35,MATCH(D1123,'KG1-2'!$AD$5:$IM$5,0)))</f>
        <v/>
      </c>
      <c r="F1123">
        <f>IF(D1123="","",COUNTIFS('KG1-2'!$AD35:$IM35,"غياب بدون عذر",'KG1-2'!$AD$7:$IM$7,"✓",'KG1-2'!$AD$5:$IM$5,"&lt;="&amp;D1123))</f>
        <v/>
      </c>
      <c r="G1123">
        <f>G1122+IF(D1123="",0,1)</f>
        <v/>
      </c>
    </row>
    <row r="1124">
      <c r="A1124">
        <f>IF('KG1-2'!$B35="","",'KG1-2'!$B35)</f>
        <v/>
      </c>
      <c r="B1124">
        <f>IF(A1124="","",'KG1-2'!$C35)</f>
        <v/>
      </c>
      <c r="C1124">
        <f>IF(A1124="","",'KG1-2'!$B$2)</f>
        <v/>
      </c>
      <c r="D1124" s="126">
        <f t="array" ref="D1124">IF(A1124="","",IFERROR(SMALL(IF((('KG1-2'!$AD35:$IM35="غياب بدون عذر")+('KG1-2'!$AD35:$IM35="غياب بعذر"))*('KG1-2'!$AD$7:$IM$7="✓"),'KG1-2'!$AD$5:$IM$5),3),""))</f>
        <v/>
      </c>
      <c r="E1124">
        <f>IF(D1124="","",INDEX('KG1-2'!$AD35:$IM35,MATCH(D1124,'KG1-2'!$AD$5:$IM$5,0)))</f>
        <v/>
      </c>
      <c r="F1124">
        <f>IF(D1124="","",COUNTIFS('KG1-2'!$AD35:$IM35,"غياب بدون عذر",'KG1-2'!$AD$7:$IM$7,"✓",'KG1-2'!$AD$5:$IM$5,"&lt;="&amp;D1124))</f>
        <v/>
      </c>
      <c r="G1124">
        <f>G1123+IF(D1124="",0,1)</f>
        <v/>
      </c>
    </row>
    <row r="1125">
      <c r="A1125">
        <f>IF('KG1-2'!$B35="","",'KG1-2'!$B35)</f>
        <v/>
      </c>
      <c r="B1125">
        <f>IF(A1125="","",'KG1-2'!$C35)</f>
        <v/>
      </c>
      <c r="C1125">
        <f>IF(A1125="","",'KG1-2'!$B$2)</f>
        <v/>
      </c>
      <c r="D1125" s="126">
        <f t="array" ref="D1125">IF(A1125="","",IFERROR(SMALL(IF((('KG1-2'!$AD35:$IM35="غياب بدون عذر")+('KG1-2'!$AD35:$IM35="غياب بعذر"))*('KG1-2'!$AD$7:$IM$7="✓"),'KG1-2'!$AD$5:$IM$5),4),""))</f>
        <v/>
      </c>
      <c r="E1125">
        <f>IF(D1125="","",INDEX('KG1-2'!$AD35:$IM35,MATCH(D1125,'KG1-2'!$AD$5:$IM$5,0)))</f>
        <v/>
      </c>
      <c r="F1125">
        <f>IF(D1125="","",COUNTIFS('KG1-2'!$AD35:$IM35,"غياب بدون عذر",'KG1-2'!$AD$7:$IM$7,"✓",'KG1-2'!$AD$5:$IM$5,"&lt;="&amp;D1125))</f>
        <v/>
      </c>
      <c r="G1125">
        <f>G1124+IF(D1125="",0,1)</f>
        <v/>
      </c>
    </row>
    <row r="1126">
      <c r="A1126">
        <f>IF('KG1-2'!$B35="","",'KG1-2'!$B35)</f>
        <v/>
      </c>
      <c r="B1126">
        <f>IF(A1126="","",'KG1-2'!$C35)</f>
        <v/>
      </c>
      <c r="C1126">
        <f>IF(A1126="","",'KG1-2'!$B$2)</f>
        <v/>
      </c>
      <c r="D1126" s="126">
        <f t="array" ref="D1126">IF(A1126="","",IFERROR(SMALL(IF((('KG1-2'!$AD35:$IM35="غياب بدون عذر")+('KG1-2'!$AD35:$IM35="غياب بعذر"))*('KG1-2'!$AD$7:$IM$7="✓"),'KG1-2'!$AD$5:$IM$5),5),""))</f>
        <v/>
      </c>
      <c r="E1126">
        <f>IF(D1126="","",INDEX('KG1-2'!$AD35:$IM35,MATCH(D1126,'KG1-2'!$AD$5:$IM$5,0)))</f>
        <v/>
      </c>
      <c r="F1126">
        <f>IF(D1126="","",COUNTIFS('KG1-2'!$AD35:$IM35,"غياب بدون عذر",'KG1-2'!$AD$7:$IM$7,"✓",'KG1-2'!$AD$5:$IM$5,"&lt;="&amp;D1126))</f>
        <v/>
      </c>
      <c r="G1126">
        <f>G1125+IF(D1126="",0,1)</f>
        <v/>
      </c>
    </row>
    <row r="1127">
      <c r="A1127">
        <f>IF('KG1-2'!$B35="","",'KG1-2'!$B35)</f>
        <v/>
      </c>
      <c r="B1127">
        <f>IF(A1127="","",'KG1-2'!$C35)</f>
        <v/>
      </c>
      <c r="C1127">
        <f>IF(A1127="","",'KG1-2'!$B$2)</f>
        <v/>
      </c>
      <c r="D1127" s="126">
        <f t="array" ref="D1127">IF(A1127="","",IFERROR(SMALL(IF((('KG1-2'!$AD35:$IM35="غياب بدون عذر")+('KG1-2'!$AD35:$IM35="غياب بعذر"))*('KG1-2'!$AD$7:$IM$7="✓"),'KG1-2'!$AD$5:$IM$5),6),""))</f>
        <v/>
      </c>
      <c r="E1127">
        <f>IF(D1127="","",INDEX('KG1-2'!$AD35:$IM35,MATCH(D1127,'KG1-2'!$AD$5:$IM$5,0)))</f>
        <v/>
      </c>
      <c r="F1127">
        <f>IF(D1127="","",COUNTIFS('KG1-2'!$AD35:$IM35,"غياب بدون عذر",'KG1-2'!$AD$7:$IM$7,"✓",'KG1-2'!$AD$5:$IM$5,"&lt;="&amp;D1127))</f>
        <v/>
      </c>
      <c r="G1127">
        <f>G1126+IF(D1127="",0,1)</f>
        <v/>
      </c>
    </row>
    <row r="1128">
      <c r="A1128">
        <f>IF('KG1-2'!$B35="","",'KG1-2'!$B35)</f>
        <v/>
      </c>
      <c r="B1128">
        <f>IF(A1128="","",'KG1-2'!$C35)</f>
        <v/>
      </c>
      <c r="C1128">
        <f>IF(A1128="","",'KG1-2'!$B$2)</f>
        <v/>
      </c>
      <c r="D1128" s="126">
        <f t="array" ref="D1128">IF(A1128="","",IFERROR(SMALL(IF((('KG1-2'!$AD35:$IM35="غياب بدون عذر")+('KG1-2'!$AD35:$IM35="غياب بعذر"))*('KG1-2'!$AD$7:$IM$7="✓"),'KG1-2'!$AD$5:$IM$5),7),""))</f>
        <v/>
      </c>
      <c r="E1128">
        <f>IF(D1128="","",INDEX('KG1-2'!$AD35:$IM35,MATCH(D1128,'KG1-2'!$AD$5:$IM$5,0)))</f>
        <v/>
      </c>
      <c r="F1128">
        <f>IF(D1128="","",COUNTIFS('KG1-2'!$AD35:$IM35,"غياب بدون عذر",'KG1-2'!$AD$7:$IM$7,"✓",'KG1-2'!$AD$5:$IM$5,"&lt;="&amp;D1128))</f>
        <v/>
      </c>
      <c r="G1128">
        <f>G1127+IF(D1128="",0,1)</f>
        <v/>
      </c>
    </row>
    <row r="1129">
      <c r="A1129">
        <f>IF('KG1-2'!$B35="","",'KG1-2'!$B35)</f>
        <v/>
      </c>
      <c r="B1129">
        <f>IF(A1129="","",'KG1-2'!$C35)</f>
        <v/>
      </c>
      <c r="C1129">
        <f>IF(A1129="","",'KG1-2'!$B$2)</f>
        <v/>
      </c>
      <c r="D1129" s="126">
        <f t="array" ref="D1129">IF(A1129="","",IFERROR(SMALL(IF((('KG1-2'!$AD35:$IM35="غياب بدون عذر")+('KG1-2'!$AD35:$IM35="غياب بعذر"))*('KG1-2'!$AD$7:$IM$7="✓"),'KG1-2'!$AD$5:$IM$5),8),""))</f>
        <v/>
      </c>
      <c r="E1129">
        <f>IF(D1129="","",INDEX('KG1-2'!$AD35:$IM35,MATCH(D1129,'KG1-2'!$AD$5:$IM$5,0)))</f>
        <v/>
      </c>
      <c r="F1129">
        <f>IF(D1129="","",COUNTIFS('KG1-2'!$AD35:$IM35,"غياب بدون عذر",'KG1-2'!$AD$7:$IM$7,"✓",'KG1-2'!$AD$5:$IM$5,"&lt;="&amp;D1129))</f>
        <v/>
      </c>
      <c r="G1129">
        <f>G1128+IF(D1129="",0,1)</f>
        <v/>
      </c>
    </row>
    <row r="1130">
      <c r="A1130">
        <f>IF('KG1-2'!$B35="","",'KG1-2'!$B35)</f>
        <v/>
      </c>
      <c r="B1130">
        <f>IF(A1130="","",'KG1-2'!$C35)</f>
        <v/>
      </c>
      <c r="C1130">
        <f>IF(A1130="","",'KG1-2'!$B$2)</f>
        <v/>
      </c>
      <c r="D1130" s="126">
        <f t="array" ref="D1130">IF(A1130="","",IFERROR(SMALL(IF((('KG1-2'!$AD35:$IM35="غياب بدون عذر")+('KG1-2'!$AD35:$IM35="غياب بعذر"))*('KG1-2'!$AD$7:$IM$7="✓"),'KG1-2'!$AD$5:$IM$5),9),""))</f>
        <v/>
      </c>
      <c r="E1130">
        <f>IF(D1130="","",INDEX('KG1-2'!$AD35:$IM35,MATCH(D1130,'KG1-2'!$AD$5:$IM$5,0)))</f>
        <v/>
      </c>
      <c r="F1130">
        <f>IF(D1130="","",COUNTIFS('KG1-2'!$AD35:$IM35,"غياب بدون عذر",'KG1-2'!$AD$7:$IM$7,"✓",'KG1-2'!$AD$5:$IM$5,"&lt;="&amp;D1130))</f>
        <v/>
      </c>
      <c r="G1130">
        <f>G1129+IF(D1130="",0,1)</f>
        <v/>
      </c>
    </row>
    <row r="1131">
      <c r="A1131">
        <f>IF('KG1-2'!$B35="","",'KG1-2'!$B35)</f>
        <v/>
      </c>
      <c r="B1131">
        <f>IF(A1131="","",'KG1-2'!$C35)</f>
        <v/>
      </c>
      <c r="C1131">
        <f>IF(A1131="","",'KG1-2'!$B$2)</f>
        <v/>
      </c>
      <c r="D1131" s="126">
        <f t="array" ref="D1131">IF(A1131="","",IFERROR(SMALL(IF((('KG1-2'!$AD35:$IM35="غياب بدون عذر")+('KG1-2'!$AD35:$IM35="غياب بعذر"))*('KG1-2'!$AD$7:$IM$7="✓"),'KG1-2'!$AD$5:$IM$5),10),""))</f>
        <v/>
      </c>
      <c r="E1131">
        <f>IF(D1131="","",INDEX('KG1-2'!$AD35:$IM35,MATCH(D1131,'KG1-2'!$AD$5:$IM$5,0)))</f>
        <v/>
      </c>
      <c r="F1131">
        <f>IF(D1131="","",COUNTIFS('KG1-2'!$AD35:$IM35,"غياب بدون عذر",'KG1-2'!$AD$7:$IM$7,"✓",'KG1-2'!$AD$5:$IM$5,"&lt;="&amp;D1131))</f>
        <v/>
      </c>
      <c r="G1131">
        <f>G1130+IF(D1131="",0,1)</f>
        <v/>
      </c>
    </row>
    <row r="1132">
      <c r="A1132">
        <f>IF('KG1-2'!$B35="","",'KG1-2'!$B35)</f>
        <v/>
      </c>
      <c r="B1132">
        <f>IF(A1132="","",'KG1-2'!$C35)</f>
        <v/>
      </c>
      <c r="C1132">
        <f>IF(A1132="","",'KG1-2'!$B$2)</f>
        <v/>
      </c>
      <c r="D1132" s="126">
        <f t="array" ref="D1132">IF(A1132="","",IFERROR(SMALL(IF((('KG1-2'!$AD35:$IM35="غياب بدون عذر")+('KG1-2'!$AD35:$IM35="غياب بعذر"))*('KG1-2'!$AD$7:$IM$7="✓"),'KG1-2'!$AD$5:$IM$5),11),""))</f>
        <v/>
      </c>
      <c r="E1132">
        <f>IF(D1132="","",INDEX('KG1-2'!$AD35:$IM35,MATCH(D1132,'KG1-2'!$AD$5:$IM$5,0)))</f>
        <v/>
      </c>
      <c r="F1132">
        <f>IF(D1132="","",COUNTIFS('KG1-2'!$AD35:$IM35,"غياب بدون عذر",'KG1-2'!$AD$7:$IM$7,"✓",'KG1-2'!$AD$5:$IM$5,"&lt;="&amp;D1132))</f>
        <v/>
      </c>
      <c r="G1132">
        <f>G1131+IF(D1132="",0,1)</f>
        <v/>
      </c>
    </row>
    <row r="1133">
      <c r="A1133">
        <f>IF('KG1-2'!$B35="","",'KG1-2'!$B35)</f>
        <v/>
      </c>
      <c r="B1133">
        <f>IF(A1133="","",'KG1-2'!$C35)</f>
        <v/>
      </c>
      <c r="C1133">
        <f>IF(A1133="","",'KG1-2'!$B$2)</f>
        <v/>
      </c>
      <c r="D1133" s="126">
        <f t="array" ref="D1133">IF(A1133="","",IFERROR(SMALL(IF((('KG1-2'!$AD35:$IM35="غياب بدون عذر")+('KG1-2'!$AD35:$IM35="غياب بعذر"))*('KG1-2'!$AD$7:$IM$7="✓"),'KG1-2'!$AD$5:$IM$5),12),""))</f>
        <v/>
      </c>
      <c r="E1133">
        <f>IF(D1133="","",INDEX('KG1-2'!$AD35:$IM35,MATCH(D1133,'KG1-2'!$AD$5:$IM$5,0)))</f>
        <v/>
      </c>
      <c r="F1133">
        <f>IF(D1133="","",COUNTIFS('KG1-2'!$AD35:$IM35,"غياب بدون عذر",'KG1-2'!$AD$7:$IM$7,"✓",'KG1-2'!$AD$5:$IM$5,"&lt;="&amp;D1133))</f>
        <v/>
      </c>
      <c r="G1133">
        <f>G1132+IF(D1133="",0,1)</f>
        <v/>
      </c>
    </row>
    <row r="1134">
      <c r="A1134">
        <f>IF('KG1-2'!$B35="","",'KG1-2'!$B35)</f>
        <v/>
      </c>
      <c r="B1134">
        <f>IF(A1134="","",'KG1-2'!$C35)</f>
        <v/>
      </c>
      <c r="C1134">
        <f>IF(A1134="","",'KG1-2'!$B$2)</f>
        <v/>
      </c>
      <c r="D1134" s="126">
        <f t="array" ref="D1134">IF(A1134="","",IFERROR(SMALL(IF((('KG1-2'!$AD35:$IM35="غياب بدون عذر")+('KG1-2'!$AD35:$IM35="غياب بعذر"))*('KG1-2'!$AD$7:$IM$7="✓"),'KG1-2'!$AD$5:$IM$5),13),""))</f>
        <v/>
      </c>
      <c r="E1134">
        <f>IF(D1134="","",INDEX('KG1-2'!$AD35:$IM35,MATCH(D1134,'KG1-2'!$AD$5:$IM$5,0)))</f>
        <v/>
      </c>
      <c r="F1134">
        <f>IF(D1134="","",COUNTIFS('KG1-2'!$AD35:$IM35,"غياب بدون عذر",'KG1-2'!$AD$7:$IM$7,"✓",'KG1-2'!$AD$5:$IM$5,"&lt;="&amp;D1134))</f>
        <v/>
      </c>
      <c r="G1134">
        <f>G1133+IF(D1134="",0,1)</f>
        <v/>
      </c>
    </row>
    <row r="1135">
      <c r="A1135">
        <f>IF('KG1-2'!$B35="","",'KG1-2'!$B35)</f>
        <v/>
      </c>
      <c r="B1135">
        <f>IF(A1135="","",'KG1-2'!$C35)</f>
        <v/>
      </c>
      <c r="C1135">
        <f>IF(A1135="","",'KG1-2'!$B$2)</f>
        <v/>
      </c>
      <c r="D1135" s="126">
        <f t="array" ref="D1135">IF(A1135="","",IFERROR(SMALL(IF((('KG1-2'!$AD35:$IM35="غياب بدون عذر")+('KG1-2'!$AD35:$IM35="غياب بعذر"))*('KG1-2'!$AD$7:$IM$7="✓"),'KG1-2'!$AD$5:$IM$5),14),""))</f>
        <v/>
      </c>
      <c r="E1135">
        <f>IF(D1135="","",INDEX('KG1-2'!$AD35:$IM35,MATCH(D1135,'KG1-2'!$AD$5:$IM$5,0)))</f>
        <v/>
      </c>
      <c r="F1135">
        <f>IF(D1135="","",COUNTIFS('KG1-2'!$AD35:$IM35,"غياب بدون عذر",'KG1-2'!$AD$7:$IM$7,"✓",'KG1-2'!$AD$5:$IM$5,"&lt;="&amp;D1135))</f>
        <v/>
      </c>
      <c r="G1135">
        <f>G1134+IF(D1135="",0,1)</f>
        <v/>
      </c>
    </row>
    <row r="1136">
      <c r="A1136">
        <f>IF('KG1-2'!$B35="","",'KG1-2'!$B35)</f>
        <v/>
      </c>
      <c r="B1136">
        <f>IF(A1136="","",'KG1-2'!$C35)</f>
        <v/>
      </c>
      <c r="C1136">
        <f>IF(A1136="","",'KG1-2'!$B$2)</f>
        <v/>
      </c>
      <c r="D1136" s="126">
        <f t="array" ref="D1136">IF(A1136="","",IFERROR(SMALL(IF((('KG1-2'!$AD35:$IM35="غياب بدون عذر")+('KG1-2'!$AD35:$IM35="غياب بعذر"))*('KG1-2'!$AD$7:$IM$7="✓"),'KG1-2'!$AD$5:$IM$5),15),""))</f>
        <v/>
      </c>
      <c r="E1136">
        <f>IF(D1136="","",INDEX('KG1-2'!$AD35:$IM35,MATCH(D1136,'KG1-2'!$AD$5:$IM$5,0)))</f>
        <v/>
      </c>
      <c r="F1136">
        <f>IF(D1136="","",COUNTIFS('KG1-2'!$AD35:$IM35,"غياب بدون عذر",'KG1-2'!$AD$7:$IM$7,"✓",'KG1-2'!$AD$5:$IM$5,"&lt;="&amp;D1136))</f>
        <v/>
      </c>
      <c r="G1136">
        <f>G1135+IF(D1136="",0,1)</f>
        <v/>
      </c>
    </row>
    <row r="1137">
      <c r="A1137">
        <f>IF('KG1-2'!$B35="","",'KG1-2'!$B35)</f>
        <v/>
      </c>
      <c r="B1137">
        <f>IF(A1137="","",'KG1-2'!$C35)</f>
        <v/>
      </c>
      <c r="C1137">
        <f>IF(A1137="","",'KG1-2'!$B$2)</f>
        <v/>
      </c>
      <c r="D1137" s="126">
        <f t="array" ref="D1137">IF(A1137="","",IFERROR(SMALL(IF((('KG1-2'!$AD35:$IM35="غياب بدون عذر")+('KG1-2'!$AD35:$IM35="غياب بعذر"))*('KG1-2'!$AD$7:$IM$7="✓"),'KG1-2'!$AD$5:$IM$5),16),""))</f>
        <v/>
      </c>
      <c r="E1137">
        <f>IF(D1137="","",INDEX('KG1-2'!$AD35:$IM35,MATCH(D1137,'KG1-2'!$AD$5:$IM$5,0)))</f>
        <v/>
      </c>
      <c r="F1137">
        <f>IF(D1137="","",COUNTIFS('KG1-2'!$AD35:$IM35,"غياب بدون عذر",'KG1-2'!$AD$7:$IM$7,"✓",'KG1-2'!$AD$5:$IM$5,"&lt;="&amp;D1137))</f>
        <v/>
      </c>
      <c r="G1137">
        <f>G1136+IF(D1137="",0,1)</f>
        <v/>
      </c>
    </row>
    <row r="1138">
      <c r="A1138">
        <f>IF('KG1-2'!$B35="","",'KG1-2'!$B35)</f>
        <v/>
      </c>
      <c r="B1138">
        <f>IF(A1138="","",'KG1-2'!$C35)</f>
        <v/>
      </c>
      <c r="C1138">
        <f>IF(A1138="","",'KG1-2'!$B$2)</f>
        <v/>
      </c>
      <c r="D1138" s="126">
        <f t="array" ref="D1138">IF(A1138="","",IFERROR(SMALL(IF((('KG1-2'!$AD35:$IM35="غياب بدون عذر")+('KG1-2'!$AD35:$IM35="غياب بعذر"))*('KG1-2'!$AD$7:$IM$7="✓"),'KG1-2'!$AD$5:$IM$5),17),""))</f>
        <v/>
      </c>
      <c r="E1138">
        <f>IF(D1138="","",INDEX('KG1-2'!$AD35:$IM35,MATCH(D1138,'KG1-2'!$AD$5:$IM$5,0)))</f>
        <v/>
      </c>
      <c r="F1138">
        <f>IF(D1138="","",COUNTIFS('KG1-2'!$AD35:$IM35,"غياب بدون عذر",'KG1-2'!$AD$7:$IM$7,"✓",'KG1-2'!$AD$5:$IM$5,"&lt;="&amp;D1138))</f>
        <v/>
      </c>
      <c r="G1138">
        <f>G1137+IF(D1138="",0,1)</f>
        <v/>
      </c>
    </row>
    <row r="1139">
      <c r="A1139">
        <f>IF('KG1-2'!$B35="","",'KG1-2'!$B35)</f>
        <v/>
      </c>
      <c r="B1139">
        <f>IF(A1139="","",'KG1-2'!$C35)</f>
        <v/>
      </c>
      <c r="C1139">
        <f>IF(A1139="","",'KG1-2'!$B$2)</f>
        <v/>
      </c>
      <c r="D1139" s="126">
        <f t="array" ref="D1139">IF(A1139="","",IFERROR(SMALL(IF((('KG1-2'!$AD35:$IM35="غياب بدون عذر")+('KG1-2'!$AD35:$IM35="غياب بعذر"))*('KG1-2'!$AD$7:$IM$7="✓"),'KG1-2'!$AD$5:$IM$5),18),""))</f>
        <v/>
      </c>
      <c r="E1139">
        <f>IF(D1139="","",INDEX('KG1-2'!$AD35:$IM35,MATCH(D1139,'KG1-2'!$AD$5:$IM$5,0)))</f>
        <v/>
      </c>
      <c r="F1139">
        <f>IF(D1139="","",COUNTIFS('KG1-2'!$AD35:$IM35,"غياب بدون عذر",'KG1-2'!$AD$7:$IM$7,"✓",'KG1-2'!$AD$5:$IM$5,"&lt;="&amp;D1139))</f>
        <v/>
      </c>
      <c r="G1139">
        <f>G1138+IF(D1139="",0,1)</f>
        <v/>
      </c>
    </row>
    <row r="1140">
      <c r="A1140">
        <f>IF('KG1-2'!$B35="","",'KG1-2'!$B35)</f>
        <v/>
      </c>
      <c r="B1140">
        <f>IF(A1140="","",'KG1-2'!$C35)</f>
        <v/>
      </c>
      <c r="C1140">
        <f>IF(A1140="","",'KG1-2'!$B$2)</f>
        <v/>
      </c>
      <c r="D1140" s="126">
        <f t="array" ref="D1140">IF(A1140="","",IFERROR(SMALL(IF((('KG1-2'!$AD35:$IM35="غياب بدون عذر")+('KG1-2'!$AD35:$IM35="غياب بعذر"))*('KG1-2'!$AD$7:$IM$7="✓"),'KG1-2'!$AD$5:$IM$5),19),""))</f>
        <v/>
      </c>
      <c r="E1140">
        <f>IF(D1140="","",INDEX('KG1-2'!$AD35:$IM35,MATCH(D1140,'KG1-2'!$AD$5:$IM$5,0)))</f>
        <v/>
      </c>
      <c r="F1140">
        <f>IF(D1140="","",COUNTIFS('KG1-2'!$AD35:$IM35,"غياب بدون عذر",'KG1-2'!$AD$7:$IM$7,"✓",'KG1-2'!$AD$5:$IM$5,"&lt;="&amp;D1140))</f>
        <v/>
      </c>
      <c r="G1140">
        <f>G1139+IF(D1140="",0,1)</f>
        <v/>
      </c>
    </row>
    <row r="1141">
      <c r="A1141">
        <f>IF('KG1-2'!$B35="","",'KG1-2'!$B35)</f>
        <v/>
      </c>
      <c r="B1141">
        <f>IF(A1141="","",'KG1-2'!$C35)</f>
        <v/>
      </c>
      <c r="C1141">
        <f>IF(A1141="","",'KG1-2'!$B$2)</f>
        <v/>
      </c>
      <c r="D1141" s="126">
        <f t="array" ref="D1141">IF(A1141="","",IFERROR(SMALL(IF((('KG1-2'!$AD35:$IM35="غياب بدون عذر")+('KG1-2'!$AD35:$IM35="غياب بعذر"))*('KG1-2'!$AD$7:$IM$7="✓"),'KG1-2'!$AD$5:$IM$5),20),""))</f>
        <v/>
      </c>
      <c r="E1141">
        <f>IF(D1141="","",INDEX('KG1-2'!$AD35:$IM35,MATCH(D1141,'KG1-2'!$AD$5:$IM$5,0)))</f>
        <v/>
      </c>
      <c r="F1141">
        <f>IF(D1141="","",COUNTIFS('KG1-2'!$AD35:$IM35,"غياب بدون عذر",'KG1-2'!$AD$7:$IM$7,"✓",'KG1-2'!$AD$5:$IM$5,"&lt;="&amp;D1141))</f>
        <v/>
      </c>
      <c r="G1141">
        <f>G1140+IF(D1141="",0,1)</f>
        <v/>
      </c>
    </row>
    <row r="1142">
      <c r="A1142">
        <f>IF('KG1-2'!$B36="","",'KG1-2'!$B36)</f>
        <v/>
      </c>
      <c r="B1142">
        <f>IF(A1142="","",'KG1-2'!$C36)</f>
        <v/>
      </c>
      <c r="C1142">
        <f>IF(A1142="","",'KG1-2'!$B$2)</f>
        <v/>
      </c>
      <c r="D1142" s="126">
        <f t="array" ref="D1142">IF(A1142="","",IFERROR(SMALL(IF((('KG1-2'!$AD36:$IM36="غياب بدون عذر")+('KG1-2'!$AD36:$IM36="غياب بعذر"))*('KG1-2'!$AD$7:$IM$7="✓"),'KG1-2'!$AD$5:$IM$5),1),""))</f>
        <v/>
      </c>
      <c r="E1142">
        <f>IF(D1142="","",INDEX('KG1-2'!$AD36:$IM36,MATCH(D1142,'KG1-2'!$AD$5:$IM$5,0)))</f>
        <v/>
      </c>
      <c r="F1142">
        <f>IF(D1142="","",COUNTIFS('KG1-2'!$AD36:$IM36,"غياب بدون عذر",'KG1-2'!$AD$7:$IM$7,"✓",'KG1-2'!$AD$5:$IM$5,"&lt;="&amp;D1142))</f>
        <v/>
      </c>
      <c r="G1142">
        <f>G1141+IF(D1142="",0,1)</f>
        <v/>
      </c>
    </row>
    <row r="1143">
      <c r="A1143">
        <f>IF('KG1-2'!$B36="","",'KG1-2'!$B36)</f>
        <v/>
      </c>
      <c r="B1143">
        <f>IF(A1143="","",'KG1-2'!$C36)</f>
        <v/>
      </c>
      <c r="C1143">
        <f>IF(A1143="","",'KG1-2'!$B$2)</f>
        <v/>
      </c>
      <c r="D1143" s="126">
        <f t="array" ref="D1143">IF(A1143="","",IFERROR(SMALL(IF((('KG1-2'!$AD36:$IM36="غياب بدون عذر")+('KG1-2'!$AD36:$IM36="غياب بعذر"))*('KG1-2'!$AD$7:$IM$7="✓"),'KG1-2'!$AD$5:$IM$5),2),""))</f>
        <v/>
      </c>
      <c r="E1143">
        <f>IF(D1143="","",INDEX('KG1-2'!$AD36:$IM36,MATCH(D1143,'KG1-2'!$AD$5:$IM$5,0)))</f>
        <v/>
      </c>
      <c r="F1143">
        <f>IF(D1143="","",COUNTIFS('KG1-2'!$AD36:$IM36,"غياب بدون عذر",'KG1-2'!$AD$7:$IM$7,"✓",'KG1-2'!$AD$5:$IM$5,"&lt;="&amp;D1143))</f>
        <v/>
      </c>
      <c r="G1143">
        <f>G1142+IF(D1143="",0,1)</f>
        <v/>
      </c>
    </row>
    <row r="1144">
      <c r="A1144">
        <f>IF('KG1-2'!$B36="","",'KG1-2'!$B36)</f>
        <v/>
      </c>
      <c r="B1144">
        <f>IF(A1144="","",'KG1-2'!$C36)</f>
        <v/>
      </c>
      <c r="C1144">
        <f>IF(A1144="","",'KG1-2'!$B$2)</f>
        <v/>
      </c>
      <c r="D1144" s="126">
        <f t="array" ref="D1144">IF(A1144="","",IFERROR(SMALL(IF((('KG1-2'!$AD36:$IM36="غياب بدون عذر")+('KG1-2'!$AD36:$IM36="غياب بعذر"))*('KG1-2'!$AD$7:$IM$7="✓"),'KG1-2'!$AD$5:$IM$5),3),""))</f>
        <v/>
      </c>
      <c r="E1144">
        <f>IF(D1144="","",INDEX('KG1-2'!$AD36:$IM36,MATCH(D1144,'KG1-2'!$AD$5:$IM$5,0)))</f>
        <v/>
      </c>
      <c r="F1144">
        <f>IF(D1144="","",COUNTIFS('KG1-2'!$AD36:$IM36,"غياب بدون عذر",'KG1-2'!$AD$7:$IM$7,"✓",'KG1-2'!$AD$5:$IM$5,"&lt;="&amp;D1144))</f>
        <v/>
      </c>
      <c r="G1144">
        <f>G1143+IF(D1144="",0,1)</f>
        <v/>
      </c>
    </row>
    <row r="1145">
      <c r="A1145">
        <f>IF('KG1-2'!$B36="","",'KG1-2'!$B36)</f>
        <v/>
      </c>
      <c r="B1145">
        <f>IF(A1145="","",'KG1-2'!$C36)</f>
        <v/>
      </c>
      <c r="C1145">
        <f>IF(A1145="","",'KG1-2'!$B$2)</f>
        <v/>
      </c>
      <c r="D1145" s="126">
        <f t="array" ref="D1145">IF(A1145="","",IFERROR(SMALL(IF((('KG1-2'!$AD36:$IM36="غياب بدون عذر")+('KG1-2'!$AD36:$IM36="غياب بعذر"))*('KG1-2'!$AD$7:$IM$7="✓"),'KG1-2'!$AD$5:$IM$5),4),""))</f>
        <v/>
      </c>
      <c r="E1145">
        <f>IF(D1145="","",INDEX('KG1-2'!$AD36:$IM36,MATCH(D1145,'KG1-2'!$AD$5:$IM$5,0)))</f>
        <v/>
      </c>
      <c r="F1145">
        <f>IF(D1145="","",COUNTIFS('KG1-2'!$AD36:$IM36,"غياب بدون عذر",'KG1-2'!$AD$7:$IM$7,"✓",'KG1-2'!$AD$5:$IM$5,"&lt;="&amp;D1145))</f>
        <v/>
      </c>
      <c r="G1145">
        <f>G1144+IF(D1145="",0,1)</f>
        <v/>
      </c>
    </row>
    <row r="1146">
      <c r="A1146">
        <f>IF('KG1-2'!$B36="","",'KG1-2'!$B36)</f>
        <v/>
      </c>
      <c r="B1146">
        <f>IF(A1146="","",'KG1-2'!$C36)</f>
        <v/>
      </c>
      <c r="C1146">
        <f>IF(A1146="","",'KG1-2'!$B$2)</f>
        <v/>
      </c>
      <c r="D1146" s="126">
        <f t="array" ref="D1146">IF(A1146="","",IFERROR(SMALL(IF((('KG1-2'!$AD36:$IM36="غياب بدون عذر")+('KG1-2'!$AD36:$IM36="غياب بعذر"))*('KG1-2'!$AD$7:$IM$7="✓"),'KG1-2'!$AD$5:$IM$5),5),""))</f>
        <v/>
      </c>
      <c r="E1146">
        <f>IF(D1146="","",INDEX('KG1-2'!$AD36:$IM36,MATCH(D1146,'KG1-2'!$AD$5:$IM$5,0)))</f>
        <v/>
      </c>
      <c r="F1146">
        <f>IF(D1146="","",COUNTIFS('KG1-2'!$AD36:$IM36,"غياب بدون عذر",'KG1-2'!$AD$7:$IM$7,"✓",'KG1-2'!$AD$5:$IM$5,"&lt;="&amp;D1146))</f>
        <v/>
      </c>
      <c r="G1146">
        <f>G1145+IF(D1146="",0,1)</f>
        <v/>
      </c>
    </row>
    <row r="1147">
      <c r="A1147">
        <f>IF('KG1-2'!$B36="","",'KG1-2'!$B36)</f>
        <v/>
      </c>
      <c r="B1147">
        <f>IF(A1147="","",'KG1-2'!$C36)</f>
        <v/>
      </c>
      <c r="C1147">
        <f>IF(A1147="","",'KG1-2'!$B$2)</f>
        <v/>
      </c>
      <c r="D1147" s="126">
        <f t="array" ref="D1147">IF(A1147="","",IFERROR(SMALL(IF((('KG1-2'!$AD36:$IM36="غياب بدون عذر")+('KG1-2'!$AD36:$IM36="غياب بعذر"))*('KG1-2'!$AD$7:$IM$7="✓"),'KG1-2'!$AD$5:$IM$5),6),""))</f>
        <v/>
      </c>
      <c r="E1147">
        <f>IF(D1147="","",INDEX('KG1-2'!$AD36:$IM36,MATCH(D1147,'KG1-2'!$AD$5:$IM$5,0)))</f>
        <v/>
      </c>
      <c r="F1147">
        <f>IF(D1147="","",COUNTIFS('KG1-2'!$AD36:$IM36,"غياب بدون عذر",'KG1-2'!$AD$7:$IM$7,"✓",'KG1-2'!$AD$5:$IM$5,"&lt;="&amp;D1147))</f>
        <v/>
      </c>
      <c r="G1147">
        <f>G1146+IF(D1147="",0,1)</f>
        <v/>
      </c>
    </row>
    <row r="1148">
      <c r="A1148">
        <f>IF('KG1-2'!$B36="","",'KG1-2'!$B36)</f>
        <v/>
      </c>
      <c r="B1148">
        <f>IF(A1148="","",'KG1-2'!$C36)</f>
        <v/>
      </c>
      <c r="C1148">
        <f>IF(A1148="","",'KG1-2'!$B$2)</f>
        <v/>
      </c>
      <c r="D1148" s="126">
        <f t="array" ref="D1148">IF(A1148="","",IFERROR(SMALL(IF((('KG1-2'!$AD36:$IM36="غياب بدون عذر")+('KG1-2'!$AD36:$IM36="غياب بعذر"))*('KG1-2'!$AD$7:$IM$7="✓"),'KG1-2'!$AD$5:$IM$5),7),""))</f>
        <v/>
      </c>
      <c r="E1148">
        <f>IF(D1148="","",INDEX('KG1-2'!$AD36:$IM36,MATCH(D1148,'KG1-2'!$AD$5:$IM$5,0)))</f>
        <v/>
      </c>
      <c r="F1148">
        <f>IF(D1148="","",COUNTIFS('KG1-2'!$AD36:$IM36,"غياب بدون عذر",'KG1-2'!$AD$7:$IM$7,"✓",'KG1-2'!$AD$5:$IM$5,"&lt;="&amp;D1148))</f>
        <v/>
      </c>
      <c r="G1148">
        <f>G1147+IF(D1148="",0,1)</f>
        <v/>
      </c>
    </row>
    <row r="1149">
      <c r="A1149">
        <f>IF('KG1-2'!$B36="","",'KG1-2'!$B36)</f>
        <v/>
      </c>
      <c r="B1149">
        <f>IF(A1149="","",'KG1-2'!$C36)</f>
        <v/>
      </c>
      <c r="C1149">
        <f>IF(A1149="","",'KG1-2'!$B$2)</f>
        <v/>
      </c>
      <c r="D1149" s="126">
        <f t="array" ref="D1149">IF(A1149="","",IFERROR(SMALL(IF((('KG1-2'!$AD36:$IM36="غياب بدون عذر")+('KG1-2'!$AD36:$IM36="غياب بعذر"))*('KG1-2'!$AD$7:$IM$7="✓"),'KG1-2'!$AD$5:$IM$5),8),""))</f>
        <v/>
      </c>
      <c r="E1149">
        <f>IF(D1149="","",INDEX('KG1-2'!$AD36:$IM36,MATCH(D1149,'KG1-2'!$AD$5:$IM$5,0)))</f>
        <v/>
      </c>
      <c r="F1149">
        <f>IF(D1149="","",COUNTIFS('KG1-2'!$AD36:$IM36,"غياب بدون عذر",'KG1-2'!$AD$7:$IM$7,"✓",'KG1-2'!$AD$5:$IM$5,"&lt;="&amp;D1149))</f>
        <v/>
      </c>
      <c r="G1149">
        <f>G1148+IF(D1149="",0,1)</f>
        <v/>
      </c>
    </row>
    <row r="1150">
      <c r="A1150">
        <f>IF('KG1-2'!$B36="","",'KG1-2'!$B36)</f>
        <v/>
      </c>
      <c r="B1150">
        <f>IF(A1150="","",'KG1-2'!$C36)</f>
        <v/>
      </c>
      <c r="C1150">
        <f>IF(A1150="","",'KG1-2'!$B$2)</f>
        <v/>
      </c>
      <c r="D1150" s="126">
        <f t="array" ref="D1150">IF(A1150="","",IFERROR(SMALL(IF((('KG1-2'!$AD36:$IM36="غياب بدون عذر")+('KG1-2'!$AD36:$IM36="غياب بعذر"))*('KG1-2'!$AD$7:$IM$7="✓"),'KG1-2'!$AD$5:$IM$5),9),""))</f>
        <v/>
      </c>
      <c r="E1150">
        <f>IF(D1150="","",INDEX('KG1-2'!$AD36:$IM36,MATCH(D1150,'KG1-2'!$AD$5:$IM$5,0)))</f>
        <v/>
      </c>
      <c r="F1150">
        <f>IF(D1150="","",COUNTIFS('KG1-2'!$AD36:$IM36,"غياب بدون عذر",'KG1-2'!$AD$7:$IM$7,"✓",'KG1-2'!$AD$5:$IM$5,"&lt;="&amp;D1150))</f>
        <v/>
      </c>
      <c r="G1150">
        <f>G1149+IF(D1150="",0,1)</f>
        <v/>
      </c>
    </row>
    <row r="1151">
      <c r="A1151">
        <f>IF('KG1-2'!$B36="","",'KG1-2'!$B36)</f>
        <v/>
      </c>
      <c r="B1151">
        <f>IF(A1151="","",'KG1-2'!$C36)</f>
        <v/>
      </c>
      <c r="C1151">
        <f>IF(A1151="","",'KG1-2'!$B$2)</f>
        <v/>
      </c>
      <c r="D1151" s="126">
        <f t="array" ref="D1151">IF(A1151="","",IFERROR(SMALL(IF((('KG1-2'!$AD36:$IM36="غياب بدون عذر")+('KG1-2'!$AD36:$IM36="غياب بعذر"))*('KG1-2'!$AD$7:$IM$7="✓"),'KG1-2'!$AD$5:$IM$5),10),""))</f>
        <v/>
      </c>
      <c r="E1151">
        <f>IF(D1151="","",INDEX('KG1-2'!$AD36:$IM36,MATCH(D1151,'KG1-2'!$AD$5:$IM$5,0)))</f>
        <v/>
      </c>
      <c r="F1151">
        <f>IF(D1151="","",COUNTIFS('KG1-2'!$AD36:$IM36,"غياب بدون عذر",'KG1-2'!$AD$7:$IM$7,"✓",'KG1-2'!$AD$5:$IM$5,"&lt;="&amp;D1151))</f>
        <v/>
      </c>
      <c r="G1151">
        <f>G1150+IF(D1151="",0,1)</f>
        <v/>
      </c>
    </row>
    <row r="1152">
      <c r="A1152">
        <f>IF('KG1-2'!$B36="","",'KG1-2'!$B36)</f>
        <v/>
      </c>
      <c r="B1152">
        <f>IF(A1152="","",'KG1-2'!$C36)</f>
        <v/>
      </c>
      <c r="C1152">
        <f>IF(A1152="","",'KG1-2'!$B$2)</f>
        <v/>
      </c>
      <c r="D1152" s="126">
        <f t="array" ref="D1152">IF(A1152="","",IFERROR(SMALL(IF((('KG1-2'!$AD36:$IM36="غياب بدون عذر")+('KG1-2'!$AD36:$IM36="غياب بعذر"))*('KG1-2'!$AD$7:$IM$7="✓"),'KG1-2'!$AD$5:$IM$5),11),""))</f>
        <v/>
      </c>
      <c r="E1152">
        <f>IF(D1152="","",INDEX('KG1-2'!$AD36:$IM36,MATCH(D1152,'KG1-2'!$AD$5:$IM$5,0)))</f>
        <v/>
      </c>
      <c r="F1152">
        <f>IF(D1152="","",COUNTIFS('KG1-2'!$AD36:$IM36,"غياب بدون عذر",'KG1-2'!$AD$7:$IM$7,"✓",'KG1-2'!$AD$5:$IM$5,"&lt;="&amp;D1152))</f>
        <v/>
      </c>
      <c r="G1152">
        <f>G1151+IF(D1152="",0,1)</f>
        <v/>
      </c>
    </row>
    <row r="1153">
      <c r="A1153">
        <f>IF('KG1-2'!$B36="","",'KG1-2'!$B36)</f>
        <v/>
      </c>
      <c r="B1153">
        <f>IF(A1153="","",'KG1-2'!$C36)</f>
        <v/>
      </c>
      <c r="C1153">
        <f>IF(A1153="","",'KG1-2'!$B$2)</f>
        <v/>
      </c>
      <c r="D1153" s="126">
        <f t="array" ref="D1153">IF(A1153="","",IFERROR(SMALL(IF((('KG1-2'!$AD36:$IM36="غياب بدون عذر")+('KG1-2'!$AD36:$IM36="غياب بعذر"))*('KG1-2'!$AD$7:$IM$7="✓"),'KG1-2'!$AD$5:$IM$5),12),""))</f>
        <v/>
      </c>
      <c r="E1153">
        <f>IF(D1153="","",INDEX('KG1-2'!$AD36:$IM36,MATCH(D1153,'KG1-2'!$AD$5:$IM$5,0)))</f>
        <v/>
      </c>
      <c r="F1153">
        <f>IF(D1153="","",COUNTIFS('KG1-2'!$AD36:$IM36,"غياب بدون عذر",'KG1-2'!$AD$7:$IM$7,"✓",'KG1-2'!$AD$5:$IM$5,"&lt;="&amp;D1153))</f>
        <v/>
      </c>
      <c r="G1153">
        <f>G1152+IF(D1153="",0,1)</f>
        <v/>
      </c>
    </row>
    <row r="1154">
      <c r="A1154">
        <f>IF('KG1-2'!$B36="","",'KG1-2'!$B36)</f>
        <v/>
      </c>
      <c r="B1154">
        <f>IF(A1154="","",'KG1-2'!$C36)</f>
        <v/>
      </c>
      <c r="C1154">
        <f>IF(A1154="","",'KG1-2'!$B$2)</f>
        <v/>
      </c>
      <c r="D1154" s="126">
        <f t="array" ref="D1154">IF(A1154="","",IFERROR(SMALL(IF((('KG1-2'!$AD36:$IM36="غياب بدون عذر")+('KG1-2'!$AD36:$IM36="غياب بعذر"))*('KG1-2'!$AD$7:$IM$7="✓"),'KG1-2'!$AD$5:$IM$5),13),""))</f>
        <v/>
      </c>
      <c r="E1154">
        <f>IF(D1154="","",INDEX('KG1-2'!$AD36:$IM36,MATCH(D1154,'KG1-2'!$AD$5:$IM$5,0)))</f>
        <v/>
      </c>
      <c r="F1154">
        <f>IF(D1154="","",COUNTIFS('KG1-2'!$AD36:$IM36,"غياب بدون عذر",'KG1-2'!$AD$7:$IM$7,"✓",'KG1-2'!$AD$5:$IM$5,"&lt;="&amp;D1154))</f>
        <v/>
      </c>
      <c r="G1154">
        <f>G1153+IF(D1154="",0,1)</f>
        <v/>
      </c>
    </row>
    <row r="1155">
      <c r="A1155">
        <f>IF('KG1-2'!$B36="","",'KG1-2'!$B36)</f>
        <v/>
      </c>
      <c r="B1155">
        <f>IF(A1155="","",'KG1-2'!$C36)</f>
        <v/>
      </c>
      <c r="C1155">
        <f>IF(A1155="","",'KG1-2'!$B$2)</f>
        <v/>
      </c>
      <c r="D1155" s="126">
        <f t="array" ref="D1155">IF(A1155="","",IFERROR(SMALL(IF((('KG1-2'!$AD36:$IM36="غياب بدون عذر")+('KG1-2'!$AD36:$IM36="غياب بعذر"))*('KG1-2'!$AD$7:$IM$7="✓"),'KG1-2'!$AD$5:$IM$5),14),""))</f>
        <v/>
      </c>
      <c r="E1155">
        <f>IF(D1155="","",INDEX('KG1-2'!$AD36:$IM36,MATCH(D1155,'KG1-2'!$AD$5:$IM$5,0)))</f>
        <v/>
      </c>
      <c r="F1155">
        <f>IF(D1155="","",COUNTIFS('KG1-2'!$AD36:$IM36,"غياب بدون عذر",'KG1-2'!$AD$7:$IM$7,"✓",'KG1-2'!$AD$5:$IM$5,"&lt;="&amp;D1155))</f>
        <v/>
      </c>
      <c r="G1155">
        <f>G1154+IF(D1155="",0,1)</f>
        <v/>
      </c>
    </row>
    <row r="1156">
      <c r="A1156">
        <f>IF('KG1-2'!$B36="","",'KG1-2'!$B36)</f>
        <v/>
      </c>
      <c r="B1156">
        <f>IF(A1156="","",'KG1-2'!$C36)</f>
        <v/>
      </c>
      <c r="C1156">
        <f>IF(A1156="","",'KG1-2'!$B$2)</f>
        <v/>
      </c>
      <c r="D1156" s="126">
        <f t="array" ref="D1156">IF(A1156="","",IFERROR(SMALL(IF((('KG1-2'!$AD36:$IM36="غياب بدون عذر")+('KG1-2'!$AD36:$IM36="غياب بعذر"))*('KG1-2'!$AD$7:$IM$7="✓"),'KG1-2'!$AD$5:$IM$5),15),""))</f>
        <v/>
      </c>
      <c r="E1156">
        <f>IF(D1156="","",INDEX('KG1-2'!$AD36:$IM36,MATCH(D1156,'KG1-2'!$AD$5:$IM$5,0)))</f>
        <v/>
      </c>
      <c r="F1156">
        <f>IF(D1156="","",COUNTIFS('KG1-2'!$AD36:$IM36,"غياب بدون عذر",'KG1-2'!$AD$7:$IM$7,"✓",'KG1-2'!$AD$5:$IM$5,"&lt;="&amp;D1156))</f>
        <v/>
      </c>
      <c r="G1156">
        <f>G1155+IF(D1156="",0,1)</f>
        <v/>
      </c>
    </row>
    <row r="1157">
      <c r="A1157">
        <f>IF('KG1-2'!$B36="","",'KG1-2'!$B36)</f>
        <v/>
      </c>
      <c r="B1157">
        <f>IF(A1157="","",'KG1-2'!$C36)</f>
        <v/>
      </c>
      <c r="C1157">
        <f>IF(A1157="","",'KG1-2'!$B$2)</f>
        <v/>
      </c>
      <c r="D1157" s="126">
        <f t="array" ref="D1157">IF(A1157="","",IFERROR(SMALL(IF((('KG1-2'!$AD36:$IM36="غياب بدون عذر")+('KG1-2'!$AD36:$IM36="غياب بعذر"))*('KG1-2'!$AD$7:$IM$7="✓"),'KG1-2'!$AD$5:$IM$5),16),""))</f>
        <v/>
      </c>
      <c r="E1157">
        <f>IF(D1157="","",INDEX('KG1-2'!$AD36:$IM36,MATCH(D1157,'KG1-2'!$AD$5:$IM$5,0)))</f>
        <v/>
      </c>
      <c r="F1157">
        <f>IF(D1157="","",COUNTIFS('KG1-2'!$AD36:$IM36,"غياب بدون عذر",'KG1-2'!$AD$7:$IM$7,"✓",'KG1-2'!$AD$5:$IM$5,"&lt;="&amp;D1157))</f>
        <v/>
      </c>
      <c r="G1157">
        <f>G1156+IF(D1157="",0,1)</f>
        <v/>
      </c>
    </row>
    <row r="1158">
      <c r="A1158">
        <f>IF('KG1-2'!$B36="","",'KG1-2'!$B36)</f>
        <v/>
      </c>
      <c r="B1158">
        <f>IF(A1158="","",'KG1-2'!$C36)</f>
        <v/>
      </c>
      <c r="C1158">
        <f>IF(A1158="","",'KG1-2'!$B$2)</f>
        <v/>
      </c>
      <c r="D1158" s="126">
        <f t="array" ref="D1158">IF(A1158="","",IFERROR(SMALL(IF((('KG1-2'!$AD36:$IM36="غياب بدون عذر")+('KG1-2'!$AD36:$IM36="غياب بعذر"))*('KG1-2'!$AD$7:$IM$7="✓"),'KG1-2'!$AD$5:$IM$5),17),""))</f>
        <v/>
      </c>
      <c r="E1158">
        <f>IF(D1158="","",INDEX('KG1-2'!$AD36:$IM36,MATCH(D1158,'KG1-2'!$AD$5:$IM$5,0)))</f>
        <v/>
      </c>
      <c r="F1158">
        <f>IF(D1158="","",COUNTIFS('KG1-2'!$AD36:$IM36,"غياب بدون عذر",'KG1-2'!$AD$7:$IM$7,"✓",'KG1-2'!$AD$5:$IM$5,"&lt;="&amp;D1158))</f>
        <v/>
      </c>
      <c r="G1158">
        <f>G1157+IF(D1158="",0,1)</f>
        <v/>
      </c>
    </row>
    <row r="1159">
      <c r="A1159">
        <f>IF('KG1-2'!$B36="","",'KG1-2'!$B36)</f>
        <v/>
      </c>
      <c r="B1159">
        <f>IF(A1159="","",'KG1-2'!$C36)</f>
        <v/>
      </c>
      <c r="C1159">
        <f>IF(A1159="","",'KG1-2'!$B$2)</f>
        <v/>
      </c>
      <c r="D1159" s="126">
        <f t="array" ref="D1159">IF(A1159="","",IFERROR(SMALL(IF((('KG1-2'!$AD36:$IM36="غياب بدون عذر")+('KG1-2'!$AD36:$IM36="غياب بعذر"))*('KG1-2'!$AD$7:$IM$7="✓"),'KG1-2'!$AD$5:$IM$5),18),""))</f>
        <v/>
      </c>
      <c r="E1159">
        <f>IF(D1159="","",INDEX('KG1-2'!$AD36:$IM36,MATCH(D1159,'KG1-2'!$AD$5:$IM$5,0)))</f>
        <v/>
      </c>
      <c r="F1159">
        <f>IF(D1159="","",COUNTIFS('KG1-2'!$AD36:$IM36,"غياب بدون عذر",'KG1-2'!$AD$7:$IM$7,"✓",'KG1-2'!$AD$5:$IM$5,"&lt;="&amp;D1159))</f>
        <v/>
      </c>
      <c r="G1159">
        <f>G1158+IF(D1159="",0,1)</f>
        <v/>
      </c>
    </row>
    <row r="1160">
      <c r="A1160">
        <f>IF('KG1-2'!$B36="","",'KG1-2'!$B36)</f>
        <v/>
      </c>
      <c r="B1160">
        <f>IF(A1160="","",'KG1-2'!$C36)</f>
        <v/>
      </c>
      <c r="C1160">
        <f>IF(A1160="","",'KG1-2'!$B$2)</f>
        <v/>
      </c>
      <c r="D1160" s="126">
        <f t="array" ref="D1160">IF(A1160="","",IFERROR(SMALL(IF((('KG1-2'!$AD36:$IM36="غياب بدون عذر")+('KG1-2'!$AD36:$IM36="غياب بعذر"))*('KG1-2'!$AD$7:$IM$7="✓"),'KG1-2'!$AD$5:$IM$5),19),""))</f>
        <v/>
      </c>
      <c r="E1160">
        <f>IF(D1160="","",INDEX('KG1-2'!$AD36:$IM36,MATCH(D1160,'KG1-2'!$AD$5:$IM$5,0)))</f>
        <v/>
      </c>
      <c r="F1160">
        <f>IF(D1160="","",COUNTIFS('KG1-2'!$AD36:$IM36,"غياب بدون عذر",'KG1-2'!$AD$7:$IM$7,"✓",'KG1-2'!$AD$5:$IM$5,"&lt;="&amp;D1160))</f>
        <v/>
      </c>
      <c r="G1160">
        <f>G1159+IF(D1160="",0,1)</f>
        <v/>
      </c>
    </row>
    <row r="1161">
      <c r="A1161">
        <f>IF('KG1-2'!$B36="","",'KG1-2'!$B36)</f>
        <v/>
      </c>
      <c r="B1161">
        <f>IF(A1161="","",'KG1-2'!$C36)</f>
        <v/>
      </c>
      <c r="C1161">
        <f>IF(A1161="","",'KG1-2'!$B$2)</f>
        <v/>
      </c>
      <c r="D1161" s="126">
        <f t="array" ref="D1161">IF(A1161="","",IFERROR(SMALL(IF((('KG1-2'!$AD36:$IM36="غياب بدون عذر")+('KG1-2'!$AD36:$IM36="غياب بعذر"))*('KG1-2'!$AD$7:$IM$7="✓"),'KG1-2'!$AD$5:$IM$5),20),""))</f>
        <v/>
      </c>
      <c r="E1161">
        <f>IF(D1161="","",INDEX('KG1-2'!$AD36:$IM36,MATCH(D1161,'KG1-2'!$AD$5:$IM$5,0)))</f>
        <v/>
      </c>
      <c r="F1161">
        <f>IF(D1161="","",COUNTIFS('KG1-2'!$AD36:$IM36,"غياب بدون عذر",'KG1-2'!$AD$7:$IM$7,"✓",'KG1-2'!$AD$5:$IM$5,"&lt;="&amp;D1161))</f>
        <v/>
      </c>
      <c r="G1161">
        <f>G1160+IF(D1161="",0,1)</f>
        <v/>
      </c>
    </row>
    <row r="1162">
      <c r="A1162">
        <f>IF('KG1-2'!$B37="","",'KG1-2'!$B37)</f>
        <v/>
      </c>
      <c r="B1162">
        <f>IF(A1162="","",'KG1-2'!$C37)</f>
        <v/>
      </c>
      <c r="C1162">
        <f>IF(A1162="","",'KG1-2'!$B$2)</f>
        <v/>
      </c>
      <c r="D1162" s="126">
        <f t="array" ref="D1162">IF(A1162="","",IFERROR(SMALL(IF((('KG1-2'!$AD37:$IM37="غياب بدون عذر")+('KG1-2'!$AD37:$IM37="غياب بعذر"))*('KG1-2'!$AD$7:$IM$7="✓"),'KG1-2'!$AD$5:$IM$5),1),""))</f>
        <v/>
      </c>
      <c r="E1162">
        <f>IF(D1162="","",INDEX('KG1-2'!$AD37:$IM37,MATCH(D1162,'KG1-2'!$AD$5:$IM$5,0)))</f>
        <v/>
      </c>
      <c r="F1162">
        <f>IF(D1162="","",COUNTIFS('KG1-2'!$AD37:$IM37,"غياب بدون عذر",'KG1-2'!$AD$7:$IM$7,"✓",'KG1-2'!$AD$5:$IM$5,"&lt;="&amp;D1162))</f>
        <v/>
      </c>
      <c r="G1162">
        <f>G1161+IF(D1162="",0,1)</f>
        <v/>
      </c>
    </row>
    <row r="1163">
      <c r="A1163">
        <f>IF('KG1-2'!$B37="","",'KG1-2'!$B37)</f>
        <v/>
      </c>
      <c r="B1163">
        <f>IF(A1163="","",'KG1-2'!$C37)</f>
        <v/>
      </c>
      <c r="C1163">
        <f>IF(A1163="","",'KG1-2'!$B$2)</f>
        <v/>
      </c>
      <c r="D1163" s="126">
        <f t="array" ref="D1163">IF(A1163="","",IFERROR(SMALL(IF((('KG1-2'!$AD37:$IM37="غياب بدون عذر")+('KG1-2'!$AD37:$IM37="غياب بعذر"))*('KG1-2'!$AD$7:$IM$7="✓"),'KG1-2'!$AD$5:$IM$5),2),""))</f>
        <v/>
      </c>
      <c r="E1163">
        <f>IF(D1163="","",INDEX('KG1-2'!$AD37:$IM37,MATCH(D1163,'KG1-2'!$AD$5:$IM$5,0)))</f>
        <v/>
      </c>
      <c r="F1163">
        <f>IF(D1163="","",COUNTIFS('KG1-2'!$AD37:$IM37,"غياب بدون عذر",'KG1-2'!$AD$7:$IM$7,"✓",'KG1-2'!$AD$5:$IM$5,"&lt;="&amp;D1163))</f>
        <v/>
      </c>
      <c r="G1163">
        <f>G1162+IF(D1163="",0,1)</f>
        <v/>
      </c>
    </row>
    <row r="1164">
      <c r="A1164">
        <f>IF('KG1-2'!$B37="","",'KG1-2'!$B37)</f>
        <v/>
      </c>
      <c r="B1164">
        <f>IF(A1164="","",'KG1-2'!$C37)</f>
        <v/>
      </c>
      <c r="C1164">
        <f>IF(A1164="","",'KG1-2'!$B$2)</f>
        <v/>
      </c>
      <c r="D1164" s="126">
        <f t="array" ref="D1164">IF(A1164="","",IFERROR(SMALL(IF((('KG1-2'!$AD37:$IM37="غياب بدون عذر")+('KG1-2'!$AD37:$IM37="غياب بعذر"))*('KG1-2'!$AD$7:$IM$7="✓"),'KG1-2'!$AD$5:$IM$5),3),""))</f>
        <v/>
      </c>
      <c r="E1164">
        <f>IF(D1164="","",INDEX('KG1-2'!$AD37:$IM37,MATCH(D1164,'KG1-2'!$AD$5:$IM$5,0)))</f>
        <v/>
      </c>
      <c r="F1164">
        <f>IF(D1164="","",COUNTIFS('KG1-2'!$AD37:$IM37,"غياب بدون عذر",'KG1-2'!$AD$7:$IM$7,"✓",'KG1-2'!$AD$5:$IM$5,"&lt;="&amp;D1164))</f>
        <v/>
      </c>
      <c r="G1164">
        <f>G1163+IF(D1164="",0,1)</f>
        <v/>
      </c>
    </row>
    <row r="1165">
      <c r="A1165">
        <f>IF('KG1-2'!$B37="","",'KG1-2'!$B37)</f>
        <v/>
      </c>
      <c r="B1165">
        <f>IF(A1165="","",'KG1-2'!$C37)</f>
        <v/>
      </c>
      <c r="C1165">
        <f>IF(A1165="","",'KG1-2'!$B$2)</f>
        <v/>
      </c>
      <c r="D1165" s="126">
        <f t="array" ref="D1165">IF(A1165="","",IFERROR(SMALL(IF((('KG1-2'!$AD37:$IM37="غياب بدون عذر")+('KG1-2'!$AD37:$IM37="غياب بعذر"))*('KG1-2'!$AD$7:$IM$7="✓"),'KG1-2'!$AD$5:$IM$5),4),""))</f>
        <v/>
      </c>
      <c r="E1165">
        <f>IF(D1165="","",INDEX('KG1-2'!$AD37:$IM37,MATCH(D1165,'KG1-2'!$AD$5:$IM$5,0)))</f>
        <v/>
      </c>
      <c r="F1165">
        <f>IF(D1165="","",COUNTIFS('KG1-2'!$AD37:$IM37,"غياب بدون عذر",'KG1-2'!$AD$7:$IM$7,"✓",'KG1-2'!$AD$5:$IM$5,"&lt;="&amp;D1165))</f>
        <v/>
      </c>
      <c r="G1165">
        <f>G1164+IF(D1165="",0,1)</f>
        <v/>
      </c>
    </row>
    <row r="1166">
      <c r="A1166">
        <f>IF('KG1-2'!$B37="","",'KG1-2'!$B37)</f>
        <v/>
      </c>
      <c r="B1166">
        <f>IF(A1166="","",'KG1-2'!$C37)</f>
        <v/>
      </c>
      <c r="C1166">
        <f>IF(A1166="","",'KG1-2'!$B$2)</f>
        <v/>
      </c>
      <c r="D1166" s="126">
        <f t="array" ref="D1166">IF(A1166="","",IFERROR(SMALL(IF((('KG1-2'!$AD37:$IM37="غياب بدون عذر")+('KG1-2'!$AD37:$IM37="غياب بعذر"))*('KG1-2'!$AD$7:$IM$7="✓"),'KG1-2'!$AD$5:$IM$5),5),""))</f>
        <v/>
      </c>
      <c r="E1166">
        <f>IF(D1166="","",INDEX('KG1-2'!$AD37:$IM37,MATCH(D1166,'KG1-2'!$AD$5:$IM$5,0)))</f>
        <v/>
      </c>
      <c r="F1166">
        <f>IF(D1166="","",COUNTIFS('KG1-2'!$AD37:$IM37,"غياب بدون عذر",'KG1-2'!$AD$7:$IM$7,"✓",'KG1-2'!$AD$5:$IM$5,"&lt;="&amp;D1166))</f>
        <v/>
      </c>
      <c r="G1166">
        <f>G1165+IF(D1166="",0,1)</f>
        <v/>
      </c>
    </row>
    <row r="1167">
      <c r="A1167">
        <f>IF('KG1-2'!$B37="","",'KG1-2'!$B37)</f>
        <v/>
      </c>
      <c r="B1167">
        <f>IF(A1167="","",'KG1-2'!$C37)</f>
        <v/>
      </c>
      <c r="C1167">
        <f>IF(A1167="","",'KG1-2'!$B$2)</f>
        <v/>
      </c>
      <c r="D1167" s="126">
        <f t="array" ref="D1167">IF(A1167="","",IFERROR(SMALL(IF((('KG1-2'!$AD37:$IM37="غياب بدون عذر")+('KG1-2'!$AD37:$IM37="غياب بعذر"))*('KG1-2'!$AD$7:$IM$7="✓"),'KG1-2'!$AD$5:$IM$5),6),""))</f>
        <v/>
      </c>
      <c r="E1167">
        <f>IF(D1167="","",INDEX('KG1-2'!$AD37:$IM37,MATCH(D1167,'KG1-2'!$AD$5:$IM$5,0)))</f>
        <v/>
      </c>
      <c r="F1167">
        <f>IF(D1167="","",COUNTIFS('KG1-2'!$AD37:$IM37,"غياب بدون عذر",'KG1-2'!$AD$7:$IM$7,"✓",'KG1-2'!$AD$5:$IM$5,"&lt;="&amp;D1167))</f>
        <v/>
      </c>
      <c r="G1167">
        <f>G1166+IF(D1167="",0,1)</f>
        <v/>
      </c>
    </row>
    <row r="1168">
      <c r="A1168">
        <f>IF('KG1-2'!$B37="","",'KG1-2'!$B37)</f>
        <v/>
      </c>
      <c r="B1168">
        <f>IF(A1168="","",'KG1-2'!$C37)</f>
        <v/>
      </c>
      <c r="C1168">
        <f>IF(A1168="","",'KG1-2'!$B$2)</f>
        <v/>
      </c>
      <c r="D1168" s="126">
        <f t="array" ref="D1168">IF(A1168="","",IFERROR(SMALL(IF((('KG1-2'!$AD37:$IM37="غياب بدون عذر")+('KG1-2'!$AD37:$IM37="غياب بعذر"))*('KG1-2'!$AD$7:$IM$7="✓"),'KG1-2'!$AD$5:$IM$5),7),""))</f>
        <v/>
      </c>
      <c r="E1168">
        <f>IF(D1168="","",INDEX('KG1-2'!$AD37:$IM37,MATCH(D1168,'KG1-2'!$AD$5:$IM$5,0)))</f>
        <v/>
      </c>
      <c r="F1168">
        <f>IF(D1168="","",COUNTIFS('KG1-2'!$AD37:$IM37,"غياب بدون عذر",'KG1-2'!$AD$7:$IM$7,"✓",'KG1-2'!$AD$5:$IM$5,"&lt;="&amp;D1168))</f>
        <v/>
      </c>
      <c r="G1168">
        <f>G1167+IF(D1168="",0,1)</f>
        <v/>
      </c>
    </row>
    <row r="1169">
      <c r="A1169">
        <f>IF('KG1-2'!$B37="","",'KG1-2'!$B37)</f>
        <v/>
      </c>
      <c r="B1169">
        <f>IF(A1169="","",'KG1-2'!$C37)</f>
        <v/>
      </c>
      <c r="C1169">
        <f>IF(A1169="","",'KG1-2'!$B$2)</f>
        <v/>
      </c>
      <c r="D1169" s="126">
        <f t="array" ref="D1169">IF(A1169="","",IFERROR(SMALL(IF((('KG1-2'!$AD37:$IM37="غياب بدون عذر")+('KG1-2'!$AD37:$IM37="غياب بعذر"))*('KG1-2'!$AD$7:$IM$7="✓"),'KG1-2'!$AD$5:$IM$5),8),""))</f>
        <v/>
      </c>
      <c r="E1169">
        <f>IF(D1169="","",INDEX('KG1-2'!$AD37:$IM37,MATCH(D1169,'KG1-2'!$AD$5:$IM$5,0)))</f>
        <v/>
      </c>
      <c r="F1169">
        <f>IF(D1169="","",COUNTIFS('KG1-2'!$AD37:$IM37,"غياب بدون عذر",'KG1-2'!$AD$7:$IM$7,"✓",'KG1-2'!$AD$5:$IM$5,"&lt;="&amp;D1169))</f>
        <v/>
      </c>
      <c r="G1169">
        <f>G1168+IF(D1169="",0,1)</f>
        <v/>
      </c>
    </row>
    <row r="1170">
      <c r="A1170">
        <f>IF('KG1-2'!$B37="","",'KG1-2'!$B37)</f>
        <v/>
      </c>
      <c r="B1170">
        <f>IF(A1170="","",'KG1-2'!$C37)</f>
        <v/>
      </c>
      <c r="C1170">
        <f>IF(A1170="","",'KG1-2'!$B$2)</f>
        <v/>
      </c>
      <c r="D1170" s="126">
        <f t="array" ref="D1170">IF(A1170="","",IFERROR(SMALL(IF((('KG1-2'!$AD37:$IM37="غياب بدون عذر")+('KG1-2'!$AD37:$IM37="غياب بعذر"))*('KG1-2'!$AD$7:$IM$7="✓"),'KG1-2'!$AD$5:$IM$5),9),""))</f>
        <v/>
      </c>
      <c r="E1170">
        <f>IF(D1170="","",INDEX('KG1-2'!$AD37:$IM37,MATCH(D1170,'KG1-2'!$AD$5:$IM$5,0)))</f>
        <v/>
      </c>
      <c r="F1170">
        <f>IF(D1170="","",COUNTIFS('KG1-2'!$AD37:$IM37,"غياب بدون عذر",'KG1-2'!$AD$7:$IM$7,"✓",'KG1-2'!$AD$5:$IM$5,"&lt;="&amp;D1170))</f>
        <v/>
      </c>
      <c r="G1170">
        <f>G1169+IF(D1170="",0,1)</f>
        <v/>
      </c>
    </row>
    <row r="1171">
      <c r="A1171">
        <f>IF('KG1-2'!$B37="","",'KG1-2'!$B37)</f>
        <v/>
      </c>
      <c r="B1171">
        <f>IF(A1171="","",'KG1-2'!$C37)</f>
        <v/>
      </c>
      <c r="C1171">
        <f>IF(A1171="","",'KG1-2'!$B$2)</f>
        <v/>
      </c>
      <c r="D1171" s="126">
        <f t="array" ref="D1171">IF(A1171="","",IFERROR(SMALL(IF((('KG1-2'!$AD37:$IM37="غياب بدون عذر")+('KG1-2'!$AD37:$IM37="غياب بعذر"))*('KG1-2'!$AD$7:$IM$7="✓"),'KG1-2'!$AD$5:$IM$5),10),""))</f>
        <v/>
      </c>
      <c r="E1171">
        <f>IF(D1171="","",INDEX('KG1-2'!$AD37:$IM37,MATCH(D1171,'KG1-2'!$AD$5:$IM$5,0)))</f>
        <v/>
      </c>
      <c r="F1171">
        <f>IF(D1171="","",COUNTIFS('KG1-2'!$AD37:$IM37,"غياب بدون عذر",'KG1-2'!$AD$7:$IM$7,"✓",'KG1-2'!$AD$5:$IM$5,"&lt;="&amp;D1171))</f>
        <v/>
      </c>
      <c r="G1171">
        <f>G1170+IF(D1171="",0,1)</f>
        <v/>
      </c>
    </row>
    <row r="1172">
      <c r="A1172">
        <f>IF('KG1-2'!$B37="","",'KG1-2'!$B37)</f>
        <v/>
      </c>
      <c r="B1172">
        <f>IF(A1172="","",'KG1-2'!$C37)</f>
        <v/>
      </c>
      <c r="C1172">
        <f>IF(A1172="","",'KG1-2'!$B$2)</f>
        <v/>
      </c>
      <c r="D1172" s="126">
        <f t="array" ref="D1172">IF(A1172="","",IFERROR(SMALL(IF((('KG1-2'!$AD37:$IM37="غياب بدون عذر")+('KG1-2'!$AD37:$IM37="غياب بعذر"))*('KG1-2'!$AD$7:$IM$7="✓"),'KG1-2'!$AD$5:$IM$5),11),""))</f>
        <v/>
      </c>
      <c r="E1172">
        <f>IF(D1172="","",INDEX('KG1-2'!$AD37:$IM37,MATCH(D1172,'KG1-2'!$AD$5:$IM$5,0)))</f>
        <v/>
      </c>
      <c r="F1172">
        <f>IF(D1172="","",COUNTIFS('KG1-2'!$AD37:$IM37,"غياب بدون عذر",'KG1-2'!$AD$7:$IM$7,"✓",'KG1-2'!$AD$5:$IM$5,"&lt;="&amp;D1172))</f>
        <v/>
      </c>
      <c r="G1172">
        <f>G1171+IF(D1172="",0,1)</f>
        <v/>
      </c>
    </row>
    <row r="1173">
      <c r="A1173">
        <f>IF('KG1-2'!$B37="","",'KG1-2'!$B37)</f>
        <v/>
      </c>
      <c r="B1173">
        <f>IF(A1173="","",'KG1-2'!$C37)</f>
        <v/>
      </c>
      <c r="C1173">
        <f>IF(A1173="","",'KG1-2'!$B$2)</f>
        <v/>
      </c>
      <c r="D1173" s="126">
        <f t="array" ref="D1173">IF(A1173="","",IFERROR(SMALL(IF((('KG1-2'!$AD37:$IM37="غياب بدون عذر")+('KG1-2'!$AD37:$IM37="غياب بعذر"))*('KG1-2'!$AD$7:$IM$7="✓"),'KG1-2'!$AD$5:$IM$5),12),""))</f>
        <v/>
      </c>
      <c r="E1173">
        <f>IF(D1173="","",INDEX('KG1-2'!$AD37:$IM37,MATCH(D1173,'KG1-2'!$AD$5:$IM$5,0)))</f>
        <v/>
      </c>
      <c r="F1173">
        <f>IF(D1173="","",COUNTIFS('KG1-2'!$AD37:$IM37,"غياب بدون عذر",'KG1-2'!$AD$7:$IM$7,"✓",'KG1-2'!$AD$5:$IM$5,"&lt;="&amp;D1173))</f>
        <v/>
      </c>
      <c r="G1173">
        <f>G1172+IF(D1173="",0,1)</f>
        <v/>
      </c>
    </row>
    <row r="1174">
      <c r="A1174">
        <f>IF('KG1-2'!$B37="","",'KG1-2'!$B37)</f>
        <v/>
      </c>
      <c r="B1174">
        <f>IF(A1174="","",'KG1-2'!$C37)</f>
        <v/>
      </c>
      <c r="C1174">
        <f>IF(A1174="","",'KG1-2'!$B$2)</f>
        <v/>
      </c>
      <c r="D1174" s="126">
        <f t="array" ref="D1174">IF(A1174="","",IFERROR(SMALL(IF((('KG1-2'!$AD37:$IM37="غياب بدون عذر")+('KG1-2'!$AD37:$IM37="غياب بعذر"))*('KG1-2'!$AD$7:$IM$7="✓"),'KG1-2'!$AD$5:$IM$5),13),""))</f>
        <v/>
      </c>
      <c r="E1174">
        <f>IF(D1174="","",INDEX('KG1-2'!$AD37:$IM37,MATCH(D1174,'KG1-2'!$AD$5:$IM$5,0)))</f>
        <v/>
      </c>
      <c r="F1174">
        <f>IF(D1174="","",COUNTIFS('KG1-2'!$AD37:$IM37,"غياب بدون عذر",'KG1-2'!$AD$7:$IM$7,"✓",'KG1-2'!$AD$5:$IM$5,"&lt;="&amp;D1174))</f>
        <v/>
      </c>
      <c r="G1174">
        <f>G1173+IF(D1174="",0,1)</f>
        <v/>
      </c>
    </row>
    <row r="1175">
      <c r="A1175">
        <f>IF('KG1-2'!$B37="","",'KG1-2'!$B37)</f>
        <v/>
      </c>
      <c r="B1175">
        <f>IF(A1175="","",'KG1-2'!$C37)</f>
        <v/>
      </c>
      <c r="C1175">
        <f>IF(A1175="","",'KG1-2'!$B$2)</f>
        <v/>
      </c>
      <c r="D1175" s="126">
        <f t="array" ref="D1175">IF(A1175="","",IFERROR(SMALL(IF((('KG1-2'!$AD37:$IM37="غياب بدون عذر")+('KG1-2'!$AD37:$IM37="غياب بعذر"))*('KG1-2'!$AD$7:$IM$7="✓"),'KG1-2'!$AD$5:$IM$5),14),""))</f>
        <v/>
      </c>
      <c r="E1175">
        <f>IF(D1175="","",INDEX('KG1-2'!$AD37:$IM37,MATCH(D1175,'KG1-2'!$AD$5:$IM$5,0)))</f>
        <v/>
      </c>
      <c r="F1175">
        <f>IF(D1175="","",COUNTIFS('KG1-2'!$AD37:$IM37,"غياب بدون عذر",'KG1-2'!$AD$7:$IM$7,"✓",'KG1-2'!$AD$5:$IM$5,"&lt;="&amp;D1175))</f>
        <v/>
      </c>
      <c r="G1175">
        <f>G1174+IF(D1175="",0,1)</f>
        <v/>
      </c>
    </row>
    <row r="1176">
      <c r="A1176">
        <f>IF('KG1-2'!$B37="","",'KG1-2'!$B37)</f>
        <v/>
      </c>
      <c r="B1176">
        <f>IF(A1176="","",'KG1-2'!$C37)</f>
        <v/>
      </c>
      <c r="C1176">
        <f>IF(A1176="","",'KG1-2'!$B$2)</f>
        <v/>
      </c>
      <c r="D1176" s="126">
        <f t="array" ref="D1176">IF(A1176="","",IFERROR(SMALL(IF((('KG1-2'!$AD37:$IM37="غياب بدون عذر")+('KG1-2'!$AD37:$IM37="غياب بعذر"))*('KG1-2'!$AD$7:$IM$7="✓"),'KG1-2'!$AD$5:$IM$5),15),""))</f>
        <v/>
      </c>
      <c r="E1176">
        <f>IF(D1176="","",INDEX('KG1-2'!$AD37:$IM37,MATCH(D1176,'KG1-2'!$AD$5:$IM$5,0)))</f>
        <v/>
      </c>
      <c r="F1176">
        <f>IF(D1176="","",COUNTIFS('KG1-2'!$AD37:$IM37,"غياب بدون عذر",'KG1-2'!$AD$7:$IM$7,"✓",'KG1-2'!$AD$5:$IM$5,"&lt;="&amp;D1176))</f>
        <v/>
      </c>
      <c r="G1176">
        <f>G1175+IF(D1176="",0,1)</f>
        <v/>
      </c>
    </row>
    <row r="1177">
      <c r="A1177">
        <f>IF('KG1-2'!$B37="","",'KG1-2'!$B37)</f>
        <v/>
      </c>
      <c r="B1177">
        <f>IF(A1177="","",'KG1-2'!$C37)</f>
        <v/>
      </c>
      <c r="C1177">
        <f>IF(A1177="","",'KG1-2'!$B$2)</f>
        <v/>
      </c>
      <c r="D1177" s="126">
        <f t="array" ref="D1177">IF(A1177="","",IFERROR(SMALL(IF((('KG1-2'!$AD37:$IM37="غياب بدون عذر")+('KG1-2'!$AD37:$IM37="غياب بعذر"))*('KG1-2'!$AD$7:$IM$7="✓"),'KG1-2'!$AD$5:$IM$5),16),""))</f>
        <v/>
      </c>
      <c r="E1177">
        <f>IF(D1177="","",INDEX('KG1-2'!$AD37:$IM37,MATCH(D1177,'KG1-2'!$AD$5:$IM$5,0)))</f>
        <v/>
      </c>
      <c r="F1177">
        <f>IF(D1177="","",COUNTIFS('KG1-2'!$AD37:$IM37,"غياب بدون عذر",'KG1-2'!$AD$7:$IM$7,"✓",'KG1-2'!$AD$5:$IM$5,"&lt;="&amp;D1177))</f>
        <v/>
      </c>
      <c r="G1177">
        <f>G1176+IF(D1177="",0,1)</f>
        <v/>
      </c>
    </row>
    <row r="1178">
      <c r="A1178">
        <f>IF('KG1-2'!$B37="","",'KG1-2'!$B37)</f>
        <v/>
      </c>
      <c r="B1178">
        <f>IF(A1178="","",'KG1-2'!$C37)</f>
        <v/>
      </c>
      <c r="C1178">
        <f>IF(A1178="","",'KG1-2'!$B$2)</f>
        <v/>
      </c>
      <c r="D1178" s="126">
        <f t="array" ref="D1178">IF(A1178="","",IFERROR(SMALL(IF((('KG1-2'!$AD37:$IM37="غياب بدون عذر")+('KG1-2'!$AD37:$IM37="غياب بعذر"))*('KG1-2'!$AD$7:$IM$7="✓"),'KG1-2'!$AD$5:$IM$5),17),""))</f>
        <v/>
      </c>
      <c r="E1178">
        <f>IF(D1178="","",INDEX('KG1-2'!$AD37:$IM37,MATCH(D1178,'KG1-2'!$AD$5:$IM$5,0)))</f>
        <v/>
      </c>
      <c r="F1178">
        <f>IF(D1178="","",COUNTIFS('KG1-2'!$AD37:$IM37,"غياب بدون عذر",'KG1-2'!$AD$7:$IM$7,"✓",'KG1-2'!$AD$5:$IM$5,"&lt;="&amp;D1178))</f>
        <v/>
      </c>
      <c r="G1178">
        <f>G1177+IF(D1178="",0,1)</f>
        <v/>
      </c>
    </row>
    <row r="1179">
      <c r="A1179">
        <f>IF('KG1-2'!$B37="","",'KG1-2'!$B37)</f>
        <v/>
      </c>
      <c r="B1179">
        <f>IF(A1179="","",'KG1-2'!$C37)</f>
        <v/>
      </c>
      <c r="C1179">
        <f>IF(A1179="","",'KG1-2'!$B$2)</f>
        <v/>
      </c>
      <c r="D1179" s="126">
        <f t="array" ref="D1179">IF(A1179="","",IFERROR(SMALL(IF((('KG1-2'!$AD37:$IM37="غياب بدون عذر")+('KG1-2'!$AD37:$IM37="غياب بعذر"))*('KG1-2'!$AD$7:$IM$7="✓"),'KG1-2'!$AD$5:$IM$5),18),""))</f>
        <v/>
      </c>
      <c r="E1179">
        <f>IF(D1179="","",INDEX('KG1-2'!$AD37:$IM37,MATCH(D1179,'KG1-2'!$AD$5:$IM$5,0)))</f>
        <v/>
      </c>
      <c r="F1179">
        <f>IF(D1179="","",COUNTIFS('KG1-2'!$AD37:$IM37,"غياب بدون عذر",'KG1-2'!$AD$7:$IM$7,"✓",'KG1-2'!$AD$5:$IM$5,"&lt;="&amp;D1179))</f>
        <v/>
      </c>
      <c r="G1179">
        <f>G1178+IF(D1179="",0,1)</f>
        <v/>
      </c>
    </row>
    <row r="1180">
      <c r="A1180">
        <f>IF('KG1-2'!$B37="","",'KG1-2'!$B37)</f>
        <v/>
      </c>
      <c r="B1180">
        <f>IF(A1180="","",'KG1-2'!$C37)</f>
        <v/>
      </c>
      <c r="C1180">
        <f>IF(A1180="","",'KG1-2'!$B$2)</f>
        <v/>
      </c>
      <c r="D1180" s="126">
        <f t="array" ref="D1180">IF(A1180="","",IFERROR(SMALL(IF((('KG1-2'!$AD37:$IM37="غياب بدون عذر")+('KG1-2'!$AD37:$IM37="غياب بعذر"))*('KG1-2'!$AD$7:$IM$7="✓"),'KG1-2'!$AD$5:$IM$5),19),""))</f>
        <v/>
      </c>
      <c r="E1180">
        <f>IF(D1180="","",INDEX('KG1-2'!$AD37:$IM37,MATCH(D1180,'KG1-2'!$AD$5:$IM$5,0)))</f>
        <v/>
      </c>
      <c r="F1180">
        <f>IF(D1180="","",COUNTIFS('KG1-2'!$AD37:$IM37,"غياب بدون عذر",'KG1-2'!$AD$7:$IM$7,"✓",'KG1-2'!$AD$5:$IM$5,"&lt;="&amp;D1180))</f>
        <v/>
      </c>
      <c r="G1180">
        <f>G1179+IF(D1180="",0,1)</f>
        <v/>
      </c>
    </row>
    <row r="1181">
      <c r="A1181">
        <f>IF('KG1-2'!$B37="","",'KG1-2'!$B37)</f>
        <v/>
      </c>
      <c r="B1181">
        <f>IF(A1181="","",'KG1-2'!$C37)</f>
        <v/>
      </c>
      <c r="C1181">
        <f>IF(A1181="","",'KG1-2'!$B$2)</f>
        <v/>
      </c>
      <c r="D1181" s="126">
        <f t="array" ref="D1181">IF(A1181="","",IFERROR(SMALL(IF((('KG1-2'!$AD37:$IM37="غياب بدون عذر")+('KG1-2'!$AD37:$IM37="غياب بعذر"))*('KG1-2'!$AD$7:$IM$7="✓"),'KG1-2'!$AD$5:$IM$5),20),""))</f>
        <v/>
      </c>
      <c r="E1181">
        <f>IF(D1181="","",INDEX('KG1-2'!$AD37:$IM37,MATCH(D1181,'KG1-2'!$AD$5:$IM$5,0)))</f>
        <v/>
      </c>
      <c r="F1181">
        <f>IF(D1181="","",COUNTIFS('KG1-2'!$AD37:$IM37,"غياب بدون عذر",'KG1-2'!$AD$7:$IM$7,"✓",'KG1-2'!$AD$5:$IM$5,"&lt;="&amp;D1181))</f>
        <v/>
      </c>
      <c r="G1181">
        <f>G1180+IF(D1181="",0,1)</f>
        <v/>
      </c>
    </row>
    <row r="1182">
      <c r="A1182">
        <f>IF('KG1-2'!$B38="","",'KG1-2'!$B38)</f>
        <v/>
      </c>
      <c r="B1182">
        <f>IF(A1182="","",'KG1-2'!$C38)</f>
        <v/>
      </c>
      <c r="C1182">
        <f>IF(A1182="","",'KG1-2'!$B$2)</f>
        <v/>
      </c>
      <c r="D1182" s="126">
        <f t="array" ref="D1182">IF(A1182="","",IFERROR(SMALL(IF((('KG1-2'!$AD38:$IM38="غياب بدون عذر")+('KG1-2'!$AD38:$IM38="غياب بعذر"))*('KG1-2'!$AD$7:$IM$7="✓"),'KG1-2'!$AD$5:$IM$5),1),""))</f>
        <v/>
      </c>
      <c r="E1182">
        <f>IF(D1182="","",INDEX('KG1-2'!$AD38:$IM38,MATCH(D1182,'KG1-2'!$AD$5:$IM$5,0)))</f>
        <v/>
      </c>
      <c r="F1182">
        <f>IF(D1182="","",COUNTIFS('KG1-2'!$AD38:$IM38,"غياب بدون عذر",'KG1-2'!$AD$7:$IM$7,"✓",'KG1-2'!$AD$5:$IM$5,"&lt;="&amp;D1182))</f>
        <v/>
      </c>
      <c r="G1182">
        <f>G1181+IF(D1182="",0,1)</f>
        <v/>
      </c>
    </row>
    <row r="1183">
      <c r="A1183">
        <f>IF('KG1-2'!$B38="","",'KG1-2'!$B38)</f>
        <v/>
      </c>
      <c r="B1183">
        <f>IF(A1183="","",'KG1-2'!$C38)</f>
        <v/>
      </c>
      <c r="C1183">
        <f>IF(A1183="","",'KG1-2'!$B$2)</f>
        <v/>
      </c>
      <c r="D1183" s="126">
        <f t="array" ref="D1183">IF(A1183="","",IFERROR(SMALL(IF((('KG1-2'!$AD38:$IM38="غياب بدون عذر")+('KG1-2'!$AD38:$IM38="غياب بعذر"))*('KG1-2'!$AD$7:$IM$7="✓"),'KG1-2'!$AD$5:$IM$5),2),""))</f>
        <v/>
      </c>
      <c r="E1183">
        <f>IF(D1183="","",INDEX('KG1-2'!$AD38:$IM38,MATCH(D1183,'KG1-2'!$AD$5:$IM$5,0)))</f>
        <v/>
      </c>
      <c r="F1183">
        <f>IF(D1183="","",COUNTIFS('KG1-2'!$AD38:$IM38,"غياب بدون عذر",'KG1-2'!$AD$7:$IM$7,"✓",'KG1-2'!$AD$5:$IM$5,"&lt;="&amp;D1183))</f>
        <v/>
      </c>
      <c r="G1183">
        <f>G1182+IF(D1183="",0,1)</f>
        <v/>
      </c>
    </row>
    <row r="1184">
      <c r="A1184">
        <f>IF('KG1-2'!$B38="","",'KG1-2'!$B38)</f>
        <v/>
      </c>
      <c r="B1184">
        <f>IF(A1184="","",'KG1-2'!$C38)</f>
        <v/>
      </c>
      <c r="C1184">
        <f>IF(A1184="","",'KG1-2'!$B$2)</f>
        <v/>
      </c>
      <c r="D1184" s="126">
        <f t="array" ref="D1184">IF(A1184="","",IFERROR(SMALL(IF((('KG1-2'!$AD38:$IM38="غياب بدون عذر")+('KG1-2'!$AD38:$IM38="غياب بعذر"))*('KG1-2'!$AD$7:$IM$7="✓"),'KG1-2'!$AD$5:$IM$5),3),""))</f>
        <v/>
      </c>
      <c r="E1184">
        <f>IF(D1184="","",INDEX('KG1-2'!$AD38:$IM38,MATCH(D1184,'KG1-2'!$AD$5:$IM$5,0)))</f>
        <v/>
      </c>
      <c r="F1184">
        <f>IF(D1184="","",COUNTIFS('KG1-2'!$AD38:$IM38,"غياب بدون عذر",'KG1-2'!$AD$7:$IM$7,"✓",'KG1-2'!$AD$5:$IM$5,"&lt;="&amp;D1184))</f>
        <v/>
      </c>
      <c r="G1184">
        <f>G1183+IF(D1184="",0,1)</f>
        <v/>
      </c>
    </row>
    <row r="1185">
      <c r="A1185">
        <f>IF('KG1-2'!$B38="","",'KG1-2'!$B38)</f>
        <v/>
      </c>
      <c r="B1185">
        <f>IF(A1185="","",'KG1-2'!$C38)</f>
        <v/>
      </c>
      <c r="C1185">
        <f>IF(A1185="","",'KG1-2'!$B$2)</f>
        <v/>
      </c>
      <c r="D1185" s="126">
        <f t="array" ref="D1185">IF(A1185="","",IFERROR(SMALL(IF((('KG1-2'!$AD38:$IM38="غياب بدون عذر")+('KG1-2'!$AD38:$IM38="غياب بعذر"))*('KG1-2'!$AD$7:$IM$7="✓"),'KG1-2'!$AD$5:$IM$5),4),""))</f>
        <v/>
      </c>
      <c r="E1185">
        <f>IF(D1185="","",INDEX('KG1-2'!$AD38:$IM38,MATCH(D1185,'KG1-2'!$AD$5:$IM$5,0)))</f>
        <v/>
      </c>
      <c r="F1185">
        <f>IF(D1185="","",COUNTIFS('KG1-2'!$AD38:$IM38,"غياب بدون عذر",'KG1-2'!$AD$7:$IM$7,"✓",'KG1-2'!$AD$5:$IM$5,"&lt;="&amp;D1185))</f>
        <v/>
      </c>
      <c r="G1185">
        <f>G1184+IF(D1185="",0,1)</f>
        <v/>
      </c>
    </row>
    <row r="1186">
      <c r="A1186">
        <f>IF('KG1-2'!$B38="","",'KG1-2'!$B38)</f>
        <v/>
      </c>
      <c r="B1186">
        <f>IF(A1186="","",'KG1-2'!$C38)</f>
        <v/>
      </c>
      <c r="C1186">
        <f>IF(A1186="","",'KG1-2'!$B$2)</f>
        <v/>
      </c>
      <c r="D1186" s="126">
        <f t="array" ref="D1186">IF(A1186="","",IFERROR(SMALL(IF((('KG1-2'!$AD38:$IM38="غياب بدون عذر")+('KG1-2'!$AD38:$IM38="غياب بعذر"))*('KG1-2'!$AD$7:$IM$7="✓"),'KG1-2'!$AD$5:$IM$5),5),""))</f>
        <v/>
      </c>
      <c r="E1186">
        <f>IF(D1186="","",INDEX('KG1-2'!$AD38:$IM38,MATCH(D1186,'KG1-2'!$AD$5:$IM$5,0)))</f>
        <v/>
      </c>
      <c r="F1186">
        <f>IF(D1186="","",COUNTIFS('KG1-2'!$AD38:$IM38,"غياب بدون عذر",'KG1-2'!$AD$7:$IM$7,"✓",'KG1-2'!$AD$5:$IM$5,"&lt;="&amp;D1186))</f>
        <v/>
      </c>
      <c r="G1186">
        <f>G1185+IF(D1186="",0,1)</f>
        <v/>
      </c>
    </row>
    <row r="1187">
      <c r="A1187">
        <f>IF('KG1-2'!$B38="","",'KG1-2'!$B38)</f>
        <v/>
      </c>
      <c r="B1187">
        <f>IF(A1187="","",'KG1-2'!$C38)</f>
        <v/>
      </c>
      <c r="C1187">
        <f>IF(A1187="","",'KG1-2'!$B$2)</f>
        <v/>
      </c>
      <c r="D1187" s="126">
        <f t="array" ref="D1187">IF(A1187="","",IFERROR(SMALL(IF((('KG1-2'!$AD38:$IM38="غياب بدون عذر")+('KG1-2'!$AD38:$IM38="غياب بعذر"))*('KG1-2'!$AD$7:$IM$7="✓"),'KG1-2'!$AD$5:$IM$5),6),""))</f>
        <v/>
      </c>
      <c r="E1187">
        <f>IF(D1187="","",INDEX('KG1-2'!$AD38:$IM38,MATCH(D1187,'KG1-2'!$AD$5:$IM$5,0)))</f>
        <v/>
      </c>
      <c r="F1187">
        <f>IF(D1187="","",COUNTIFS('KG1-2'!$AD38:$IM38,"غياب بدون عذر",'KG1-2'!$AD$7:$IM$7,"✓",'KG1-2'!$AD$5:$IM$5,"&lt;="&amp;D1187))</f>
        <v/>
      </c>
      <c r="G1187">
        <f>G1186+IF(D1187="",0,1)</f>
        <v/>
      </c>
    </row>
    <row r="1188">
      <c r="A1188">
        <f>IF('KG1-2'!$B38="","",'KG1-2'!$B38)</f>
        <v/>
      </c>
      <c r="B1188">
        <f>IF(A1188="","",'KG1-2'!$C38)</f>
        <v/>
      </c>
      <c r="C1188">
        <f>IF(A1188="","",'KG1-2'!$B$2)</f>
        <v/>
      </c>
      <c r="D1188" s="126">
        <f t="array" ref="D1188">IF(A1188="","",IFERROR(SMALL(IF((('KG1-2'!$AD38:$IM38="غياب بدون عذر")+('KG1-2'!$AD38:$IM38="غياب بعذر"))*('KG1-2'!$AD$7:$IM$7="✓"),'KG1-2'!$AD$5:$IM$5),7),""))</f>
        <v/>
      </c>
      <c r="E1188">
        <f>IF(D1188="","",INDEX('KG1-2'!$AD38:$IM38,MATCH(D1188,'KG1-2'!$AD$5:$IM$5,0)))</f>
        <v/>
      </c>
      <c r="F1188">
        <f>IF(D1188="","",COUNTIFS('KG1-2'!$AD38:$IM38,"غياب بدون عذر",'KG1-2'!$AD$7:$IM$7,"✓",'KG1-2'!$AD$5:$IM$5,"&lt;="&amp;D1188))</f>
        <v/>
      </c>
      <c r="G1188">
        <f>G1187+IF(D1188="",0,1)</f>
        <v/>
      </c>
    </row>
    <row r="1189">
      <c r="A1189">
        <f>IF('KG1-2'!$B38="","",'KG1-2'!$B38)</f>
        <v/>
      </c>
      <c r="B1189">
        <f>IF(A1189="","",'KG1-2'!$C38)</f>
        <v/>
      </c>
      <c r="C1189">
        <f>IF(A1189="","",'KG1-2'!$B$2)</f>
        <v/>
      </c>
      <c r="D1189" s="126">
        <f t="array" ref="D1189">IF(A1189="","",IFERROR(SMALL(IF((('KG1-2'!$AD38:$IM38="غياب بدون عذر")+('KG1-2'!$AD38:$IM38="غياب بعذر"))*('KG1-2'!$AD$7:$IM$7="✓"),'KG1-2'!$AD$5:$IM$5),8),""))</f>
        <v/>
      </c>
      <c r="E1189">
        <f>IF(D1189="","",INDEX('KG1-2'!$AD38:$IM38,MATCH(D1189,'KG1-2'!$AD$5:$IM$5,0)))</f>
        <v/>
      </c>
      <c r="F1189">
        <f>IF(D1189="","",COUNTIFS('KG1-2'!$AD38:$IM38,"غياب بدون عذر",'KG1-2'!$AD$7:$IM$7,"✓",'KG1-2'!$AD$5:$IM$5,"&lt;="&amp;D1189))</f>
        <v/>
      </c>
      <c r="G1189">
        <f>G1188+IF(D1189="",0,1)</f>
        <v/>
      </c>
    </row>
    <row r="1190">
      <c r="A1190">
        <f>IF('KG1-2'!$B38="","",'KG1-2'!$B38)</f>
        <v/>
      </c>
      <c r="B1190">
        <f>IF(A1190="","",'KG1-2'!$C38)</f>
        <v/>
      </c>
      <c r="C1190">
        <f>IF(A1190="","",'KG1-2'!$B$2)</f>
        <v/>
      </c>
      <c r="D1190" s="126">
        <f t="array" ref="D1190">IF(A1190="","",IFERROR(SMALL(IF((('KG1-2'!$AD38:$IM38="غياب بدون عذر")+('KG1-2'!$AD38:$IM38="غياب بعذر"))*('KG1-2'!$AD$7:$IM$7="✓"),'KG1-2'!$AD$5:$IM$5),9),""))</f>
        <v/>
      </c>
      <c r="E1190">
        <f>IF(D1190="","",INDEX('KG1-2'!$AD38:$IM38,MATCH(D1190,'KG1-2'!$AD$5:$IM$5,0)))</f>
        <v/>
      </c>
      <c r="F1190">
        <f>IF(D1190="","",COUNTIFS('KG1-2'!$AD38:$IM38,"غياب بدون عذر",'KG1-2'!$AD$7:$IM$7,"✓",'KG1-2'!$AD$5:$IM$5,"&lt;="&amp;D1190))</f>
        <v/>
      </c>
      <c r="G1190">
        <f>G1189+IF(D1190="",0,1)</f>
        <v/>
      </c>
    </row>
    <row r="1191">
      <c r="A1191">
        <f>IF('KG1-2'!$B38="","",'KG1-2'!$B38)</f>
        <v/>
      </c>
      <c r="B1191">
        <f>IF(A1191="","",'KG1-2'!$C38)</f>
        <v/>
      </c>
      <c r="C1191">
        <f>IF(A1191="","",'KG1-2'!$B$2)</f>
        <v/>
      </c>
      <c r="D1191" s="126">
        <f t="array" ref="D1191">IF(A1191="","",IFERROR(SMALL(IF((('KG1-2'!$AD38:$IM38="غياب بدون عذر")+('KG1-2'!$AD38:$IM38="غياب بعذر"))*('KG1-2'!$AD$7:$IM$7="✓"),'KG1-2'!$AD$5:$IM$5),10),""))</f>
        <v/>
      </c>
      <c r="E1191">
        <f>IF(D1191="","",INDEX('KG1-2'!$AD38:$IM38,MATCH(D1191,'KG1-2'!$AD$5:$IM$5,0)))</f>
        <v/>
      </c>
      <c r="F1191">
        <f>IF(D1191="","",COUNTIFS('KG1-2'!$AD38:$IM38,"غياب بدون عذر",'KG1-2'!$AD$7:$IM$7,"✓",'KG1-2'!$AD$5:$IM$5,"&lt;="&amp;D1191))</f>
        <v/>
      </c>
      <c r="G1191">
        <f>G1190+IF(D1191="",0,1)</f>
        <v/>
      </c>
    </row>
    <row r="1192">
      <c r="A1192">
        <f>IF('KG1-2'!$B38="","",'KG1-2'!$B38)</f>
        <v/>
      </c>
      <c r="B1192">
        <f>IF(A1192="","",'KG1-2'!$C38)</f>
        <v/>
      </c>
      <c r="C1192">
        <f>IF(A1192="","",'KG1-2'!$B$2)</f>
        <v/>
      </c>
      <c r="D1192" s="126">
        <f t="array" ref="D1192">IF(A1192="","",IFERROR(SMALL(IF((('KG1-2'!$AD38:$IM38="غياب بدون عذر")+('KG1-2'!$AD38:$IM38="غياب بعذر"))*('KG1-2'!$AD$7:$IM$7="✓"),'KG1-2'!$AD$5:$IM$5),11),""))</f>
        <v/>
      </c>
      <c r="E1192">
        <f>IF(D1192="","",INDEX('KG1-2'!$AD38:$IM38,MATCH(D1192,'KG1-2'!$AD$5:$IM$5,0)))</f>
        <v/>
      </c>
      <c r="F1192">
        <f>IF(D1192="","",COUNTIFS('KG1-2'!$AD38:$IM38,"غياب بدون عذر",'KG1-2'!$AD$7:$IM$7,"✓",'KG1-2'!$AD$5:$IM$5,"&lt;="&amp;D1192))</f>
        <v/>
      </c>
      <c r="G1192">
        <f>G1191+IF(D1192="",0,1)</f>
        <v/>
      </c>
    </row>
    <row r="1193">
      <c r="A1193">
        <f>IF('KG1-2'!$B38="","",'KG1-2'!$B38)</f>
        <v/>
      </c>
      <c r="B1193">
        <f>IF(A1193="","",'KG1-2'!$C38)</f>
        <v/>
      </c>
      <c r="C1193">
        <f>IF(A1193="","",'KG1-2'!$B$2)</f>
        <v/>
      </c>
      <c r="D1193" s="126">
        <f t="array" ref="D1193">IF(A1193="","",IFERROR(SMALL(IF((('KG1-2'!$AD38:$IM38="غياب بدون عذر")+('KG1-2'!$AD38:$IM38="غياب بعذر"))*('KG1-2'!$AD$7:$IM$7="✓"),'KG1-2'!$AD$5:$IM$5),12),""))</f>
        <v/>
      </c>
      <c r="E1193">
        <f>IF(D1193="","",INDEX('KG1-2'!$AD38:$IM38,MATCH(D1193,'KG1-2'!$AD$5:$IM$5,0)))</f>
        <v/>
      </c>
      <c r="F1193">
        <f>IF(D1193="","",COUNTIFS('KG1-2'!$AD38:$IM38,"غياب بدون عذر",'KG1-2'!$AD$7:$IM$7,"✓",'KG1-2'!$AD$5:$IM$5,"&lt;="&amp;D1193))</f>
        <v/>
      </c>
      <c r="G1193">
        <f>G1192+IF(D1193="",0,1)</f>
        <v/>
      </c>
    </row>
    <row r="1194">
      <c r="A1194">
        <f>IF('KG1-2'!$B38="","",'KG1-2'!$B38)</f>
        <v/>
      </c>
      <c r="B1194">
        <f>IF(A1194="","",'KG1-2'!$C38)</f>
        <v/>
      </c>
      <c r="C1194">
        <f>IF(A1194="","",'KG1-2'!$B$2)</f>
        <v/>
      </c>
      <c r="D1194" s="126">
        <f t="array" ref="D1194">IF(A1194="","",IFERROR(SMALL(IF((('KG1-2'!$AD38:$IM38="غياب بدون عذر")+('KG1-2'!$AD38:$IM38="غياب بعذر"))*('KG1-2'!$AD$7:$IM$7="✓"),'KG1-2'!$AD$5:$IM$5),13),""))</f>
        <v/>
      </c>
      <c r="E1194">
        <f>IF(D1194="","",INDEX('KG1-2'!$AD38:$IM38,MATCH(D1194,'KG1-2'!$AD$5:$IM$5,0)))</f>
        <v/>
      </c>
      <c r="F1194">
        <f>IF(D1194="","",COUNTIFS('KG1-2'!$AD38:$IM38,"غياب بدون عذر",'KG1-2'!$AD$7:$IM$7,"✓",'KG1-2'!$AD$5:$IM$5,"&lt;="&amp;D1194))</f>
        <v/>
      </c>
      <c r="G1194">
        <f>G1193+IF(D1194="",0,1)</f>
        <v/>
      </c>
    </row>
    <row r="1195">
      <c r="A1195">
        <f>IF('KG1-2'!$B38="","",'KG1-2'!$B38)</f>
        <v/>
      </c>
      <c r="B1195">
        <f>IF(A1195="","",'KG1-2'!$C38)</f>
        <v/>
      </c>
      <c r="C1195">
        <f>IF(A1195="","",'KG1-2'!$B$2)</f>
        <v/>
      </c>
      <c r="D1195" s="126">
        <f t="array" ref="D1195">IF(A1195="","",IFERROR(SMALL(IF((('KG1-2'!$AD38:$IM38="غياب بدون عذر")+('KG1-2'!$AD38:$IM38="غياب بعذر"))*('KG1-2'!$AD$7:$IM$7="✓"),'KG1-2'!$AD$5:$IM$5),14),""))</f>
        <v/>
      </c>
      <c r="E1195">
        <f>IF(D1195="","",INDEX('KG1-2'!$AD38:$IM38,MATCH(D1195,'KG1-2'!$AD$5:$IM$5,0)))</f>
        <v/>
      </c>
      <c r="F1195">
        <f>IF(D1195="","",COUNTIFS('KG1-2'!$AD38:$IM38,"غياب بدون عذر",'KG1-2'!$AD$7:$IM$7,"✓",'KG1-2'!$AD$5:$IM$5,"&lt;="&amp;D1195))</f>
        <v/>
      </c>
      <c r="G1195">
        <f>G1194+IF(D1195="",0,1)</f>
        <v/>
      </c>
    </row>
    <row r="1196">
      <c r="A1196">
        <f>IF('KG1-2'!$B38="","",'KG1-2'!$B38)</f>
        <v/>
      </c>
      <c r="B1196">
        <f>IF(A1196="","",'KG1-2'!$C38)</f>
        <v/>
      </c>
      <c r="C1196">
        <f>IF(A1196="","",'KG1-2'!$B$2)</f>
        <v/>
      </c>
      <c r="D1196" s="126">
        <f t="array" ref="D1196">IF(A1196="","",IFERROR(SMALL(IF((('KG1-2'!$AD38:$IM38="غياب بدون عذر")+('KG1-2'!$AD38:$IM38="غياب بعذر"))*('KG1-2'!$AD$7:$IM$7="✓"),'KG1-2'!$AD$5:$IM$5),15),""))</f>
        <v/>
      </c>
      <c r="E1196">
        <f>IF(D1196="","",INDEX('KG1-2'!$AD38:$IM38,MATCH(D1196,'KG1-2'!$AD$5:$IM$5,0)))</f>
        <v/>
      </c>
      <c r="F1196">
        <f>IF(D1196="","",COUNTIFS('KG1-2'!$AD38:$IM38,"غياب بدون عذر",'KG1-2'!$AD$7:$IM$7,"✓",'KG1-2'!$AD$5:$IM$5,"&lt;="&amp;D1196))</f>
        <v/>
      </c>
      <c r="G1196">
        <f>G1195+IF(D1196="",0,1)</f>
        <v/>
      </c>
    </row>
    <row r="1197">
      <c r="A1197">
        <f>IF('KG1-2'!$B38="","",'KG1-2'!$B38)</f>
        <v/>
      </c>
      <c r="B1197">
        <f>IF(A1197="","",'KG1-2'!$C38)</f>
        <v/>
      </c>
      <c r="C1197">
        <f>IF(A1197="","",'KG1-2'!$B$2)</f>
        <v/>
      </c>
      <c r="D1197" s="126">
        <f t="array" ref="D1197">IF(A1197="","",IFERROR(SMALL(IF((('KG1-2'!$AD38:$IM38="غياب بدون عذر")+('KG1-2'!$AD38:$IM38="غياب بعذر"))*('KG1-2'!$AD$7:$IM$7="✓"),'KG1-2'!$AD$5:$IM$5),16),""))</f>
        <v/>
      </c>
      <c r="E1197">
        <f>IF(D1197="","",INDEX('KG1-2'!$AD38:$IM38,MATCH(D1197,'KG1-2'!$AD$5:$IM$5,0)))</f>
        <v/>
      </c>
      <c r="F1197">
        <f>IF(D1197="","",COUNTIFS('KG1-2'!$AD38:$IM38,"غياب بدون عذر",'KG1-2'!$AD$7:$IM$7,"✓",'KG1-2'!$AD$5:$IM$5,"&lt;="&amp;D1197))</f>
        <v/>
      </c>
      <c r="G1197">
        <f>G1196+IF(D1197="",0,1)</f>
        <v/>
      </c>
    </row>
    <row r="1198">
      <c r="A1198">
        <f>IF('KG1-2'!$B38="","",'KG1-2'!$B38)</f>
        <v/>
      </c>
      <c r="B1198">
        <f>IF(A1198="","",'KG1-2'!$C38)</f>
        <v/>
      </c>
      <c r="C1198">
        <f>IF(A1198="","",'KG1-2'!$B$2)</f>
        <v/>
      </c>
      <c r="D1198" s="126">
        <f t="array" ref="D1198">IF(A1198="","",IFERROR(SMALL(IF((('KG1-2'!$AD38:$IM38="غياب بدون عذر")+('KG1-2'!$AD38:$IM38="غياب بعذر"))*('KG1-2'!$AD$7:$IM$7="✓"),'KG1-2'!$AD$5:$IM$5),17),""))</f>
        <v/>
      </c>
      <c r="E1198">
        <f>IF(D1198="","",INDEX('KG1-2'!$AD38:$IM38,MATCH(D1198,'KG1-2'!$AD$5:$IM$5,0)))</f>
        <v/>
      </c>
      <c r="F1198">
        <f>IF(D1198="","",COUNTIFS('KG1-2'!$AD38:$IM38,"غياب بدون عذر",'KG1-2'!$AD$7:$IM$7,"✓",'KG1-2'!$AD$5:$IM$5,"&lt;="&amp;D1198))</f>
        <v/>
      </c>
      <c r="G1198">
        <f>G1197+IF(D1198="",0,1)</f>
        <v/>
      </c>
    </row>
    <row r="1199">
      <c r="A1199">
        <f>IF('KG1-2'!$B38="","",'KG1-2'!$B38)</f>
        <v/>
      </c>
      <c r="B1199">
        <f>IF(A1199="","",'KG1-2'!$C38)</f>
        <v/>
      </c>
      <c r="C1199">
        <f>IF(A1199="","",'KG1-2'!$B$2)</f>
        <v/>
      </c>
      <c r="D1199" s="126">
        <f t="array" ref="D1199">IF(A1199="","",IFERROR(SMALL(IF((('KG1-2'!$AD38:$IM38="غياب بدون عذر")+('KG1-2'!$AD38:$IM38="غياب بعذر"))*('KG1-2'!$AD$7:$IM$7="✓"),'KG1-2'!$AD$5:$IM$5),18),""))</f>
        <v/>
      </c>
      <c r="E1199">
        <f>IF(D1199="","",INDEX('KG1-2'!$AD38:$IM38,MATCH(D1199,'KG1-2'!$AD$5:$IM$5,0)))</f>
        <v/>
      </c>
      <c r="F1199">
        <f>IF(D1199="","",COUNTIFS('KG1-2'!$AD38:$IM38,"غياب بدون عذر",'KG1-2'!$AD$7:$IM$7,"✓",'KG1-2'!$AD$5:$IM$5,"&lt;="&amp;D1199))</f>
        <v/>
      </c>
      <c r="G1199">
        <f>G1198+IF(D1199="",0,1)</f>
        <v/>
      </c>
    </row>
    <row r="1200">
      <c r="A1200">
        <f>IF('KG1-2'!$B38="","",'KG1-2'!$B38)</f>
        <v/>
      </c>
      <c r="B1200">
        <f>IF(A1200="","",'KG1-2'!$C38)</f>
        <v/>
      </c>
      <c r="C1200">
        <f>IF(A1200="","",'KG1-2'!$B$2)</f>
        <v/>
      </c>
      <c r="D1200" s="126">
        <f t="array" ref="D1200">IF(A1200="","",IFERROR(SMALL(IF((('KG1-2'!$AD38:$IM38="غياب بدون عذر")+('KG1-2'!$AD38:$IM38="غياب بعذر"))*('KG1-2'!$AD$7:$IM$7="✓"),'KG1-2'!$AD$5:$IM$5),19),""))</f>
        <v/>
      </c>
      <c r="E1200">
        <f>IF(D1200="","",INDEX('KG1-2'!$AD38:$IM38,MATCH(D1200,'KG1-2'!$AD$5:$IM$5,0)))</f>
        <v/>
      </c>
      <c r="F1200">
        <f>IF(D1200="","",COUNTIFS('KG1-2'!$AD38:$IM38,"غياب بدون عذر",'KG1-2'!$AD$7:$IM$7,"✓",'KG1-2'!$AD$5:$IM$5,"&lt;="&amp;D1200))</f>
        <v/>
      </c>
      <c r="G1200">
        <f>G1199+IF(D1200="",0,1)</f>
        <v/>
      </c>
    </row>
    <row r="1201">
      <c r="A1201">
        <f>IF('KG1-2'!$B38="","",'KG1-2'!$B38)</f>
        <v/>
      </c>
      <c r="B1201">
        <f>IF(A1201="","",'KG1-2'!$C38)</f>
        <v/>
      </c>
      <c r="C1201">
        <f>IF(A1201="","",'KG1-2'!$B$2)</f>
        <v/>
      </c>
      <c r="D1201" s="126">
        <f t="array" ref="D1201">IF(A1201="","",IFERROR(SMALL(IF((('KG1-2'!$AD38:$IM38="غياب بدون عذر")+('KG1-2'!$AD38:$IM38="غياب بعذر"))*('KG1-2'!$AD$7:$IM$7="✓"),'KG1-2'!$AD$5:$IM$5),20),""))</f>
        <v/>
      </c>
      <c r="E1201">
        <f>IF(D1201="","",INDEX('KG1-2'!$AD38:$IM38,MATCH(D1201,'KG1-2'!$AD$5:$IM$5,0)))</f>
        <v/>
      </c>
      <c r="F1201">
        <f>IF(D1201="","",COUNTIFS('KG1-2'!$AD38:$IM38,"غياب بدون عذر",'KG1-2'!$AD$7:$IM$7,"✓",'KG1-2'!$AD$5:$IM$5,"&lt;="&amp;D1201))</f>
        <v/>
      </c>
      <c r="G1201">
        <f>G1200+IF(D1201="",0,1)</f>
        <v/>
      </c>
    </row>
    <row r="1202">
      <c r="A1202">
        <f>IF('KG1-3'!$B9="","",'KG1-3'!$B9)</f>
        <v/>
      </c>
      <c r="B1202">
        <f>IF(A1202="","",'KG1-3'!$C9)</f>
        <v/>
      </c>
      <c r="C1202">
        <f>IF(A1202="","",'KG1-3'!$B$2)</f>
        <v/>
      </c>
      <c r="D1202" s="126">
        <f t="array" ref="D1202">IF(A1202="","",IFERROR(SMALL(IF((('KG1-3'!$AD9:$IM9="غياب بدون عذر")+('KG1-3'!$AD9:$IM9="غياب بعذر"))*('KG1-3'!$AD$7:$IM$7="✓"),'KG1-3'!$AD$5:$IM$5),1),""))</f>
        <v/>
      </c>
      <c r="E1202">
        <f>IF(D1202="","",INDEX('KG1-3'!$AD9:$IM9,MATCH(D1202,'KG1-3'!$AD$5:$IM$5,0)))</f>
        <v/>
      </c>
      <c r="F1202">
        <f>IF(D1202="","",COUNTIFS('KG1-3'!$AD9:$IM9,"غياب بدون عذر",'KG1-3'!$AD$7:$IM$7,"✓",'KG1-3'!$AD$5:$IM$5,"&lt;="&amp;D1202))</f>
        <v/>
      </c>
      <c r="G1202">
        <f>G1201+IF(D1202="",0,1)</f>
        <v/>
      </c>
    </row>
    <row r="1203">
      <c r="A1203">
        <f>IF('KG1-3'!$B9="","",'KG1-3'!$B9)</f>
        <v/>
      </c>
      <c r="B1203">
        <f>IF(A1203="","",'KG1-3'!$C9)</f>
        <v/>
      </c>
      <c r="C1203">
        <f>IF(A1203="","",'KG1-3'!$B$2)</f>
        <v/>
      </c>
      <c r="D1203" s="126">
        <f t="array" ref="D1203">IF(A1203="","",IFERROR(SMALL(IF((('KG1-3'!$AD9:$IM9="غياب بدون عذر")+('KG1-3'!$AD9:$IM9="غياب بعذر"))*('KG1-3'!$AD$7:$IM$7="✓"),'KG1-3'!$AD$5:$IM$5),2),""))</f>
        <v/>
      </c>
      <c r="E1203">
        <f>IF(D1203="","",INDEX('KG1-3'!$AD9:$IM9,MATCH(D1203,'KG1-3'!$AD$5:$IM$5,0)))</f>
        <v/>
      </c>
      <c r="F1203">
        <f>IF(D1203="","",COUNTIFS('KG1-3'!$AD9:$IM9,"غياب بدون عذر",'KG1-3'!$AD$7:$IM$7,"✓",'KG1-3'!$AD$5:$IM$5,"&lt;="&amp;D1203))</f>
        <v/>
      </c>
      <c r="G1203">
        <f>G1202+IF(D1203="",0,1)</f>
        <v/>
      </c>
    </row>
    <row r="1204">
      <c r="A1204">
        <f>IF('KG1-3'!$B9="","",'KG1-3'!$B9)</f>
        <v/>
      </c>
      <c r="B1204">
        <f>IF(A1204="","",'KG1-3'!$C9)</f>
        <v/>
      </c>
      <c r="C1204">
        <f>IF(A1204="","",'KG1-3'!$B$2)</f>
        <v/>
      </c>
      <c r="D1204" s="126">
        <f t="array" ref="D1204">IF(A1204="","",IFERROR(SMALL(IF((('KG1-3'!$AD9:$IM9="غياب بدون عذر")+('KG1-3'!$AD9:$IM9="غياب بعذر"))*('KG1-3'!$AD$7:$IM$7="✓"),'KG1-3'!$AD$5:$IM$5),3),""))</f>
        <v/>
      </c>
      <c r="E1204">
        <f>IF(D1204="","",INDEX('KG1-3'!$AD9:$IM9,MATCH(D1204,'KG1-3'!$AD$5:$IM$5,0)))</f>
        <v/>
      </c>
      <c r="F1204">
        <f>IF(D1204="","",COUNTIFS('KG1-3'!$AD9:$IM9,"غياب بدون عذر",'KG1-3'!$AD$7:$IM$7,"✓",'KG1-3'!$AD$5:$IM$5,"&lt;="&amp;D1204))</f>
        <v/>
      </c>
      <c r="G1204">
        <f>G1203+IF(D1204="",0,1)</f>
        <v/>
      </c>
    </row>
    <row r="1205">
      <c r="A1205">
        <f>IF('KG1-3'!$B9="","",'KG1-3'!$B9)</f>
        <v/>
      </c>
      <c r="B1205">
        <f>IF(A1205="","",'KG1-3'!$C9)</f>
        <v/>
      </c>
      <c r="C1205">
        <f>IF(A1205="","",'KG1-3'!$B$2)</f>
        <v/>
      </c>
      <c r="D1205" s="126">
        <f t="array" ref="D1205">IF(A1205="","",IFERROR(SMALL(IF((('KG1-3'!$AD9:$IM9="غياب بدون عذر")+('KG1-3'!$AD9:$IM9="غياب بعذر"))*('KG1-3'!$AD$7:$IM$7="✓"),'KG1-3'!$AD$5:$IM$5),4),""))</f>
        <v/>
      </c>
      <c r="E1205">
        <f>IF(D1205="","",INDEX('KG1-3'!$AD9:$IM9,MATCH(D1205,'KG1-3'!$AD$5:$IM$5,0)))</f>
        <v/>
      </c>
      <c r="F1205">
        <f>IF(D1205="","",COUNTIFS('KG1-3'!$AD9:$IM9,"غياب بدون عذر",'KG1-3'!$AD$7:$IM$7,"✓",'KG1-3'!$AD$5:$IM$5,"&lt;="&amp;D1205))</f>
        <v/>
      </c>
      <c r="G1205">
        <f>G1204+IF(D1205="",0,1)</f>
        <v/>
      </c>
    </row>
    <row r="1206">
      <c r="A1206">
        <f>IF('KG1-3'!$B9="","",'KG1-3'!$B9)</f>
        <v/>
      </c>
      <c r="B1206">
        <f>IF(A1206="","",'KG1-3'!$C9)</f>
        <v/>
      </c>
      <c r="C1206">
        <f>IF(A1206="","",'KG1-3'!$B$2)</f>
        <v/>
      </c>
      <c r="D1206" s="126">
        <f t="array" ref="D1206">IF(A1206="","",IFERROR(SMALL(IF((('KG1-3'!$AD9:$IM9="غياب بدون عذر")+('KG1-3'!$AD9:$IM9="غياب بعذر"))*('KG1-3'!$AD$7:$IM$7="✓"),'KG1-3'!$AD$5:$IM$5),5),""))</f>
        <v/>
      </c>
      <c r="E1206">
        <f>IF(D1206="","",INDEX('KG1-3'!$AD9:$IM9,MATCH(D1206,'KG1-3'!$AD$5:$IM$5,0)))</f>
        <v/>
      </c>
      <c r="F1206">
        <f>IF(D1206="","",COUNTIFS('KG1-3'!$AD9:$IM9,"غياب بدون عذر",'KG1-3'!$AD$7:$IM$7,"✓",'KG1-3'!$AD$5:$IM$5,"&lt;="&amp;D1206))</f>
        <v/>
      </c>
      <c r="G1206">
        <f>G1205+IF(D1206="",0,1)</f>
        <v/>
      </c>
    </row>
    <row r="1207">
      <c r="A1207">
        <f>IF('KG1-3'!$B9="","",'KG1-3'!$B9)</f>
        <v/>
      </c>
      <c r="B1207">
        <f>IF(A1207="","",'KG1-3'!$C9)</f>
        <v/>
      </c>
      <c r="C1207">
        <f>IF(A1207="","",'KG1-3'!$B$2)</f>
        <v/>
      </c>
      <c r="D1207" s="126">
        <f t="array" ref="D1207">IF(A1207="","",IFERROR(SMALL(IF((('KG1-3'!$AD9:$IM9="غياب بدون عذر")+('KG1-3'!$AD9:$IM9="غياب بعذر"))*('KG1-3'!$AD$7:$IM$7="✓"),'KG1-3'!$AD$5:$IM$5),6),""))</f>
        <v/>
      </c>
      <c r="E1207">
        <f>IF(D1207="","",INDEX('KG1-3'!$AD9:$IM9,MATCH(D1207,'KG1-3'!$AD$5:$IM$5,0)))</f>
        <v/>
      </c>
      <c r="F1207">
        <f>IF(D1207="","",COUNTIFS('KG1-3'!$AD9:$IM9,"غياب بدون عذر",'KG1-3'!$AD$7:$IM$7,"✓",'KG1-3'!$AD$5:$IM$5,"&lt;="&amp;D1207))</f>
        <v/>
      </c>
      <c r="G1207">
        <f>G1206+IF(D1207="",0,1)</f>
        <v/>
      </c>
    </row>
    <row r="1208">
      <c r="A1208">
        <f>IF('KG1-3'!$B9="","",'KG1-3'!$B9)</f>
        <v/>
      </c>
      <c r="B1208">
        <f>IF(A1208="","",'KG1-3'!$C9)</f>
        <v/>
      </c>
      <c r="C1208">
        <f>IF(A1208="","",'KG1-3'!$B$2)</f>
        <v/>
      </c>
      <c r="D1208" s="126">
        <f t="array" ref="D1208">IF(A1208="","",IFERROR(SMALL(IF((('KG1-3'!$AD9:$IM9="غياب بدون عذر")+('KG1-3'!$AD9:$IM9="غياب بعذر"))*('KG1-3'!$AD$7:$IM$7="✓"),'KG1-3'!$AD$5:$IM$5),7),""))</f>
        <v/>
      </c>
      <c r="E1208">
        <f>IF(D1208="","",INDEX('KG1-3'!$AD9:$IM9,MATCH(D1208,'KG1-3'!$AD$5:$IM$5,0)))</f>
        <v/>
      </c>
      <c r="F1208">
        <f>IF(D1208="","",COUNTIFS('KG1-3'!$AD9:$IM9,"غياب بدون عذر",'KG1-3'!$AD$7:$IM$7,"✓",'KG1-3'!$AD$5:$IM$5,"&lt;="&amp;D1208))</f>
        <v/>
      </c>
      <c r="G1208">
        <f>G1207+IF(D1208="",0,1)</f>
        <v/>
      </c>
    </row>
    <row r="1209">
      <c r="A1209">
        <f>IF('KG1-3'!$B9="","",'KG1-3'!$B9)</f>
        <v/>
      </c>
      <c r="B1209">
        <f>IF(A1209="","",'KG1-3'!$C9)</f>
        <v/>
      </c>
      <c r="C1209">
        <f>IF(A1209="","",'KG1-3'!$B$2)</f>
        <v/>
      </c>
      <c r="D1209" s="126">
        <f t="array" ref="D1209">IF(A1209="","",IFERROR(SMALL(IF((('KG1-3'!$AD9:$IM9="غياب بدون عذر")+('KG1-3'!$AD9:$IM9="غياب بعذر"))*('KG1-3'!$AD$7:$IM$7="✓"),'KG1-3'!$AD$5:$IM$5),8),""))</f>
        <v/>
      </c>
      <c r="E1209">
        <f>IF(D1209="","",INDEX('KG1-3'!$AD9:$IM9,MATCH(D1209,'KG1-3'!$AD$5:$IM$5,0)))</f>
        <v/>
      </c>
      <c r="F1209">
        <f>IF(D1209="","",COUNTIFS('KG1-3'!$AD9:$IM9,"غياب بدون عذر",'KG1-3'!$AD$7:$IM$7,"✓",'KG1-3'!$AD$5:$IM$5,"&lt;="&amp;D1209))</f>
        <v/>
      </c>
      <c r="G1209">
        <f>G1208+IF(D1209="",0,1)</f>
        <v/>
      </c>
    </row>
    <row r="1210">
      <c r="A1210">
        <f>IF('KG1-3'!$B9="","",'KG1-3'!$B9)</f>
        <v/>
      </c>
      <c r="B1210">
        <f>IF(A1210="","",'KG1-3'!$C9)</f>
        <v/>
      </c>
      <c r="C1210">
        <f>IF(A1210="","",'KG1-3'!$B$2)</f>
        <v/>
      </c>
      <c r="D1210" s="126">
        <f t="array" ref="D1210">IF(A1210="","",IFERROR(SMALL(IF((('KG1-3'!$AD9:$IM9="غياب بدون عذر")+('KG1-3'!$AD9:$IM9="غياب بعذر"))*('KG1-3'!$AD$7:$IM$7="✓"),'KG1-3'!$AD$5:$IM$5),9),""))</f>
        <v/>
      </c>
      <c r="E1210">
        <f>IF(D1210="","",INDEX('KG1-3'!$AD9:$IM9,MATCH(D1210,'KG1-3'!$AD$5:$IM$5,0)))</f>
        <v/>
      </c>
      <c r="F1210">
        <f>IF(D1210="","",COUNTIFS('KG1-3'!$AD9:$IM9,"غياب بدون عذر",'KG1-3'!$AD$7:$IM$7,"✓",'KG1-3'!$AD$5:$IM$5,"&lt;="&amp;D1210))</f>
        <v/>
      </c>
      <c r="G1210">
        <f>G1209+IF(D1210="",0,1)</f>
        <v/>
      </c>
    </row>
    <row r="1211">
      <c r="A1211">
        <f>IF('KG1-3'!$B9="","",'KG1-3'!$B9)</f>
        <v/>
      </c>
      <c r="B1211">
        <f>IF(A1211="","",'KG1-3'!$C9)</f>
        <v/>
      </c>
      <c r="C1211">
        <f>IF(A1211="","",'KG1-3'!$B$2)</f>
        <v/>
      </c>
      <c r="D1211" s="126">
        <f t="array" ref="D1211">IF(A1211="","",IFERROR(SMALL(IF((('KG1-3'!$AD9:$IM9="غياب بدون عذر")+('KG1-3'!$AD9:$IM9="غياب بعذر"))*('KG1-3'!$AD$7:$IM$7="✓"),'KG1-3'!$AD$5:$IM$5),10),""))</f>
        <v/>
      </c>
      <c r="E1211">
        <f>IF(D1211="","",INDEX('KG1-3'!$AD9:$IM9,MATCH(D1211,'KG1-3'!$AD$5:$IM$5,0)))</f>
        <v/>
      </c>
      <c r="F1211">
        <f>IF(D1211="","",COUNTIFS('KG1-3'!$AD9:$IM9,"غياب بدون عذر",'KG1-3'!$AD$7:$IM$7,"✓",'KG1-3'!$AD$5:$IM$5,"&lt;="&amp;D1211))</f>
        <v/>
      </c>
      <c r="G1211">
        <f>G1210+IF(D1211="",0,1)</f>
        <v/>
      </c>
    </row>
    <row r="1212">
      <c r="A1212">
        <f>IF('KG1-3'!$B9="","",'KG1-3'!$B9)</f>
        <v/>
      </c>
      <c r="B1212">
        <f>IF(A1212="","",'KG1-3'!$C9)</f>
        <v/>
      </c>
      <c r="C1212">
        <f>IF(A1212="","",'KG1-3'!$B$2)</f>
        <v/>
      </c>
      <c r="D1212" s="126">
        <f t="array" ref="D1212">IF(A1212="","",IFERROR(SMALL(IF((('KG1-3'!$AD9:$IM9="غياب بدون عذر")+('KG1-3'!$AD9:$IM9="غياب بعذر"))*('KG1-3'!$AD$7:$IM$7="✓"),'KG1-3'!$AD$5:$IM$5),11),""))</f>
        <v/>
      </c>
      <c r="E1212">
        <f>IF(D1212="","",INDEX('KG1-3'!$AD9:$IM9,MATCH(D1212,'KG1-3'!$AD$5:$IM$5,0)))</f>
        <v/>
      </c>
      <c r="F1212">
        <f>IF(D1212="","",COUNTIFS('KG1-3'!$AD9:$IM9,"غياب بدون عذر",'KG1-3'!$AD$7:$IM$7,"✓",'KG1-3'!$AD$5:$IM$5,"&lt;="&amp;D1212))</f>
        <v/>
      </c>
      <c r="G1212">
        <f>G1211+IF(D1212="",0,1)</f>
        <v/>
      </c>
    </row>
    <row r="1213">
      <c r="A1213">
        <f>IF('KG1-3'!$B9="","",'KG1-3'!$B9)</f>
        <v/>
      </c>
      <c r="B1213">
        <f>IF(A1213="","",'KG1-3'!$C9)</f>
        <v/>
      </c>
      <c r="C1213">
        <f>IF(A1213="","",'KG1-3'!$B$2)</f>
        <v/>
      </c>
      <c r="D1213" s="126">
        <f t="array" ref="D1213">IF(A1213="","",IFERROR(SMALL(IF((('KG1-3'!$AD9:$IM9="غياب بدون عذر")+('KG1-3'!$AD9:$IM9="غياب بعذر"))*('KG1-3'!$AD$7:$IM$7="✓"),'KG1-3'!$AD$5:$IM$5),12),""))</f>
        <v/>
      </c>
      <c r="E1213">
        <f>IF(D1213="","",INDEX('KG1-3'!$AD9:$IM9,MATCH(D1213,'KG1-3'!$AD$5:$IM$5,0)))</f>
        <v/>
      </c>
      <c r="F1213">
        <f>IF(D1213="","",COUNTIFS('KG1-3'!$AD9:$IM9,"غياب بدون عذر",'KG1-3'!$AD$7:$IM$7,"✓",'KG1-3'!$AD$5:$IM$5,"&lt;="&amp;D1213))</f>
        <v/>
      </c>
      <c r="G1213">
        <f>G1212+IF(D1213="",0,1)</f>
        <v/>
      </c>
    </row>
    <row r="1214">
      <c r="A1214">
        <f>IF('KG1-3'!$B9="","",'KG1-3'!$B9)</f>
        <v/>
      </c>
      <c r="B1214">
        <f>IF(A1214="","",'KG1-3'!$C9)</f>
        <v/>
      </c>
      <c r="C1214">
        <f>IF(A1214="","",'KG1-3'!$B$2)</f>
        <v/>
      </c>
      <c r="D1214" s="126">
        <f t="array" ref="D1214">IF(A1214="","",IFERROR(SMALL(IF((('KG1-3'!$AD9:$IM9="غياب بدون عذر")+('KG1-3'!$AD9:$IM9="غياب بعذر"))*('KG1-3'!$AD$7:$IM$7="✓"),'KG1-3'!$AD$5:$IM$5),13),""))</f>
        <v/>
      </c>
      <c r="E1214">
        <f>IF(D1214="","",INDEX('KG1-3'!$AD9:$IM9,MATCH(D1214,'KG1-3'!$AD$5:$IM$5,0)))</f>
        <v/>
      </c>
      <c r="F1214">
        <f>IF(D1214="","",COUNTIFS('KG1-3'!$AD9:$IM9,"غياب بدون عذر",'KG1-3'!$AD$7:$IM$7,"✓",'KG1-3'!$AD$5:$IM$5,"&lt;="&amp;D1214))</f>
        <v/>
      </c>
      <c r="G1214">
        <f>G1213+IF(D1214="",0,1)</f>
        <v/>
      </c>
    </row>
    <row r="1215">
      <c r="A1215">
        <f>IF('KG1-3'!$B9="","",'KG1-3'!$B9)</f>
        <v/>
      </c>
      <c r="B1215">
        <f>IF(A1215="","",'KG1-3'!$C9)</f>
        <v/>
      </c>
      <c r="C1215">
        <f>IF(A1215="","",'KG1-3'!$B$2)</f>
        <v/>
      </c>
      <c r="D1215" s="126">
        <f t="array" ref="D1215">IF(A1215="","",IFERROR(SMALL(IF((('KG1-3'!$AD9:$IM9="غياب بدون عذر")+('KG1-3'!$AD9:$IM9="غياب بعذر"))*('KG1-3'!$AD$7:$IM$7="✓"),'KG1-3'!$AD$5:$IM$5),14),""))</f>
        <v/>
      </c>
      <c r="E1215">
        <f>IF(D1215="","",INDEX('KG1-3'!$AD9:$IM9,MATCH(D1215,'KG1-3'!$AD$5:$IM$5,0)))</f>
        <v/>
      </c>
      <c r="F1215">
        <f>IF(D1215="","",COUNTIFS('KG1-3'!$AD9:$IM9,"غياب بدون عذر",'KG1-3'!$AD$7:$IM$7,"✓",'KG1-3'!$AD$5:$IM$5,"&lt;="&amp;D1215))</f>
        <v/>
      </c>
      <c r="G1215">
        <f>G1214+IF(D1215="",0,1)</f>
        <v/>
      </c>
    </row>
    <row r="1216">
      <c r="A1216">
        <f>IF('KG1-3'!$B9="","",'KG1-3'!$B9)</f>
        <v/>
      </c>
      <c r="B1216">
        <f>IF(A1216="","",'KG1-3'!$C9)</f>
        <v/>
      </c>
      <c r="C1216">
        <f>IF(A1216="","",'KG1-3'!$B$2)</f>
        <v/>
      </c>
      <c r="D1216" s="126">
        <f t="array" ref="D1216">IF(A1216="","",IFERROR(SMALL(IF((('KG1-3'!$AD9:$IM9="غياب بدون عذر")+('KG1-3'!$AD9:$IM9="غياب بعذر"))*('KG1-3'!$AD$7:$IM$7="✓"),'KG1-3'!$AD$5:$IM$5),15),""))</f>
        <v/>
      </c>
      <c r="E1216">
        <f>IF(D1216="","",INDEX('KG1-3'!$AD9:$IM9,MATCH(D1216,'KG1-3'!$AD$5:$IM$5,0)))</f>
        <v/>
      </c>
      <c r="F1216">
        <f>IF(D1216="","",COUNTIFS('KG1-3'!$AD9:$IM9,"غياب بدون عذر",'KG1-3'!$AD$7:$IM$7,"✓",'KG1-3'!$AD$5:$IM$5,"&lt;="&amp;D1216))</f>
        <v/>
      </c>
      <c r="G1216">
        <f>G1215+IF(D1216="",0,1)</f>
        <v/>
      </c>
    </row>
    <row r="1217">
      <c r="A1217">
        <f>IF('KG1-3'!$B9="","",'KG1-3'!$B9)</f>
        <v/>
      </c>
      <c r="B1217">
        <f>IF(A1217="","",'KG1-3'!$C9)</f>
        <v/>
      </c>
      <c r="C1217">
        <f>IF(A1217="","",'KG1-3'!$B$2)</f>
        <v/>
      </c>
      <c r="D1217" s="126">
        <f t="array" ref="D1217">IF(A1217="","",IFERROR(SMALL(IF((('KG1-3'!$AD9:$IM9="غياب بدون عذر")+('KG1-3'!$AD9:$IM9="غياب بعذر"))*('KG1-3'!$AD$7:$IM$7="✓"),'KG1-3'!$AD$5:$IM$5),16),""))</f>
        <v/>
      </c>
      <c r="E1217">
        <f>IF(D1217="","",INDEX('KG1-3'!$AD9:$IM9,MATCH(D1217,'KG1-3'!$AD$5:$IM$5,0)))</f>
        <v/>
      </c>
      <c r="F1217">
        <f>IF(D1217="","",COUNTIFS('KG1-3'!$AD9:$IM9,"غياب بدون عذر",'KG1-3'!$AD$7:$IM$7,"✓",'KG1-3'!$AD$5:$IM$5,"&lt;="&amp;D1217))</f>
        <v/>
      </c>
      <c r="G1217">
        <f>G1216+IF(D1217="",0,1)</f>
        <v/>
      </c>
    </row>
    <row r="1218">
      <c r="A1218">
        <f>IF('KG1-3'!$B9="","",'KG1-3'!$B9)</f>
        <v/>
      </c>
      <c r="B1218">
        <f>IF(A1218="","",'KG1-3'!$C9)</f>
        <v/>
      </c>
      <c r="C1218">
        <f>IF(A1218="","",'KG1-3'!$B$2)</f>
        <v/>
      </c>
      <c r="D1218" s="126">
        <f t="array" ref="D1218">IF(A1218="","",IFERROR(SMALL(IF((('KG1-3'!$AD9:$IM9="غياب بدون عذر")+('KG1-3'!$AD9:$IM9="غياب بعذر"))*('KG1-3'!$AD$7:$IM$7="✓"),'KG1-3'!$AD$5:$IM$5),17),""))</f>
        <v/>
      </c>
      <c r="E1218">
        <f>IF(D1218="","",INDEX('KG1-3'!$AD9:$IM9,MATCH(D1218,'KG1-3'!$AD$5:$IM$5,0)))</f>
        <v/>
      </c>
      <c r="F1218">
        <f>IF(D1218="","",COUNTIFS('KG1-3'!$AD9:$IM9,"غياب بدون عذر",'KG1-3'!$AD$7:$IM$7,"✓",'KG1-3'!$AD$5:$IM$5,"&lt;="&amp;D1218))</f>
        <v/>
      </c>
      <c r="G1218">
        <f>G1217+IF(D1218="",0,1)</f>
        <v/>
      </c>
    </row>
    <row r="1219">
      <c r="A1219">
        <f>IF('KG1-3'!$B9="","",'KG1-3'!$B9)</f>
        <v/>
      </c>
      <c r="B1219">
        <f>IF(A1219="","",'KG1-3'!$C9)</f>
        <v/>
      </c>
      <c r="C1219">
        <f>IF(A1219="","",'KG1-3'!$B$2)</f>
        <v/>
      </c>
      <c r="D1219" s="126">
        <f t="array" ref="D1219">IF(A1219="","",IFERROR(SMALL(IF((('KG1-3'!$AD9:$IM9="غياب بدون عذر")+('KG1-3'!$AD9:$IM9="غياب بعذر"))*('KG1-3'!$AD$7:$IM$7="✓"),'KG1-3'!$AD$5:$IM$5),18),""))</f>
        <v/>
      </c>
      <c r="E1219">
        <f>IF(D1219="","",INDEX('KG1-3'!$AD9:$IM9,MATCH(D1219,'KG1-3'!$AD$5:$IM$5,0)))</f>
        <v/>
      </c>
      <c r="F1219">
        <f>IF(D1219="","",COUNTIFS('KG1-3'!$AD9:$IM9,"غياب بدون عذر",'KG1-3'!$AD$7:$IM$7,"✓",'KG1-3'!$AD$5:$IM$5,"&lt;="&amp;D1219))</f>
        <v/>
      </c>
      <c r="G1219">
        <f>G1218+IF(D1219="",0,1)</f>
        <v/>
      </c>
    </row>
    <row r="1220">
      <c r="A1220">
        <f>IF('KG1-3'!$B9="","",'KG1-3'!$B9)</f>
        <v/>
      </c>
      <c r="B1220">
        <f>IF(A1220="","",'KG1-3'!$C9)</f>
        <v/>
      </c>
      <c r="C1220">
        <f>IF(A1220="","",'KG1-3'!$B$2)</f>
        <v/>
      </c>
      <c r="D1220" s="126">
        <f t="array" ref="D1220">IF(A1220="","",IFERROR(SMALL(IF((('KG1-3'!$AD9:$IM9="غياب بدون عذر")+('KG1-3'!$AD9:$IM9="غياب بعذر"))*('KG1-3'!$AD$7:$IM$7="✓"),'KG1-3'!$AD$5:$IM$5),19),""))</f>
        <v/>
      </c>
      <c r="E1220">
        <f>IF(D1220="","",INDEX('KG1-3'!$AD9:$IM9,MATCH(D1220,'KG1-3'!$AD$5:$IM$5,0)))</f>
        <v/>
      </c>
      <c r="F1220">
        <f>IF(D1220="","",COUNTIFS('KG1-3'!$AD9:$IM9,"غياب بدون عذر",'KG1-3'!$AD$7:$IM$7,"✓",'KG1-3'!$AD$5:$IM$5,"&lt;="&amp;D1220))</f>
        <v/>
      </c>
      <c r="G1220">
        <f>G1219+IF(D1220="",0,1)</f>
        <v/>
      </c>
    </row>
    <row r="1221">
      <c r="A1221">
        <f>IF('KG1-3'!$B9="","",'KG1-3'!$B9)</f>
        <v/>
      </c>
      <c r="B1221">
        <f>IF(A1221="","",'KG1-3'!$C9)</f>
        <v/>
      </c>
      <c r="C1221">
        <f>IF(A1221="","",'KG1-3'!$B$2)</f>
        <v/>
      </c>
      <c r="D1221" s="126">
        <f t="array" ref="D1221">IF(A1221="","",IFERROR(SMALL(IF((('KG1-3'!$AD9:$IM9="غياب بدون عذر")+('KG1-3'!$AD9:$IM9="غياب بعذر"))*('KG1-3'!$AD$7:$IM$7="✓"),'KG1-3'!$AD$5:$IM$5),20),""))</f>
        <v/>
      </c>
      <c r="E1221">
        <f>IF(D1221="","",INDEX('KG1-3'!$AD9:$IM9,MATCH(D1221,'KG1-3'!$AD$5:$IM$5,0)))</f>
        <v/>
      </c>
      <c r="F1221">
        <f>IF(D1221="","",COUNTIFS('KG1-3'!$AD9:$IM9,"غياب بدون عذر",'KG1-3'!$AD$7:$IM$7,"✓",'KG1-3'!$AD$5:$IM$5,"&lt;="&amp;D1221))</f>
        <v/>
      </c>
      <c r="G1221">
        <f>G1220+IF(D1221="",0,1)</f>
        <v/>
      </c>
    </row>
    <row r="1222">
      <c r="A1222">
        <f>IF('KG1-3'!$B10="","",'KG1-3'!$B10)</f>
        <v/>
      </c>
      <c r="B1222">
        <f>IF(A1222="","",'KG1-3'!$C10)</f>
        <v/>
      </c>
      <c r="C1222">
        <f>IF(A1222="","",'KG1-3'!$B$2)</f>
        <v/>
      </c>
      <c r="D1222" s="126">
        <f t="array" ref="D1222">IF(A1222="","",IFERROR(SMALL(IF((('KG1-3'!$AD10:$IM10="غياب بدون عذر")+('KG1-3'!$AD10:$IM10="غياب بعذر"))*('KG1-3'!$AD$7:$IM$7="✓"),'KG1-3'!$AD$5:$IM$5),1),""))</f>
        <v/>
      </c>
      <c r="E1222">
        <f>IF(D1222="","",INDEX('KG1-3'!$AD10:$IM10,MATCH(D1222,'KG1-3'!$AD$5:$IM$5,0)))</f>
        <v/>
      </c>
      <c r="F1222">
        <f>IF(D1222="","",COUNTIFS('KG1-3'!$AD10:$IM10,"غياب بدون عذر",'KG1-3'!$AD$7:$IM$7,"✓",'KG1-3'!$AD$5:$IM$5,"&lt;="&amp;D1222))</f>
        <v/>
      </c>
      <c r="G1222">
        <f>G1221+IF(D1222="",0,1)</f>
        <v/>
      </c>
    </row>
    <row r="1223">
      <c r="A1223">
        <f>IF('KG1-3'!$B10="","",'KG1-3'!$B10)</f>
        <v/>
      </c>
      <c r="B1223">
        <f>IF(A1223="","",'KG1-3'!$C10)</f>
        <v/>
      </c>
      <c r="C1223">
        <f>IF(A1223="","",'KG1-3'!$B$2)</f>
        <v/>
      </c>
      <c r="D1223" s="126">
        <f t="array" ref="D1223">IF(A1223="","",IFERROR(SMALL(IF((('KG1-3'!$AD10:$IM10="غياب بدون عذر")+('KG1-3'!$AD10:$IM10="غياب بعذر"))*('KG1-3'!$AD$7:$IM$7="✓"),'KG1-3'!$AD$5:$IM$5),2),""))</f>
        <v/>
      </c>
      <c r="E1223">
        <f>IF(D1223="","",INDEX('KG1-3'!$AD10:$IM10,MATCH(D1223,'KG1-3'!$AD$5:$IM$5,0)))</f>
        <v/>
      </c>
      <c r="F1223">
        <f>IF(D1223="","",COUNTIFS('KG1-3'!$AD10:$IM10,"غياب بدون عذر",'KG1-3'!$AD$7:$IM$7,"✓",'KG1-3'!$AD$5:$IM$5,"&lt;="&amp;D1223))</f>
        <v/>
      </c>
      <c r="G1223">
        <f>G1222+IF(D1223="",0,1)</f>
        <v/>
      </c>
    </row>
    <row r="1224">
      <c r="A1224">
        <f>IF('KG1-3'!$B10="","",'KG1-3'!$B10)</f>
        <v/>
      </c>
      <c r="B1224">
        <f>IF(A1224="","",'KG1-3'!$C10)</f>
        <v/>
      </c>
      <c r="C1224">
        <f>IF(A1224="","",'KG1-3'!$B$2)</f>
        <v/>
      </c>
      <c r="D1224" s="126">
        <f t="array" ref="D1224">IF(A1224="","",IFERROR(SMALL(IF((('KG1-3'!$AD10:$IM10="غياب بدون عذر")+('KG1-3'!$AD10:$IM10="غياب بعذر"))*('KG1-3'!$AD$7:$IM$7="✓"),'KG1-3'!$AD$5:$IM$5),3),""))</f>
        <v/>
      </c>
      <c r="E1224">
        <f>IF(D1224="","",INDEX('KG1-3'!$AD10:$IM10,MATCH(D1224,'KG1-3'!$AD$5:$IM$5,0)))</f>
        <v/>
      </c>
      <c r="F1224">
        <f>IF(D1224="","",COUNTIFS('KG1-3'!$AD10:$IM10,"غياب بدون عذر",'KG1-3'!$AD$7:$IM$7,"✓",'KG1-3'!$AD$5:$IM$5,"&lt;="&amp;D1224))</f>
        <v/>
      </c>
      <c r="G1224">
        <f>G1223+IF(D1224="",0,1)</f>
        <v/>
      </c>
    </row>
    <row r="1225">
      <c r="A1225">
        <f>IF('KG1-3'!$B10="","",'KG1-3'!$B10)</f>
        <v/>
      </c>
      <c r="B1225">
        <f>IF(A1225="","",'KG1-3'!$C10)</f>
        <v/>
      </c>
      <c r="C1225">
        <f>IF(A1225="","",'KG1-3'!$B$2)</f>
        <v/>
      </c>
      <c r="D1225" s="126">
        <f t="array" ref="D1225">IF(A1225="","",IFERROR(SMALL(IF((('KG1-3'!$AD10:$IM10="غياب بدون عذر")+('KG1-3'!$AD10:$IM10="غياب بعذر"))*('KG1-3'!$AD$7:$IM$7="✓"),'KG1-3'!$AD$5:$IM$5),4),""))</f>
        <v/>
      </c>
      <c r="E1225">
        <f>IF(D1225="","",INDEX('KG1-3'!$AD10:$IM10,MATCH(D1225,'KG1-3'!$AD$5:$IM$5,0)))</f>
        <v/>
      </c>
      <c r="F1225">
        <f>IF(D1225="","",COUNTIFS('KG1-3'!$AD10:$IM10,"غياب بدون عذر",'KG1-3'!$AD$7:$IM$7,"✓",'KG1-3'!$AD$5:$IM$5,"&lt;="&amp;D1225))</f>
        <v/>
      </c>
      <c r="G1225">
        <f>G1224+IF(D1225="",0,1)</f>
        <v/>
      </c>
    </row>
    <row r="1226">
      <c r="A1226">
        <f>IF('KG1-3'!$B10="","",'KG1-3'!$B10)</f>
        <v/>
      </c>
      <c r="B1226">
        <f>IF(A1226="","",'KG1-3'!$C10)</f>
        <v/>
      </c>
      <c r="C1226">
        <f>IF(A1226="","",'KG1-3'!$B$2)</f>
        <v/>
      </c>
      <c r="D1226" s="126">
        <f t="array" ref="D1226">IF(A1226="","",IFERROR(SMALL(IF((('KG1-3'!$AD10:$IM10="غياب بدون عذر")+('KG1-3'!$AD10:$IM10="غياب بعذر"))*('KG1-3'!$AD$7:$IM$7="✓"),'KG1-3'!$AD$5:$IM$5),5),""))</f>
        <v/>
      </c>
      <c r="E1226">
        <f>IF(D1226="","",INDEX('KG1-3'!$AD10:$IM10,MATCH(D1226,'KG1-3'!$AD$5:$IM$5,0)))</f>
        <v/>
      </c>
      <c r="F1226">
        <f>IF(D1226="","",COUNTIFS('KG1-3'!$AD10:$IM10,"غياب بدون عذر",'KG1-3'!$AD$7:$IM$7,"✓",'KG1-3'!$AD$5:$IM$5,"&lt;="&amp;D1226))</f>
        <v/>
      </c>
      <c r="G1226">
        <f>G1225+IF(D1226="",0,1)</f>
        <v/>
      </c>
    </row>
    <row r="1227">
      <c r="A1227">
        <f>IF('KG1-3'!$B10="","",'KG1-3'!$B10)</f>
        <v/>
      </c>
      <c r="B1227">
        <f>IF(A1227="","",'KG1-3'!$C10)</f>
        <v/>
      </c>
      <c r="C1227">
        <f>IF(A1227="","",'KG1-3'!$B$2)</f>
        <v/>
      </c>
      <c r="D1227" s="126">
        <f t="array" ref="D1227">IF(A1227="","",IFERROR(SMALL(IF((('KG1-3'!$AD10:$IM10="غياب بدون عذر")+('KG1-3'!$AD10:$IM10="غياب بعذر"))*('KG1-3'!$AD$7:$IM$7="✓"),'KG1-3'!$AD$5:$IM$5),6),""))</f>
        <v/>
      </c>
      <c r="E1227">
        <f>IF(D1227="","",INDEX('KG1-3'!$AD10:$IM10,MATCH(D1227,'KG1-3'!$AD$5:$IM$5,0)))</f>
        <v/>
      </c>
      <c r="F1227">
        <f>IF(D1227="","",COUNTIFS('KG1-3'!$AD10:$IM10,"غياب بدون عذر",'KG1-3'!$AD$7:$IM$7,"✓",'KG1-3'!$AD$5:$IM$5,"&lt;="&amp;D1227))</f>
        <v/>
      </c>
      <c r="G1227">
        <f>G1226+IF(D1227="",0,1)</f>
        <v/>
      </c>
    </row>
    <row r="1228">
      <c r="A1228">
        <f>IF('KG1-3'!$B10="","",'KG1-3'!$B10)</f>
        <v/>
      </c>
      <c r="B1228">
        <f>IF(A1228="","",'KG1-3'!$C10)</f>
        <v/>
      </c>
      <c r="C1228">
        <f>IF(A1228="","",'KG1-3'!$B$2)</f>
        <v/>
      </c>
      <c r="D1228" s="126">
        <f t="array" ref="D1228">IF(A1228="","",IFERROR(SMALL(IF((('KG1-3'!$AD10:$IM10="غياب بدون عذر")+('KG1-3'!$AD10:$IM10="غياب بعذر"))*('KG1-3'!$AD$7:$IM$7="✓"),'KG1-3'!$AD$5:$IM$5),7),""))</f>
        <v/>
      </c>
      <c r="E1228">
        <f>IF(D1228="","",INDEX('KG1-3'!$AD10:$IM10,MATCH(D1228,'KG1-3'!$AD$5:$IM$5,0)))</f>
        <v/>
      </c>
      <c r="F1228">
        <f>IF(D1228="","",COUNTIFS('KG1-3'!$AD10:$IM10,"غياب بدون عذر",'KG1-3'!$AD$7:$IM$7,"✓",'KG1-3'!$AD$5:$IM$5,"&lt;="&amp;D1228))</f>
        <v/>
      </c>
      <c r="G1228">
        <f>G1227+IF(D1228="",0,1)</f>
        <v/>
      </c>
    </row>
    <row r="1229">
      <c r="A1229">
        <f>IF('KG1-3'!$B10="","",'KG1-3'!$B10)</f>
        <v/>
      </c>
      <c r="B1229">
        <f>IF(A1229="","",'KG1-3'!$C10)</f>
        <v/>
      </c>
      <c r="C1229">
        <f>IF(A1229="","",'KG1-3'!$B$2)</f>
        <v/>
      </c>
      <c r="D1229" s="126">
        <f t="array" ref="D1229">IF(A1229="","",IFERROR(SMALL(IF((('KG1-3'!$AD10:$IM10="غياب بدون عذر")+('KG1-3'!$AD10:$IM10="غياب بعذر"))*('KG1-3'!$AD$7:$IM$7="✓"),'KG1-3'!$AD$5:$IM$5),8),""))</f>
        <v/>
      </c>
      <c r="E1229">
        <f>IF(D1229="","",INDEX('KG1-3'!$AD10:$IM10,MATCH(D1229,'KG1-3'!$AD$5:$IM$5,0)))</f>
        <v/>
      </c>
      <c r="F1229">
        <f>IF(D1229="","",COUNTIFS('KG1-3'!$AD10:$IM10,"غياب بدون عذر",'KG1-3'!$AD$7:$IM$7,"✓",'KG1-3'!$AD$5:$IM$5,"&lt;="&amp;D1229))</f>
        <v/>
      </c>
      <c r="G1229">
        <f>G1228+IF(D1229="",0,1)</f>
        <v/>
      </c>
    </row>
    <row r="1230">
      <c r="A1230">
        <f>IF('KG1-3'!$B10="","",'KG1-3'!$B10)</f>
        <v/>
      </c>
      <c r="B1230">
        <f>IF(A1230="","",'KG1-3'!$C10)</f>
        <v/>
      </c>
      <c r="C1230">
        <f>IF(A1230="","",'KG1-3'!$B$2)</f>
        <v/>
      </c>
      <c r="D1230" s="126">
        <f t="array" ref="D1230">IF(A1230="","",IFERROR(SMALL(IF((('KG1-3'!$AD10:$IM10="غياب بدون عذر")+('KG1-3'!$AD10:$IM10="غياب بعذر"))*('KG1-3'!$AD$7:$IM$7="✓"),'KG1-3'!$AD$5:$IM$5),9),""))</f>
        <v/>
      </c>
      <c r="E1230">
        <f>IF(D1230="","",INDEX('KG1-3'!$AD10:$IM10,MATCH(D1230,'KG1-3'!$AD$5:$IM$5,0)))</f>
        <v/>
      </c>
      <c r="F1230">
        <f>IF(D1230="","",COUNTIFS('KG1-3'!$AD10:$IM10,"غياب بدون عذر",'KG1-3'!$AD$7:$IM$7,"✓",'KG1-3'!$AD$5:$IM$5,"&lt;="&amp;D1230))</f>
        <v/>
      </c>
      <c r="G1230">
        <f>G1229+IF(D1230="",0,1)</f>
        <v/>
      </c>
    </row>
    <row r="1231">
      <c r="A1231">
        <f>IF('KG1-3'!$B10="","",'KG1-3'!$B10)</f>
        <v/>
      </c>
      <c r="B1231">
        <f>IF(A1231="","",'KG1-3'!$C10)</f>
        <v/>
      </c>
      <c r="C1231">
        <f>IF(A1231="","",'KG1-3'!$B$2)</f>
        <v/>
      </c>
      <c r="D1231" s="126">
        <f t="array" ref="D1231">IF(A1231="","",IFERROR(SMALL(IF((('KG1-3'!$AD10:$IM10="غياب بدون عذر")+('KG1-3'!$AD10:$IM10="غياب بعذر"))*('KG1-3'!$AD$7:$IM$7="✓"),'KG1-3'!$AD$5:$IM$5),10),""))</f>
        <v/>
      </c>
      <c r="E1231">
        <f>IF(D1231="","",INDEX('KG1-3'!$AD10:$IM10,MATCH(D1231,'KG1-3'!$AD$5:$IM$5,0)))</f>
        <v/>
      </c>
      <c r="F1231">
        <f>IF(D1231="","",COUNTIFS('KG1-3'!$AD10:$IM10,"غياب بدون عذر",'KG1-3'!$AD$7:$IM$7,"✓",'KG1-3'!$AD$5:$IM$5,"&lt;="&amp;D1231))</f>
        <v/>
      </c>
      <c r="G1231">
        <f>G1230+IF(D1231="",0,1)</f>
        <v/>
      </c>
    </row>
    <row r="1232">
      <c r="A1232">
        <f>IF('KG1-3'!$B10="","",'KG1-3'!$B10)</f>
        <v/>
      </c>
      <c r="B1232">
        <f>IF(A1232="","",'KG1-3'!$C10)</f>
        <v/>
      </c>
      <c r="C1232">
        <f>IF(A1232="","",'KG1-3'!$B$2)</f>
        <v/>
      </c>
      <c r="D1232" s="126">
        <f t="array" ref="D1232">IF(A1232="","",IFERROR(SMALL(IF((('KG1-3'!$AD10:$IM10="غياب بدون عذر")+('KG1-3'!$AD10:$IM10="غياب بعذر"))*('KG1-3'!$AD$7:$IM$7="✓"),'KG1-3'!$AD$5:$IM$5),11),""))</f>
        <v/>
      </c>
      <c r="E1232">
        <f>IF(D1232="","",INDEX('KG1-3'!$AD10:$IM10,MATCH(D1232,'KG1-3'!$AD$5:$IM$5,0)))</f>
        <v/>
      </c>
      <c r="F1232">
        <f>IF(D1232="","",COUNTIFS('KG1-3'!$AD10:$IM10,"غياب بدون عذر",'KG1-3'!$AD$7:$IM$7,"✓",'KG1-3'!$AD$5:$IM$5,"&lt;="&amp;D1232))</f>
        <v/>
      </c>
      <c r="G1232">
        <f>G1231+IF(D1232="",0,1)</f>
        <v/>
      </c>
    </row>
    <row r="1233">
      <c r="A1233">
        <f>IF('KG1-3'!$B10="","",'KG1-3'!$B10)</f>
        <v/>
      </c>
      <c r="B1233">
        <f>IF(A1233="","",'KG1-3'!$C10)</f>
        <v/>
      </c>
      <c r="C1233">
        <f>IF(A1233="","",'KG1-3'!$B$2)</f>
        <v/>
      </c>
      <c r="D1233" s="126">
        <f t="array" ref="D1233">IF(A1233="","",IFERROR(SMALL(IF((('KG1-3'!$AD10:$IM10="غياب بدون عذر")+('KG1-3'!$AD10:$IM10="غياب بعذر"))*('KG1-3'!$AD$7:$IM$7="✓"),'KG1-3'!$AD$5:$IM$5),12),""))</f>
        <v/>
      </c>
      <c r="E1233">
        <f>IF(D1233="","",INDEX('KG1-3'!$AD10:$IM10,MATCH(D1233,'KG1-3'!$AD$5:$IM$5,0)))</f>
        <v/>
      </c>
      <c r="F1233">
        <f>IF(D1233="","",COUNTIFS('KG1-3'!$AD10:$IM10,"غياب بدون عذر",'KG1-3'!$AD$7:$IM$7,"✓",'KG1-3'!$AD$5:$IM$5,"&lt;="&amp;D1233))</f>
        <v/>
      </c>
      <c r="G1233">
        <f>G1232+IF(D1233="",0,1)</f>
        <v/>
      </c>
    </row>
    <row r="1234">
      <c r="A1234">
        <f>IF('KG1-3'!$B10="","",'KG1-3'!$B10)</f>
        <v/>
      </c>
      <c r="B1234">
        <f>IF(A1234="","",'KG1-3'!$C10)</f>
        <v/>
      </c>
      <c r="C1234">
        <f>IF(A1234="","",'KG1-3'!$B$2)</f>
        <v/>
      </c>
      <c r="D1234" s="126">
        <f t="array" ref="D1234">IF(A1234="","",IFERROR(SMALL(IF((('KG1-3'!$AD10:$IM10="غياب بدون عذر")+('KG1-3'!$AD10:$IM10="غياب بعذر"))*('KG1-3'!$AD$7:$IM$7="✓"),'KG1-3'!$AD$5:$IM$5),13),""))</f>
        <v/>
      </c>
      <c r="E1234">
        <f>IF(D1234="","",INDEX('KG1-3'!$AD10:$IM10,MATCH(D1234,'KG1-3'!$AD$5:$IM$5,0)))</f>
        <v/>
      </c>
      <c r="F1234">
        <f>IF(D1234="","",COUNTIFS('KG1-3'!$AD10:$IM10,"غياب بدون عذر",'KG1-3'!$AD$7:$IM$7,"✓",'KG1-3'!$AD$5:$IM$5,"&lt;="&amp;D1234))</f>
        <v/>
      </c>
      <c r="G1234">
        <f>G1233+IF(D1234="",0,1)</f>
        <v/>
      </c>
    </row>
    <row r="1235">
      <c r="A1235">
        <f>IF('KG1-3'!$B10="","",'KG1-3'!$B10)</f>
        <v/>
      </c>
      <c r="B1235">
        <f>IF(A1235="","",'KG1-3'!$C10)</f>
        <v/>
      </c>
      <c r="C1235">
        <f>IF(A1235="","",'KG1-3'!$B$2)</f>
        <v/>
      </c>
      <c r="D1235" s="126">
        <f t="array" ref="D1235">IF(A1235="","",IFERROR(SMALL(IF((('KG1-3'!$AD10:$IM10="غياب بدون عذر")+('KG1-3'!$AD10:$IM10="غياب بعذر"))*('KG1-3'!$AD$7:$IM$7="✓"),'KG1-3'!$AD$5:$IM$5),14),""))</f>
        <v/>
      </c>
      <c r="E1235">
        <f>IF(D1235="","",INDEX('KG1-3'!$AD10:$IM10,MATCH(D1235,'KG1-3'!$AD$5:$IM$5,0)))</f>
        <v/>
      </c>
      <c r="F1235">
        <f>IF(D1235="","",COUNTIFS('KG1-3'!$AD10:$IM10,"غياب بدون عذر",'KG1-3'!$AD$7:$IM$7,"✓",'KG1-3'!$AD$5:$IM$5,"&lt;="&amp;D1235))</f>
        <v/>
      </c>
      <c r="G1235">
        <f>G1234+IF(D1235="",0,1)</f>
        <v/>
      </c>
    </row>
    <row r="1236">
      <c r="A1236">
        <f>IF('KG1-3'!$B10="","",'KG1-3'!$B10)</f>
        <v/>
      </c>
      <c r="B1236">
        <f>IF(A1236="","",'KG1-3'!$C10)</f>
        <v/>
      </c>
      <c r="C1236">
        <f>IF(A1236="","",'KG1-3'!$B$2)</f>
        <v/>
      </c>
      <c r="D1236" s="126">
        <f t="array" ref="D1236">IF(A1236="","",IFERROR(SMALL(IF((('KG1-3'!$AD10:$IM10="غياب بدون عذر")+('KG1-3'!$AD10:$IM10="غياب بعذر"))*('KG1-3'!$AD$7:$IM$7="✓"),'KG1-3'!$AD$5:$IM$5),15),""))</f>
        <v/>
      </c>
      <c r="E1236">
        <f>IF(D1236="","",INDEX('KG1-3'!$AD10:$IM10,MATCH(D1236,'KG1-3'!$AD$5:$IM$5,0)))</f>
        <v/>
      </c>
      <c r="F1236">
        <f>IF(D1236="","",COUNTIFS('KG1-3'!$AD10:$IM10,"غياب بدون عذر",'KG1-3'!$AD$7:$IM$7,"✓",'KG1-3'!$AD$5:$IM$5,"&lt;="&amp;D1236))</f>
        <v/>
      </c>
      <c r="G1236">
        <f>G1235+IF(D1236="",0,1)</f>
        <v/>
      </c>
    </row>
    <row r="1237">
      <c r="A1237">
        <f>IF('KG1-3'!$B10="","",'KG1-3'!$B10)</f>
        <v/>
      </c>
      <c r="B1237">
        <f>IF(A1237="","",'KG1-3'!$C10)</f>
        <v/>
      </c>
      <c r="C1237">
        <f>IF(A1237="","",'KG1-3'!$B$2)</f>
        <v/>
      </c>
      <c r="D1237" s="126">
        <f t="array" ref="D1237">IF(A1237="","",IFERROR(SMALL(IF((('KG1-3'!$AD10:$IM10="غياب بدون عذر")+('KG1-3'!$AD10:$IM10="غياب بعذر"))*('KG1-3'!$AD$7:$IM$7="✓"),'KG1-3'!$AD$5:$IM$5),16),""))</f>
        <v/>
      </c>
      <c r="E1237">
        <f>IF(D1237="","",INDEX('KG1-3'!$AD10:$IM10,MATCH(D1237,'KG1-3'!$AD$5:$IM$5,0)))</f>
        <v/>
      </c>
      <c r="F1237">
        <f>IF(D1237="","",COUNTIFS('KG1-3'!$AD10:$IM10,"غياب بدون عذر",'KG1-3'!$AD$7:$IM$7,"✓",'KG1-3'!$AD$5:$IM$5,"&lt;="&amp;D1237))</f>
        <v/>
      </c>
      <c r="G1237">
        <f>G1236+IF(D1237="",0,1)</f>
        <v/>
      </c>
    </row>
    <row r="1238">
      <c r="A1238">
        <f>IF('KG1-3'!$B10="","",'KG1-3'!$B10)</f>
        <v/>
      </c>
      <c r="B1238">
        <f>IF(A1238="","",'KG1-3'!$C10)</f>
        <v/>
      </c>
      <c r="C1238">
        <f>IF(A1238="","",'KG1-3'!$B$2)</f>
        <v/>
      </c>
      <c r="D1238" s="126">
        <f t="array" ref="D1238">IF(A1238="","",IFERROR(SMALL(IF((('KG1-3'!$AD10:$IM10="غياب بدون عذر")+('KG1-3'!$AD10:$IM10="غياب بعذر"))*('KG1-3'!$AD$7:$IM$7="✓"),'KG1-3'!$AD$5:$IM$5),17),""))</f>
        <v/>
      </c>
      <c r="E1238">
        <f>IF(D1238="","",INDEX('KG1-3'!$AD10:$IM10,MATCH(D1238,'KG1-3'!$AD$5:$IM$5,0)))</f>
        <v/>
      </c>
      <c r="F1238">
        <f>IF(D1238="","",COUNTIFS('KG1-3'!$AD10:$IM10,"غياب بدون عذر",'KG1-3'!$AD$7:$IM$7,"✓",'KG1-3'!$AD$5:$IM$5,"&lt;="&amp;D1238))</f>
        <v/>
      </c>
      <c r="G1238">
        <f>G1237+IF(D1238="",0,1)</f>
        <v/>
      </c>
    </row>
    <row r="1239">
      <c r="A1239">
        <f>IF('KG1-3'!$B10="","",'KG1-3'!$B10)</f>
        <v/>
      </c>
      <c r="B1239">
        <f>IF(A1239="","",'KG1-3'!$C10)</f>
        <v/>
      </c>
      <c r="C1239">
        <f>IF(A1239="","",'KG1-3'!$B$2)</f>
        <v/>
      </c>
      <c r="D1239" s="126">
        <f t="array" ref="D1239">IF(A1239="","",IFERROR(SMALL(IF((('KG1-3'!$AD10:$IM10="غياب بدون عذر")+('KG1-3'!$AD10:$IM10="غياب بعذر"))*('KG1-3'!$AD$7:$IM$7="✓"),'KG1-3'!$AD$5:$IM$5),18),""))</f>
        <v/>
      </c>
      <c r="E1239">
        <f>IF(D1239="","",INDEX('KG1-3'!$AD10:$IM10,MATCH(D1239,'KG1-3'!$AD$5:$IM$5,0)))</f>
        <v/>
      </c>
      <c r="F1239">
        <f>IF(D1239="","",COUNTIFS('KG1-3'!$AD10:$IM10,"غياب بدون عذر",'KG1-3'!$AD$7:$IM$7,"✓",'KG1-3'!$AD$5:$IM$5,"&lt;="&amp;D1239))</f>
        <v/>
      </c>
      <c r="G1239">
        <f>G1238+IF(D1239="",0,1)</f>
        <v/>
      </c>
    </row>
    <row r="1240">
      <c r="A1240">
        <f>IF('KG1-3'!$B10="","",'KG1-3'!$B10)</f>
        <v/>
      </c>
      <c r="B1240">
        <f>IF(A1240="","",'KG1-3'!$C10)</f>
        <v/>
      </c>
      <c r="C1240">
        <f>IF(A1240="","",'KG1-3'!$B$2)</f>
        <v/>
      </c>
      <c r="D1240" s="126">
        <f t="array" ref="D1240">IF(A1240="","",IFERROR(SMALL(IF((('KG1-3'!$AD10:$IM10="غياب بدون عذر")+('KG1-3'!$AD10:$IM10="غياب بعذر"))*('KG1-3'!$AD$7:$IM$7="✓"),'KG1-3'!$AD$5:$IM$5),19),""))</f>
        <v/>
      </c>
      <c r="E1240">
        <f>IF(D1240="","",INDEX('KG1-3'!$AD10:$IM10,MATCH(D1240,'KG1-3'!$AD$5:$IM$5,0)))</f>
        <v/>
      </c>
      <c r="F1240">
        <f>IF(D1240="","",COUNTIFS('KG1-3'!$AD10:$IM10,"غياب بدون عذر",'KG1-3'!$AD$7:$IM$7,"✓",'KG1-3'!$AD$5:$IM$5,"&lt;="&amp;D1240))</f>
        <v/>
      </c>
      <c r="G1240">
        <f>G1239+IF(D1240="",0,1)</f>
        <v/>
      </c>
    </row>
    <row r="1241">
      <c r="A1241">
        <f>IF('KG1-3'!$B10="","",'KG1-3'!$B10)</f>
        <v/>
      </c>
      <c r="B1241">
        <f>IF(A1241="","",'KG1-3'!$C10)</f>
        <v/>
      </c>
      <c r="C1241">
        <f>IF(A1241="","",'KG1-3'!$B$2)</f>
        <v/>
      </c>
      <c r="D1241" s="126">
        <f t="array" ref="D1241">IF(A1241="","",IFERROR(SMALL(IF((('KG1-3'!$AD10:$IM10="غياب بدون عذر")+('KG1-3'!$AD10:$IM10="غياب بعذر"))*('KG1-3'!$AD$7:$IM$7="✓"),'KG1-3'!$AD$5:$IM$5),20),""))</f>
        <v/>
      </c>
      <c r="E1241">
        <f>IF(D1241="","",INDEX('KG1-3'!$AD10:$IM10,MATCH(D1241,'KG1-3'!$AD$5:$IM$5,0)))</f>
        <v/>
      </c>
      <c r="F1241">
        <f>IF(D1241="","",COUNTIFS('KG1-3'!$AD10:$IM10,"غياب بدون عذر",'KG1-3'!$AD$7:$IM$7,"✓",'KG1-3'!$AD$5:$IM$5,"&lt;="&amp;D1241))</f>
        <v/>
      </c>
      <c r="G1241">
        <f>G1240+IF(D1241="",0,1)</f>
        <v/>
      </c>
    </row>
    <row r="1242">
      <c r="A1242">
        <f>IF('KG1-3'!$B11="","",'KG1-3'!$B11)</f>
        <v/>
      </c>
      <c r="B1242">
        <f>IF(A1242="","",'KG1-3'!$C11)</f>
        <v/>
      </c>
      <c r="C1242">
        <f>IF(A1242="","",'KG1-3'!$B$2)</f>
        <v/>
      </c>
      <c r="D1242" s="126">
        <f t="array" ref="D1242">IF(A1242="","",IFERROR(SMALL(IF((('KG1-3'!$AD11:$IM11="غياب بدون عذر")+('KG1-3'!$AD11:$IM11="غياب بعذر"))*('KG1-3'!$AD$7:$IM$7="✓"),'KG1-3'!$AD$5:$IM$5),1),""))</f>
        <v/>
      </c>
      <c r="E1242">
        <f>IF(D1242="","",INDEX('KG1-3'!$AD11:$IM11,MATCH(D1242,'KG1-3'!$AD$5:$IM$5,0)))</f>
        <v/>
      </c>
      <c r="F1242">
        <f>IF(D1242="","",COUNTIFS('KG1-3'!$AD11:$IM11,"غياب بدون عذر",'KG1-3'!$AD$7:$IM$7,"✓",'KG1-3'!$AD$5:$IM$5,"&lt;="&amp;D1242))</f>
        <v/>
      </c>
      <c r="G1242">
        <f>G1241+IF(D1242="",0,1)</f>
        <v/>
      </c>
    </row>
    <row r="1243">
      <c r="A1243">
        <f>IF('KG1-3'!$B11="","",'KG1-3'!$B11)</f>
        <v/>
      </c>
      <c r="B1243">
        <f>IF(A1243="","",'KG1-3'!$C11)</f>
        <v/>
      </c>
      <c r="C1243">
        <f>IF(A1243="","",'KG1-3'!$B$2)</f>
        <v/>
      </c>
      <c r="D1243" s="126">
        <f t="array" ref="D1243">IF(A1243="","",IFERROR(SMALL(IF((('KG1-3'!$AD11:$IM11="غياب بدون عذر")+('KG1-3'!$AD11:$IM11="غياب بعذر"))*('KG1-3'!$AD$7:$IM$7="✓"),'KG1-3'!$AD$5:$IM$5),2),""))</f>
        <v/>
      </c>
      <c r="E1243">
        <f>IF(D1243="","",INDEX('KG1-3'!$AD11:$IM11,MATCH(D1243,'KG1-3'!$AD$5:$IM$5,0)))</f>
        <v/>
      </c>
      <c r="F1243">
        <f>IF(D1243="","",COUNTIFS('KG1-3'!$AD11:$IM11,"غياب بدون عذر",'KG1-3'!$AD$7:$IM$7,"✓",'KG1-3'!$AD$5:$IM$5,"&lt;="&amp;D1243))</f>
        <v/>
      </c>
      <c r="G1243">
        <f>G1242+IF(D1243="",0,1)</f>
        <v/>
      </c>
    </row>
    <row r="1244">
      <c r="A1244">
        <f>IF('KG1-3'!$B11="","",'KG1-3'!$B11)</f>
        <v/>
      </c>
      <c r="B1244">
        <f>IF(A1244="","",'KG1-3'!$C11)</f>
        <v/>
      </c>
      <c r="C1244">
        <f>IF(A1244="","",'KG1-3'!$B$2)</f>
        <v/>
      </c>
      <c r="D1244" s="126">
        <f t="array" ref="D1244">IF(A1244="","",IFERROR(SMALL(IF((('KG1-3'!$AD11:$IM11="غياب بدون عذر")+('KG1-3'!$AD11:$IM11="غياب بعذر"))*('KG1-3'!$AD$7:$IM$7="✓"),'KG1-3'!$AD$5:$IM$5),3),""))</f>
        <v/>
      </c>
      <c r="E1244">
        <f>IF(D1244="","",INDEX('KG1-3'!$AD11:$IM11,MATCH(D1244,'KG1-3'!$AD$5:$IM$5,0)))</f>
        <v/>
      </c>
      <c r="F1244">
        <f>IF(D1244="","",COUNTIFS('KG1-3'!$AD11:$IM11,"غياب بدون عذر",'KG1-3'!$AD$7:$IM$7,"✓",'KG1-3'!$AD$5:$IM$5,"&lt;="&amp;D1244))</f>
        <v/>
      </c>
      <c r="G1244">
        <f>G1243+IF(D1244="",0,1)</f>
        <v/>
      </c>
    </row>
    <row r="1245">
      <c r="A1245">
        <f>IF('KG1-3'!$B11="","",'KG1-3'!$B11)</f>
        <v/>
      </c>
      <c r="B1245">
        <f>IF(A1245="","",'KG1-3'!$C11)</f>
        <v/>
      </c>
      <c r="C1245">
        <f>IF(A1245="","",'KG1-3'!$B$2)</f>
        <v/>
      </c>
      <c r="D1245" s="126">
        <f t="array" ref="D1245">IF(A1245="","",IFERROR(SMALL(IF((('KG1-3'!$AD11:$IM11="غياب بدون عذر")+('KG1-3'!$AD11:$IM11="غياب بعذر"))*('KG1-3'!$AD$7:$IM$7="✓"),'KG1-3'!$AD$5:$IM$5),4),""))</f>
        <v/>
      </c>
      <c r="E1245">
        <f>IF(D1245="","",INDEX('KG1-3'!$AD11:$IM11,MATCH(D1245,'KG1-3'!$AD$5:$IM$5,0)))</f>
        <v/>
      </c>
      <c r="F1245">
        <f>IF(D1245="","",COUNTIFS('KG1-3'!$AD11:$IM11,"غياب بدون عذر",'KG1-3'!$AD$7:$IM$7,"✓",'KG1-3'!$AD$5:$IM$5,"&lt;="&amp;D1245))</f>
        <v/>
      </c>
      <c r="G1245">
        <f>G1244+IF(D1245="",0,1)</f>
        <v/>
      </c>
    </row>
    <row r="1246">
      <c r="A1246">
        <f>IF('KG1-3'!$B11="","",'KG1-3'!$B11)</f>
        <v/>
      </c>
      <c r="B1246">
        <f>IF(A1246="","",'KG1-3'!$C11)</f>
        <v/>
      </c>
      <c r="C1246">
        <f>IF(A1246="","",'KG1-3'!$B$2)</f>
        <v/>
      </c>
      <c r="D1246" s="126">
        <f t="array" ref="D1246">IF(A1246="","",IFERROR(SMALL(IF((('KG1-3'!$AD11:$IM11="غياب بدون عذر")+('KG1-3'!$AD11:$IM11="غياب بعذر"))*('KG1-3'!$AD$7:$IM$7="✓"),'KG1-3'!$AD$5:$IM$5),5),""))</f>
        <v/>
      </c>
      <c r="E1246">
        <f>IF(D1246="","",INDEX('KG1-3'!$AD11:$IM11,MATCH(D1246,'KG1-3'!$AD$5:$IM$5,0)))</f>
        <v/>
      </c>
      <c r="F1246">
        <f>IF(D1246="","",COUNTIFS('KG1-3'!$AD11:$IM11,"غياب بدون عذر",'KG1-3'!$AD$7:$IM$7,"✓",'KG1-3'!$AD$5:$IM$5,"&lt;="&amp;D1246))</f>
        <v/>
      </c>
      <c r="G1246">
        <f>G1245+IF(D1246="",0,1)</f>
        <v/>
      </c>
    </row>
    <row r="1247">
      <c r="A1247">
        <f>IF('KG1-3'!$B11="","",'KG1-3'!$B11)</f>
        <v/>
      </c>
      <c r="B1247">
        <f>IF(A1247="","",'KG1-3'!$C11)</f>
        <v/>
      </c>
      <c r="C1247">
        <f>IF(A1247="","",'KG1-3'!$B$2)</f>
        <v/>
      </c>
      <c r="D1247" s="126">
        <f t="array" ref="D1247">IF(A1247="","",IFERROR(SMALL(IF((('KG1-3'!$AD11:$IM11="غياب بدون عذر")+('KG1-3'!$AD11:$IM11="غياب بعذر"))*('KG1-3'!$AD$7:$IM$7="✓"),'KG1-3'!$AD$5:$IM$5),6),""))</f>
        <v/>
      </c>
      <c r="E1247">
        <f>IF(D1247="","",INDEX('KG1-3'!$AD11:$IM11,MATCH(D1247,'KG1-3'!$AD$5:$IM$5,0)))</f>
        <v/>
      </c>
      <c r="F1247">
        <f>IF(D1247="","",COUNTIFS('KG1-3'!$AD11:$IM11,"غياب بدون عذر",'KG1-3'!$AD$7:$IM$7,"✓",'KG1-3'!$AD$5:$IM$5,"&lt;="&amp;D1247))</f>
        <v/>
      </c>
      <c r="G1247">
        <f>G1246+IF(D1247="",0,1)</f>
        <v/>
      </c>
    </row>
    <row r="1248">
      <c r="A1248">
        <f>IF('KG1-3'!$B11="","",'KG1-3'!$B11)</f>
        <v/>
      </c>
      <c r="B1248">
        <f>IF(A1248="","",'KG1-3'!$C11)</f>
        <v/>
      </c>
      <c r="C1248">
        <f>IF(A1248="","",'KG1-3'!$B$2)</f>
        <v/>
      </c>
      <c r="D1248" s="126">
        <f t="array" ref="D1248">IF(A1248="","",IFERROR(SMALL(IF((('KG1-3'!$AD11:$IM11="غياب بدون عذر")+('KG1-3'!$AD11:$IM11="غياب بعذر"))*('KG1-3'!$AD$7:$IM$7="✓"),'KG1-3'!$AD$5:$IM$5),7),""))</f>
        <v/>
      </c>
      <c r="E1248">
        <f>IF(D1248="","",INDEX('KG1-3'!$AD11:$IM11,MATCH(D1248,'KG1-3'!$AD$5:$IM$5,0)))</f>
        <v/>
      </c>
      <c r="F1248">
        <f>IF(D1248="","",COUNTIFS('KG1-3'!$AD11:$IM11,"غياب بدون عذر",'KG1-3'!$AD$7:$IM$7,"✓",'KG1-3'!$AD$5:$IM$5,"&lt;="&amp;D1248))</f>
        <v/>
      </c>
      <c r="G1248">
        <f>G1247+IF(D1248="",0,1)</f>
        <v/>
      </c>
    </row>
    <row r="1249">
      <c r="A1249">
        <f>IF('KG1-3'!$B11="","",'KG1-3'!$B11)</f>
        <v/>
      </c>
      <c r="B1249">
        <f>IF(A1249="","",'KG1-3'!$C11)</f>
        <v/>
      </c>
      <c r="C1249">
        <f>IF(A1249="","",'KG1-3'!$B$2)</f>
        <v/>
      </c>
      <c r="D1249" s="126">
        <f t="array" ref="D1249">IF(A1249="","",IFERROR(SMALL(IF((('KG1-3'!$AD11:$IM11="غياب بدون عذر")+('KG1-3'!$AD11:$IM11="غياب بعذر"))*('KG1-3'!$AD$7:$IM$7="✓"),'KG1-3'!$AD$5:$IM$5),8),""))</f>
        <v/>
      </c>
      <c r="E1249">
        <f>IF(D1249="","",INDEX('KG1-3'!$AD11:$IM11,MATCH(D1249,'KG1-3'!$AD$5:$IM$5,0)))</f>
        <v/>
      </c>
      <c r="F1249">
        <f>IF(D1249="","",COUNTIFS('KG1-3'!$AD11:$IM11,"غياب بدون عذر",'KG1-3'!$AD$7:$IM$7,"✓",'KG1-3'!$AD$5:$IM$5,"&lt;="&amp;D1249))</f>
        <v/>
      </c>
      <c r="G1249">
        <f>G1248+IF(D1249="",0,1)</f>
        <v/>
      </c>
    </row>
    <row r="1250">
      <c r="A1250">
        <f>IF('KG1-3'!$B11="","",'KG1-3'!$B11)</f>
        <v/>
      </c>
      <c r="B1250">
        <f>IF(A1250="","",'KG1-3'!$C11)</f>
        <v/>
      </c>
      <c r="C1250">
        <f>IF(A1250="","",'KG1-3'!$B$2)</f>
        <v/>
      </c>
      <c r="D1250" s="126">
        <f t="array" ref="D1250">IF(A1250="","",IFERROR(SMALL(IF((('KG1-3'!$AD11:$IM11="غياب بدون عذر")+('KG1-3'!$AD11:$IM11="غياب بعذر"))*('KG1-3'!$AD$7:$IM$7="✓"),'KG1-3'!$AD$5:$IM$5),9),""))</f>
        <v/>
      </c>
      <c r="E1250">
        <f>IF(D1250="","",INDEX('KG1-3'!$AD11:$IM11,MATCH(D1250,'KG1-3'!$AD$5:$IM$5,0)))</f>
        <v/>
      </c>
      <c r="F1250">
        <f>IF(D1250="","",COUNTIFS('KG1-3'!$AD11:$IM11,"غياب بدون عذر",'KG1-3'!$AD$7:$IM$7,"✓",'KG1-3'!$AD$5:$IM$5,"&lt;="&amp;D1250))</f>
        <v/>
      </c>
      <c r="G1250">
        <f>G1249+IF(D1250="",0,1)</f>
        <v/>
      </c>
    </row>
    <row r="1251">
      <c r="A1251">
        <f>IF('KG1-3'!$B11="","",'KG1-3'!$B11)</f>
        <v/>
      </c>
      <c r="B1251">
        <f>IF(A1251="","",'KG1-3'!$C11)</f>
        <v/>
      </c>
      <c r="C1251">
        <f>IF(A1251="","",'KG1-3'!$B$2)</f>
        <v/>
      </c>
      <c r="D1251" s="126">
        <f t="array" ref="D1251">IF(A1251="","",IFERROR(SMALL(IF((('KG1-3'!$AD11:$IM11="غياب بدون عذر")+('KG1-3'!$AD11:$IM11="غياب بعذر"))*('KG1-3'!$AD$7:$IM$7="✓"),'KG1-3'!$AD$5:$IM$5),10),""))</f>
        <v/>
      </c>
      <c r="E1251">
        <f>IF(D1251="","",INDEX('KG1-3'!$AD11:$IM11,MATCH(D1251,'KG1-3'!$AD$5:$IM$5,0)))</f>
        <v/>
      </c>
      <c r="F1251">
        <f>IF(D1251="","",COUNTIFS('KG1-3'!$AD11:$IM11,"غياب بدون عذر",'KG1-3'!$AD$7:$IM$7,"✓",'KG1-3'!$AD$5:$IM$5,"&lt;="&amp;D1251))</f>
        <v/>
      </c>
      <c r="G1251">
        <f>G1250+IF(D1251="",0,1)</f>
        <v/>
      </c>
    </row>
    <row r="1252">
      <c r="A1252">
        <f>IF('KG1-3'!$B11="","",'KG1-3'!$B11)</f>
        <v/>
      </c>
      <c r="B1252">
        <f>IF(A1252="","",'KG1-3'!$C11)</f>
        <v/>
      </c>
      <c r="C1252">
        <f>IF(A1252="","",'KG1-3'!$B$2)</f>
        <v/>
      </c>
      <c r="D1252" s="126">
        <f t="array" ref="D1252">IF(A1252="","",IFERROR(SMALL(IF((('KG1-3'!$AD11:$IM11="غياب بدون عذر")+('KG1-3'!$AD11:$IM11="غياب بعذر"))*('KG1-3'!$AD$7:$IM$7="✓"),'KG1-3'!$AD$5:$IM$5),11),""))</f>
        <v/>
      </c>
      <c r="E1252">
        <f>IF(D1252="","",INDEX('KG1-3'!$AD11:$IM11,MATCH(D1252,'KG1-3'!$AD$5:$IM$5,0)))</f>
        <v/>
      </c>
      <c r="F1252">
        <f>IF(D1252="","",COUNTIFS('KG1-3'!$AD11:$IM11,"غياب بدون عذر",'KG1-3'!$AD$7:$IM$7,"✓",'KG1-3'!$AD$5:$IM$5,"&lt;="&amp;D1252))</f>
        <v/>
      </c>
      <c r="G1252">
        <f>G1251+IF(D1252="",0,1)</f>
        <v/>
      </c>
    </row>
    <row r="1253">
      <c r="A1253">
        <f>IF('KG1-3'!$B11="","",'KG1-3'!$B11)</f>
        <v/>
      </c>
      <c r="B1253">
        <f>IF(A1253="","",'KG1-3'!$C11)</f>
        <v/>
      </c>
      <c r="C1253">
        <f>IF(A1253="","",'KG1-3'!$B$2)</f>
        <v/>
      </c>
      <c r="D1253" s="126">
        <f t="array" ref="D1253">IF(A1253="","",IFERROR(SMALL(IF((('KG1-3'!$AD11:$IM11="غياب بدون عذر")+('KG1-3'!$AD11:$IM11="غياب بعذر"))*('KG1-3'!$AD$7:$IM$7="✓"),'KG1-3'!$AD$5:$IM$5),12),""))</f>
        <v/>
      </c>
      <c r="E1253">
        <f>IF(D1253="","",INDEX('KG1-3'!$AD11:$IM11,MATCH(D1253,'KG1-3'!$AD$5:$IM$5,0)))</f>
        <v/>
      </c>
      <c r="F1253">
        <f>IF(D1253="","",COUNTIFS('KG1-3'!$AD11:$IM11,"غياب بدون عذر",'KG1-3'!$AD$7:$IM$7,"✓",'KG1-3'!$AD$5:$IM$5,"&lt;="&amp;D1253))</f>
        <v/>
      </c>
      <c r="G1253">
        <f>G1252+IF(D1253="",0,1)</f>
        <v/>
      </c>
    </row>
    <row r="1254">
      <c r="A1254">
        <f>IF('KG1-3'!$B11="","",'KG1-3'!$B11)</f>
        <v/>
      </c>
      <c r="B1254">
        <f>IF(A1254="","",'KG1-3'!$C11)</f>
        <v/>
      </c>
      <c r="C1254">
        <f>IF(A1254="","",'KG1-3'!$B$2)</f>
        <v/>
      </c>
      <c r="D1254" s="126">
        <f t="array" ref="D1254">IF(A1254="","",IFERROR(SMALL(IF((('KG1-3'!$AD11:$IM11="غياب بدون عذر")+('KG1-3'!$AD11:$IM11="غياب بعذر"))*('KG1-3'!$AD$7:$IM$7="✓"),'KG1-3'!$AD$5:$IM$5),13),""))</f>
        <v/>
      </c>
      <c r="E1254">
        <f>IF(D1254="","",INDEX('KG1-3'!$AD11:$IM11,MATCH(D1254,'KG1-3'!$AD$5:$IM$5,0)))</f>
        <v/>
      </c>
      <c r="F1254">
        <f>IF(D1254="","",COUNTIFS('KG1-3'!$AD11:$IM11,"غياب بدون عذر",'KG1-3'!$AD$7:$IM$7,"✓",'KG1-3'!$AD$5:$IM$5,"&lt;="&amp;D1254))</f>
        <v/>
      </c>
      <c r="G1254">
        <f>G1253+IF(D1254="",0,1)</f>
        <v/>
      </c>
    </row>
    <row r="1255">
      <c r="A1255">
        <f>IF('KG1-3'!$B11="","",'KG1-3'!$B11)</f>
        <v/>
      </c>
      <c r="B1255">
        <f>IF(A1255="","",'KG1-3'!$C11)</f>
        <v/>
      </c>
      <c r="C1255">
        <f>IF(A1255="","",'KG1-3'!$B$2)</f>
        <v/>
      </c>
      <c r="D1255" s="126">
        <f t="array" ref="D1255">IF(A1255="","",IFERROR(SMALL(IF((('KG1-3'!$AD11:$IM11="غياب بدون عذر")+('KG1-3'!$AD11:$IM11="غياب بعذر"))*('KG1-3'!$AD$7:$IM$7="✓"),'KG1-3'!$AD$5:$IM$5),14),""))</f>
        <v/>
      </c>
      <c r="E1255">
        <f>IF(D1255="","",INDEX('KG1-3'!$AD11:$IM11,MATCH(D1255,'KG1-3'!$AD$5:$IM$5,0)))</f>
        <v/>
      </c>
      <c r="F1255">
        <f>IF(D1255="","",COUNTIFS('KG1-3'!$AD11:$IM11,"غياب بدون عذر",'KG1-3'!$AD$7:$IM$7,"✓",'KG1-3'!$AD$5:$IM$5,"&lt;="&amp;D1255))</f>
        <v/>
      </c>
      <c r="G1255">
        <f>G1254+IF(D1255="",0,1)</f>
        <v/>
      </c>
    </row>
    <row r="1256">
      <c r="A1256">
        <f>IF('KG1-3'!$B11="","",'KG1-3'!$B11)</f>
        <v/>
      </c>
      <c r="B1256">
        <f>IF(A1256="","",'KG1-3'!$C11)</f>
        <v/>
      </c>
      <c r="C1256">
        <f>IF(A1256="","",'KG1-3'!$B$2)</f>
        <v/>
      </c>
      <c r="D1256" s="126">
        <f t="array" ref="D1256">IF(A1256="","",IFERROR(SMALL(IF((('KG1-3'!$AD11:$IM11="غياب بدون عذر")+('KG1-3'!$AD11:$IM11="غياب بعذر"))*('KG1-3'!$AD$7:$IM$7="✓"),'KG1-3'!$AD$5:$IM$5),15),""))</f>
        <v/>
      </c>
      <c r="E1256">
        <f>IF(D1256="","",INDEX('KG1-3'!$AD11:$IM11,MATCH(D1256,'KG1-3'!$AD$5:$IM$5,0)))</f>
        <v/>
      </c>
      <c r="F1256">
        <f>IF(D1256="","",COUNTIFS('KG1-3'!$AD11:$IM11,"غياب بدون عذر",'KG1-3'!$AD$7:$IM$7,"✓",'KG1-3'!$AD$5:$IM$5,"&lt;="&amp;D1256))</f>
        <v/>
      </c>
      <c r="G1256">
        <f>G1255+IF(D1256="",0,1)</f>
        <v/>
      </c>
    </row>
    <row r="1257">
      <c r="A1257">
        <f>IF('KG1-3'!$B11="","",'KG1-3'!$B11)</f>
        <v/>
      </c>
      <c r="B1257">
        <f>IF(A1257="","",'KG1-3'!$C11)</f>
        <v/>
      </c>
      <c r="C1257">
        <f>IF(A1257="","",'KG1-3'!$B$2)</f>
        <v/>
      </c>
      <c r="D1257" s="126">
        <f t="array" ref="D1257">IF(A1257="","",IFERROR(SMALL(IF((('KG1-3'!$AD11:$IM11="غياب بدون عذر")+('KG1-3'!$AD11:$IM11="غياب بعذر"))*('KG1-3'!$AD$7:$IM$7="✓"),'KG1-3'!$AD$5:$IM$5),16),""))</f>
        <v/>
      </c>
      <c r="E1257">
        <f>IF(D1257="","",INDEX('KG1-3'!$AD11:$IM11,MATCH(D1257,'KG1-3'!$AD$5:$IM$5,0)))</f>
        <v/>
      </c>
      <c r="F1257">
        <f>IF(D1257="","",COUNTIFS('KG1-3'!$AD11:$IM11,"غياب بدون عذر",'KG1-3'!$AD$7:$IM$7,"✓",'KG1-3'!$AD$5:$IM$5,"&lt;="&amp;D1257))</f>
        <v/>
      </c>
      <c r="G1257">
        <f>G1256+IF(D1257="",0,1)</f>
        <v/>
      </c>
    </row>
    <row r="1258">
      <c r="A1258">
        <f>IF('KG1-3'!$B11="","",'KG1-3'!$B11)</f>
        <v/>
      </c>
      <c r="B1258">
        <f>IF(A1258="","",'KG1-3'!$C11)</f>
        <v/>
      </c>
      <c r="C1258">
        <f>IF(A1258="","",'KG1-3'!$B$2)</f>
        <v/>
      </c>
      <c r="D1258" s="126">
        <f t="array" ref="D1258">IF(A1258="","",IFERROR(SMALL(IF((('KG1-3'!$AD11:$IM11="غياب بدون عذر")+('KG1-3'!$AD11:$IM11="غياب بعذر"))*('KG1-3'!$AD$7:$IM$7="✓"),'KG1-3'!$AD$5:$IM$5),17),""))</f>
        <v/>
      </c>
      <c r="E1258">
        <f>IF(D1258="","",INDEX('KG1-3'!$AD11:$IM11,MATCH(D1258,'KG1-3'!$AD$5:$IM$5,0)))</f>
        <v/>
      </c>
      <c r="F1258">
        <f>IF(D1258="","",COUNTIFS('KG1-3'!$AD11:$IM11,"غياب بدون عذر",'KG1-3'!$AD$7:$IM$7,"✓",'KG1-3'!$AD$5:$IM$5,"&lt;="&amp;D1258))</f>
        <v/>
      </c>
      <c r="G1258">
        <f>G1257+IF(D1258="",0,1)</f>
        <v/>
      </c>
    </row>
    <row r="1259">
      <c r="A1259">
        <f>IF('KG1-3'!$B11="","",'KG1-3'!$B11)</f>
        <v/>
      </c>
      <c r="B1259">
        <f>IF(A1259="","",'KG1-3'!$C11)</f>
        <v/>
      </c>
      <c r="C1259">
        <f>IF(A1259="","",'KG1-3'!$B$2)</f>
        <v/>
      </c>
      <c r="D1259" s="126">
        <f t="array" ref="D1259">IF(A1259="","",IFERROR(SMALL(IF((('KG1-3'!$AD11:$IM11="غياب بدون عذر")+('KG1-3'!$AD11:$IM11="غياب بعذر"))*('KG1-3'!$AD$7:$IM$7="✓"),'KG1-3'!$AD$5:$IM$5),18),""))</f>
        <v/>
      </c>
      <c r="E1259">
        <f>IF(D1259="","",INDEX('KG1-3'!$AD11:$IM11,MATCH(D1259,'KG1-3'!$AD$5:$IM$5,0)))</f>
        <v/>
      </c>
      <c r="F1259">
        <f>IF(D1259="","",COUNTIFS('KG1-3'!$AD11:$IM11,"غياب بدون عذر",'KG1-3'!$AD$7:$IM$7,"✓",'KG1-3'!$AD$5:$IM$5,"&lt;="&amp;D1259))</f>
        <v/>
      </c>
      <c r="G1259">
        <f>G1258+IF(D1259="",0,1)</f>
        <v/>
      </c>
    </row>
    <row r="1260">
      <c r="A1260">
        <f>IF('KG1-3'!$B11="","",'KG1-3'!$B11)</f>
        <v/>
      </c>
      <c r="B1260">
        <f>IF(A1260="","",'KG1-3'!$C11)</f>
        <v/>
      </c>
      <c r="C1260">
        <f>IF(A1260="","",'KG1-3'!$B$2)</f>
        <v/>
      </c>
      <c r="D1260" s="126">
        <f t="array" ref="D1260">IF(A1260="","",IFERROR(SMALL(IF((('KG1-3'!$AD11:$IM11="غياب بدون عذر")+('KG1-3'!$AD11:$IM11="غياب بعذر"))*('KG1-3'!$AD$7:$IM$7="✓"),'KG1-3'!$AD$5:$IM$5),19),""))</f>
        <v/>
      </c>
      <c r="E1260">
        <f>IF(D1260="","",INDEX('KG1-3'!$AD11:$IM11,MATCH(D1260,'KG1-3'!$AD$5:$IM$5,0)))</f>
        <v/>
      </c>
      <c r="F1260">
        <f>IF(D1260="","",COUNTIFS('KG1-3'!$AD11:$IM11,"غياب بدون عذر",'KG1-3'!$AD$7:$IM$7,"✓",'KG1-3'!$AD$5:$IM$5,"&lt;="&amp;D1260))</f>
        <v/>
      </c>
      <c r="G1260">
        <f>G1259+IF(D1260="",0,1)</f>
        <v/>
      </c>
    </row>
    <row r="1261">
      <c r="A1261">
        <f>IF('KG1-3'!$B11="","",'KG1-3'!$B11)</f>
        <v/>
      </c>
      <c r="B1261">
        <f>IF(A1261="","",'KG1-3'!$C11)</f>
        <v/>
      </c>
      <c r="C1261">
        <f>IF(A1261="","",'KG1-3'!$B$2)</f>
        <v/>
      </c>
      <c r="D1261" s="126">
        <f t="array" ref="D1261">IF(A1261="","",IFERROR(SMALL(IF((('KG1-3'!$AD11:$IM11="غياب بدون عذر")+('KG1-3'!$AD11:$IM11="غياب بعذر"))*('KG1-3'!$AD$7:$IM$7="✓"),'KG1-3'!$AD$5:$IM$5),20),""))</f>
        <v/>
      </c>
      <c r="E1261">
        <f>IF(D1261="","",INDEX('KG1-3'!$AD11:$IM11,MATCH(D1261,'KG1-3'!$AD$5:$IM$5,0)))</f>
        <v/>
      </c>
      <c r="F1261">
        <f>IF(D1261="","",COUNTIFS('KG1-3'!$AD11:$IM11,"غياب بدون عذر",'KG1-3'!$AD$7:$IM$7,"✓",'KG1-3'!$AD$5:$IM$5,"&lt;="&amp;D1261))</f>
        <v/>
      </c>
      <c r="G1261">
        <f>G1260+IF(D1261="",0,1)</f>
        <v/>
      </c>
    </row>
    <row r="1262">
      <c r="A1262">
        <f>IF('KG1-3'!$B12="","",'KG1-3'!$B12)</f>
        <v/>
      </c>
      <c r="B1262">
        <f>IF(A1262="","",'KG1-3'!$C12)</f>
        <v/>
      </c>
      <c r="C1262">
        <f>IF(A1262="","",'KG1-3'!$B$2)</f>
        <v/>
      </c>
      <c r="D1262" s="126">
        <f t="array" ref="D1262">IF(A1262="","",IFERROR(SMALL(IF((('KG1-3'!$AD12:$IM12="غياب بدون عذر")+('KG1-3'!$AD12:$IM12="غياب بعذر"))*('KG1-3'!$AD$7:$IM$7="✓"),'KG1-3'!$AD$5:$IM$5),1),""))</f>
        <v/>
      </c>
      <c r="E1262">
        <f>IF(D1262="","",INDEX('KG1-3'!$AD12:$IM12,MATCH(D1262,'KG1-3'!$AD$5:$IM$5,0)))</f>
        <v/>
      </c>
      <c r="F1262">
        <f>IF(D1262="","",COUNTIFS('KG1-3'!$AD12:$IM12,"غياب بدون عذر",'KG1-3'!$AD$7:$IM$7,"✓",'KG1-3'!$AD$5:$IM$5,"&lt;="&amp;D1262))</f>
        <v/>
      </c>
      <c r="G1262">
        <f>G1261+IF(D1262="",0,1)</f>
        <v/>
      </c>
    </row>
    <row r="1263">
      <c r="A1263">
        <f>IF('KG1-3'!$B12="","",'KG1-3'!$B12)</f>
        <v/>
      </c>
      <c r="B1263">
        <f>IF(A1263="","",'KG1-3'!$C12)</f>
        <v/>
      </c>
      <c r="C1263">
        <f>IF(A1263="","",'KG1-3'!$B$2)</f>
        <v/>
      </c>
      <c r="D1263" s="126">
        <f t="array" ref="D1263">IF(A1263="","",IFERROR(SMALL(IF((('KG1-3'!$AD12:$IM12="غياب بدون عذر")+('KG1-3'!$AD12:$IM12="غياب بعذر"))*('KG1-3'!$AD$7:$IM$7="✓"),'KG1-3'!$AD$5:$IM$5),2),""))</f>
        <v/>
      </c>
      <c r="E1263">
        <f>IF(D1263="","",INDEX('KG1-3'!$AD12:$IM12,MATCH(D1263,'KG1-3'!$AD$5:$IM$5,0)))</f>
        <v/>
      </c>
      <c r="F1263">
        <f>IF(D1263="","",COUNTIFS('KG1-3'!$AD12:$IM12,"غياب بدون عذر",'KG1-3'!$AD$7:$IM$7,"✓",'KG1-3'!$AD$5:$IM$5,"&lt;="&amp;D1263))</f>
        <v/>
      </c>
      <c r="G1263">
        <f>G1262+IF(D1263="",0,1)</f>
        <v/>
      </c>
    </row>
    <row r="1264">
      <c r="A1264">
        <f>IF('KG1-3'!$B12="","",'KG1-3'!$B12)</f>
        <v/>
      </c>
      <c r="B1264">
        <f>IF(A1264="","",'KG1-3'!$C12)</f>
        <v/>
      </c>
      <c r="C1264">
        <f>IF(A1264="","",'KG1-3'!$B$2)</f>
        <v/>
      </c>
      <c r="D1264" s="126">
        <f t="array" ref="D1264">IF(A1264="","",IFERROR(SMALL(IF((('KG1-3'!$AD12:$IM12="غياب بدون عذر")+('KG1-3'!$AD12:$IM12="غياب بعذر"))*('KG1-3'!$AD$7:$IM$7="✓"),'KG1-3'!$AD$5:$IM$5),3),""))</f>
        <v/>
      </c>
      <c r="E1264">
        <f>IF(D1264="","",INDEX('KG1-3'!$AD12:$IM12,MATCH(D1264,'KG1-3'!$AD$5:$IM$5,0)))</f>
        <v/>
      </c>
      <c r="F1264">
        <f>IF(D1264="","",COUNTIFS('KG1-3'!$AD12:$IM12,"غياب بدون عذر",'KG1-3'!$AD$7:$IM$7,"✓",'KG1-3'!$AD$5:$IM$5,"&lt;="&amp;D1264))</f>
        <v/>
      </c>
      <c r="G1264">
        <f>G1263+IF(D1264="",0,1)</f>
        <v/>
      </c>
    </row>
    <row r="1265">
      <c r="A1265">
        <f>IF('KG1-3'!$B12="","",'KG1-3'!$B12)</f>
        <v/>
      </c>
      <c r="B1265">
        <f>IF(A1265="","",'KG1-3'!$C12)</f>
        <v/>
      </c>
      <c r="C1265">
        <f>IF(A1265="","",'KG1-3'!$B$2)</f>
        <v/>
      </c>
      <c r="D1265" s="126">
        <f t="array" ref="D1265">IF(A1265="","",IFERROR(SMALL(IF((('KG1-3'!$AD12:$IM12="غياب بدون عذر")+('KG1-3'!$AD12:$IM12="غياب بعذر"))*('KG1-3'!$AD$7:$IM$7="✓"),'KG1-3'!$AD$5:$IM$5),4),""))</f>
        <v/>
      </c>
      <c r="E1265">
        <f>IF(D1265="","",INDEX('KG1-3'!$AD12:$IM12,MATCH(D1265,'KG1-3'!$AD$5:$IM$5,0)))</f>
        <v/>
      </c>
      <c r="F1265">
        <f>IF(D1265="","",COUNTIFS('KG1-3'!$AD12:$IM12,"غياب بدون عذر",'KG1-3'!$AD$7:$IM$7,"✓",'KG1-3'!$AD$5:$IM$5,"&lt;="&amp;D1265))</f>
        <v/>
      </c>
      <c r="G1265">
        <f>G1264+IF(D1265="",0,1)</f>
        <v/>
      </c>
    </row>
    <row r="1266">
      <c r="A1266">
        <f>IF('KG1-3'!$B12="","",'KG1-3'!$B12)</f>
        <v/>
      </c>
      <c r="B1266">
        <f>IF(A1266="","",'KG1-3'!$C12)</f>
        <v/>
      </c>
      <c r="C1266">
        <f>IF(A1266="","",'KG1-3'!$B$2)</f>
        <v/>
      </c>
      <c r="D1266" s="126">
        <f t="array" ref="D1266">IF(A1266="","",IFERROR(SMALL(IF((('KG1-3'!$AD12:$IM12="غياب بدون عذر")+('KG1-3'!$AD12:$IM12="غياب بعذر"))*('KG1-3'!$AD$7:$IM$7="✓"),'KG1-3'!$AD$5:$IM$5),5),""))</f>
        <v/>
      </c>
      <c r="E1266">
        <f>IF(D1266="","",INDEX('KG1-3'!$AD12:$IM12,MATCH(D1266,'KG1-3'!$AD$5:$IM$5,0)))</f>
        <v/>
      </c>
      <c r="F1266">
        <f>IF(D1266="","",COUNTIFS('KG1-3'!$AD12:$IM12,"غياب بدون عذر",'KG1-3'!$AD$7:$IM$7,"✓",'KG1-3'!$AD$5:$IM$5,"&lt;="&amp;D1266))</f>
        <v/>
      </c>
      <c r="G1266">
        <f>G1265+IF(D1266="",0,1)</f>
        <v/>
      </c>
    </row>
    <row r="1267">
      <c r="A1267">
        <f>IF('KG1-3'!$B12="","",'KG1-3'!$B12)</f>
        <v/>
      </c>
      <c r="B1267">
        <f>IF(A1267="","",'KG1-3'!$C12)</f>
        <v/>
      </c>
      <c r="C1267">
        <f>IF(A1267="","",'KG1-3'!$B$2)</f>
        <v/>
      </c>
      <c r="D1267" s="126">
        <f t="array" ref="D1267">IF(A1267="","",IFERROR(SMALL(IF((('KG1-3'!$AD12:$IM12="غياب بدون عذر")+('KG1-3'!$AD12:$IM12="غياب بعذر"))*('KG1-3'!$AD$7:$IM$7="✓"),'KG1-3'!$AD$5:$IM$5),6),""))</f>
        <v/>
      </c>
      <c r="E1267">
        <f>IF(D1267="","",INDEX('KG1-3'!$AD12:$IM12,MATCH(D1267,'KG1-3'!$AD$5:$IM$5,0)))</f>
        <v/>
      </c>
      <c r="F1267">
        <f>IF(D1267="","",COUNTIFS('KG1-3'!$AD12:$IM12,"غياب بدون عذر",'KG1-3'!$AD$7:$IM$7,"✓",'KG1-3'!$AD$5:$IM$5,"&lt;="&amp;D1267))</f>
        <v/>
      </c>
      <c r="G1267">
        <f>G1266+IF(D1267="",0,1)</f>
        <v/>
      </c>
    </row>
    <row r="1268">
      <c r="A1268">
        <f>IF('KG1-3'!$B12="","",'KG1-3'!$B12)</f>
        <v/>
      </c>
      <c r="B1268">
        <f>IF(A1268="","",'KG1-3'!$C12)</f>
        <v/>
      </c>
      <c r="C1268">
        <f>IF(A1268="","",'KG1-3'!$B$2)</f>
        <v/>
      </c>
      <c r="D1268" s="126">
        <f t="array" ref="D1268">IF(A1268="","",IFERROR(SMALL(IF((('KG1-3'!$AD12:$IM12="غياب بدون عذر")+('KG1-3'!$AD12:$IM12="غياب بعذر"))*('KG1-3'!$AD$7:$IM$7="✓"),'KG1-3'!$AD$5:$IM$5),7),""))</f>
        <v/>
      </c>
      <c r="E1268">
        <f>IF(D1268="","",INDEX('KG1-3'!$AD12:$IM12,MATCH(D1268,'KG1-3'!$AD$5:$IM$5,0)))</f>
        <v/>
      </c>
      <c r="F1268">
        <f>IF(D1268="","",COUNTIFS('KG1-3'!$AD12:$IM12,"غياب بدون عذر",'KG1-3'!$AD$7:$IM$7,"✓",'KG1-3'!$AD$5:$IM$5,"&lt;="&amp;D1268))</f>
        <v/>
      </c>
      <c r="G1268">
        <f>G1267+IF(D1268="",0,1)</f>
        <v/>
      </c>
    </row>
    <row r="1269">
      <c r="A1269">
        <f>IF('KG1-3'!$B12="","",'KG1-3'!$B12)</f>
        <v/>
      </c>
      <c r="B1269">
        <f>IF(A1269="","",'KG1-3'!$C12)</f>
        <v/>
      </c>
      <c r="C1269">
        <f>IF(A1269="","",'KG1-3'!$B$2)</f>
        <v/>
      </c>
      <c r="D1269" s="126">
        <f t="array" ref="D1269">IF(A1269="","",IFERROR(SMALL(IF((('KG1-3'!$AD12:$IM12="غياب بدون عذر")+('KG1-3'!$AD12:$IM12="غياب بعذر"))*('KG1-3'!$AD$7:$IM$7="✓"),'KG1-3'!$AD$5:$IM$5),8),""))</f>
        <v/>
      </c>
      <c r="E1269">
        <f>IF(D1269="","",INDEX('KG1-3'!$AD12:$IM12,MATCH(D1269,'KG1-3'!$AD$5:$IM$5,0)))</f>
        <v/>
      </c>
      <c r="F1269">
        <f>IF(D1269="","",COUNTIFS('KG1-3'!$AD12:$IM12,"غياب بدون عذر",'KG1-3'!$AD$7:$IM$7,"✓",'KG1-3'!$AD$5:$IM$5,"&lt;="&amp;D1269))</f>
        <v/>
      </c>
      <c r="G1269">
        <f>G1268+IF(D1269="",0,1)</f>
        <v/>
      </c>
    </row>
    <row r="1270">
      <c r="A1270">
        <f>IF('KG1-3'!$B12="","",'KG1-3'!$B12)</f>
        <v/>
      </c>
      <c r="B1270">
        <f>IF(A1270="","",'KG1-3'!$C12)</f>
        <v/>
      </c>
      <c r="C1270">
        <f>IF(A1270="","",'KG1-3'!$B$2)</f>
        <v/>
      </c>
      <c r="D1270" s="126">
        <f t="array" ref="D1270">IF(A1270="","",IFERROR(SMALL(IF((('KG1-3'!$AD12:$IM12="غياب بدون عذر")+('KG1-3'!$AD12:$IM12="غياب بعذر"))*('KG1-3'!$AD$7:$IM$7="✓"),'KG1-3'!$AD$5:$IM$5),9),""))</f>
        <v/>
      </c>
      <c r="E1270">
        <f>IF(D1270="","",INDEX('KG1-3'!$AD12:$IM12,MATCH(D1270,'KG1-3'!$AD$5:$IM$5,0)))</f>
        <v/>
      </c>
      <c r="F1270">
        <f>IF(D1270="","",COUNTIFS('KG1-3'!$AD12:$IM12,"غياب بدون عذر",'KG1-3'!$AD$7:$IM$7,"✓",'KG1-3'!$AD$5:$IM$5,"&lt;="&amp;D1270))</f>
        <v/>
      </c>
      <c r="G1270">
        <f>G1269+IF(D1270="",0,1)</f>
        <v/>
      </c>
    </row>
    <row r="1271">
      <c r="A1271">
        <f>IF('KG1-3'!$B12="","",'KG1-3'!$B12)</f>
        <v/>
      </c>
      <c r="B1271">
        <f>IF(A1271="","",'KG1-3'!$C12)</f>
        <v/>
      </c>
      <c r="C1271">
        <f>IF(A1271="","",'KG1-3'!$B$2)</f>
        <v/>
      </c>
      <c r="D1271" s="126">
        <f t="array" ref="D1271">IF(A1271="","",IFERROR(SMALL(IF((('KG1-3'!$AD12:$IM12="غياب بدون عذر")+('KG1-3'!$AD12:$IM12="غياب بعذر"))*('KG1-3'!$AD$7:$IM$7="✓"),'KG1-3'!$AD$5:$IM$5),10),""))</f>
        <v/>
      </c>
      <c r="E1271">
        <f>IF(D1271="","",INDEX('KG1-3'!$AD12:$IM12,MATCH(D1271,'KG1-3'!$AD$5:$IM$5,0)))</f>
        <v/>
      </c>
      <c r="F1271">
        <f>IF(D1271="","",COUNTIFS('KG1-3'!$AD12:$IM12,"غياب بدون عذر",'KG1-3'!$AD$7:$IM$7,"✓",'KG1-3'!$AD$5:$IM$5,"&lt;="&amp;D1271))</f>
        <v/>
      </c>
      <c r="G1271">
        <f>G1270+IF(D1271="",0,1)</f>
        <v/>
      </c>
    </row>
    <row r="1272">
      <c r="A1272">
        <f>IF('KG1-3'!$B12="","",'KG1-3'!$B12)</f>
        <v/>
      </c>
      <c r="B1272">
        <f>IF(A1272="","",'KG1-3'!$C12)</f>
        <v/>
      </c>
      <c r="C1272">
        <f>IF(A1272="","",'KG1-3'!$B$2)</f>
        <v/>
      </c>
      <c r="D1272" s="126">
        <f t="array" ref="D1272">IF(A1272="","",IFERROR(SMALL(IF((('KG1-3'!$AD12:$IM12="غياب بدون عذر")+('KG1-3'!$AD12:$IM12="غياب بعذر"))*('KG1-3'!$AD$7:$IM$7="✓"),'KG1-3'!$AD$5:$IM$5),11),""))</f>
        <v/>
      </c>
      <c r="E1272">
        <f>IF(D1272="","",INDEX('KG1-3'!$AD12:$IM12,MATCH(D1272,'KG1-3'!$AD$5:$IM$5,0)))</f>
        <v/>
      </c>
      <c r="F1272">
        <f>IF(D1272="","",COUNTIFS('KG1-3'!$AD12:$IM12,"غياب بدون عذر",'KG1-3'!$AD$7:$IM$7,"✓",'KG1-3'!$AD$5:$IM$5,"&lt;="&amp;D1272))</f>
        <v/>
      </c>
      <c r="G1272">
        <f>G1271+IF(D1272="",0,1)</f>
        <v/>
      </c>
    </row>
    <row r="1273">
      <c r="A1273">
        <f>IF('KG1-3'!$B12="","",'KG1-3'!$B12)</f>
        <v/>
      </c>
      <c r="B1273">
        <f>IF(A1273="","",'KG1-3'!$C12)</f>
        <v/>
      </c>
      <c r="C1273">
        <f>IF(A1273="","",'KG1-3'!$B$2)</f>
        <v/>
      </c>
      <c r="D1273" s="126">
        <f t="array" ref="D1273">IF(A1273="","",IFERROR(SMALL(IF((('KG1-3'!$AD12:$IM12="غياب بدون عذر")+('KG1-3'!$AD12:$IM12="غياب بعذر"))*('KG1-3'!$AD$7:$IM$7="✓"),'KG1-3'!$AD$5:$IM$5),12),""))</f>
        <v/>
      </c>
      <c r="E1273">
        <f>IF(D1273="","",INDEX('KG1-3'!$AD12:$IM12,MATCH(D1273,'KG1-3'!$AD$5:$IM$5,0)))</f>
        <v/>
      </c>
      <c r="F1273">
        <f>IF(D1273="","",COUNTIFS('KG1-3'!$AD12:$IM12,"غياب بدون عذر",'KG1-3'!$AD$7:$IM$7,"✓",'KG1-3'!$AD$5:$IM$5,"&lt;="&amp;D1273))</f>
        <v/>
      </c>
      <c r="G1273">
        <f>G1272+IF(D1273="",0,1)</f>
        <v/>
      </c>
    </row>
    <row r="1274">
      <c r="A1274">
        <f>IF('KG1-3'!$B12="","",'KG1-3'!$B12)</f>
        <v/>
      </c>
      <c r="B1274">
        <f>IF(A1274="","",'KG1-3'!$C12)</f>
        <v/>
      </c>
      <c r="C1274">
        <f>IF(A1274="","",'KG1-3'!$B$2)</f>
        <v/>
      </c>
      <c r="D1274" s="126">
        <f t="array" ref="D1274">IF(A1274="","",IFERROR(SMALL(IF((('KG1-3'!$AD12:$IM12="غياب بدون عذر")+('KG1-3'!$AD12:$IM12="غياب بعذر"))*('KG1-3'!$AD$7:$IM$7="✓"),'KG1-3'!$AD$5:$IM$5),13),""))</f>
        <v/>
      </c>
      <c r="E1274">
        <f>IF(D1274="","",INDEX('KG1-3'!$AD12:$IM12,MATCH(D1274,'KG1-3'!$AD$5:$IM$5,0)))</f>
        <v/>
      </c>
      <c r="F1274">
        <f>IF(D1274="","",COUNTIFS('KG1-3'!$AD12:$IM12,"غياب بدون عذر",'KG1-3'!$AD$7:$IM$7,"✓",'KG1-3'!$AD$5:$IM$5,"&lt;="&amp;D1274))</f>
        <v/>
      </c>
      <c r="G1274">
        <f>G1273+IF(D1274="",0,1)</f>
        <v/>
      </c>
    </row>
    <row r="1275">
      <c r="A1275">
        <f>IF('KG1-3'!$B12="","",'KG1-3'!$B12)</f>
        <v/>
      </c>
      <c r="B1275">
        <f>IF(A1275="","",'KG1-3'!$C12)</f>
        <v/>
      </c>
      <c r="C1275">
        <f>IF(A1275="","",'KG1-3'!$B$2)</f>
        <v/>
      </c>
      <c r="D1275" s="126">
        <f t="array" ref="D1275">IF(A1275="","",IFERROR(SMALL(IF((('KG1-3'!$AD12:$IM12="غياب بدون عذر")+('KG1-3'!$AD12:$IM12="غياب بعذر"))*('KG1-3'!$AD$7:$IM$7="✓"),'KG1-3'!$AD$5:$IM$5),14),""))</f>
        <v/>
      </c>
      <c r="E1275">
        <f>IF(D1275="","",INDEX('KG1-3'!$AD12:$IM12,MATCH(D1275,'KG1-3'!$AD$5:$IM$5,0)))</f>
        <v/>
      </c>
      <c r="F1275">
        <f>IF(D1275="","",COUNTIFS('KG1-3'!$AD12:$IM12,"غياب بدون عذر",'KG1-3'!$AD$7:$IM$7,"✓",'KG1-3'!$AD$5:$IM$5,"&lt;="&amp;D1275))</f>
        <v/>
      </c>
      <c r="G1275">
        <f>G1274+IF(D1275="",0,1)</f>
        <v/>
      </c>
    </row>
    <row r="1276">
      <c r="A1276">
        <f>IF('KG1-3'!$B12="","",'KG1-3'!$B12)</f>
        <v/>
      </c>
      <c r="B1276">
        <f>IF(A1276="","",'KG1-3'!$C12)</f>
        <v/>
      </c>
      <c r="C1276">
        <f>IF(A1276="","",'KG1-3'!$B$2)</f>
        <v/>
      </c>
      <c r="D1276" s="126">
        <f t="array" ref="D1276">IF(A1276="","",IFERROR(SMALL(IF((('KG1-3'!$AD12:$IM12="غياب بدون عذر")+('KG1-3'!$AD12:$IM12="غياب بعذر"))*('KG1-3'!$AD$7:$IM$7="✓"),'KG1-3'!$AD$5:$IM$5),15),""))</f>
        <v/>
      </c>
      <c r="E1276">
        <f>IF(D1276="","",INDEX('KG1-3'!$AD12:$IM12,MATCH(D1276,'KG1-3'!$AD$5:$IM$5,0)))</f>
        <v/>
      </c>
      <c r="F1276">
        <f>IF(D1276="","",COUNTIFS('KG1-3'!$AD12:$IM12,"غياب بدون عذر",'KG1-3'!$AD$7:$IM$7,"✓",'KG1-3'!$AD$5:$IM$5,"&lt;="&amp;D1276))</f>
        <v/>
      </c>
      <c r="G1276">
        <f>G1275+IF(D1276="",0,1)</f>
        <v/>
      </c>
    </row>
    <row r="1277">
      <c r="A1277">
        <f>IF('KG1-3'!$B12="","",'KG1-3'!$B12)</f>
        <v/>
      </c>
      <c r="B1277">
        <f>IF(A1277="","",'KG1-3'!$C12)</f>
        <v/>
      </c>
      <c r="C1277">
        <f>IF(A1277="","",'KG1-3'!$B$2)</f>
        <v/>
      </c>
      <c r="D1277" s="126">
        <f t="array" ref="D1277">IF(A1277="","",IFERROR(SMALL(IF((('KG1-3'!$AD12:$IM12="غياب بدون عذر")+('KG1-3'!$AD12:$IM12="غياب بعذر"))*('KG1-3'!$AD$7:$IM$7="✓"),'KG1-3'!$AD$5:$IM$5),16),""))</f>
        <v/>
      </c>
      <c r="E1277">
        <f>IF(D1277="","",INDEX('KG1-3'!$AD12:$IM12,MATCH(D1277,'KG1-3'!$AD$5:$IM$5,0)))</f>
        <v/>
      </c>
      <c r="F1277">
        <f>IF(D1277="","",COUNTIFS('KG1-3'!$AD12:$IM12,"غياب بدون عذر",'KG1-3'!$AD$7:$IM$7,"✓",'KG1-3'!$AD$5:$IM$5,"&lt;="&amp;D1277))</f>
        <v/>
      </c>
      <c r="G1277">
        <f>G1276+IF(D1277="",0,1)</f>
        <v/>
      </c>
    </row>
    <row r="1278">
      <c r="A1278">
        <f>IF('KG1-3'!$B12="","",'KG1-3'!$B12)</f>
        <v/>
      </c>
      <c r="B1278">
        <f>IF(A1278="","",'KG1-3'!$C12)</f>
        <v/>
      </c>
      <c r="C1278">
        <f>IF(A1278="","",'KG1-3'!$B$2)</f>
        <v/>
      </c>
      <c r="D1278" s="126">
        <f t="array" ref="D1278">IF(A1278="","",IFERROR(SMALL(IF((('KG1-3'!$AD12:$IM12="غياب بدون عذر")+('KG1-3'!$AD12:$IM12="غياب بعذر"))*('KG1-3'!$AD$7:$IM$7="✓"),'KG1-3'!$AD$5:$IM$5),17),""))</f>
        <v/>
      </c>
      <c r="E1278">
        <f>IF(D1278="","",INDEX('KG1-3'!$AD12:$IM12,MATCH(D1278,'KG1-3'!$AD$5:$IM$5,0)))</f>
        <v/>
      </c>
      <c r="F1278">
        <f>IF(D1278="","",COUNTIFS('KG1-3'!$AD12:$IM12,"غياب بدون عذر",'KG1-3'!$AD$7:$IM$7,"✓",'KG1-3'!$AD$5:$IM$5,"&lt;="&amp;D1278))</f>
        <v/>
      </c>
      <c r="G1278">
        <f>G1277+IF(D1278="",0,1)</f>
        <v/>
      </c>
    </row>
    <row r="1279">
      <c r="A1279">
        <f>IF('KG1-3'!$B12="","",'KG1-3'!$B12)</f>
        <v/>
      </c>
      <c r="B1279">
        <f>IF(A1279="","",'KG1-3'!$C12)</f>
        <v/>
      </c>
      <c r="C1279">
        <f>IF(A1279="","",'KG1-3'!$B$2)</f>
        <v/>
      </c>
      <c r="D1279" s="126">
        <f t="array" ref="D1279">IF(A1279="","",IFERROR(SMALL(IF((('KG1-3'!$AD12:$IM12="غياب بدون عذر")+('KG1-3'!$AD12:$IM12="غياب بعذر"))*('KG1-3'!$AD$7:$IM$7="✓"),'KG1-3'!$AD$5:$IM$5),18),""))</f>
        <v/>
      </c>
      <c r="E1279">
        <f>IF(D1279="","",INDEX('KG1-3'!$AD12:$IM12,MATCH(D1279,'KG1-3'!$AD$5:$IM$5,0)))</f>
        <v/>
      </c>
      <c r="F1279">
        <f>IF(D1279="","",COUNTIFS('KG1-3'!$AD12:$IM12,"غياب بدون عذر",'KG1-3'!$AD$7:$IM$7,"✓",'KG1-3'!$AD$5:$IM$5,"&lt;="&amp;D1279))</f>
        <v/>
      </c>
      <c r="G1279">
        <f>G1278+IF(D1279="",0,1)</f>
        <v/>
      </c>
    </row>
    <row r="1280">
      <c r="A1280">
        <f>IF('KG1-3'!$B12="","",'KG1-3'!$B12)</f>
        <v/>
      </c>
      <c r="B1280">
        <f>IF(A1280="","",'KG1-3'!$C12)</f>
        <v/>
      </c>
      <c r="C1280">
        <f>IF(A1280="","",'KG1-3'!$B$2)</f>
        <v/>
      </c>
      <c r="D1280" s="126">
        <f t="array" ref="D1280">IF(A1280="","",IFERROR(SMALL(IF((('KG1-3'!$AD12:$IM12="غياب بدون عذر")+('KG1-3'!$AD12:$IM12="غياب بعذر"))*('KG1-3'!$AD$7:$IM$7="✓"),'KG1-3'!$AD$5:$IM$5),19),""))</f>
        <v/>
      </c>
      <c r="E1280">
        <f>IF(D1280="","",INDEX('KG1-3'!$AD12:$IM12,MATCH(D1280,'KG1-3'!$AD$5:$IM$5,0)))</f>
        <v/>
      </c>
      <c r="F1280">
        <f>IF(D1280="","",COUNTIFS('KG1-3'!$AD12:$IM12,"غياب بدون عذر",'KG1-3'!$AD$7:$IM$7,"✓",'KG1-3'!$AD$5:$IM$5,"&lt;="&amp;D1280))</f>
        <v/>
      </c>
      <c r="G1280">
        <f>G1279+IF(D1280="",0,1)</f>
        <v/>
      </c>
    </row>
    <row r="1281">
      <c r="A1281">
        <f>IF('KG1-3'!$B12="","",'KG1-3'!$B12)</f>
        <v/>
      </c>
      <c r="B1281">
        <f>IF(A1281="","",'KG1-3'!$C12)</f>
        <v/>
      </c>
      <c r="C1281">
        <f>IF(A1281="","",'KG1-3'!$B$2)</f>
        <v/>
      </c>
      <c r="D1281" s="126">
        <f t="array" ref="D1281">IF(A1281="","",IFERROR(SMALL(IF((('KG1-3'!$AD12:$IM12="غياب بدون عذر")+('KG1-3'!$AD12:$IM12="غياب بعذر"))*('KG1-3'!$AD$7:$IM$7="✓"),'KG1-3'!$AD$5:$IM$5),20),""))</f>
        <v/>
      </c>
      <c r="E1281">
        <f>IF(D1281="","",INDEX('KG1-3'!$AD12:$IM12,MATCH(D1281,'KG1-3'!$AD$5:$IM$5,0)))</f>
        <v/>
      </c>
      <c r="F1281">
        <f>IF(D1281="","",COUNTIFS('KG1-3'!$AD12:$IM12,"غياب بدون عذر",'KG1-3'!$AD$7:$IM$7,"✓",'KG1-3'!$AD$5:$IM$5,"&lt;="&amp;D1281))</f>
        <v/>
      </c>
      <c r="G1281">
        <f>G1280+IF(D1281="",0,1)</f>
        <v/>
      </c>
    </row>
    <row r="1282">
      <c r="A1282">
        <f>IF('KG1-3'!$B13="","",'KG1-3'!$B13)</f>
        <v/>
      </c>
      <c r="B1282">
        <f>IF(A1282="","",'KG1-3'!$C13)</f>
        <v/>
      </c>
      <c r="C1282">
        <f>IF(A1282="","",'KG1-3'!$B$2)</f>
        <v/>
      </c>
      <c r="D1282" s="126">
        <f t="array" ref="D1282">IF(A1282="","",IFERROR(SMALL(IF((('KG1-3'!$AD13:$IM13="غياب بدون عذر")+('KG1-3'!$AD13:$IM13="غياب بعذر"))*('KG1-3'!$AD$7:$IM$7="✓"),'KG1-3'!$AD$5:$IM$5),1),""))</f>
        <v/>
      </c>
      <c r="E1282">
        <f>IF(D1282="","",INDEX('KG1-3'!$AD13:$IM13,MATCH(D1282,'KG1-3'!$AD$5:$IM$5,0)))</f>
        <v/>
      </c>
      <c r="F1282">
        <f>IF(D1282="","",COUNTIFS('KG1-3'!$AD13:$IM13,"غياب بدون عذر",'KG1-3'!$AD$7:$IM$7,"✓",'KG1-3'!$AD$5:$IM$5,"&lt;="&amp;D1282))</f>
        <v/>
      </c>
      <c r="G1282">
        <f>G1281+IF(D1282="",0,1)</f>
        <v/>
      </c>
    </row>
    <row r="1283">
      <c r="A1283">
        <f>IF('KG1-3'!$B13="","",'KG1-3'!$B13)</f>
        <v/>
      </c>
      <c r="B1283">
        <f>IF(A1283="","",'KG1-3'!$C13)</f>
        <v/>
      </c>
      <c r="C1283">
        <f>IF(A1283="","",'KG1-3'!$B$2)</f>
        <v/>
      </c>
      <c r="D1283" s="126">
        <f t="array" ref="D1283">IF(A1283="","",IFERROR(SMALL(IF((('KG1-3'!$AD13:$IM13="غياب بدون عذر")+('KG1-3'!$AD13:$IM13="غياب بعذر"))*('KG1-3'!$AD$7:$IM$7="✓"),'KG1-3'!$AD$5:$IM$5),2),""))</f>
        <v/>
      </c>
      <c r="E1283">
        <f>IF(D1283="","",INDEX('KG1-3'!$AD13:$IM13,MATCH(D1283,'KG1-3'!$AD$5:$IM$5,0)))</f>
        <v/>
      </c>
      <c r="F1283">
        <f>IF(D1283="","",COUNTIFS('KG1-3'!$AD13:$IM13,"غياب بدون عذر",'KG1-3'!$AD$7:$IM$7,"✓",'KG1-3'!$AD$5:$IM$5,"&lt;="&amp;D1283))</f>
        <v/>
      </c>
      <c r="G1283">
        <f>G1282+IF(D1283="",0,1)</f>
        <v/>
      </c>
    </row>
    <row r="1284">
      <c r="A1284">
        <f>IF('KG1-3'!$B13="","",'KG1-3'!$B13)</f>
        <v/>
      </c>
      <c r="B1284">
        <f>IF(A1284="","",'KG1-3'!$C13)</f>
        <v/>
      </c>
      <c r="C1284">
        <f>IF(A1284="","",'KG1-3'!$B$2)</f>
        <v/>
      </c>
      <c r="D1284" s="126">
        <f t="array" ref="D1284">IF(A1284="","",IFERROR(SMALL(IF((('KG1-3'!$AD13:$IM13="غياب بدون عذر")+('KG1-3'!$AD13:$IM13="غياب بعذر"))*('KG1-3'!$AD$7:$IM$7="✓"),'KG1-3'!$AD$5:$IM$5),3),""))</f>
        <v/>
      </c>
      <c r="E1284">
        <f>IF(D1284="","",INDEX('KG1-3'!$AD13:$IM13,MATCH(D1284,'KG1-3'!$AD$5:$IM$5,0)))</f>
        <v/>
      </c>
      <c r="F1284">
        <f>IF(D1284="","",COUNTIFS('KG1-3'!$AD13:$IM13,"غياب بدون عذر",'KG1-3'!$AD$7:$IM$7,"✓",'KG1-3'!$AD$5:$IM$5,"&lt;="&amp;D1284))</f>
        <v/>
      </c>
      <c r="G1284">
        <f>G1283+IF(D1284="",0,1)</f>
        <v/>
      </c>
    </row>
    <row r="1285">
      <c r="A1285">
        <f>IF('KG1-3'!$B13="","",'KG1-3'!$B13)</f>
        <v/>
      </c>
      <c r="B1285">
        <f>IF(A1285="","",'KG1-3'!$C13)</f>
        <v/>
      </c>
      <c r="C1285">
        <f>IF(A1285="","",'KG1-3'!$B$2)</f>
        <v/>
      </c>
      <c r="D1285" s="126">
        <f t="array" ref="D1285">IF(A1285="","",IFERROR(SMALL(IF((('KG1-3'!$AD13:$IM13="غياب بدون عذر")+('KG1-3'!$AD13:$IM13="غياب بعذر"))*('KG1-3'!$AD$7:$IM$7="✓"),'KG1-3'!$AD$5:$IM$5),4),""))</f>
        <v/>
      </c>
      <c r="E1285">
        <f>IF(D1285="","",INDEX('KG1-3'!$AD13:$IM13,MATCH(D1285,'KG1-3'!$AD$5:$IM$5,0)))</f>
        <v/>
      </c>
      <c r="F1285">
        <f>IF(D1285="","",COUNTIFS('KG1-3'!$AD13:$IM13,"غياب بدون عذر",'KG1-3'!$AD$7:$IM$7,"✓",'KG1-3'!$AD$5:$IM$5,"&lt;="&amp;D1285))</f>
        <v/>
      </c>
      <c r="G1285">
        <f>G1284+IF(D1285="",0,1)</f>
        <v/>
      </c>
    </row>
    <row r="1286">
      <c r="A1286">
        <f>IF('KG1-3'!$B13="","",'KG1-3'!$B13)</f>
        <v/>
      </c>
      <c r="B1286">
        <f>IF(A1286="","",'KG1-3'!$C13)</f>
        <v/>
      </c>
      <c r="C1286">
        <f>IF(A1286="","",'KG1-3'!$B$2)</f>
        <v/>
      </c>
      <c r="D1286" s="126">
        <f t="array" ref="D1286">IF(A1286="","",IFERROR(SMALL(IF((('KG1-3'!$AD13:$IM13="غياب بدون عذر")+('KG1-3'!$AD13:$IM13="غياب بعذر"))*('KG1-3'!$AD$7:$IM$7="✓"),'KG1-3'!$AD$5:$IM$5),5),""))</f>
        <v/>
      </c>
      <c r="E1286">
        <f>IF(D1286="","",INDEX('KG1-3'!$AD13:$IM13,MATCH(D1286,'KG1-3'!$AD$5:$IM$5,0)))</f>
        <v/>
      </c>
      <c r="F1286">
        <f>IF(D1286="","",COUNTIFS('KG1-3'!$AD13:$IM13,"غياب بدون عذر",'KG1-3'!$AD$7:$IM$7,"✓",'KG1-3'!$AD$5:$IM$5,"&lt;="&amp;D1286))</f>
        <v/>
      </c>
      <c r="G1286">
        <f>G1285+IF(D1286="",0,1)</f>
        <v/>
      </c>
    </row>
    <row r="1287">
      <c r="A1287">
        <f>IF('KG1-3'!$B13="","",'KG1-3'!$B13)</f>
        <v/>
      </c>
      <c r="B1287">
        <f>IF(A1287="","",'KG1-3'!$C13)</f>
        <v/>
      </c>
      <c r="C1287">
        <f>IF(A1287="","",'KG1-3'!$B$2)</f>
        <v/>
      </c>
      <c r="D1287" s="126">
        <f t="array" ref="D1287">IF(A1287="","",IFERROR(SMALL(IF((('KG1-3'!$AD13:$IM13="غياب بدون عذر")+('KG1-3'!$AD13:$IM13="غياب بعذر"))*('KG1-3'!$AD$7:$IM$7="✓"),'KG1-3'!$AD$5:$IM$5),6),""))</f>
        <v/>
      </c>
      <c r="E1287">
        <f>IF(D1287="","",INDEX('KG1-3'!$AD13:$IM13,MATCH(D1287,'KG1-3'!$AD$5:$IM$5,0)))</f>
        <v/>
      </c>
      <c r="F1287">
        <f>IF(D1287="","",COUNTIFS('KG1-3'!$AD13:$IM13,"غياب بدون عذر",'KG1-3'!$AD$7:$IM$7,"✓",'KG1-3'!$AD$5:$IM$5,"&lt;="&amp;D1287))</f>
        <v/>
      </c>
      <c r="G1287">
        <f>G1286+IF(D1287="",0,1)</f>
        <v/>
      </c>
    </row>
    <row r="1288">
      <c r="A1288">
        <f>IF('KG1-3'!$B13="","",'KG1-3'!$B13)</f>
        <v/>
      </c>
      <c r="B1288">
        <f>IF(A1288="","",'KG1-3'!$C13)</f>
        <v/>
      </c>
      <c r="C1288">
        <f>IF(A1288="","",'KG1-3'!$B$2)</f>
        <v/>
      </c>
      <c r="D1288" s="126">
        <f t="array" ref="D1288">IF(A1288="","",IFERROR(SMALL(IF((('KG1-3'!$AD13:$IM13="غياب بدون عذر")+('KG1-3'!$AD13:$IM13="غياب بعذر"))*('KG1-3'!$AD$7:$IM$7="✓"),'KG1-3'!$AD$5:$IM$5),7),""))</f>
        <v/>
      </c>
      <c r="E1288">
        <f>IF(D1288="","",INDEX('KG1-3'!$AD13:$IM13,MATCH(D1288,'KG1-3'!$AD$5:$IM$5,0)))</f>
        <v/>
      </c>
      <c r="F1288">
        <f>IF(D1288="","",COUNTIFS('KG1-3'!$AD13:$IM13,"غياب بدون عذر",'KG1-3'!$AD$7:$IM$7,"✓",'KG1-3'!$AD$5:$IM$5,"&lt;="&amp;D1288))</f>
        <v/>
      </c>
      <c r="G1288">
        <f>G1287+IF(D1288="",0,1)</f>
        <v/>
      </c>
    </row>
    <row r="1289">
      <c r="A1289">
        <f>IF('KG1-3'!$B13="","",'KG1-3'!$B13)</f>
        <v/>
      </c>
      <c r="B1289">
        <f>IF(A1289="","",'KG1-3'!$C13)</f>
        <v/>
      </c>
      <c r="C1289">
        <f>IF(A1289="","",'KG1-3'!$B$2)</f>
        <v/>
      </c>
      <c r="D1289" s="126">
        <f t="array" ref="D1289">IF(A1289="","",IFERROR(SMALL(IF((('KG1-3'!$AD13:$IM13="غياب بدون عذر")+('KG1-3'!$AD13:$IM13="غياب بعذر"))*('KG1-3'!$AD$7:$IM$7="✓"),'KG1-3'!$AD$5:$IM$5),8),""))</f>
        <v/>
      </c>
      <c r="E1289">
        <f>IF(D1289="","",INDEX('KG1-3'!$AD13:$IM13,MATCH(D1289,'KG1-3'!$AD$5:$IM$5,0)))</f>
        <v/>
      </c>
      <c r="F1289">
        <f>IF(D1289="","",COUNTIFS('KG1-3'!$AD13:$IM13,"غياب بدون عذر",'KG1-3'!$AD$7:$IM$7,"✓",'KG1-3'!$AD$5:$IM$5,"&lt;="&amp;D1289))</f>
        <v/>
      </c>
      <c r="G1289">
        <f>G1288+IF(D1289="",0,1)</f>
        <v/>
      </c>
    </row>
    <row r="1290">
      <c r="A1290">
        <f>IF('KG1-3'!$B13="","",'KG1-3'!$B13)</f>
        <v/>
      </c>
      <c r="B1290">
        <f>IF(A1290="","",'KG1-3'!$C13)</f>
        <v/>
      </c>
      <c r="C1290">
        <f>IF(A1290="","",'KG1-3'!$B$2)</f>
        <v/>
      </c>
      <c r="D1290" s="126">
        <f t="array" ref="D1290">IF(A1290="","",IFERROR(SMALL(IF((('KG1-3'!$AD13:$IM13="غياب بدون عذر")+('KG1-3'!$AD13:$IM13="غياب بعذر"))*('KG1-3'!$AD$7:$IM$7="✓"),'KG1-3'!$AD$5:$IM$5),9),""))</f>
        <v/>
      </c>
      <c r="E1290">
        <f>IF(D1290="","",INDEX('KG1-3'!$AD13:$IM13,MATCH(D1290,'KG1-3'!$AD$5:$IM$5,0)))</f>
        <v/>
      </c>
      <c r="F1290">
        <f>IF(D1290="","",COUNTIFS('KG1-3'!$AD13:$IM13,"غياب بدون عذر",'KG1-3'!$AD$7:$IM$7,"✓",'KG1-3'!$AD$5:$IM$5,"&lt;="&amp;D1290))</f>
        <v/>
      </c>
      <c r="G1290">
        <f>G1289+IF(D1290="",0,1)</f>
        <v/>
      </c>
    </row>
    <row r="1291">
      <c r="A1291">
        <f>IF('KG1-3'!$B13="","",'KG1-3'!$B13)</f>
        <v/>
      </c>
      <c r="B1291">
        <f>IF(A1291="","",'KG1-3'!$C13)</f>
        <v/>
      </c>
      <c r="C1291">
        <f>IF(A1291="","",'KG1-3'!$B$2)</f>
        <v/>
      </c>
      <c r="D1291" s="126">
        <f t="array" ref="D1291">IF(A1291="","",IFERROR(SMALL(IF((('KG1-3'!$AD13:$IM13="غياب بدون عذر")+('KG1-3'!$AD13:$IM13="غياب بعذر"))*('KG1-3'!$AD$7:$IM$7="✓"),'KG1-3'!$AD$5:$IM$5),10),""))</f>
        <v/>
      </c>
      <c r="E1291">
        <f>IF(D1291="","",INDEX('KG1-3'!$AD13:$IM13,MATCH(D1291,'KG1-3'!$AD$5:$IM$5,0)))</f>
        <v/>
      </c>
      <c r="F1291">
        <f>IF(D1291="","",COUNTIFS('KG1-3'!$AD13:$IM13,"غياب بدون عذر",'KG1-3'!$AD$7:$IM$7,"✓",'KG1-3'!$AD$5:$IM$5,"&lt;="&amp;D1291))</f>
        <v/>
      </c>
      <c r="G1291">
        <f>G1290+IF(D1291="",0,1)</f>
        <v/>
      </c>
    </row>
    <row r="1292">
      <c r="A1292">
        <f>IF('KG1-3'!$B13="","",'KG1-3'!$B13)</f>
        <v/>
      </c>
      <c r="B1292">
        <f>IF(A1292="","",'KG1-3'!$C13)</f>
        <v/>
      </c>
      <c r="C1292">
        <f>IF(A1292="","",'KG1-3'!$B$2)</f>
        <v/>
      </c>
      <c r="D1292" s="126">
        <f t="array" ref="D1292">IF(A1292="","",IFERROR(SMALL(IF((('KG1-3'!$AD13:$IM13="غياب بدون عذر")+('KG1-3'!$AD13:$IM13="غياب بعذر"))*('KG1-3'!$AD$7:$IM$7="✓"),'KG1-3'!$AD$5:$IM$5),11),""))</f>
        <v/>
      </c>
      <c r="E1292">
        <f>IF(D1292="","",INDEX('KG1-3'!$AD13:$IM13,MATCH(D1292,'KG1-3'!$AD$5:$IM$5,0)))</f>
        <v/>
      </c>
      <c r="F1292">
        <f>IF(D1292="","",COUNTIFS('KG1-3'!$AD13:$IM13,"غياب بدون عذر",'KG1-3'!$AD$7:$IM$7,"✓",'KG1-3'!$AD$5:$IM$5,"&lt;="&amp;D1292))</f>
        <v/>
      </c>
      <c r="G1292">
        <f>G1291+IF(D1292="",0,1)</f>
        <v/>
      </c>
    </row>
    <row r="1293">
      <c r="A1293">
        <f>IF('KG1-3'!$B13="","",'KG1-3'!$B13)</f>
        <v/>
      </c>
      <c r="B1293">
        <f>IF(A1293="","",'KG1-3'!$C13)</f>
        <v/>
      </c>
      <c r="C1293">
        <f>IF(A1293="","",'KG1-3'!$B$2)</f>
        <v/>
      </c>
      <c r="D1293" s="126">
        <f t="array" ref="D1293">IF(A1293="","",IFERROR(SMALL(IF((('KG1-3'!$AD13:$IM13="غياب بدون عذر")+('KG1-3'!$AD13:$IM13="غياب بعذر"))*('KG1-3'!$AD$7:$IM$7="✓"),'KG1-3'!$AD$5:$IM$5),12),""))</f>
        <v/>
      </c>
      <c r="E1293">
        <f>IF(D1293="","",INDEX('KG1-3'!$AD13:$IM13,MATCH(D1293,'KG1-3'!$AD$5:$IM$5,0)))</f>
        <v/>
      </c>
      <c r="F1293">
        <f>IF(D1293="","",COUNTIFS('KG1-3'!$AD13:$IM13,"غياب بدون عذر",'KG1-3'!$AD$7:$IM$7,"✓",'KG1-3'!$AD$5:$IM$5,"&lt;="&amp;D1293))</f>
        <v/>
      </c>
      <c r="G1293">
        <f>G1292+IF(D1293="",0,1)</f>
        <v/>
      </c>
    </row>
    <row r="1294">
      <c r="A1294">
        <f>IF('KG1-3'!$B13="","",'KG1-3'!$B13)</f>
        <v/>
      </c>
      <c r="B1294">
        <f>IF(A1294="","",'KG1-3'!$C13)</f>
        <v/>
      </c>
      <c r="C1294">
        <f>IF(A1294="","",'KG1-3'!$B$2)</f>
        <v/>
      </c>
      <c r="D1294" s="126">
        <f t="array" ref="D1294">IF(A1294="","",IFERROR(SMALL(IF((('KG1-3'!$AD13:$IM13="غياب بدون عذر")+('KG1-3'!$AD13:$IM13="غياب بعذر"))*('KG1-3'!$AD$7:$IM$7="✓"),'KG1-3'!$AD$5:$IM$5),13),""))</f>
        <v/>
      </c>
      <c r="E1294">
        <f>IF(D1294="","",INDEX('KG1-3'!$AD13:$IM13,MATCH(D1294,'KG1-3'!$AD$5:$IM$5,0)))</f>
        <v/>
      </c>
      <c r="F1294">
        <f>IF(D1294="","",COUNTIFS('KG1-3'!$AD13:$IM13,"غياب بدون عذر",'KG1-3'!$AD$7:$IM$7,"✓",'KG1-3'!$AD$5:$IM$5,"&lt;="&amp;D1294))</f>
        <v/>
      </c>
      <c r="G1294">
        <f>G1293+IF(D1294="",0,1)</f>
        <v/>
      </c>
    </row>
    <row r="1295">
      <c r="A1295">
        <f>IF('KG1-3'!$B13="","",'KG1-3'!$B13)</f>
        <v/>
      </c>
      <c r="B1295">
        <f>IF(A1295="","",'KG1-3'!$C13)</f>
        <v/>
      </c>
      <c r="C1295">
        <f>IF(A1295="","",'KG1-3'!$B$2)</f>
        <v/>
      </c>
      <c r="D1295" s="126">
        <f t="array" ref="D1295">IF(A1295="","",IFERROR(SMALL(IF((('KG1-3'!$AD13:$IM13="غياب بدون عذر")+('KG1-3'!$AD13:$IM13="غياب بعذر"))*('KG1-3'!$AD$7:$IM$7="✓"),'KG1-3'!$AD$5:$IM$5),14),""))</f>
        <v/>
      </c>
      <c r="E1295">
        <f>IF(D1295="","",INDEX('KG1-3'!$AD13:$IM13,MATCH(D1295,'KG1-3'!$AD$5:$IM$5,0)))</f>
        <v/>
      </c>
      <c r="F1295">
        <f>IF(D1295="","",COUNTIFS('KG1-3'!$AD13:$IM13,"غياب بدون عذر",'KG1-3'!$AD$7:$IM$7,"✓",'KG1-3'!$AD$5:$IM$5,"&lt;="&amp;D1295))</f>
        <v/>
      </c>
      <c r="G1295">
        <f>G1294+IF(D1295="",0,1)</f>
        <v/>
      </c>
    </row>
    <row r="1296">
      <c r="A1296">
        <f>IF('KG1-3'!$B13="","",'KG1-3'!$B13)</f>
        <v/>
      </c>
      <c r="B1296">
        <f>IF(A1296="","",'KG1-3'!$C13)</f>
        <v/>
      </c>
      <c r="C1296">
        <f>IF(A1296="","",'KG1-3'!$B$2)</f>
        <v/>
      </c>
      <c r="D1296" s="126">
        <f t="array" ref="D1296">IF(A1296="","",IFERROR(SMALL(IF((('KG1-3'!$AD13:$IM13="غياب بدون عذر")+('KG1-3'!$AD13:$IM13="غياب بعذر"))*('KG1-3'!$AD$7:$IM$7="✓"),'KG1-3'!$AD$5:$IM$5),15),""))</f>
        <v/>
      </c>
      <c r="E1296">
        <f>IF(D1296="","",INDEX('KG1-3'!$AD13:$IM13,MATCH(D1296,'KG1-3'!$AD$5:$IM$5,0)))</f>
        <v/>
      </c>
      <c r="F1296">
        <f>IF(D1296="","",COUNTIFS('KG1-3'!$AD13:$IM13,"غياب بدون عذر",'KG1-3'!$AD$7:$IM$7,"✓",'KG1-3'!$AD$5:$IM$5,"&lt;="&amp;D1296))</f>
        <v/>
      </c>
      <c r="G1296">
        <f>G1295+IF(D1296="",0,1)</f>
        <v/>
      </c>
    </row>
    <row r="1297">
      <c r="A1297">
        <f>IF('KG1-3'!$B13="","",'KG1-3'!$B13)</f>
        <v/>
      </c>
      <c r="B1297">
        <f>IF(A1297="","",'KG1-3'!$C13)</f>
        <v/>
      </c>
      <c r="C1297">
        <f>IF(A1297="","",'KG1-3'!$B$2)</f>
        <v/>
      </c>
      <c r="D1297" s="126">
        <f t="array" ref="D1297">IF(A1297="","",IFERROR(SMALL(IF((('KG1-3'!$AD13:$IM13="غياب بدون عذر")+('KG1-3'!$AD13:$IM13="غياب بعذر"))*('KG1-3'!$AD$7:$IM$7="✓"),'KG1-3'!$AD$5:$IM$5),16),""))</f>
        <v/>
      </c>
      <c r="E1297">
        <f>IF(D1297="","",INDEX('KG1-3'!$AD13:$IM13,MATCH(D1297,'KG1-3'!$AD$5:$IM$5,0)))</f>
        <v/>
      </c>
      <c r="F1297">
        <f>IF(D1297="","",COUNTIFS('KG1-3'!$AD13:$IM13,"غياب بدون عذر",'KG1-3'!$AD$7:$IM$7,"✓",'KG1-3'!$AD$5:$IM$5,"&lt;="&amp;D1297))</f>
        <v/>
      </c>
      <c r="G1297">
        <f>G1296+IF(D1297="",0,1)</f>
        <v/>
      </c>
    </row>
    <row r="1298">
      <c r="A1298">
        <f>IF('KG1-3'!$B13="","",'KG1-3'!$B13)</f>
        <v/>
      </c>
      <c r="B1298">
        <f>IF(A1298="","",'KG1-3'!$C13)</f>
        <v/>
      </c>
      <c r="C1298">
        <f>IF(A1298="","",'KG1-3'!$B$2)</f>
        <v/>
      </c>
      <c r="D1298" s="126">
        <f t="array" ref="D1298">IF(A1298="","",IFERROR(SMALL(IF((('KG1-3'!$AD13:$IM13="غياب بدون عذر")+('KG1-3'!$AD13:$IM13="غياب بعذر"))*('KG1-3'!$AD$7:$IM$7="✓"),'KG1-3'!$AD$5:$IM$5),17),""))</f>
        <v/>
      </c>
      <c r="E1298">
        <f>IF(D1298="","",INDEX('KG1-3'!$AD13:$IM13,MATCH(D1298,'KG1-3'!$AD$5:$IM$5,0)))</f>
        <v/>
      </c>
      <c r="F1298">
        <f>IF(D1298="","",COUNTIFS('KG1-3'!$AD13:$IM13,"غياب بدون عذر",'KG1-3'!$AD$7:$IM$7,"✓",'KG1-3'!$AD$5:$IM$5,"&lt;="&amp;D1298))</f>
        <v/>
      </c>
      <c r="G1298">
        <f>G1297+IF(D1298="",0,1)</f>
        <v/>
      </c>
    </row>
    <row r="1299">
      <c r="A1299">
        <f>IF('KG1-3'!$B13="","",'KG1-3'!$B13)</f>
        <v/>
      </c>
      <c r="B1299">
        <f>IF(A1299="","",'KG1-3'!$C13)</f>
        <v/>
      </c>
      <c r="C1299">
        <f>IF(A1299="","",'KG1-3'!$B$2)</f>
        <v/>
      </c>
      <c r="D1299" s="126">
        <f t="array" ref="D1299">IF(A1299="","",IFERROR(SMALL(IF((('KG1-3'!$AD13:$IM13="غياب بدون عذر")+('KG1-3'!$AD13:$IM13="غياب بعذر"))*('KG1-3'!$AD$7:$IM$7="✓"),'KG1-3'!$AD$5:$IM$5),18),""))</f>
        <v/>
      </c>
      <c r="E1299">
        <f>IF(D1299="","",INDEX('KG1-3'!$AD13:$IM13,MATCH(D1299,'KG1-3'!$AD$5:$IM$5,0)))</f>
        <v/>
      </c>
      <c r="F1299">
        <f>IF(D1299="","",COUNTIFS('KG1-3'!$AD13:$IM13,"غياب بدون عذر",'KG1-3'!$AD$7:$IM$7,"✓",'KG1-3'!$AD$5:$IM$5,"&lt;="&amp;D1299))</f>
        <v/>
      </c>
      <c r="G1299">
        <f>G1298+IF(D1299="",0,1)</f>
        <v/>
      </c>
    </row>
    <row r="1300">
      <c r="A1300">
        <f>IF('KG1-3'!$B13="","",'KG1-3'!$B13)</f>
        <v/>
      </c>
      <c r="B1300">
        <f>IF(A1300="","",'KG1-3'!$C13)</f>
        <v/>
      </c>
      <c r="C1300">
        <f>IF(A1300="","",'KG1-3'!$B$2)</f>
        <v/>
      </c>
      <c r="D1300" s="126">
        <f t="array" ref="D1300">IF(A1300="","",IFERROR(SMALL(IF((('KG1-3'!$AD13:$IM13="غياب بدون عذر")+('KG1-3'!$AD13:$IM13="غياب بعذر"))*('KG1-3'!$AD$7:$IM$7="✓"),'KG1-3'!$AD$5:$IM$5),19),""))</f>
        <v/>
      </c>
      <c r="E1300">
        <f>IF(D1300="","",INDEX('KG1-3'!$AD13:$IM13,MATCH(D1300,'KG1-3'!$AD$5:$IM$5,0)))</f>
        <v/>
      </c>
      <c r="F1300">
        <f>IF(D1300="","",COUNTIFS('KG1-3'!$AD13:$IM13,"غياب بدون عذر",'KG1-3'!$AD$7:$IM$7,"✓",'KG1-3'!$AD$5:$IM$5,"&lt;="&amp;D1300))</f>
        <v/>
      </c>
      <c r="G1300">
        <f>G1299+IF(D1300="",0,1)</f>
        <v/>
      </c>
    </row>
    <row r="1301">
      <c r="A1301">
        <f>IF('KG1-3'!$B13="","",'KG1-3'!$B13)</f>
        <v/>
      </c>
      <c r="B1301">
        <f>IF(A1301="","",'KG1-3'!$C13)</f>
        <v/>
      </c>
      <c r="C1301">
        <f>IF(A1301="","",'KG1-3'!$B$2)</f>
        <v/>
      </c>
      <c r="D1301" s="126">
        <f t="array" ref="D1301">IF(A1301="","",IFERROR(SMALL(IF((('KG1-3'!$AD13:$IM13="غياب بدون عذر")+('KG1-3'!$AD13:$IM13="غياب بعذر"))*('KG1-3'!$AD$7:$IM$7="✓"),'KG1-3'!$AD$5:$IM$5),20),""))</f>
        <v/>
      </c>
      <c r="E1301">
        <f>IF(D1301="","",INDEX('KG1-3'!$AD13:$IM13,MATCH(D1301,'KG1-3'!$AD$5:$IM$5,0)))</f>
        <v/>
      </c>
      <c r="F1301">
        <f>IF(D1301="","",COUNTIFS('KG1-3'!$AD13:$IM13,"غياب بدون عذر",'KG1-3'!$AD$7:$IM$7,"✓",'KG1-3'!$AD$5:$IM$5,"&lt;="&amp;D1301))</f>
        <v/>
      </c>
      <c r="G1301">
        <f>G1300+IF(D1301="",0,1)</f>
        <v/>
      </c>
    </row>
    <row r="1302">
      <c r="A1302">
        <f>IF('KG1-3'!$B14="","",'KG1-3'!$B14)</f>
        <v/>
      </c>
      <c r="B1302">
        <f>IF(A1302="","",'KG1-3'!$C14)</f>
        <v/>
      </c>
      <c r="C1302">
        <f>IF(A1302="","",'KG1-3'!$B$2)</f>
        <v/>
      </c>
      <c r="D1302" s="126">
        <f t="array" ref="D1302">IF(A1302="","",IFERROR(SMALL(IF((('KG1-3'!$AD14:$IM14="غياب بدون عذر")+('KG1-3'!$AD14:$IM14="غياب بعذر"))*('KG1-3'!$AD$7:$IM$7="✓"),'KG1-3'!$AD$5:$IM$5),1),""))</f>
        <v/>
      </c>
      <c r="E1302">
        <f>IF(D1302="","",INDEX('KG1-3'!$AD14:$IM14,MATCH(D1302,'KG1-3'!$AD$5:$IM$5,0)))</f>
        <v/>
      </c>
      <c r="F1302">
        <f>IF(D1302="","",COUNTIFS('KG1-3'!$AD14:$IM14,"غياب بدون عذر",'KG1-3'!$AD$7:$IM$7,"✓",'KG1-3'!$AD$5:$IM$5,"&lt;="&amp;D1302))</f>
        <v/>
      </c>
      <c r="G1302">
        <f>G1301+IF(D1302="",0,1)</f>
        <v/>
      </c>
    </row>
    <row r="1303">
      <c r="A1303">
        <f>IF('KG1-3'!$B14="","",'KG1-3'!$B14)</f>
        <v/>
      </c>
      <c r="B1303">
        <f>IF(A1303="","",'KG1-3'!$C14)</f>
        <v/>
      </c>
      <c r="C1303">
        <f>IF(A1303="","",'KG1-3'!$B$2)</f>
        <v/>
      </c>
      <c r="D1303" s="126">
        <f t="array" ref="D1303">IF(A1303="","",IFERROR(SMALL(IF((('KG1-3'!$AD14:$IM14="غياب بدون عذر")+('KG1-3'!$AD14:$IM14="غياب بعذر"))*('KG1-3'!$AD$7:$IM$7="✓"),'KG1-3'!$AD$5:$IM$5),2),""))</f>
        <v/>
      </c>
      <c r="E1303">
        <f>IF(D1303="","",INDEX('KG1-3'!$AD14:$IM14,MATCH(D1303,'KG1-3'!$AD$5:$IM$5,0)))</f>
        <v/>
      </c>
      <c r="F1303">
        <f>IF(D1303="","",COUNTIFS('KG1-3'!$AD14:$IM14,"غياب بدون عذر",'KG1-3'!$AD$7:$IM$7,"✓",'KG1-3'!$AD$5:$IM$5,"&lt;="&amp;D1303))</f>
        <v/>
      </c>
      <c r="G1303">
        <f>G1302+IF(D1303="",0,1)</f>
        <v/>
      </c>
    </row>
    <row r="1304">
      <c r="A1304">
        <f>IF('KG1-3'!$B14="","",'KG1-3'!$B14)</f>
        <v/>
      </c>
      <c r="B1304">
        <f>IF(A1304="","",'KG1-3'!$C14)</f>
        <v/>
      </c>
      <c r="C1304">
        <f>IF(A1304="","",'KG1-3'!$B$2)</f>
        <v/>
      </c>
      <c r="D1304" s="126">
        <f t="array" ref="D1304">IF(A1304="","",IFERROR(SMALL(IF((('KG1-3'!$AD14:$IM14="غياب بدون عذر")+('KG1-3'!$AD14:$IM14="غياب بعذر"))*('KG1-3'!$AD$7:$IM$7="✓"),'KG1-3'!$AD$5:$IM$5),3),""))</f>
        <v/>
      </c>
      <c r="E1304">
        <f>IF(D1304="","",INDEX('KG1-3'!$AD14:$IM14,MATCH(D1304,'KG1-3'!$AD$5:$IM$5,0)))</f>
        <v/>
      </c>
      <c r="F1304">
        <f>IF(D1304="","",COUNTIFS('KG1-3'!$AD14:$IM14,"غياب بدون عذر",'KG1-3'!$AD$7:$IM$7,"✓",'KG1-3'!$AD$5:$IM$5,"&lt;="&amp;D1304))</f>
        <v/>
      </c>
      <c r="G1304">
        <f>G1303+IF(D1304="",0,1)</f>
        <v/>
      </c>
    </row>
    <row r="1305">
      <c r="A1305">
        <f>IF('KG1-3'!$B14="","",'KG1-3'!$B14)</f>
        <v/>
      </c>
      <c r="B1305">
        <f>IF(A1305="","",'KG1-3'!$C14)</f>
        <v/>
      </c>
      <c r="C1305">
        <f>IF(A1305="","",'KG1-3'!$B$2)</f>
        <v/>
      </c>
      <c r="D1305" s="126">
        <f t="array" ref="D1305">IF(A1305="","",IFERROR(SMALL(IF((('KG1-3'!$AD14:$IM14="غياب بدون عذر")+('KG1-3'!$AD14:$IM14="غياب بعذر"))*('KG1-3'!$AD$7:$IM$7="✓"),'KG1-3'!$AD$5:$IM$5),4),""))</f>
        <v/>
      </c>
      <c r="E1305">
        <f>IF(D1305="","",INDEX('KG1-3'!$AD14:$IM14,MATCH(D1305,'KG1-3'!$AD$5:$IM$5,0)))</f>
        <v/>
      </c>
      <c r="F1305">
        <f>IF(D1305="","",COUNTIFS('KG1-3'!$AD14:$IM14,"غياب بدون عذر",'KG1-3'!$AD$7:$IM$7,"✓",'KG1-3'!$AD$5:$IM$5,"&lt;="&amp;D1305))</f>
        <v/>
      </c>
      <c r="G1305">
        <f>G1304+IF(D1305="",0,1)</f>
        <v/>
      </c>
    </row>
    <row r="1306">
      <c r="A1306">
        <f>IF('KG1-3'!$B14="","",'KG1-3'!$B14)</f>
        <v/>
      </c>
      <c r="B1306">
        <f>IF(A1306="","",'KG1-3'!$C14)</f>
        <v/>
      </c>
      <c r="C1306">
        <f>IF(A1306="","",'KG1-3'!$B$2)</f>
        <v/>
      </c>
      <c r="D1306" s="126">
        <f t="array" ref="D1306">IF(A1306="","",IFERROR(SMALL(IF((('KG1-3'!$AD14:$IM14="غياب بدون عذر")+('KG1-3'!$AD14:$IM14="غياب بعذر"))*('KG1-3'!$AD$7:$IM$7="✓"),'KG1-3'!$AD$5:$IM$5),5),""))</f>
        <v/>
      </c>
      <c r="E1306">
        <f>IF(D1306="","",INDEX('KG1-3'!$AD14:$IM14,MATCH(D1306,'KG1-3'!$AD$5:$IM$5,0)))</f>
        <v/>
      </c>
      <c r="F1306">
        <f>IF(D1306="","",COUNTIFS('KG1-3'!$AD14:$IM14,"غياب بدون عذر",'KG1-3'!$AD$7:$IM$7,"✓",'KG1-3'!$AD$5:$IM$5,"&lt;="&amp;D1306))</f>
        <v/>
      </c>
      <c r="G1306">
        <f>G1305+IF(D1306="",0,1)</f>
        <v/>
      </c>
    </row>
    <row r="1307">
      <c r="A1307">
        <f>IF('KG1-3'!$B14="","",'KG1-3'!$B14)</f>
        <v/>
      </c>
      <c r="B1307">
        <f>IF(A1307="","",'KG1-3'!$C14)</f>
        <v/>
      </c>
      <c r="C1307">
        <f>IF(A1307="","",'KG1-3'!$B$2)</f>
        <v/>
      </c>
      <c r="D1307" s="126">
        <f t="array" ref="D1307">IF(A1307="","",IFERROR(SMALL(IF((('KG1-3'!$AD14:$IM14="غياب بدون عذر")+('KG1-3'!$AD14:$IM14="غياب بعذر"))*('KG1-3'!$AD$7:$IM$7="✓"),'KG1-3'!$AD$5:$IM$5),6),""))</f>
        <v/>
      </c>
      <c r="E1307">
        <f>IF(D1307="","",INDEX('KG1-3'!$AD14:$IM14,MATCH(D1307,'KG1-3'!$AD$5:$IM$5,0)))</f>
        <v/>
      </c>
      <c r="F1307">
        <f>IF(D1307="","",COUNTIFS('KG1-3'!$AD14:$IM14,"غياب بدون عذر",'KG1-3'!$AD$7:$IM$7,"✓",'KG1-3'!$AD$5:$IM$5,"&lt;="&amp;D1307))</f>
        <v/>
      </c>
      <c r="G1307">
        <f>G1306+IF(D1307="",0,1)</f>
        <v/>
      </c>
    </row>
    <row r="1308">
      <c r="A1308">
        <f>IF('KG1-3'!$B14="","",'KG1-3'!$B14)</f>
        <v/>
      </c>
      <c r="B1308">
        <f>IF(A1308="","",'KG1-3'!$C14)</f>
        <v/>
      </c>
      <c r="C1308">
        <f>IF(A1308="","",'KG1-3'!$B$2)</f>
        <v/>
      </c>
      <c r="D1308" s="126">
        <f t="array" ref="D1308">IF(A1308="","",IFERROR(SMALL(IF((('KG1-3'!$AD14:$IM14="غياب بدون عذر")+('KG1-3'!$AD14:$IM14="غياب بعذر"))*('KG1-3'!$AD$7:$IM$7="✓"),'KG1-3'!$AD$5:$IM$5),7),""))</f>
        <v/>
      </c>
      <c r="E1308">
        <f>IF(D1308="","",INDEX('KG1-3'!$AD14:$IM14,MATCH(D1308,'KG1-3'!$AD$5:$IM$5,0)))</f>
        <v/>
      </c>
      <c r="F1308">
        <f>IF(D1308="","",COUNTIFS('KG1-3'!$AD14:$IM14,"غياب بدون عذر",'KG1-3'!$AD$7:$IM$7,"✓",'KG1-3'!$AD$5:$IM$5,"&lt;="&amp;D1308))</f>
        <v/>
      </c>
      <c r="G1308">
        <f>G1307+IF(D1308="",0,1)</f>
        <v/>
      </c>
    </row>
    <row r="1309">
      <c r="A1309">
        <f>IF('KG1-3'!$B14="","",'KG1-3'!$B14)</f>
        <v/>
      </c>
      <c r="B1309">
        <f>IF(A1309="","",'KG1-3'!$C14)</f>
        <v/>
      </c>
      <c r="C1309">
        <f>IF(A1309="","",'KG1-3'!$B$2)</f>
        <v/>
      </c>
      <c r="D1309" s="126">
        <f t="array" ref="D1309">IF(A1309="","",IFERROR(SMALL(IF((('KG1-3'!$AD14:$IM14="غياب بدون عذر")+('KG1-3'!$AD14:$IM14="غياب بعذر"))*('KG1-3'!$AD$7:$IM$7="✓"),'KG1-3'!$AD$5:$IM$5),8),""))</f>
        <v/>
      </c>
      <c r="E1309">
        <f>IF(D1309="","",INDEX('KG1-3'!$AD14:$IM14,MATCH(D1309,'KG1-3'!$AD$5:$IM$5,0)))</f>
        <v/>
      </c>
      <c r="F1309">
        <f>IF(D1309="","",COUNTIFS('KG1-3'!$AD14:$IM14,"غياب بدون عذر",'KG1-3'!$AD$7:$IM$7,"✓",'KG1-3'!$AD$5:$IM$5,"&lt;="&amp;D1309))</f>
        <v/>
      </c>
      <c r="G1309">
        <f>G1308+IF(D1309="",0,1)</f>
        <v/>
      </c>
    </row>
    <row r="1310">
      <c r="A1310">
        <f>IF('KG1-3'!$B14="","",'KG1-3'!$B14)</f>
        <v/>
      </c>
      <c r="B1310">
        <f>IF(A1310="","",'KG1-3'!$C14)</f>
        <v/>
      </c>
      <c r="C1310">
        <f>IF(A1310="","",'KG1-3'!$B$2)</f>
        <v/>
      </c>
      <c r="D1310" s="126">
        <f t="array" ref="D1310">IF(A1310="","",IFERROR(SMALL(IF((('KG1-3'!$AD14:$IM14="غياب بدون عذر")+('KG1-3'!$AD14:$IM14="غياب بعذر"))*('KG1-3'!$AD$7:$IM$7="✓"),'KG1-3'!$AD$5:$IM$5),9),""))</f>
        <v/>
      </c>
      <c r="E1310">
        <f>IF(D1310="","",INDEX('KG1-3'!$AD14:$IM14,MATCH(D1310,'KG1-3'!$AD$5:$IM$5,0)))</f>
        <v/>
      </c>
      <c r="F1310">
        <f>IF(D1310="","",COUNTIFS('KG1-3'!$AD14:$IM14,"غياب بدون عذر",'KG1-3'!$AD$7:$IM$7,"✓",'KG1-3'!$AD$5:$IM$5,"&lt;="&amp;D1310))</f>
        <v/>
      </c>
      <c r="G1310">
        <f>G1309+IF(D1310="",0,1)</f>
        <v/>
      </c>
    </row>
    <row r="1311">
      <c r="A1311">
        <f>IF('KG1-3'!$B14="","",'KG1-3'!$B14)</f>
        <v/>
      </c>
      <c r="B1311">
        <f>IF(A1311="","",'KG1-3'!$C14)</f>
        <v/>
      </c>
      <c r="C1311">
        <f>IF(A1311="","",'KG1-3'!$B$2)</f>
        <v/>
      </c>
      <c r="D1311" s="126">
        <f t="array" ref="D1311">IF(A1311="","",IFERROR(SMALL(IF((('KG1-3'!$AD14:$IM14="غياب بدون عذر")+('KG1-3'!$AD14:$IM14="غياب بعذر"))*('KG1-3'!$AD$7:$IM$7="✓"),'KG1-3'!$AD$5:$IM$5),10),""))</f>
        <v/>
      </c>
      <c r="E1311">
        <f>IF(D1311="","",INDEX('KG1-3'!$AD14:$IM14,MATCH(D1311,'KG1-3'!$AD$5:$IM$5,0)))</f>
        <v/>
      </c>
      <c r="F1311">
        <f>IF(D1311="","",COUNTIFS('KG1-3'!$AD14:$IM14,"غياب بدون عذر",'KG1-3'!$AD$7:$IM$7,"✓",'KG1-3'!$AD$5:$IM$5,"&lt;="&amp;D1311))</f>
        <v/>
      </c>
      <c r="G1311">
        <f>G1310+IF(D1311="",0,1)</f>
        <v/>
      </c>
    </row>
    <row r="1312">
      <c r="A1312">
        <f>IF('KG1-3'!$B14="","",'KG1-3'!$B14)</f>
        <v/>
      </c>
      <c r="B1312">
        <f>IF(A1312="","",'KG1-3'!$C14)</f>
        <v/>
      </c>
      <c r="C1312">
        <f>IF(A1312="","",'KG1-3'!$B$2)</f>
        <v/>
      </c>
      <c r="D1312" s="126">
        <f t="array" ref="D1312">IF(A1312="","",IFERROR(SMALL(IF((('KG1-3'!$AD14:$IM14="غياب بدون عذر")+('KG1-3'!$AD14:$IM14="غياب بعذر"))*('KG1-3'!$AD$7:$IM$7="✓"),'KG1-3'!$AD$5:$IM$5),11),""))</f>
        <v/>
      </c>
      <c r="E1312">
        <f>IF(D1312="","",INDEX('KG1-3'!$AD14:$IM14,MATCH(D1312,'KG1-3'!$AD$5:$IM$5,0)))</f>
        <v/>
      </c>
      <c r="F1312">
        <f>IF(D1312="","",COUNTIFS('KG1-3'!$AD14:$IM14,"غياب بدون عذر",'KG1-3'!$AD$7:$IM$7,"✓",'KG1-3'!$AD$5:$IM$5,"&lt;="&amp;D1312))</f>
        <v/>
      </c>
      <c r="G1312">
        <f>G1311+IF(D1312="",0,1)</f>
        <v/>
      </c>
    </row>
    <row r="1313">
      <c r="A1313">
        <f>IF('KG1-3'!$B14="","",'KG1-3'!$B14)</f>
        <v/>
      </c>
      <c r="B1313">
        <f>IF(A1313="","",'KG1-3'!$C14)</f>
        <v/>
      </c>
      <c r="C1313">
        <f>IF(A1313="","",'KG1-3'!$B$2)</f>
        <v/>
      </c>
      <c r="D1313" s="126">
        <f t="array" ref="D1313">IF(A1313="","",IFERROR(SMALL(IF((('KG1-3'!$AD14:$IM14="غياب بدون عذر")+('KG1-3'!$AD14:$IM14="غياب بعذر"))*('KG1-3'!$AD$7:$IM$7="✓"),'KG1-3'!$AD$5:$IM$5),12),""))</f>
        <v/>
      </c>
      <c r="E1313">
        <f>IF(D1313="","",INDEX('KG1-3'!$AD14:$IM14,MATCH(D1313,'KG1-3'!$AD$5:$IM$5,0)))</f>
        <v/>
      </c>
      <c r="F1313">
        <f>IF(D1313="","",COUNTIFS('KG1-3'!$AD14:$IM14,"غياب بدون عذر",'KG1-3'!$AD$7:$IM$7,"✓",'KG1-3'!$AD$5:$IM$5,"&lt;="&amp;D1313))</f>
        <v/>
      </c>
      <c r="G1313">
        <f>G1312+IF(D1313="",0,1)</f>
        <v/>
      </c>
    </row>
    <row r="1314">
      <c r="A1314">
        <f>IF('KG1-3'!$B14="","",'KG1-3'!$B14)</f>
        <v/>
      </c>
      <c r="B1314">
        <f>IF(A1314="","",'KG1-3'!$C14)</f>
        <v/>
      </c>
      <c r="C1314">
        <f>IF(A1314="","",'KG1-3'!$B$2)</f>
        <v/>
      </c>
      <c r="D1314" s="126">
        <f t="array" ref="D1314">IF(A1314="","",IFERROR(SMALL(IF((('KG1-3'!$AD14:$IM14="غياب بدون عذر")+('KG1-3'!$AD14:$IM14="غياب بعذر"))*('KG1-3'!$AD$7:$IM$7="✓"),'KG1-3'!$AD$5:$IM$5),13),""))</f>
        <v/>
      </c>
      <c r="E1314">
        <f>IF(D1314="","",INDEX('KG1-3'!$AD14:$IM14,MATCH(D1314,'KG1-3'!$AD$5:$IM$5,0)))</f>
        <v/>
      </c>
      <c r="F1314">
        <f>IF(D1314="","",COUNTIFS('KG1-3'!$AD14:$IM14,"غياب بدون عذر",'KG1-3'!$AD$7:$IM$7,"✓",'KG1-3'!$AD$5:$IM$5,"&lt;="&amp;D1314))</f>
        <v/>
      </c>
      <c r="G1314">
        <f>G1313+IF(D1314="",0,1)</f>
        <v/>
      </c>
    </row>
    <row r="1315">
      <c r="A1315">
        <f>IF('KG1-3'!$B14="","",'KG1-3'!$B14)</f>
        <v/>
      </c>
      <c r="B1315">
        <f>IF(A1315="","",'KG1-3'!$C14)</f>
        <v/>
      </c>
      <c r="C1315">
        <f>IF(A1315="","",'KG1-3'!$B$2)</f>
        <v/>
      </c>
      <c r="D1315" s="126">
        <f t="array" ref="D1315">IF(A1315="","",IFERROR(SMALL(IF((('KG1-3'!$AD14:$IM14="غياب بدون عذر")+('KG1-3'!$AD14:$IM14="غياب بعذر"))*('KG1-3'!$AD$7:$IM$7="✓"),'KG1-3'!$AD$5:$IM$5),14),""))</f>
        <v/>
      </c>
      <c r="E1315">
        <f>IF(D1315="","",INDEX('KG1-3'!$AD14:$IM14,MATCH(D1315,'KG1-3'!$AD$5:$IM$5,0)))</f>
        <v/>
      </c>
      <c r="F1315">
        <f>IF(D1315="","",COUNTIFS('KG1-3'!$AD14:$IM14,"غياب بدون عذر",'KG1-3'!$AD$7:$IM$7,"✓",'KG1-3'!$AD$5:$IM$5,"&lt;="&amp;D1315))</f>
        <v/>
      </c>
      <c r="G1315">
        <f>G1314+IF(D1315="",0,1)</f>
        <v/>
      </c>
    </row>
    <row r="1316">
      <c r="A1316">
        <f>IF('KG1-3'!$B14="","",'KG1-3'!$B14)</f>
        <v/>
      </c>
      <c r="B1316">
        <f>IF(A1316="","",'KG1-3'!$C14)</f>
        <v/>
      </c>
      <c r="C1316">
        <f>IF(A1316="","",'KG1-3'!$B$2)</f>
        <v/>
      </c>
      <c r="D1316" s="126">
        <f t="array" ref="D1316">IF(A1316="","",IFERROR(SMALL(IF((('KG1-3'!$AD14:$IM14="غياب بدون عذر")+('KG1-3'!$AD14:$IM14="غياب بعذر"))*('KG1-3'!$AD$7:$IM$7="✓"),'KG1-3'!$AD$5:$IM$5),15),""))</f>
        <v/>
      </c>
      <c r="E1316">
        <f>IF(D1316="","",INDEX('KG1-3'!$AD14:$IM14,MATCH(D1316,'KG1-3'!$AD$5:$IM$5,0)))</f>
        <v/>
      </c>
      <c r="F1316">
        <f>IF(D1316="","",COUNTIFS('KG1-3'!$AD14:$IM14,"غياب بدون عذر",'KG1-3'!$AD$7:$IM$7,"✓",'KG1-3'!$AD$5:$IM$5,"&lt;="&amp;D1316))</f>
        <v/>
      </c>
      <c r="G1316">
        <f>G1315+IF(D1316="",0,1)</f>
        <v/>
      </c>
    </row>
    <row r="1317">
      <c r="A1317">
        <f>IF('KG1-3'!$B14="","",'KG1-3'!$B14)</f>
        <v/>
      </c>
      <c r="B1317">
        <f>IF(A1317="","",'KG1-3'!$C14)</f>
        <v/>
      </c>
      <c r="C1317">
        <f>IF(A1317="","",'KG1-3'!$B$2)</f>
        <v/>
      </c>
      <c r="D1317" s="126">
        <f t="array" ref="D1317">IF(A1317="","",IFERROR(SMALL(IF((('KG1-3'!$AD14:$IM14="غياب بدون عذر")+('KG1-3'!$AD14:$IM14="غياب بعذر"))*('KG1-3'!$AD$7:$IM$7="✓"),'KG1-3'!$AD$5:$IM$5),16),""))</f>
        <v/>
      </c>
      <c r="E1317">
        <f>IF(D1317="","",INDEX('KG1-3'!$AD14:$IM14,MATCH(D1317,'KG1-3'!$AD$5:$IM$5,0)))</f>
        <v/>
      </c>
      <c r="F1317">
        <f>IF(D1317="","",COUNTIFS('KG1-3'!$AD14:$IM14,"غياب بدون عذر",'KG1-3'!$AD$7:$IM$7,"✓",'KG1-3'!$AD$5:$IM$5,"&lt;="&amp;D1317))</f>
        <v/>
      </c>
      <c r="G1317">
        <f>G1316+IF(D1317="",0,1)</f>
        <v/>
      </c>
    </row>
    <row r="1318">
      <c r="A1318">
        <f>IF('KG1-3'!$B14="","",'KG1-3'!$B14)</f>
        <v/>
      </c>
      <c r="B1318">
        <f>IF(A1318="","",'KG1-3'!$C14)</f>
        <v/>
      </c>
      <c r="C1318">
        <f>IF(A1318="","",'KG1-3'!$B$2)</f>
        <v/>
      </c>
      <c r="D1318" s="126">
        <f t="array" ref="D1318">IF(A1318="","",IFERROR(SMALL(IF((('KG1-3'!$AD14:$IM14="غياب بدون عذر")+('KG1-3'!$AD14:$IM14="غياب بعذر"))*('KG1-3'!$AD$7:$IM$7="✓"),'KG1-3'!$AD$5:$IM$5),17),""))</f>
        <v/>
      </c>
      <c r="E1318">
        <f>IF(D1318="","",INDEX('KG1-3'!$AD14:$IM14,MATCH(D1318,'KG1-3'!$AD$5:$IM$5,0)))</f>
        <v/>
      </c>
      <c r="F1318">
        <f>IF(D1318="","",COUNTIFS('KG1-3'!$AD14:$IM14,"غياب بدون عذر",'KG1-3'!$AD$7:$IM$7,"✓",'KG1-3'!$AD$5:$IM$5,"&lt;="&amp;D1318))</f>
        <v/>
      </c>
      <c r="G1318">
        <f>G1317+IF(D1318="",0,1)</f>
        <v/>
      </c>
    </row>
    <row r="1319">
      <c r="A1319">
        <f>IF('KG1-3'!$B14="","",'KG1-3'!$B14)</f>
        <v/>
      </c>
      <c r="B1319">
        <f>IF(A1319="","",'KG1-3'!$C14)</f>
        <v/>
      </c>
      <c r="C1319">
        <f>IF(A1319="","",'KG1-3'!$B$2)</f>
        <v/>
      </c>
      <c r="D1319" s="126">
        <f t="array" ref="D1319">IF(A1319="","",IFERROR(SMALL(IF((('KG1-3'!$AD14:$IM14="غياب بدون عذر")+('KG1-3'!$AD14:$IM14="غياب بعذر"))*('KG1-3'!$AD$7:$IM$7="✓"),'KG1-3'!$AD$5:$IM$5),18),""))</f>
        <v/>
      </c>
      <c r="E1319">
        <f>IF(D1319="","",INDEX('KG1-3'!$AD14:$IM14,MATCH(D1319,'KG1-3'!$AD$5:$IM$5,0)))</f>
        <v/>
      </c>
      <c r="F1319">
        <f>IF(D1319="","",COUNTIFS('KG1-3'!$AD14:$IM14,"غياب بدون عذر",'KG1-3'!$AD$7:$IM$7,"✓",'KG1-3'!$AD$5:$IM$5,"&lt;="&amp;D1319))</f>
        <v/>
      </c>
      <c r="G1319">
        <f>G1318+IF(D1319="",0,1)</f>
        <v/>
      </c>
    </row>
    <row r="1320">
      <c r="A1320">
        <f>IF('KG1-3'!$B14="","",'KG1-3'!$B14)</f>
        <v/>
      </c>
      <c r="B1320">
        <f>IF(A1320="","",'KG1-3'!$C14)</f>
        <v/>
      </c>
      <c r="C1320">
        <f>IF(A1320="","",'KG1-3'!$B$2)</f>
        <v/>
      </c>
      <c r="D1320" s="126">
        <f t="array" ref="D1320">IF(A1320="","",IFERROR(SMALL(IF((('KG1-3'!$AD14:$IM14="غياب بدون عذر")+('KG1-3'!$AD14:$IM14="غياب بعذر"))*('KG1-3'!$AD$7:$IM$7="✓"),'KG1-3'!$AD$5:$IM$5),19),""))</f>
        <v/>
      </c>
      <c r="E1320">
        <f>IF(D1320="","",INDEX('KG1-3'!$AD14:$IM14,MATCH(D1320,'KG1-3'!$AD$5:$IM$5,0)))</f>
        <v/>
      </c>
      <c r="F1320">
        <f>IF(D1320="","",COUNTIFS('KG1-3'!$AD14:$IM14,"غياب بدون عذر",'KG1-3'!$AD$7:$IM$7,"✓",'KG1-3'!$AD$5:$IM$5,"&lt;="&amp;D1320))</f>
        <v/>
      </c>
      <c r="G1320">
        <f>G1319+IF(D1320="",0,1)</f>
        <v/>
      </c>
    </row>
    <row r="1321">
      <c r="A1321">
        <f>IF('KG1-3'!$B14="","",'KG1-3'!$B14)</f>
        <v/>
      </c>
      <c r="B1321">
        <f>IF(A1321="","",'KG1-3'!$C14)</f>
        <v/>
      </c>
      <c r="C1321">
        <f>IF(A1321="","",'KG1-3'!$B$2)</f>
        <v/>
      </c>
      <c r="D1321" s="126">
        <f t="array" ref="D1321">IF(A1321="","",IFERROR(SMALL(IF((('KG1-3'!$AD14:$IM14="غياب بدون عذر")+('KG1-3'!$AD14:$IM14="غياب بعذر"))*('KG1-3'!$AD$7:$IM$7="✓"),'KG1-3'!$AD$5:$IM$5),20),""))</f>
        <v/>
      </c>
      <c r="E1321">
        <f>IF(D1321="","",INDEX('KG1-3'!$AD14:$IM14,MATCH(D1321,'KG1-3'!$AD$5:$IM$5,0)))</f>
        <v/>
      </c>
      <c r="F1321">
        <f>IF(D1321="","",COUNTIFS('KG1-3'!$AD14:$IM14,"غياب بدون عذر",'KG1-3'!$AD$7:$IM$7,"✓",'KG1-3'!$AD$5:$IM$5,"&lt;="&amp;D1321))</f>
        <v/>
      </c>
      <c r="G1321">
        <f>G1320+IF(D1321="",0,1)</f>
        <v/>
      </c>
    </row>
    <row r="1322">
      <c r="A1322">
        <f>IF('KG1-3'!$B15="","",'KG1-3'!$B15)</f>
        <v/>
      </c>
      <c r="B1322">
        <f>IF(A1322="","",'KG1-3'!$C15)</f>
        <v/>
      </c>
      <c r="C1322">
        <f>IF(A1322="","",'KG1-3'!$B$2)</f>
        <v/>
      </c>
      <c r="D1322" s="126">
        <f t="array" ref="D1322">IF(A1322="","",IFERROR(SMALL(IF((('KG1-3'!$AD15:$IM15="غياب بدون عذر")+('KG1-3'!$AD15:$IM15="غياب بعذر"))*('KG1-3'!$AD$7:$IM$7="✓"),'KG1-3'!$AD$5:$IM$5),1),""))</f>
        <v/>
      </c>
      <c r="E1322">
        <f>IF(D1322="","",INDEX('KG1-3'!$AD15:$IM15,MATCH(D1322,'KG1-3'!$AD$5:$IM$5,0)))</f>
        <v/>
      </c>
      <c r="F1322">
        <f>IF(D1322="","",COUNTIFS('KG1-3'!$AD15:$IM15,"غياب بدون عذر",'KG1-3'!$AD$7:$IM$7,"✓",'KG1-3'!$AD$5:$IM$5,"&lt;="&amp;D1322))</f>
        <v/>
      </c>
      <c r="G1322">
        <f>G1321+IF(D1322="",0,1)</f>
        <v/>
      </c>
    </row>
    <row r="1323">
      <c r="A1323">
        <f>IF('KG1-3'!$B15="","",'KG1-3'!$B15)</f>
        <v/>
      </c>
      <c r="B1323">
        <f>IF(A1323="","",'KG1-3'!$C15)</f>
        <v/>
      </c>
      <c r="C1323">
        <f>IF(A1323="","",'KG1-3'!$B$2)</f>
        <v/>
      </c>
      <c r="D1323" s="126">
        <f t="array" ref="D1323">IF(A1323="","",IFERROR(SMALL(IF((('KG1-3'!$AD15:$IM15="غياب بدون عذر")+('KG1-3'!$AD15:$IM15="غياب بعذر"))*('KG1-3'!$AD$7:$IM$7="✓"),'KG1-3'!$AD$5:$IM$5),2),""))</f>
        <v/>
      </c>
      <c r="E1323">
        <f>IF(D1323="","",INDEX('KG1-3'!$AD15:$IM15,MATCH(D1323,'KG1-3'!$AD$5:$IM$5,0)))</f>
        <v/>
      </c>
      <c r="F1323">
        <f>IF(D1323="","",COUNTIFS('KG1-3'!$AD15:$IM15,"غياب بدون عذر",'KG1-3'!$AD$7:$IM$7,"✓",'KG1-3'!$AD$5:$IM$5,"&lt;="&amp;D1323))</f>
        <v/>
      </c>
      <c r="G1323">
        <f>G1322+IF(D1323="",0,1)</f>
        <v/>
      </c>
    </row>
    <row r="1324">
      <c r="A1324">
        <f>IF('KG1-3'!$B15="","",'KG1-3'!$B15)</f>
        <v/>
      </c>
      <c r="B1324">
        <f>IF(A1324="","",'KG1-3'!$C15)</f>
        <v/>
      </c>
      <c r="C1324">
        <f>IF(A1324="","",'KG1-3'!$B$2)</f>
        <v/>
      </c>
      <c r="D1324" s="126">
        <f t="array" ref="D1324">IF(A1324="","",IFERROR(SMALL(IF((('KG1-3'!$AD15:$IM15="غياب بدون عذر")+('KG1-3'!$AD15:$IM15="غياب بعذر"))*('KG1-3'!$AD$7:$IM$7="✓"),'KG1-3'!$AD$5:$IM$5),3),""))</f>
        <v/>
      </c>
      <c r="E1324">
        <f>IF(D1324="","",INDEX('KG1-3'!$AD15:$IM15,MATCH(D1324,'KG1-3'!$AD$5:$IM$5,0)))</f>
        <v/>
      </c>
      <c r="F1324">
        <f>IF(D1324="","",COUNTIFS('KG1-3'!$AD15:$IM15,"غياب بدون عذر",'KG1-3'!$AD$7:$IM$7,"✓",'KG1-3'!$AD$5:$IM$5,"&lt;="&amp;D1324))</f>
        <v/>
      </c>
      <c r="G1324">
        <f>G1323+IF(D1324="",0,1)</f>
        <v/>
      </c>
    </row>
    <row r="1325">
      <c r="A1325">
        <f>IF('KG1-3'!$B15="","",'KG1-3'!$B15)</f>
        <v/>
      </c>
      <c r="B1325">
        <f>IF(A1325="","",'KG1-3'!$C15)</f>
        <v/>
      </c>
      <c r="C1325">
        <f>IF(A1325="","",'KG1-3'!$B$2)</f>
        <v/>
      </c>
      <c r="D1325" s="126">
        <f t="array" ref="D1325">IF(A1325="","",IFERROR(SMALL(IF((('KG1-3'!$AD15:$IM15="غياب بدون عذر")+('KG1-3'!$AD15:$IM15="غياب بعذر"))*('KG1-3'!$AD$7:$IM$7="✓"),'KG1-3'!$AD$5:$IM$5),4),""))</f>
        <v/>
      </c>
      <c r="E1325">
        <f>IF(D1325="","",INDEX('KG1-3'!$AD15:$IM15,MATCH(D1325,'KG1-3'!$AD$5:$IM$5,0)))</f>
        <v/>
      </c>
      <c r="F1325">
        <f>IF(D1325="","",COUNTIFS('KG1-3'!$AD15:$IM15,"غياب بدون عذر",'KG1-3'!$AD$7:$IM$7,"✓",'KG1-3'!$AD$5:$IM$5,"&lt;="&amp;D1325))</f>
        <v/>
      </c>
      <c r="G1325">
        <f>G1324+IF(D1325="",0,1)</f>
        <v/>
      </c>
    </row>
    <row r="1326">
      <c r="A1326">
        <f>IF('KG1-3'!$B15="","",'KG1-3'!$B15)</f>
        <v/>
      </c>
      <c r="B1326">
        <f>IF(A1326="","",'KG1-3'!$C15)</f>
        <v/>
      </c>
      <c r="C1326">
        <f>IF(A1326="","",'KG1-3'!$B$2)</f>
        <v/>
      </c>
      <c r="D1326" s="126">
        <f t="array" ref="D1326">IF(A1326="","",IFERROR(SMALL(IF((('KG1-3'!$AD15:$IM15="غياب بدون عذر")+('KG1-3'!$AD15:$IM15="غياب بعذر"))*('KG1-3'!$AD$7:$IM$7="✓"),'KG1-3'!$AD$5:$IM$5),5),""))</f>
        <v/>
      </c>
      <c r="E1326">
        <f>IF(D1326="","",INDEX('KG1-3'!$AD15:$IM15,MATCH(D1326,'KG1-3'!$AD$5:$IM$5,0)))</f>
        <v/>
      </c>
      <c r="F1326">
        <f>IF(D1326="","",COUNTIFS('KG1-3'!$AD15:$IM15,"غياب بدون عذر",'KG1-3'!$AD$7:$IM$7,"✓",'KG1-3'!$AD$5:$IM$5,"&lt;="&amp;D1326))</f>
        <v/>
      </c>
      <c r="G1326">
        <f>G1325+IF(D1326="",0,1)</f>
        <v/>
      </c>
    </row>
    <row r="1327">
      <c r="A1327">
        <f>IF('KG1-3'!$B15="","",'KG1-3'!$B15)</f>
        <v/>
      </c>
      <c r="B1327">
        <f>IF(A1327="","",'KG1-3'!$C15)</f>
        <v/>
      </c>
      <c r="C1327">
        <f>IF(A1327="","",'KG1-3'!$B$2)</f>
        <v/>
      </c>
      <c r="D1327" s="126">
        <f t="array" ref="D1327">IF(A1327="","",IFERROR(SMALL(IF((('KG1-3'!$AD15:$IM15="غياب بدون عذر")+('KG1-3'!$AD15:$IM15="غياب بعذر"))*('KG1-3'!$AD$7:$IM$7="✓"),'KG1-3'!$AD$5:$IM$5),6),""))</f>
        <v/>
      </c>
      <c r="E1327">
        <f>IF(D1327="","",INDEX('KG1-3'!$AD15:$IM15,MATCH(D1327,'KG1-3'!$AD$5:$IM$5,0)))</f>
        <v/>
      </c>
      <c r="F1327">
        <f>IF(D1327="","",COUNTIFS('KG1-3'!$AD15:$IM15,"غياب بدون عذر",'KG1-3'!$AD$7:$IM$7,"✓",'KG1-3'!$AD$5:$IM$5,"&lt;="&amp;D1327))</f>
        <v/>
      </c>
      <c r="G1327">
        <f>G1326+IF(D1327="",0,1)</f>
        <v/>
      </c>
    </row>
    <row r="1328">
      <c r="A1328">
        <f>IF('KG1-3'!$B15="","",'KG1-3'!$B15)</f>
        <v/>
      </c>
      <c r="B1328">
        <f>IF(A1328="","",'KG1-3'!$C15)</f>
        <v/>
      </c>
      <c r="C1328">
        <f>IF(A1328="","",'KG1-3'!$B$2)</f>
        <v/>
      </c>
      <c r="D1328" s="126">
        <f t="array" ref="D1328">IF(A1328="","",IFERROR(SMALL(IF((('KG1-3'!$AD15:$IM15="غياب بدون عذر")+('KG1-3'!$AD15:$IM15="غياب بعذر"))*('KG1-3'!$AD$7:$IM$7="✓"),'KG1-3'!$AD$5:$IM$5),7),""))</f>
        <v/>
      </c>
      <c r="E1328">
        <f>IF(D1328="","",INDEX('KG1-3'!$AD15:$IM15,MATCH(D1328,'KG1-3'!$AD$5:$IM$5,0)))</f>
        <v/>
      </c>
      <c r="F1328">
        <f>IF(D1328="","",COUNTIFS('KG1-3'!$AD15:$IM15,"غياب بدون عذر",'KG1-3'!$AD$7:$IM$7,"✓",'KG1-3'!$AD$5:$IM$5,"&lt;="&amp;D1328))</f>
        <v/>
      </c>
      <c r="G1328">
        <f>G1327+IF(D1328="",0,1)</f>
        <v/>
      </c>
    </row>
    <row r="1329">
      <c r="A1329">
        <f>IF('KG1-3'!$B15="","",'KG1-3'!$B15)</f>
        <v/>
      </c>
      <c r="B1329">
        <f>IF(A1329="","",'KG1-3'!$C15)</f>
        <v/>
      </c>
      <c r="C1329">
        <f>IF(A1329="","",'KG1-3'!$B$2)</f>
        <v/>
      </c>
      <c r="D1329" s="126">
        <f t="array" ref="D1329">IF(A1329="","",IFERROR(SMALL(IF((('KG1-3'!$AD15:$IM15="غياب بدون عذر")+('KG1-3'!$AD15:$IM15="غياب بعذر"))*('KG1-3'!$AD$7:$IM$7="✓"),'KG1-3'!$AD$5:$IM$5),8),""))</f>
        <v/>
      </c>
      <c r="E1329">
        <f>IF(D1329="","",INDEX('KG1-3'!$AD15:$IM15,MATCH(D1329,'KG1-3'!$AD$5:$IM$5,0)))</f>
        <v/>
      </c>
      <c r="F1329">
        <f>IF(D1329="","",COUNTIFS('KG1-3'!$AD15:$IM15,"غياب بدون عذر",'KG1-3'!$AD$7:$IM$7,"✓",'KG1-3'!$AD$5:$IM$5,"&lt;="&amp;D1329))</f>
        <v/>
      </c>
      <c r="G1329">
        <f>G1328+IF(D1329="",0,1)</f>
        <v/>
      </c>
    </row>
    <row r="1330">
      <c r="A1330">
        <f>IF('KG1-3'!$B15="","",'KG1-3'!$B15)</f>
        <v/>
      </c>
      <c r="B1330">
        <f>IF(A1330="","",'KG1-3'!$C15)</f>
        <v/>
      </c>
      <c r="C1330">
        <f>IF(A1330="","",'KG1-3'!$B$2)</f>
        <v/>
      </c>
      <c r="D1330" s="126">
        <f t="array" ref="D1330">IF(A1330="","",IFERROR(SMALL(IF((('KG1-3'!$AD15:$IM15="غياب بدون عذر")+('KG1-3'!$AD15:$IM15="غياب بعذر"))*('KG1-3'!$AD$7:$IM$7="✓"),'KG1-3'!$AD$5:$IM$5),9),""))</f>
        <v/>
      </c>
      <c r="E1330">
        <f>IF(D1330="","",INDEX('KG1-3'!$AD15:$IM15,MATCH(D1330,'KG1-3'!$AD$5:$IM$5,0)))</f>
        <v/>
      </c>
      <c r="F1330">
        <f>IF(D1330="","",COUNTIFS('KG1-3'!$AD15:$IM15,"غياب بدون عذر",'KG1-3'!$AD$7:$IM$7,"✓",'KG1-3'!$AD$5:$IM$5,"&lt;="&amp;D1330))</f>
        <v/>
      </c>
      <c r="G1330">
        <f>G1329+IF(D1330="",0,1)</f>
        <v/>
      </c>
    </row>
    <row r="1331">
      <c r="A1331">
        <f>IF('KG1-3'!$B15="","",'KG1-3'!$B15)</f>
        <v/>
      </c>
      <c r="B1331">
        <f>IF(A1331="","",'KG1-3'!$C15)</f>
        <v/>
      </c>
      <c r="C1331">
        <f>IF(A1331="","",'KG1-3'!$B$2)</f>
        <v/>
      </c>
      <c r="D1331" s="126">
        <f t="array" ref="D1331">IF(A1331="","",IFERROR(SMALL(IF((('KG1-3'!$AD15:$IM15="غياب بدون عذر")+('KG1-3'!$AD15:$IM15="غياب بعذر"))*('KG1-3'!$AD$7:$IM$7="✓"),'KG1-3'!$AD$5:$IM$5),10),""))</f>
        <v/>
      </c>
      <c r="E1331">
        <f>IF(D1331="","",INDEX('KG1-3'!$AD15:$IM15,MATCH(D1331,'KG1-3'!$AD$5:$IM$5,0)))</f>
        <v/>
      </c>
      <c r="F1331">
        <f>IF(D1331="","",COUNTIFS('KG1-3'!$AD15:$IM15,"غياب بدون عذر",'KG1-3'!$AD$7:$IM$7,"✓",'KG1-3'!$AD$5:$IM$5,"&lt;="&amp;D1331))</f>
        <v/>
      </c>
      <c r="G1331">
        <f>G1330+IF(D1331="",0,1)</f>
        <v/>
      </c>
    </row>
    <row r="1332">
      <c r="A1332">
        <f>IF('KG1-3'!$B15="","",'KG1-3'!$B15)</f>
        <v/>
      </c>
      <c r="B1332">
        <f>IF(A1332="","",'KG1-3'!$C15)</f>
        <v/>
      </c>
      <c r="C1332">
        <f>IF(A1332="","",'KG1-3'!$B$2)</f>
        <v/>
      </c>
      <c r="D1332" s="126">
        <f t="array" ref="D1332">IF(A1332="","",IFERROR(SMALL(IF((('KG1-3'!$AD15:$IM15="غياب بدون عذر")+('KG1-3'!$AD15:$IM15="غياب بعذر"))*('KG1-3'!$AD$7:$IM$7="✓"),'KG1-3'!$AD$5:$IM$5),11),""))</f>
        <v/>
      </c>
      <c r="E1332">
        <f>IF(D1332="","",INDEX('KG1-3'!$AD15:$IM15,MATCH(D1332,'KG1-3'!$AD$5:$IM$5,0)))</f>
        <v/>
      </c>
      <c r="F1332">
        <f>IF(D1332="","",COUNTIFS('KG1-3'!$AD15:$IM15,"غياب بدون عذر",'KG1-3'!$AD$7:$IM$7,"✓",'KG1-3'!$AD$5:$IM$5,"&lt;="&amp;D1332))</f>
        <v/>
      </c>
      <c r="G1332">
        <f>G1331+IF(D1332="",0,1)</f>
        <v/>
      </c>
    </row>
    <row r="1333">
      <c r="A1333">
        <f>IF('KG1-3'!$B15="","",'KG1-3'!$B15)</f>
        <v/>
      </c>
      <c r="B1333">
        <f>IF(A1333="","",'KG1-3'!$C15)</f>
        <v/>
      </c>
      <c r="C1333">
        <f>IF(A1333="","",'KG1-3'!$B$2)</f>
        <v/>
      </c>
      <c r="D1333" s="126">
        <f t="array" ref="D1333">IF(A1333="","",IFERROR(SMALL(IF((('KG1-3'!$AD15:$IM15="غياب بدون عذر")+('KG1-3'!$AD15:$IM15="غياب بعذر"))*('KG1-3'!$AD$7:$IM$7="✓"),'KG1-3'!$AD$5:$IM$5),12),""))</f>
        <v/>
      </c>
      <c r="E1333">
        <f>IF(D1333="","",INDEX('KG1-3'!$AD15:$IM15,MATCH(D1333,'KG1-3'!$AD$5:$IM$5,0)))</f>
        <v/>
      </c>
      <c r="F1333">
        <f>IF(D1333="","",COUNTIFS('KG1-3'!$AD15:$IM15,"غياب بدون عذر",'KG1-3'!$AD$7:$IM$7,"✓",'KG1-3'!$AD$5:$IM$5,"&lt;="&amp;D1333))</f>
        <v/>
      </c>
      <c r="G1333">
        <f>G1332+IF(D1333="",0,1)</f>
        <v/>
      </c>
    </row>
    <row r="1334">
      <c r="A1334">
        <f>IF('KG1-3'!$B15="","",'KG1-3'!$B15)</f>
        <v/>
      </c>
      <c r="B1334">
        <f>IF(A1334="","",'KG1-3'!$C15)</f>
        <v/>
      </c>
      <c r="C1334">
        <f>IF(A1334="","",'KG1-3'!$B$2)</f>
        <v/>
      </c>
      <c r="D1334" s="126">
        <f t="array" ref="D1334">IF(A1334="","",IFERROR(SMALL(IF((('KG1-3'!$AD15:$IM15="غياب بدون عذر")+('KG1-3'!$AD15:$IM15="غياب بعذر"))*('KG1-3'!$AD$7:$IM$7="✓"),'KG1-3'!$AD$5:$IM$5),13),""))</f>
        <v/>
      </c>
      <c r="E1334">
        <f>IF(D1334="","",INDEX('KG1-3'!$AD15:$IM15,MATCH(D1334,'KG1-3'!$AD$5:$IM$5,0)))</f>
        <v/>
      </c>
      <c r="F1334">
        <f>IF(D1334="","",COUNTIFS('KG1-3'!$AD15:$IM15,"غياب بدون عذر",'KG1-3'!$AD$7:$IM$7,"✓",'KG1-3'!$AD$5:$IM$5,"&lt;="&amp;D1334))</f>
        <v/>
      </c>
      <c r="G1334">
        <f>G1333+IF(D1334="",0,1)</f>
        <v/>
      </c>
    </row>
    <row r="1335">
      <c r="A1335">
        <f>IF('KG1-3'!$B15="","",'KG1-3'!$B15)</f>
        <v/>
      </c>
      <c r="B1335">
        <f>IF(A1335="","",'KG1-3'!$C15)</f>
        <v/>
      </c>
      <c r="C1335">
        <f>IF(A1335="","",'KG1-3'!$B$2)</f>
        <v/>
      </c>
      <c r="D1335" s="126">
        <f t="array" ref="D1335">IF(A1335="","",IFERROR(SMALL(IF((('KG1-3'!$AD15:$IM15="غياب بدون عذر")+('KG1-3'!$AD15:$IM15="غياب بعذر"))*('KG1-3'!$AD$7:$IM$7="✓"),'KG1-3'!$AD$5:$IM$5),14),""))</f>
        <v/>
      </c>
      <c r="E1335">
        <f>IF(D1335="","",INDEX('KG1-3'!$AD15:$IM15,MATCH(D1335,'KG1-3'!$AD$5:$IM$5,0)))</f>
        <v/>
      </c>
      <c r="F1335">
        <f>IF(D1335="","",COUNTIFS('KG1-3'!$AD15:$IM15,"غياب بدون عذر",'KG1-3'!$AD$7:$IM$7,"✓",'KG1-3'!$AD$5:$IM$5,"&lt;="&amp;D1335))</f>
        <v/>
      </c>
      <c r="G1335">
        <f>G1334+IF(D1335="",0,1)</f>
        <v/>
      </c>
    </row>
    <row r="1336">
      <c r="A1336">
        <f>IF('KG1-3'!$B15="","",'KG1-3'!$B15)</f>
        <v/>
      </c>
      <c r="B1336">
        <f>IF(A1336="","",'KG1-3'!$C15)</f>
        <v/>
      </c>
      <c r="C1336">
        <f>IF(A1336="","",'KG1-3'!$B$2)</f>
        <v/>
      </c>
      <c r="D1336" s="126">
        <f t="array" ref="D1336">IF(A1336="","",IFERROR(SMALL(IF((('KG1-3'!$AD15:$IM15="غياب بدون عذر")+('KG1-3'!$AD15:$IM15="غياب بعذر"))*('KG1-3'!$AD$7:$IM$7="✓"),'KG1-3'!$AD$5:$IM$5),15),""))</f>
        <v/>
      </c>
      <c r="E1336">
        <f>IF(D1336="","",INDEX('KG1-3'!$AD15:$IM15,MATCH(D1336,'KG1-3'!$AD$5:$IM$5,0)))</f>
        <v/>
      </c>
      <c r="F1336">
        <f>IF(D1336="","",COUNTIFS('KG1-3'!$AD15:$IM15,"غياب بدون عذر",'KG1-3'!$AD$7:$IM$7,"✓",'KG1-3'!$AD$5:$IM$5,"&lt;="&amp;D1336))</f>
        <v/>
      </c>
      <c r="G1336">
        <f>G1335+IF(D1336="",0,1)</f>
        <v/>
      </c>
    </row>
    <row r="1337">
      <c r="A1337">
        <f>IF('KG1-3'!$B15="","",'KG1-3'!$B15)</f>
        <v/>
      </c>
      <c r="B1337">
        <f>IF(A1337="","",'KG1-3'!$C15)</f>
        <v/>
      </c>
      <c r="C1337">
        <f>IF(A1337="","",'KG1-3'!$B$2)</f>
        <v/>
      </c>
      <c r="D1337" s="126">
        <f t="array" ref="D1337">IF(A1337="","",IFERROR(SMALL(IF((('KG1-3'!$AD15:$IM15="غياب بدون عذر")+('KG1-3'!$AD15:$IM15="غياب بعذر"))*('KG1-3'!$AD$7:$IM$7="✓"),'KG1-3'!$AD$5:$IM$5),16),""))</f>
        <v/>
      </c>
      <c r="E1337">
        <f>IF(D1337="","",INDEX('KG1-3'!$AD15:$IM15,MATCH(D1337,'KG1-3'!$AD$5:$IM$5,0)))</f>
        <v/>
      </c>
      <c r="F1337">
        <f>IF(D1337="","",COUNTIFS('KG1-3'!$AD15:$IM15,"غياب بدون عذر",'KG1-3'!$AD$7:$IM$7,"✓",'KG1-3'!$AD$5:$IM$5,"&lt;="&amp;D1337))</f>
        <v/>
      </c>
      <c r="G1337">
        <f>G1336+IF(D1337="",0,1)</f>
        <v/>
      </c>
    </row>
    <row r="1338">
      <c r="A1338">
        <f>IF('KG1-3'!$B15="","",'KG1-3'!$B15)</f>
        <v/>
      </c>
      <c r="B1338">
        <f>IF(A1338="","",'KG1-3'!$C15)</f>
        <v/>
      </c>
      <c r="C1338">
        <f>IF(A1338="","",'KG1-3'!$B$2)</f>
        <v/>
      </c>
      <c r="D1338" s="126">
        <f t="array" ref="D1338">IF(A1338="","",IFERROR(SMALL(IF((('KG1-3'!$AD15:$IM15="غياب بدون عذر")+('KG1-3'!$AD15:$IM15="غياب بعذر"))*('KG1-3'!$AD$7:$IM$7="✓"),'KG1-3'!$AD$5:$IM$5),17),""))</f>
        <v/>
      </c>
      <c r="E1338">
        <f>IF(D1338="","",INDEX('KG1-3'!$AD15:$IM15,MATCH(D1338,'KG1-3'!$AD$5:$IM$5,0)))</f>
        <v/>
      </c>
      <c r="F1338">
        <f>IF(D1338="","",COUNTIFS('KG1-3'!$AD15:$IM15,"غياب بدون عذر",'KG1-3'!$AD$7:$IM$7,"✓",'KG1-3'!$AD$5:$IM$5,"&lt;="&amp;D1338))</f>
        <v/>
      </c>
      <c r="G1338">
        <f>G1337+IF(D1338="",0,1)</f>
        <v/>
      </c>
    </row>
    <row r="1339">
      <c r="A1339">
        <f>IF('KG1-3'!$B15="","",'KG1-3'!$B15)</f>
        <v/>
      </c>
      <c r="B1339">
        <f>IF(A1339="","",'KG1-3'!$C15)</f>
        <v/>
      </c>
      <c r="C1339">
        <f>IF(A1339="","",'KG1-3'!$B$2)</f>
        <v/>
      </c>
      <c r="D1339" s="126">
        <f t="array" ref="D1339">IF(A1339="","",IFERROR(SMALL(IF((('KG1-3'!$AD15:$IM15="غياب بدون عذر")+('KG1-3'!$AD15:$IM15="غياب بعذر"))*('KG1-3'!$AD$7:$IM$7="✓"),'KG1-3'!$AD$5:$IM$5),18),""))</f>
        <v/>
      </c>
      <c r="E1339">
        <f>IF(D1339="","",INDEX('KG1-3'!$AD15:$IM15,MATCH(D1339,'KG1-3'!$AD$5:$IM$5,0)))</f>
        <v/>
      </c>
      <c r="F1339">
        <f>IF(D1339="","",COUNTIFS('KG1-3'!$AD15:$IM15,"غياب بدون عذر",'KG1-3'!$AD$7:$IM$7,"✓",'KG1-3'!$AD$5:$IM$5,"&lt;="&amp;D1339))</f>
        <v/>
      </c>
      <c r="G1339">
        <f>G1338+IF(D1339="",0,1)</f>
        <v/>
      </c>
    </row>
    <row r="1340">
      <c r="A1340">
        <f>IF('KG1-3'!$B15="","",'KG1-3'!$B15)</f>
        <v/>
      </c>
      <c r="B1340">
        <f>IF(A1340="","",'KG1-3'!$C15)</f>
        <v/>
      </c>
      <c r="C1340">
        <f>IF(A1340="","",'KG1-3'!$B$2)</f>
        <v/>
      </c>
      <c r="D1340" s="126">
        <f t="array" ref="D1340">IF(A1340="","",IFERROR(SMALL(IF((('KG1-3'!$AD15:$IM15="غياب بدون عذر")+('KG1-3'!$AD15:$IM15="غياب بعذر"))*('KG1-3'!$AD$7:$IM$7="✓"),'KG1-3'!$AD$5:$IM$5),19),""))</f>
        <v/>
      </c>
      <c r="E1340">
        <f>IF(D1340="","",INDEX('KG1-3'!$AD15:$IM15,MATCH(D1340,'KG1-3'!$AD$5:$IM$5,0)))</f>
        <v/>
      </c>
      <c r="F1340">
        <f>IF(D1340="","",COUNTIFS('KG1-3'!$AD15:$IM15,"غياب بدون عذر",'KG1-3'!$AD$7:$IM$7,"✓",'KG1-3'!$AD$5:$IM$5,"&lt;="&amp;D1340))</f>
        <v/>
      </c>
      <c r="G1340">
        <f>G1339+IF(D1340="",0,1)</f>
        <v/>
      </c>
    </row>
    <row r="1341">
      <c r="A1341">
        <f>IF('KG1-3'!$B15="","",'KG1-3'!$B15)</f>
        <v/>
      </c>
      <c r="B1341">
        <f>IF(A1341="","",'KG1-3'!$C15)</f>
        <v/>
      </c>
      <c r="C1341">
        <f>IF(A1341="","",'KG1-3'!$B$2)</f>
        <v/>
      </c>
      <c r="D1341" s="126">
        <f t="array" ref="D1341">IF(A1341="","",IFERROR(SMALL(IF((('KG1-3'!$AD15:$IM15="غياب بدون عذر")+('KG1-3'!$AD15:$IM15="غياب بعذر"))*('KG1-3'!$AD$7:$IM$7="✓"),'KG1-3'!$AD$5:$IM$5),20),""))</f>
        <v/>
      </c>
      <c r="E1341">
        <f>IF(D1341="","",INDEX('KG1-3'!$AD15:$IM15,MATCH(D1341,'KG1-3'!$AD$5:$IM$5,0)))</f>
        <v/>
      </c>
      <c r="F1341">
        <f>IF(D1341="","",COUNTIFS('KG1-3'!$AD15:$IM15,"غياب بدون عذر",'KG1-3'!$AD$7:$IM$7,"✓",'KG1-3'!$AD$5:$IM$5,"&lt;="&amp;D1341))</f>
        <v/>
      </c>
      <c r="G1341">
        <f>G1340+IF(D1341="",0,1)</f>
        <v/>
      </c>
    </row>
    <row r="1342">
      <c r="A1342">
        <f>IF('KG1-3'!$B16="","",'KG1-3'!$B16)</f>
        <v/>
      </c>
      <c r="B1342">
        <f>IF(A1342="","",'KG1-3'!$C16)</f>
        <v/>
      </c>
      <c r="C1342">
        <f>IF(A1342="","",'KG1-3'!$B$2)</f>
        <v/>
      </c>
      <c r="D1342" s="126">
        <f t="array" ref="D1342">IF(A1342="","",IFERROR(SMALL(IF((('KG1-3'!$AD16:$IM16="غياب بدون عذر")+('KG1-3'!$AD16:$IM16="غياب بعذر"))*('KG1-3'!$AD$7:$IM$7="✓"),'KG1-3'!$AD$5:$IM$5),1),""))</f>
        <v/>
      </c>
      <c r="E1342">
        <f>IF(D1342="","",INDEX('KG1-3'!$AD16:$IM16,MATCH(D1342,'KG1-3'!$AD$5:$IM$5,0)))</f>
        <v/>
      </c>
      <c r="F1342">
        <f>IF(D1342="","",COUNTIFS('KG1-3'!$AD16:$IM16,"غياب بدون عذر",'KG1-3'!$AD$7:$IM$7,"✓",'KG1-3'!$AD$5:$IM$5,"&lt;="&amp;D1342))</f>
        <v/>
      </c>
      <c r="G1342">
        <f>G1341+IF(D1342="",0,1)</f>
        <v/>
      </c>
    </row>
    <row r="1343">
      <c r="A1343">
        <f>IF('KG1-3'!$B16="","",'KG1-3'!$B16)</f>
        <v/>
      </c>
      <c r="B1343">
        <f>IF(A1343="","",'KG1-3'!$C16)</f>
        <v/>
      </c>
      <c r="C1343">
        <f>IF(A1343="","",'KG1-3'!$B$2)</f>
        <v/>
      </c>
      <c r="D1343" s="126">
        <f t="array" ref="D1343">IF(A1343="","",IFERROR(SMALL(IF((('KG1-3'!$AD16:$IM16="غياب بدون عذر")+('KG1-3'!$AD16:$IM16="غياب بعذر"))*('KG1-3'!$AD$7:$IM$7="✓"),'KG1-3'!$AD$5:$IM$5),2),""))</f>
        <v/>
      </c>
      <c r="E1343">
        <f>IF(D1343="","",INDEX('KG1-3'!$AD16:$IM16,MATCH(D1343,'KG1-3'!$AD$5:$IM$5,0)))</f>
        <v/>
      </c>
      <c r="F1343">
        <f>IF(D1343="","",COUNTIFS('KG1-3'!$AD16:$IM16,"غياب بدون عذر",'KG1-3'!$AD$7:$IM$7,"✓",'KG1-3'!$AD$5:$IM$5,"&lt;="&amp;D1343))</f>
        <v/>
      </c>
      <c r="G1343">
        <f>G1342+IF(D1343="",0,1)</f>
        <v/>
      </c>
    </row>
    <row r="1344">
      <c r="A1344">
        <f>IF('KG1-3'!$B16="","",'KG1-3'!$B16)</f>
        <v/>
      </c>
      <c r="B1344">
        <f>IF(A1344="","",'KG1-3'!$C16)</f>
        <v/>
      </c>
      <c r="C1344">
        <f>IF(A1344="","",'KG1-3'!$B$2)</f>
        <v/>
      </c>
      <c r="D1344" s="126">
        <f t="array" ref="D1344">IF(A1344="","",IFERROR(SMALL(IF((('KG1-3'!$AD16:$IM16="غياب بدون عذر")+('KG1-3'!$AD16:$IM16="غياب بعذر"))*('KG1-3'!$AD$7:$IM$7="✓"),'KG1-3'!$AD$5:$IM$5),3),""))</f>
        <v/>
      </c>
      <c r="E1344">
        <f>IF(D1344="","",INDEX('KG1-3'!$AD16:$IM16,MATCH(D1344,'KG1-3'!$AD$5:$IM$5,0)))</f>
        <v/>
      </c>
      <c r="F1344">
        <f>IF(D1344="","",COUNTIFS('KG1-3'!$AD16:$IM16,"غياب بدون عذر",'KG1-3'!$AD$7:$IM$7,"✓",'KG1-3'!$AD$5:$IM$5,"&lt;="&amp;D1344))</f>
        <v/>
      </c>
      <c r="G1344">
        <f>G1343+IF(D1344="",0,1)</f>
        <v/>
      </c>
    </row>
    <row r="1345">
      <c r="A1345">
        <f>IF('KG1-3'!$B16="","",'KG1-3'!$B16)</f>
        <v/>
      </c>
      <c r="B1345">
        <f>IF(A1345="","",'KG1-3'!$C16)</f>
        <v/>
      </c>
      <c r="C1345">
        <f>IF(A1345="","",'KG1-3'!$B$2)</f>
        <v/>
      </c>
      <c r="D1345" s="126">
        <f t="array" ref="D1345">IF(A1345="","",IFERROR(SMALL(IF((('KG1-3'!$AD16:$IM16="غياب بدون عذر")+('KG1-3'!$AD16:$IM16="غياب بعذر"))*('KG1-3'!$AD$7:$IM$7="✓"),'KG1-3'!$AD$5:$IM$5),4),""))</f>
        <v/>
      </c>
      <c r="E1345">
        <f>IF(D1345="","",INDEX('KG1-3'!$AD16:$IM16,MATCH(D1345,'KG1-3'!$AD$5:$IM$5,0)))</f>
        <v/>
      </c>
      <c r="F1345">
        <f>IF(D1345="","",COUNTIFS('KG1-3'!$AD16:$IM16,"غياب بدون عذر",'KG1-3'!$AD$7:$IM$7,"✓",'KG1-3'!$AD$5:$IM$5,"&lt;="&amp;D1345))</f>
        <v/>
      </c>
      <c r="G1345">
        <f>G1344+IF(D1345="",0,1)</f>
        <v/>
      </c>
    </row>
    <row r="1346">
      <c r="A1346">
        <f>IF('KG1-3'!$B16="","",'KG1-3'!$B16)</f>
        <v/>
      </c>
      <c r="B1346">
        <f>IF(A1346="","",'KG1-3'!$C16)</f>
        <v/>
      </c>
      <c r="C1346">
        <f>IF(A1346="","",'KG1-3'!$B$2)</f>
        <v/>
      </c>
      <c r="D1346" s="126">
        <f t="array" ref="D1346">IF(A1346="","",IFERROR(SMALL(IF((('KG1-3'!$AD16:$IM16="غياب بدون عذر")+('KG1-3'!$AD16:$IM16="غياب بعذر"))*('KG1-3'!$AD$7:$IM$7="✓"),'KG1-3'!$AD$5:$IM$5),5),""))</f>
        <v/>
      </c>
      <c r="E1346">
        <f>IF(D1346="","",INDEX('KG1-3'!$AD16:$IM16,MATCH(D1346,'KG1-3'!$AD$5:$IM$5,0)))</f>
        <v/>
      </c>
      <c r="F1346">
        <f>IF(D1346="","",COUNTIFS('KG1-3'!$AD16:$IM16,"غياب بدون عذر",'KG1-3'!$AD$7:$IM$7,"✓",'KG1-3'!$AD$5:$IM$5,"&lt;="&amp;D1346))</f>
        <v/>
      </c>
      <c r="G1346">
        <f>G1345+IF(D1346="",0,1)</f>
        <v/>
      </c>
    </row>
    <row r="1347">
      <c r="A1347">
        <f>IF('KG1-3'!$B16="","",'KG1-3'!$B16)</f>
        <v/>
      </c>
      <c r="B1347">
        <f>IF(A1347="","",'KG1-3'!$C16)</f>
        <v/>
      </c>
      <c r="C1347">
        <f>IF(A1347="","",'KG1-3'!$B$2)</f>
        <v/>
      </c>
      <c r="D1347" s="126">
        <f t="array" ref="D1347">IF(A1347="","",IFERROR(SMALL(IF((('KG1-3'!$AD16:$IM16="غياب بدون عذر")+('KG1-3'!$AD16:$IM16="غياب بعذر"))*('KG1-3'!$AD$7:$IM$7="✓"),'KG1-3'!$AD$5:$IM$5),6),""))</f>
        <v/>
      </c>
      <c r="E1347">
        <f>IF(D1347="","",INDEX('KG1-3'!$AD16:$IM16,MATCH(D1347,'KG1-3'!$AD$5:$IM$5,0)))</f>
        <v/>
      </c>
      <c r="F1347">
        <f>IF(D1347="","",COUNTIFS('KG1-3'!$AD16:$IM16,"غياب بدون عذر",'KG1-3'!$AD$7:$IM$7,"✓",'KG1-3'!$AD$5:$IM$5,"&lt;="&amp;D1347))</f>
        <v/>
      </c>
      <c r="G1347">
        <f>G1346+IF(D1347="",0,1)</f>
        <v/>
      </c>
    </row>
    <row r="1348">
      <c r="A1348">
        <f>IF('KG1-3'!$B16="","",'KG1-3'!$B16)</f>
        <v/>
      </c>
      <c r="B1348">
        <f>IF(A1348="","",'KG1-3'!$C16)</f>
        <v/>
      </c>
      <c r="C1348">
        <f>IF(A1348="","",'KG1-3'!$B$2)</f>
        <v/>
      </c>
      <c r="D1348" s="126">
        <f t="array" ref="D1348">IF(A1348="","",IFERROR(SMALL(IF((('KG1-3'!$AD16:$IM16="غياب بدون عذر")+('KG1-3'!$AD16:$IM16="غياب بعذر"))*('KG1-3'!$AD$7:$IM$7="✓"),'KG1-3'!$AD$5:$IM$5),7),""))</f>
        <v/>
      </c>
      <c r="E1348">
        <f>IF(D1348="","",INDEX('KG1-3'!$AD16:$IM16,MATCH(D1348,'KG1-3'!$AD$5:$IM$5,0)))</f>
        <v/>
      </c>
      <c r="F1348">
        <f>IF(D1348="","",COUNTIFS('KG1-3'!$AD16:$IM16,"غياب بدون عذر",'KG1-3'!$AD$7:$IM$7,"✓",'KG1-3'!$AD$5:$IM$5,"&lt;="&amp;D1348))</f>
        <v/>
      </c>
      <c r="G1348">
        <f>G1347+IF(D1348="",0,1)</f>
        <v/>
      </c>
    </row>
    <row r="1349">
      <c r="A1349">
        <f>IF('KG1-3'!$B16="","",'KG1-3'!$B16)</f>
        <v/>
      </c>
      <c r="B1349">
        <f>IF(A1349="","",'KG1-3'!$C16)</f>
        <v/>
      </c>
      <c r="C1349">
        <f>IF(A1349="","",'KG1-3'!$B$2)</f>
        <v/>
      </c>
      <c r="D1349" s="126">
        <f t="array" ref="D1349">IF(A1349="","",IFERROR(SMALL(IF((('KG1-3'!$AD16:$IM16="غياب بدون عذر")+('KG1-3'!$AD16:$IM16="غياب بعذر"))*('KG1-3'!$AD$7:$IM$7="✓"),'KG1-3'!$AD$5:$IM$5),8),""))</f>
        <v/>
      </c>
      <c r="E1349">
        <f>IF(D1349="","",INDEX('KG1-3'!$AD16:$IM16,MATCH(D1349,'KG1-3'!$AD$5:$IM$5,0)))</f>
        <v/>
      </c>
      <c r="F1349">
        <f>IF(D1349="","",COUNTIFS('KG1-3'!$AD16:$IM16,"غياب بدون عذر",'KG1-3'!$AD$7:$IM$7,"✓",'KG1-3'!$AD$5:$IM$5,"&lt;="&amp;D1349))</f>
        <v/>
      </c>
      <c r="G1349">
        <f>G1348+IF(D1349="",0,1)</f>
        <v/>
      </c>
    </row>
    <row r="1350">
      <c r="A1350">
        <f>IF('KG1-3'!$B16="","",'KG1-3'!$B16)</f>
        <v/>
      </c>
      <c r="B1350">
        <f>IF(A1350="","",'KG1-3'!$C16)</f>
        <v/>
      </c>
      <c r="C1350">
        <f>IF(A1350="","",'KG1-3'!$B$2)</f>
        <v/>
      </c>
      <c r="D1350" s="126">
        <f t="array" ref="D1350">IF(A1350="","",IFERROR(SMALL(IF((('KG1-3'!$AD16:$IM16="غياب بدون عذر")+('KG1-3'!$AD16:$IM16="غياب بعذر"))*('KG1-3'!$AD$7:$IM$7="✓"),'KG1-3'!$AD$5:$IM$5),9),""))</f>
        <v/>
      </c>
      <c r="E1350">
        <f>IF(D1350="","",INDEX('KG1-3'!$AD16:$IM16,MATCH(D1350,'KG1-3'!$AD$5:$IM$5,0)))</f>
        <v/>
      </c>
      <c r="F1350">
        <f>IF(D1350="","",COUNTIFS('KG1-3'!$AD16:$IM16,"غياب بدون عذر",'KG1-3'!$AD$7:$IM$7,"✓",'KG1-3'!$AD$5:$IM$5,"&lt;="&amp;D1350))</f>
        <v/>
      </c>
      <c r="G1350">
        <f>G1349+IF(D1350="",0,1)</f>
        <v/>
      </c>
    </row>
    <row r="1351">
      <c r="A1351">
        <f>IF('KG1-3'!$B16="","",'KG1-3'!$B16)</f>
        <v/>
      </c>
      <c r="B1351">
        <f>IF(A1351="","",'KG1-3'!$C16)</f>
        <v/>
      </c>
      <c r="C1351">
        <f>IF(A1351="","",'KG1-3'!$B$2)</f>
        <v/>
      </c>
      <c r="D1351" s="126">
        <f t="array" ref="D1351">IF(A1351="","",IFERROR(SMALL(IF((('KG1-3'!$AD16:$IM16="غياب بدون عذر")+('KG1-3'!$AD16:$IM16="غياب بعذر"))*('KG1-3'!$AD$7:$IM$7="✓"),'KG1-3'!$AD$5:$IM$5),10),""))</f>
        <v/>
      </c>
      <c r="E1351">
        <f>IF(D1351="","",INDEX('KG1-3'!$AD16:$IM16,MATCH(D1351,'KG1-3'!$AD$5:$IM$5,0)))</f>
        <v/>
      </c>
      <c r="F1351">
        <f>IF(D1351="","",COUNTIFS('KG1-3'!$AD16:$IM16,"غياب بدون عذر",'KG1-3'!$AD$7:$IM$7,"✓",'KG1-3'!$AD$5:$IM$5,"&lt;="&amp;D1351))</f>
        <v/>
      </c>
      <c r="G1351">
        <f>G1350+IF(D1351="",0,1)</f>
        <v/>
      </c>
    </row>
    <row r="1352">
      <c r="A1352">
        <f>IF('KG1-3'!$B16="","",'KG1-3'!$B16)</f>
        <v/>
      </c>
      <c r="B1352">
        <f>IF(A1352="","",'KG1-3'!$C16)</f>
        <v/>
      </c>
      <c r="C1352">
        <f>IF(A1352="","",'KG1-3'!$B$2)</f>
        <v/>
      </c>
      <c r="D1352" s="126">
        <f t="array" ref="D1352">IF(A1352="","",IFERROR(SMALL(IF((('KG1-3'!$AD16:$IM16="غياب بدون عذر")+('KG1-3'!$AD16:$IM16="غياب بعذر"))*('KG1-3'!$AD$7:$IM$7="✓"),'KG1-3'!$AD$5:$IM$5),11),""))</f>
        <v/>
      </c>
      <c r="E1352">
        <f>IF(D1352="","",INDEX('KG1-3'!$AD16:$IM16,MATCH(D1352,'KG1-3'!$AD$5:$IM$5,0)))</f>
        <v/>
      </c>
      <c r="F1352">
        <f>IF(D1352="","",COUNTIFS('KG1-3'!$AD16:$IM16,"غياب بدون عذر",'KG1-3'!$AD$7:$IM$7,"✓",'KG1-3'!$AD$5:$IM$5,"&lt;="&amp;D1352))</f>
        <v/>
      </c>
      <c r="G1352">
        <f>G1351+IF(D1352="",0,1)</f>
        <v/>
      </c>
    </row>
    <row r="1353">
      <c r="A1353">
        <f>IF('KG1-3'!$B16="","",'KG1-3'!$B16)</f>
        <v/>
      </c>
      <c r="B1353">
        <f>IF(A1353="","",'KG1-3'!$C16)</f>
        <v/>
      </c>
      <c r="C1353">
        <f>IF(A1353="","",'KG1-3'!$B$2)</f>
        <v/>
      </c>
      <c r="D1353" s="126">
        <f t="array" ref="D1353">IF(A1353="","",IFERROR(SMALL(IF((('KG1-3'!$AD16:$IM16="غياب بدون عذر")+('KG1-3'!$AD16:$IM16="غياب بعذر"))*('KG1-3'!$AD$7:$IM$7="✓"),'KG1-3'!$AD$5:$IM$5),12),""))</f>
        <v/>
      </c>
      <c r="E1353">
        <f>IF(D1353="","",INDEX('KG1-3'!$AD16:$IM16,MATCH(D1353,'KG1-3'!$AD$5:$IM$5,0)))</f>
        <v/>
      </c>
      <c r="F1353">
        <f>IF(D1353="","",COUNTIFS('KG1-3'!$AD16:$IM16,"غياب بدون عذر",'KG1-3'!$AD$7:$IM$7,"✓",'KG1-3'!$AD$5:$IM$5,"&lt;="&amp;D1353))</f>
        <v/>
      </c>
      <c r="G1353">
        <f>G1352+IF(D1353="",0,1)</f>
        <v/>
      </c>
    </row>
    <row r="1354">
      <c r="A1354">
        <f>IF('KG1-3'!$B16="","",'KG1-3'!$B16)</f>
        <v/>
      </c>
      <c r="B1354">
        <f>IF(A1354="","",'KG1-3'!$C16)</f>
        <v/>
      </c>
      <c r="C1354">
        <f>IF(A1354="","",'KG1-3'!$B$2)</f>
        <v/>
      </c>
      <c r="D1354" s="126">
        <f t="array" ref="D1354">IF(A1354="","",IFERROR(SMALL(IF((('KG1-3'!$AD16:$IM16="غياب بدون عذر")+('KG1-3'!$AD16:$IM16="غياب بعذر"))*('KG1-3'!$AD$7:$IM$7="✓"),'KG1-3'!$AD$5:$IM$5),13),""))</f>
        <v/>
      </c>
      <c r="E1354">
        <f>IF(D1354="","",INDEX('KG1-3'!$AD16:$IM16,MATCH(D1354,'KG1-3'!$AD$5:$IM$5,0)))</f>
        <v/>
      </c>
      <c r="F1354">
        <f>IF(D1354="","",COUNTIFS('KG1-3'!$AD16:$IM16,"غياب بدون عذر",'KG1-3'!$AD$7:$IM$7,"✓",'KG1-3'!$AD$5:$IM$5,"&lt;="&amp;D1354))</f>
        <v/>
      </c>
      <c r="G1354">
        <f>G1353+IF(D1354="",0,1)</f>
        <v/>
      </c>
    </row>
    <row r="1355">
      <c r="A1355">
        <f>IF('KG1-3'!$B16="","",'KG1-3'!$B16)</f>
        <v/>
      </c>
      <c r="B1355">
        <f>IF(A1355="","",'KG1-3'!$C16)</f>
        <v/>
      </c>
      <c r="C1355">
        <f>IF(A1355="","",'KG1-3'!$B$2)</f>
        <v/>
      </c>
      <c r="D1355" s="126">
        <f t="array" ref="D1355">IF(A1355="","",IFERROR(SMALL(IF((('KG1-3'!$AD16:$IM16="غياب بدون عذر")+('KG1-3'!$AD16:$IM16="غياب بعذر"))*('KG1-3'!$AD$7:$IM$7="✓"),'KG1-3'!$AD$5:$IM$5),14),""))</f>
        <v/>
      </c>
      <c r="E1355">
        <f>IF(D1355="","",INDEX('KG1-3'!$AD16:$IM16,MATCH(D1355,'KG1-3'!$AD$5:$IM$5,0)))</f>
        <v/>
      </c>
      <c r="F1355">
        <f>IF(D1355="","",COUNTIFS('KG1-3'!$AD16:$IM16,"غياب بدون عذر",'KG1-3'!$AD$7:$IM$7,"✓",'KG1-3'!$AD$5:$IM$5,"&lt;="&amp;D1355))</f>
        <v/>
      </c>
      <c r="G1355">
        <f>G1354+IF(D1355="",0,1)</f>
        <v/>
      </c>
    </row>
    <row r="1356">
      <c r="A1356">
        <f>IF('KG1-3'!$B16="","",'KG1-3'!$B16)</f>
        <v/>
      </c>
      <c r="B1356">
        <f>IF(A1356="","",'KG1-3'!$C16)</f>
        <v/>
      </c>
      <c r="C1356">
        <f>IF(A1356="","",'KG1-3'!$B$2)</f>
        <v/>
      </c>
      <c r="D1356" s="126">
        <f t="array" ref="D1356">IF(A1356="","",IFERROR(SMALL(IF((('KG1-3'!$AD16:$IM16="غياب بدون عذر")+('KG1-3'!$AD16:$IM16="غياب بعذر"))*('KG1-3'!$AD$7:$IM$7="✓"),'KG1-3'!$AD$5:$IM$5),15),""))</f>
        <v/>
      </c>
      <c r="E1356">
        <f>IF(D1356="","",INDEX('KG1-3'!$AD16:$IM16,MATCH(D1356,'KG1-3'!$AD$5:$IM$5,0)))</f>
        <v/>
      </c>
      <c r="F1356">
        <f>IF(D1356="","",COUNTIFS('KG1-3'!$AD16:$IM16,"غياب بدون عذر",'KG1-3'!$AD$7:$IM$7,"✓",'KG1-3'!$AD$5:$IM$5,"&lt;="&amp;D1356))</f>
        <v/>
      </c>
      <c r="G1356">
        <f>G1355+IF(D1356="",0,1)</f>
        <v/>
      </c>
    </row>
    <row r="1357">
      <c r="A1357">
        <f>IF('KG1-3'!$B16="","",'KG1-3'!$B16)</f>
        <v/>
      </c>
      <c r="B1357">
        <f>IF(A1357="","",'KG1-3'!$C16)</f>
        <v/>
      </c>
      <c r="C1357">
        <f>IF(A1357="","",'KG1-3'!$B$2)</f>
        <v/>
      </c>
      <c r="D1357" s="126">
        <f t="array" ref="D1357">IF(A1357="","",IFERROR(SMALL(IF((('KG1-3'!$AD16:$IM16="غياب بدون عذر")+('KG1-3'!$AD16:$IM16="غياب بعذر"))*('KG1-3'!$AD$7:$IM$7="✓"),'KG1-3'!$AD$5:$IM$5),16),""))</f>
        <v/>
      </c>
      <c r="E1357">
        <f>IF(D1357="","",INDEX('KG1-3'!$AD16:$IM16,MATCH(D1357,'KG1-3'!$AD$5:$IM$5,0)))</f>
        <v/>
      </c>
      <c r="F1357">
        <f>IF(D1357="","",COUNTIFS('KG1-3'!$AD16:$IM16,"غياب بدون عذر",'KG1-3'!$AD$7:$IM$7,"✓",'KG1-3'!$AD$5:$IM$5,"&lt;="&amp;D1357))</f>
        <v/>
      </c>
      <c r="G1357">
        <f>G1356+IF(D1357="",0,1)</f>
        <v/>
      </c>
    </row>
    <row r="1358">
      <c r="A1358">
        <f>IF('KG1-3'!$B16="","",'KG1-3'!$B16)</f>
        <v/>
      </c>
      <c r="B1358">
        <f>IF(A1358="","",'KG1-3'!$C16)</f>
        <v/>
      </c>
      <c r="C1358">
        <f>IF(A1358="","",'KG1-3'!$B$2)</f>
        <v/>
      </c>
      <c r="D1358" s="126">
        <f t="array" ref="D1358">IF(A1358="","",IFERROR(SMALL(IF((('KG1-3'!$AD16:$IM16="غياب بدون عذر")+('KG1-3'!$AD16:$IM16="غياب بعذر"))*('KG1-3'!$AD$7:$IM$7="✓"),'KG1-3'!$AD$5:$IM$5),17),""))</f>
        <v/>
      </c>
      <c r="E1358">
        <f>IF(D1358="","",INDEX('KG1-3'!$AD16:$IM16,MATCH(D1358,'KG1-3'!$AD$5:$IM$5,0)))</f>
        <v/>
      </c>
      <c r="F1358">
        <f>IF(D1358="","",COUNTIFS('KG1-3'!$AD16:$IM16,"غياب بدون عذر",'KG1-3'!$AD$7:$IM$7,"✓",'KG1-3'!$AD$5:$IM$5,"&lt;="&amp;D1358))</f>
        <v/>
      </c>
      <c r="G1358">
        <f>G1357+IF(D1358="",0,1)</f>
        <v/>
      </c>
    </row>
    <row r="1359">
      <c r="A1359">
        <f>IF('KG1-3'!$B16="","",'KG1-3'!$B16)</f>
        <v/>
      </c>
      <c r="B1359">
        <f>IF(A1359="","",'KG1-3'!$C16)</f>
        <v/>
      </c>
      <c r="C1359">
        <f>IF(A1359="","",'KG1-3'!$B$2)</f>
        <v/>
      </c>
      <c r="D1359" s="126">
        <f t="array" ref="D1359">IF(A1359="","",IFERROR(SMALL(IF((('KG1-3'!$AD16:$IM16="غياب بدون عذر")+('KG1-3'!$AD16:$IM16="غياب بعذر"))*('KG1-3'!$AD$7:$IM$7="✓"),'KG1-3'!$AD$5:$IM$5),18),""))</f>
        <v/>
      </c>
      <c r="E1359">
        <f>IF(D1359="","",INDEX('KG1-3'!$AD16:$IM16,MATCH(D1359,'KG1-3'!$AD$5:$IM$5,0)))</f>
        <v/>
      </c>
      <c r="F1359">
        <f>IF(D1359="","",COUNTIFS('KG1-3'!$AD16:$IM16,"غياب بدون عذر",'KG1-3'!$AD$7:$IM$7,"✓",'KG1-3'!$AD$5:$IM$5,"&lt;="&amp;D1359))</f>
        <v/>
      </c>
      <c r="G1359">
        <f>G1358+IF(D1359="",0,1)</f>
        <v/>
      </c>
    </row>
    <row r="1360">
      <c r="A1360">
        <f>IF('KG1-3'!$B16="","",'KG1-3'!$B16)</f>
        <v/>
      </c>
      <c r="B1360">
        <f>IF(A1360="","",'KG1-3'!$C16)</f>
        <v/>
      </c>
      <c r="C1360">
        <f>IF(A1360="","",'KG1-3'!$B$2)</f>
        <v/>
      </c>
      <c r="D1360" s="126">
        <f t="array" ref="D1360">IF(A1360="","",IFERROR(SMALL(IF((('KG1-3'!$AD16:$IM16="غياب بدون عذر")+('KG1-3'!$AD16:$IM16="غياب بعذر"))*('KG1-3'!$AD$7:$IM$7="✓"),'KG1-3'!$AD$5:$IM$5),19),""))</f>
        <v/>
      </c>
      <c r="E1360">
        <f>IF(D1360="","",INDEX('KG1-3'!$AD16:$IM16,MATCH(D1360,'KG1-3'!$AD$5:$IM$5,0)))</f>
        <v/>
      </c>
      <c r="F1360">
        <f>IF(D1360="","",COUNTIFS('KG1-3'!$AD16:$IM16,"غياب بدون عذر",'KG1-3'!$AD$7:$IM$7,"✓",'KG1-3'!$AD$5:$IM$5,"&lt;="&amp;D1360))</f>
        <v/>
      </c>
      <c r="G1360">
        <f>G1359+IF(D1360="",0,1)</f>
        <v/>
      </c>
    </row>
    <row r="1361">
      <c r="A1361">
        <f>IF('KG1-3'!$B16="","",'KG1-3'!$B16)</f>
        <v/>
      </c>
      <c r="B1361">
        <f>IF(A1361="","",'KG1-3'!$C16)</f>
        <v/>
      </c>
      <c r="C1361">
        <f>IF(A1361="","",'KG1-3'!$B$2)</f>
        <v/>
      </c>
      <c r="D1361" s="126">
        <f t="array" ref="D1361">IF(A1361="","",IFERROR(SMALL(IF((('KG1-3'!$AD16:$IM16="غياب بدون عذر")+('KG1-3'!$AD16:$IM16="غياب بعذر"))*('KG1-3'!$AD$7:$IM$7="✓"),'KG1-3'!$AD$5:$IM$5),20),""))</f>
        <v/>
      </c>
      <c r="E1361">
        <f>IF(D1361="","",INDEX('KG1-3'!$AD16:$IM16,MATCH(D1361,'KG1-3'!$AD$5:$IM$5,0)))</f>
        <v/>
      </c>
      <c r="F1361">
        <f>IF(D1361="","",COUNTIFS('KG1-3'!$AD16:$IM16,"غياب بدون عذر",'KG1-3'!$AD$7:$IM$7,"✓",'KG1-3'!$AD$5:$IM$5,"&lt;="&amp;D1361))</f>
        <v/>
      </c>
      <c r="G1361">
        <f>G1360+IF(D1361="",0,1)</f>
        <v/>
      </c>
    </row>
    <row r="1362">
      <c r="A1362">
        <f>IF('KG1-3'!$B17="","",'KG1-3'!$B17)</f>
        <v/>
      </c>
      <c r="B1362">
        <f>IF(A1362="","",'KG1-3'!$C17)</f>
        <v/>
      </c>
      <c r="C1362">
        <f>IF(A1362="","",'KG1-3'!$B$2)</f>
        <v/>
      </c>
      <c r="D1362" s="126">
        <f t="array" ref="D1362">IF(A1362="","",IFERROR(SMALL(IF((('KG1-3'!$AD17:$IM17="غياب بدون عذر")+('KG1-3'!$AD17:$IM17="غياب بعذر"))*('KG1-3'!$AD$7:$IM$7="✓"),'KG1-3'!$AD$5:$IM$5),1),""))</f>
        <v/>
      </c>
      <c r="E1362">
        <f>IF(D1362="","",INDEX('KG1-3'!$AD17:$IM17,MATCH(D1362,'KG1-3'!$AD$5:$IM$5,0)))</f>
        <v/>
      </c>
      <c r="F1362">
        <f>IF(D1362="","",COUNTIFS('KG1-3'!$AD17:$IM17,"غياب بدون عذر",'KG1-3'!$AD$7:$IM$7,"✓",'KG1-3'!$AD$5:$IM$5,"&lt;="&amp;D1362))</f>
        <v/>
      </c>
      <c r="G1362">
        <f>G1361+IF(D1362="",0,1)</f>
        <v/>
      </c>
    </row>
    <row r="1363">
      <c r="A1363">
        <f>IF('KG1-3'!$B17="","",'KG1-3'!$B17)</f>
        <v/>
      </c>
      <c r="B1363">
        <f>IF(A1363="","",'KG1-3'!$C17)</f>
        <v/>
      </c>
      <c r="C1363">
        <f>IF(A1363="","",'KG1-3'!$B$2)</f>
        <v/>
      </c>
      <c r="D1363" s="126">
        <f t="array" ref="D1363">IF(A1363="","",IFERROR(SMALL(IF((('KG1-3'!$AD17:$IM17="غياب بدون عذر")+('KG1-3'!$AD17:$IM17="غياب بعذر"))*('KG1-3'!$AD$7:$IM$7="✓"),'KG1-3'!$AD$5:$IM$5),2),""))</f>
        <v/>
      </c>
      <c r="E1363">
        <f>IF(D1363="","",INDEX('KG1-3'!$AD17:$IM17,MATCH(D1363,'KG1-3'!$AD$5:$IM$5,0)))</f>
        <v/>
      </c>
      <c r="F1363">
        <f>IF(D1363="","",COUNTIFS('KG1-3'!$AD17:$IM17,"غياب بدون عذر",'KG1-3'!$AD$7:$IM$7,"✓",'KG1-3'!$AD$5:$IM$5,"&lt;="&amp;D1363))</f>
        <v/>
      </c>
      <c r="G1363">
        <f>G1362+IF(D1363="",0,1)</f>
        <v/>
      </c>
    </row>
    <row r="1364">
      <c r="A1364">
        <f>IF('KG1-3'!$B17="","",'KG1-3'!$B17)</f>
        <v/>
      </c>
      <c r="B1364">
        <f>IF(A1364="","",'KG1-3'!$C17)</f>
        <v/>
      </c>
      <c r="C1364">
        <f>IF(A1364="","",'KG1-3'!$B$2)</f>
        <v/>
      </c>
      <c r="D1364" s="126">
        <f t="array" ref="D1364">IF(A1364="","",IFERROR(SMALL(IF((('KG1-3'!$AD17:$IM17="غياب بدون عذر")+('KG1-3'!$AD17:$IM17="غياب بعذر"))*('KG1-3'!$AD$7:$IM$7="✓"),'KG1-3'!$AD$5:$IM$5),3),""))</f>
        <v/>
      </c>
      <c r="E1364">
        <f>IF(D1364="","",INDEX('KG1-3'!$AD17:$IM17,MATCH(D1364,'KG1-3'!$AD$5:$IM$5,0)))</f>
        <v/>
      </c>
      <c r="F1364">
        <f>IF(D1364="","",COUNTIFS('KG1-3'!$AD17:$IM17,"غياب بدون عذر",'KG1-3'!$AD$7:$IM$7,"✓",'KG1-3'!$AD$5:$IM$5,"&lt;="&amp;D1364))</f>
        <v/>
      </c>
      <c r="G1364">
        <f>G1363+IF(D1364="",0,1)</f>
        <v/>
      </c>
    </row>
    <row r="1365">
      <c r="A1365">
        <f>IF('KG1-3'!$B17="","",'KG1-3'!$B17)</f>
        <v/>
      </c>
      <c r="B1365">
        <f>IF(A1365="","",'KG1-3'!$C17)</f>
        <v/>
      </c>
      <c r="C1365">
        <f>IF(A1365="","",'KG1-3'!$B$2)</f>
        <v/>
      </c>
      <c r="D1365" s="126">
        <f t="array" ref="D1365">IF(A1365="","",IFERROR(SMALL(IF((('KG1-3'!$AD17:$IM17="غياب بدون عذر")+('KG1-3'!$AD17:$IM17="غياب بعذر"))*('KG1-3'!$AD$7:$IM$7="✓"),'KG1-3'!$AD$5:$IM$5),4),""))</f>
        <v/>
      </c>
      <c r="E1365">
        <f>IF(D1365="","",INDEX('KG1-3'!$AD17:$IM17,MATCH(D1365,'KG1-3'!$AD$5:$IM$5,0)))</f>
        <v/>
      </c>
      <c r="F1365">
        <f>IF(D1365="","",COUNTIFS('KG1-3'!$AD17:$IM17,"غياب بدون عذر",'KG1-3'!$AD$7:$IM$7,"✓",'KG1-3'!$AD$5:$IM$5,"&lt;="&amp;D1365))</f>
        <v/>
      </c>
      <c r="G1365">
        <f>G1364+IF(D1365="",0,1)</f>
        <v/>
      </c>
    </row>
    <row r="1366">
      <c r="A1366">
        <f>IF('KG1-3'!$B17="","",'KG1-3'!$B17)</f>
        <v/>
      </c>
      <c r="B1366">
        <f>IF(A1366="","",'KG1-3'!$C17)</f>
        <v/>
      </c>
      <c r="C1366">
        <f>IF(A1366="","",'KG1-3'!$B$2)</f>
        <v/>
      </c>
      <c r="D1366" s="126">
        <f t="array" ref="D1366">IF(A1366="","",IFERROR(SMALL(IF((('KG1-3'!$AD17:$IM17="غياب بدون عذر")+('KG1-3'!$AD17:$IM17="غياب بعذر"))*('KG1-3'!$AD$7:$IM$7="✓"),'KG1-3'!$AD$5:$IM$5),5),""))</f>
        <v/>
      </c>
      <c r="E1366">
        <f>IF(D1366="","",INDEX('KG1-3'!$AD17:$IM17,MATCH(D1366,'KG1-3'!$AD$5:$IM$5,0)))</f>
        <v/>
      </c>
      <c r="F1366">
        <f>IF(D1366="","",COUNTIFS('KG1-3'!$AD17:$IM17,"غياب بدون عذر",'KG1-3'!$AD$7:$IM$7,"✓",'KG1-3'!$AD$5:$IM$5,"&lt;="&amp;D1366))</f>
        <v/>
      </c>
      <c r="G1366">
        <f>G1365+IF(D1366="",0,1)</f>
        <v/>
      </c>
    </row>
    <row r="1367">
      <c r="A1367">
        <f>IF('KG1-3'!$B17="","",'KG1-3'!$B17)</f>
        <v/>
      </c>
      <c r="B1367">
        <f>IF(A1367="","",'KG1-3'!$C17)</f>
        <v/>
      </c>
      <c r="C1367">
        <f>IF(A1367="","",'KG1-3'!$B$2)</f>
        <v/>
      </c>
      <c r="D1367" s="126">
        <f t="array" ref="D1367">IF(A1367="","",IFERROR(SMALL(IF((('KG1-3'!$AD17:$IM17="غياب بدون عذر")+('KG1-3'!$AD17:$IM17="غياب بعذر"))*('KG1-3'!$AD$7:$IM$7="✓"),'KG1-3'!$AD$5:$IM$5),6),""))</f>
        <v/>
      </c>
      <c r="E1367">
        <f>IF(D1367="","",INDEX('KG1-3'!$AD17:$IM17,MATCH(D1367,'KG1-3'!$AD$5:$IM$5,0)))</f>
        <v/>
      </c>
      <c r="F1367">
        <f>IF(D1367="","",COUNTIFS('KG1-3'!$AD17:$IM17,"غياب بدون عذر",'KG1-3'!$AD$7:$IM$7,"✓",'KG1-3'!$AD$5:$IM$5,"&lt;="&amp;D1367))</f>
        <v/>
      </c>
      <c r="G1367">
        <f>G1366+IF(D1367="",0,1)</f>
        <v/>
      </c>
    </row>
    <row r="1368">
      <c r="A1368">
        <f>IF('KG1-3'!$B17="","",'KG1-3'!$B17)</f>
        <v/>
      </c>
      <c r="B1368">
        <f>IF(A1368="","",'KG1-3'!$C17)</f>
        <v/>
      </c>
      <c r="C1368">
        <f>IF(A1368="","",'KG1-3'!$B$2)</f>
        <v/>
      </c>
      <c r="D1368" s="126">
        <f t="array" ref="D1368">IF(A1368="","",IFERROR(SMALL(IF((('KG1-3'!$AD17:$IM17="غياب بدون عذر")+('KG1-3'!$AD17:$IM17="غياب بعذر"))*('KG1-3'!$AD$7:$IM$7="✓"),'KG1-3'!$AD$5:$IM$5),7),""))</f>
        <v/>
      </c>
      <c r="E1368">
        <f>IF(D1368="","",INDEX('KG1-3'!$AD17:$IM17,MATCH(D1368,'KG1-3'!$AD$5:$IM$5,0)))</f>
        <v/>
      </c>
      <c r="F1368">
        <f>IF(D1368="","",COUNTIFS('KG1-3'!$AD17:$IM17,"غياب بدون عذر",'KG1-3'!$AD$7:$IM$7,"✓",'KG1-3'!$AD$5:$IM$5,"&lt;="&amp;D1368))</f>
        <v/>
      </c>
      <c r="G1368">
        <f>G1367+IF(D1368="",0,1)</f>
        <v/>
      </c>
    </row>
    <row r="1369">
      <c r="A1369">
        <f>IF('KG1-3'!$B17="","",'KG1-3'!$B17)</f>
        <v/>
      </c>
      <c r="B1369">
        <f>IF(A1369="","",'KG1-3'!$C17)</f>
        <v/>
      </c>
      <c r="C1369">
        <f>IF(A1369="","",'KG1-3'!$B$2)</f>
        <v/>
      </c>
      <c r="D1369" s="126">
        <f t="array" ref="D1369">IF(A1369="","",IFERROR(SMALL(IF((('KG1-3'!$AD17:$IM17="غياب بدون عذر")+('KG1-3'!$AD17:$IM17="غياب بعذر"))*('KG1-3'!$AD$7:$IM$7="✓"),'KG1-3'!$AD$5:$IM$5),8),""))</f>
        <v/>
      </c>
      <c r="E1369">
        <f>IF(D1369="","",INDEX('KG1-3'!$AD17:$IM17,MATCH(D1369,'KG1-3'!$AD$5:$IM$5,0)))</f>
        <v/>
      </c>
      <c r="F1369">
        <f>IF(D1369="","",COUNTIFS('KG1-3'!$AD17:$IM17,"غياب بدون عذر",'KG1-3'!$AD$7:$IM$7,"✓",'KG1-3'!$AD$5:$IM$5,"&lt;="&amp;D1369))</f>
        <v/>
      </c>
      <c r="G1369">
        <f>G1368+IF(D1369="",0,1)</f>
        <v/>
      </c>
    </row>
    <row r="1370">
      <c r="A1370">
        <f>IF('KG1-3'!$B17="","",'KG1-3'!$B17)</f>
        <v/>
      </c>
      <c r="B1370">
        <f>IF(A1370="","",'KG1-3'!$C17)</f>
        <v/>
      </c>
      <c r="C1370">
        <f>IF(A1370="","",'KG1-3'!$B$2)</f>
        <v/>
      </c>
      <c r="D1370" s="126">
        <f t="array" ref="D1370">IF(A1370="","",IFERROR(SMALL(IF((('KG1-3'!$AD17:$IM17="غياب بدون عذر")+('KG1-3'!$AD17:$IM17="غياب بعذر"))*('KG1-3'!$AD$7:$IM$7="✓"),'KG1-3'!$AD$5:$IM$5),9),""))</f>
        <v/>
      </c>
      <c r="E1370">
        <f>IF(D1370="","",INDEX('KG1-3'!$AD17:$IM17,MATCH(D1370,'KG1-3'!$AD$5:$IM$5,0)))</f>
        <v/>
      </c>
      <c r="F1370">
        <f>IF(D1370="","",COUNTIFS('KG1-3'!$AD17:$IM17,"غياب بدون عذر",'KG1-3'!$AD$7:$IM$7,"✓",'KG1-3'!$AD$5:$IM$5,"&lt;="&amp;D1370))</f>
        <v/>
      </c>
      <c r="G1370">
        <f>G1369+IF(D1370="",0,1)</f>
        <v/>
      </c>
    </row>
    <row r="1371">
      <c r="A1371">
        <f>IF('KG1-3'!$B17="","",'KG1-3'!$B17)</f>
        <v/>
      </c>
      <c r="B1371">
        <f>IF(A1371="","",'KG1-3'!$C17)</f>
        <v/>
      </c>
      <c r="C1371">
        <f>IF(A1371="","",'KG1-3'!$B$2)</f>
        <v/>
      </c>
      <c r="D1371" s="126">
        <f t="array" ref="D1371">IF(A1371="","",IFERROR(SMALL(IF((('KG1-3'!$AD17:$IM17="غياب بدون عذر")+('KG1-3'!$AD17:$IM17="غياب بعذر"))*('KG1-3'!$AD$7:$IM$7="✓"),'KG1-3'!$AD$5:$IM$5),10),""))</f>
        <v/>
      </c>
      <c r="E1371">
        <f>IF(D1371="","",INDEX('KG1-3'!$AD17:$IM17,MATCH(D1371,'KG1-3'!$AD$5:$IM$5,0)))</f>
        <v/>
      </c>
      <c r="F1371">
        <f>IF(D1371="","",COUNTIFS('KG1-3'!$AD17:$IM17,"غياب بدون عذر",'KG1-3'!$AD$7:$IM$7,"✓",'KG1-3'!$AD$5:$IM$5,"&lt;="&amp;D1371))</f>
        <v/>
      </c>
      <c r="G1371">
        <f>G1370+IF(D1371="",0,1)</f>
        <v/>
      </c>
    </row>
    <row r="1372">
      <c r="A1372">
        <f>IF('KG1-3'!$B17="","",'KG1-3'!$B17)</f>
        <v/>
      </c>
      <c r="B1372">
        <f>IF(A1372="","",'KG1-3'!$C17)</f>
        <v/>
      </c>
      <c r="C1372">
        <f>IF(A1372="","",'KG1-3'!$B$2)</f>
        <v/>
      </c>
      <c r="D1372" s="126">
        <f t="array" ref="D1372">IF(A1372="","",IFERROR(SMALL(IF((('KG1-3'!$AD17:$IM17="غياب بدون عذر")+('KG1-3'!$AD17:$IM17="غياب بعذر"))*('KG1-3'!$AD$7:$IM$7="✓"),'KG1-3'!$AD$5:$IM$5),11),""))</f>
        <v/>
      </c>
      <c r="E1372">
        <f>IF(D1372="","",INDEX('KG1-3'!$AD17:$IM17,MATCH(D1372,'KG1-3'!$AD$5:$IM$5,0)))</f>
        <v/>
      </c>
      <c r="F1372">
        <f>IF(D1372="","",COUNTIFS('KG1-3'!$AD17:$IM17,"غياب بدون عذر",'KG1-3'!$AD$7:$IM$7,"✓",'KG1-3'!$AD$5:$IM$5,"&lt;="&amp;D1372))</f>
        <v/>
      </c>
      <c r="G1372">
        <f>G1371+IF(D1372="",0,1)</f>
        <v/>
      </c>
    </row>
    <row r="1373">
      <c r="A1373">
        <f>IF('KG1-3'!$B17="","",'KG1-3'!$B17)</f>
        <v/>
      </c>
      <c r="B1373">
        <f>IF(A1373="","",'KG1-3'!$C17)</f>
        <v/>
      </c>
      <c r="C1373">
        <f>IF(A1373="","",'KG1-3'!$B$2)</f>
        <v/>
      </c>
      <c r="D1373" s="126">
        <f t="array" ref="D1373">IF(A1373="","",IFERROR(SMALL(IF((('KG1-3'!$AD17:$IM17="غياب بدون عذر")+('KG1-3'!$AD17:$IM17="غياب بعذر"))*('KG1-3'!$AD$7:$IM$7="✓"),'KG1-3'!$AD$5:$IM$5),12),""))</f>
        <v/>
      </c>
      <c r="E1373">
        <f>IF(D1373="","",INDEX('KG1-3'!$AD17:$IM17,MATCH(D1373,'KG1-3'!$AD$5:$IM$5,0)))</f>
        <v/>
      </c>
      <c r="F1373">
        <f>IF(D1373="","",COUNTIFS('KG1-3'!$AD17:$IM17,"غياب بدون عذر",'KG1-3'!$AD$7:$IM$7,"✓",'KG1-3'!$AD$5:$IM$5,"&lt;="&amp;D1373))</f>
        <v/>
      </c>
      <c r="G1373">
        <f>G1372+IF(D1373="",0,1)</f>
        <v/>
      </c>
    </row>
    <row r="1374">
      <c r="A1374">
        <f>IF('KG1-3'!$B17="","",'KG1-3'!$B17)</f>
        <v/>
      </c>
      <c r="B1374">
        <f>IF(A1374="","",'KG1-3'!$C17)</f>
        <v/>
      </c>
      <c r="C1374">
        <f>IF(A1374="","",'KG1-3'!$B$2)</f>
        <v/>
      </c>
      <c r="D1374" s="126">
        <f t="array" ref="D1374">IF(A1374="","",IFERROR(SMALL(IF((('KG1-3'!$AD17:$IM17="غياب بدون عذر")+('KG1-3'!$AD17:$IM17="غياب بعذر"))*('KG1-3'!$AD$7:$IM$7="✓"),'KG1-3'!$AD$5:$IM$5),13),""))</f>
        <v/>
      </c>
      <c r="E1374">
        <f>IF(D1374="","",INDEX('KG1-3'!$AD17:$IM17,MATCH(D1374,'KG1-3'!$AD$5:$IM$5,0)))</f>
        <v/>
      </c>
      <c r="F1374">
        <f>IF(D1374="","",COUNTIFS('KG1-3'!$AD17:$IM17,"غياب بدون عذر",'KG1-3'!$AD$7:$IM$7,"✓",'KG1-3'!$AD$5:$IM$5,"&lt;="&amp;D1374))</f>
        <v/>
      </c>
      <c r="G1374">
        <f>G1373+IF(D1374="",0,1)</f>
        <v/>
      </c>
    </row>
    <row r="1375">
      <c r="A1375">
        <f>IF('KG1-3'!$B17="","",'KG1-3'!$B17)</f>
        <v/>
      </c>
      <c r="B1375">
        <f>IF(A1375="","",'KG1-3'!$C17)</f>
        <v/>
      </c>
      <c r="C1375">
        <f>IF(A1375="","",'KG1-3'!$B$2)</f>
        <v/>
      </c>
      <c r="D1375" s="126">
        <f t="array" ref="D1375">IF(A1375="","",IFERROR(SMALL(IF((('KG1-3'!$AD17:$IM17="غياب بدون عذر")+('KG1-3'!$AD17:$IM17="غياب بعذر"))*('KG1-3'!$AD$7:$IM$7="✓"),'KG1-3'!$AD$5:$IM$5),14),""))</f>
        <v/>
      </c>
      <c r="E1375">
        <f>IF(D1375="","",INDEX('KG1-3'!$AD17:$IM17,MATCH(D1375,'KG1-3'!$AD$5:$IM$5,0)))</f>
        <v/>
      </c>
      <c r="F1375">
        <f>IF(D1375="","",COUNTIFS('KG1-3'!$AD17:$IM17,"غياب بدون عذر",'KG1-3'!$AD$7:$IM$7,"✓",'KG1-3'!$AD$5:$IM$5,"&lt;="&amp;D1375))</f>
        <v/>
      </c>
      <c r="G1375">
        <f>G1374+IF(D1375="",0,1)</f>
        <v/>
      </c>
    </row>
    <row r="1376">
      <c r="A1376">
        <f>IF('KG1-3'!$B17="","",'KG1-3'!$B17)</f>
        <v/>
      </c>
      <c r="B1376">
        <f>IF(A1376="","",'KG1-3'!$C17)</f>
        <v/>
      </c>
      <c r="C1376">
        <f>IF(A1376="","",'KG1-3'!$B$2)</f>
        <v/>
      </c>
      <c r="D1376" s="126">
        <f t="array" ref="D1376">IF(A1376="","",IFERROR(SMALL(IF((('KG1-3'!$AD17:$IM17="غياب بدون عذر")+('KG1-3'!$AD17:$IM17="غياب بعذر"))*('KG1-3'!$AD$7:$IM$7="✓"),'KG1-3'!$AD$5:$IM$5),15),""))</f>
        <v/>
      </c>
      <c r="E1376">
        <f>IF(D1376="","",INDEX('KG1-3'!$AD17:$IM17,MATCH(D1376,'KG1-3'!$AD$5:$IM$5,0)))</f>
        <v/>
      </c>
      <c r="F1376">
        <f>IF(D1376="","",COUNTIFS('KG1-3'!$AD17:$IM17,"غياب بدون عذر",'KG1-3'!$AD$7:$IM$7,"✓",'KG1-3'!$AD$5:$IM$5,"&lt;="&amp;D1376))</f>
        <v/>
      </c>
      <c r="G1376">
        <f>G1375+IF(D1376="",0,1)</f>
        <v/>
      </c>
    </row>
    <row r="1377">
      <c r="A1377">
        <f>IF('KG1-3'!$B17="","",'KG1-3'!$B17)</f>
        <v/>
      </c>
      <c r="B1377">
        <f>IF(A1377="","",'KG1-3'!$C17)</f>
        <v/>
      </c>
      <c r="C1377">
        <f>IF(A1377="","",'KG1-3'!$B$2)</f>
        <v/>
      </c>
      <c r="D1377" s="126">
        <f t="array" ref="D1377">IF(A1377="","",IFERROR(SMALL(IF((('KG1-3'!$AD17:$IM17="غياب بدون عذر")+('KG1-3'!$AD17:$IM17="غياب بعذر"))*('KG1-3'!$AD$7:$IM$7="✓"),'KG1-3'!$AD$5:$IM$5),16),""))</f>
        <v/>
      </c>
      <c r="E1377">
        <f>IF(D1377="","",INDEX('KG1-3'!$AD17:$IM17,MATCH(D1377,'KG1-3'!$AD$5:$IM$5,0)))</f>
        <v/>
      </c>
      <c r="F1377">
        <f>IF(D1377="","",COUNTIFS('KG1-3'!$AD17:$IM17,"غياب بدون عذر",'KG1-3'!$AD$7:$IM$7,"✓",'KG1-3'!$AD$5:$IM$5,"&lt;="&amp;D1377))</f>
        <v/>
      </c>
      <c r="G1377">
        <f>G1376+IF(D1377="",0,1)</f>
        <v/>
      </c>
    </row>
    <row r="1378">
      <c r="A1378">
        <f>IF('KG1-3'!$B17="","",'KG1-3'!$B17)</f>
        <v/>
      </c>
      <c r="B1378">
        <f>IF(A1378="","",'KG1-3'!$C17)</f>
        <v/>
      </c>
      <c r="C1378">
        <f>IF(A1378="","",'KG1-3'!$B$2)</f>
        <v/>
      </c>
      <c r="D1378" s="126">
        <f t="array" ref="D1378">IF(A1378="","",IFERROR(SMALL(IF((('KG1-3'!$AD17:$IM17="غياب بدون عذر")+('KG1-3'!$AD17:$IM17="غياب بعذر"))*('KG1-3'!$AD$7:$IM$7="✓"),'KG1-3'!$AD$5:$IM$5),17),""))</f>
        <v/>
      </c>
      <c r="E1378">
        <f>IF(D1378="","",INDEX('KG1-3'!$AD17:$IM17,MATCH(D1378,'KG1-3'!$AD$5:$IM$5,0)))</f>
        <v/>
      </c>
      <c r="F1378">
        <f>IF(D1378="","",COUNTIFS('KG1-3'!$AD17:$IM17,"غياب بدون عذر",'KG1-3'!$AD$7:$IM$7,"✓",'KG1-3'!$AD$5:$IM$5,"&lt;="&amp;D1378))</f>
        <v/>
      </c>
      <c r="G1378">
        <f>G1377+IF(D1378="",0,1)</f>
        <v/>
      </c>
    </row>
    <row r="1379">
      <c r="A1379">
        <f>IF('KG1-3'!$B17="","",'KG1-3'!$B17)</f>
        <v/>
      </c>
      <c r="B1379">
        <f>IF(A1379="","",'KG1-3'!$C17)</f>
        <v/>
      </c>
      <c r="C1379">
        <f>IF(A1379="","",'KG1-3'!$B$2)</f>
        <v/>
      </c>
      <c r="D1379" s="126">
        <f t="array" ref="D1379">IF(A1379="","",IFERROR(SMALL(IF((('KG1-3'!$AD17:$IM17="غياب بدون عذر")+('KG1-3'!$AD17:$IM17="غياب بعذر"))*('KG1-3'!$AD$7:$IM$7="✓"),'KG1-3'!$AD$5:$IM$5),18),""))</f>
        <v/>
      </c>
      <c r="E1379">
        <f>IF(D1379="","",INDEX('KG1-3'!$AD17:$IM17,MATCH(D1379,'KG1-3'!$AD$5:$IM$5,0)))</f>
        <v/>
      </c>
      <c r="F1379">
        <f>IF(D1379="","",COUNTIFS('KG1-3'!$AD17:$IM17,"غياب بدون عذر",'KG1-3'!$AD$7:$IM$7,"✓",'KG1-3'!$AD$5:$IM$5,"&lt;="&amp;D1379))</f>
        <v/>
      </c>
      <c r="G1379">
        <f>G1378+IF(D1379="",0,1)</f>
        <v/>
      </c>
    </row>
    <row r="1380">
      <c r="A1380">
        <f>IF('KG1-3'!$B17="","",'KG1-3'!$B17)</f>
        <v/>
      </c>
      <c r="B1380">
        <f>IF(A1380="","",'KG1-3'!$C17)</f>
        <v/>
      </c>
      <c r="C1380">
        <f>IF(A1380="","",'KG1-3'!$B$2)</f>
        <v/>
      </c>
      <c r="D1380" s="126">
        <f t="array" ref="D1380">IF(A1380="","",IFERROR(SMALL(IF((('KG1-3'!$AD17:$IM17="غياب بدون عذر")+('KG1-3'!$AD17:$IM17="غياب بعذر"))*('KG1-3'!$AD$7:$IM$7="✓"),'KG1-3'!$AD$5:$IM$5),19),""))</f>
        <v/>
      </c>
      <c r="E1380">
        <f>IF(D1380="","",INDEX('KG1-3'!$AD17:$IM17,MATCH(D1380,'KG1-3'!$AD$5:$IM$5,0)))</f>
        <v/>
      </c>
      <c r="F1380">
        <f>IF(D1380="","",COUNTIFS('KG1-3'!$AD17:$IM17,"غياب بدون عذر",'KG1-3'!$AD$7:$IM$7,"✓",'KG1-3'!$AD$5:$IM$5,"&lt;="&amp;D1380))</f>
        <v/>
      </c>
      <c r="G1380">
        <f>G1379+IF(D1380="",0,1)</f>
        <v/>
      </c>
    </row>
    <row r="1381">
      <c r="A1381">
        <f>IF('KG1-3'!$B17="","",'KG1-3'!$B17)</f>
        <v/>
      </c>
      <c r="B1381">
        <f>IF(A1381="","",'KG1-3'!$C17)</f>
        <v/>
      </c>
      <c r="C1381">
        <f>IF(A1381="","",'KG1-3'!$B$2)</f>
        <v/>
      </c>
      <c r="D1381" s="126">
        <f t="array" ref="D1381">IF(A1381="","",IFERROR(SMALL(IF((('KG1-3'!$AD17:$IM17="غياب بدون عذر")+('KG1-3'!$AD17:$IM17="غياب بعذر"))*('KG1-3'!$AD$7:$IM$7="✓"),'KG1-3'!$AD$5:$IM$5),20),""))</f>
        <v/>
      </c>
      <c r="E1381">
        <f>IF(D1381="","",INDEX('KG1-3'!$AD17:$IM17,MATCH(D1381,'KG1-3'!$AD$5:$IM$5,0)))</f>
        <v/>
      </c>
      <c r="F1381">
        <f>IF(D1381="","",COUNTIFS('KG1-3'!$AD17:$IM17,"غياب بدون عذر",'KG1-3'!$AD$7:$IM$7,"✓",'KG1-3'!$AD$5:$IM$5,"&lt;="&amp;D1381))</f>
        <v/>
      </c>
      <c r="G1381">
        <f>G1380+IF(D1381="",0,1)</f>
        <v/>
      </c>
    </row>
    <row r="1382">
      <c r="A1382">
        <f>IF('KG1-3'!$B18="","",'KG1-3'!$B18)</f>
        <v/>
      </c>
      <c r="B1382">
        <f>IF(A1382="","",'KG1-3'!$C18)</f>
        <v/>
      </c>
      <c r="C1382">
        <f>IF(A1382="","",'KG1-3'!$B$2)</f>
        <v/>
      </c>
      <c r="D1382" s="126">
        <f t="array" ref="D1382">IF(A1382="","",IFERROR(SMALL(IF((('KG1-3'!$AD18:$IM18="غياب بدون عذر")+('KG1-3'!$AD18:$IM18="غياب بعذر"))*('KG1-3'!$AD$7:$IM$7="✓"),'KG1-3'!$AD$5:$IM$5),1),""))</f>
        <v/>
      </c>
      <c r="E1382">
        <f>IF(D1382="","",INDEX('KG1-3'!$AD18:$IM18,MATCH(D1382,'KG1-3'!$AD$5:$IM$5,0)))</f>
        <v/>
      </c>
      <c r="F1382">
        <f>IF(D1382="","",COUNTIFS('KG1-3'!$AD18:$IM18,"غياب بدون عذر",'KG1-3'!$AD$7:$IM$7,"✓",'KG1-3'!$AD$5:$IM$5,"&lt;="&amp;D1382))</f>
        <v/>
      </c>
      <c r="G1382">
        <f>G1381+IF(D1382="",0,1)</f>
        <v/>
      </c>
    </row>
    <row r="1383">
      <c r="A1383">
        <f>IF('KG1-3'!$B18="","",'KG1-3'!$B18)</f>
        <v/>
      </c>
      <c r="B1383">
        <f>IF(A1383="","",'KG1-3'!$C18)</f>
        <v/>
      </c>
      <c r="C1383">
        <f>IF(A1383="","",'KG1-3'!$B$2)</f>
        <v/>
      </c>
      <c r="D1383" s="126">
        <f t="array" ref="D1383">IF(A1383="","",IFERROR(SMALL(IF((('KG1-3'!$AD18:$IM18="غياب بدون عذر")+('KG1-3'!$AD18:$IM18="غياب بعذر"))*('KG1-3'!$AD$7:$IM$7="✓"),'KG1-3'!$AD$5:$IM$5),2),""))</f>
        <v/>
      </c>
      <c r="E1383">
        <f>IF(D1383="","",INDEX('KG1-3'!$AD18:$IM18,MATCH(D1383,'KG1-3'!$AD$5:$IM$5,0)))</f>
        <v/>
      </c>
      <c r="F1383">
        <f>IF(D1383="","",COUNTIFS('KG1-3'!$AD18:$IM18,"غياب بدون عذر",'KG1-3'!$AD$7:$IM$7,"✓",'KG1-3'!$AD$5:$IM$5,"&lt;="&amp;D1383))</f>
        <v/>
      </c>
      <c r="G1383">
        <f>G1382+IF(D1383="",0,1)</f>
        <v/>
      </c>
    </row>
    <row r="1384">
      <c r="A1384">
        <f>IF('KG1-3'!$B18="","",'KG1-3'!$B18)</f>
        <v/>
      </c>
      <c r="B1384">
        <f>IF(A1384="","",'KG1-3'!$C18)</f>
        <v/>
      </c>
      <c r="C1384">
        <f>IF(A1384="","",'KG1-3'!$B$2)</f>
        <v/>
      </c>
      <c r="D1384" s="126">
        <f t="array" ref="D1384">IF(A1384="","",IFERROR(SMALL(IF((('KG1-3'!$AD18:$IM18="غياب بدون عذر")+('KG1-3'!$AD18:$IM18="غياب بعذر"))*('KG1-3'!$AD$7:$IM$7="✓"),'KG1-3'!$AD$5:$IM$5),3),""))</f>
        <v/>
      </c>
      <c r="E1384">
        <f>IF(D1384="","",INDEX('KG1-3'!$AD18:$IM18,MATCH(D1384,'KG1-3'!$AD$5:$IM$5,0)))</f>
        <v/>
      </c>
      <c r="F1384">
        <f>IF(D1384="","",COUNTIFS('KG1-3'!$AD18:$IM18,"غياب بدون عذر",'KG1-3'!$AD$7:$IM$7,"✓",'KG1-3'!$AD$5:$IM$5,"&lt;="&amp;D1384))</f>
        <v/>
      </c>
      <c r="G1384">
        <f>G1383+IF(D1384="",0,1)</f>
        <v/>
      </c>
    </row>
    <row r="1385">
      <c r="A1385">
        <f>IF('KG1-3'!$B18="","",'KG1-3'!$B18)</f>
        <v/>
      </c>
      <c r="B1385">
        <f>IF(A1385="","",'KG1-3'!$C18)</f>
        <v/>
      </c>
      <c r="C1385">
        <f>IF(A1385="","",'KG1-3'!$B$2)</f>
        <v/>
      </c>
      <c r="D1385" s="126">
        <f t="array" ref="D1385">IF(A1385="","",IFERROR(SMALL(IF((('KG1-3'!$AD18:$IM18="غياب بدون عذر")+('KG1-3'!$AD18:$IM18="غياب بعذر"))*('KG1-3'!$AD$7:$IM$7="✓"),'KG1-3'!$AD$5:$IM$5),4),""))</f>
        <v/>
      </c>
      <c r="E1385">
        <f>IF(D1385="","",INDEX('KG1-3'!$AD18:$IM18,MATCH(D1385,'KG1-3'!$AD$5:$IM$5,0)))</f>
        <v/>
      </c>
      <c r="F1385">
        <f>IF(D1385="","",COUNTIFS('KG1-3'!$AD18:$IM18,"غياب بدون عذر",'KG1-3'!$AD$7:$IM$7,"✓",'KG1-3'!$AD$5:$IM$5,"&lt;="&amp;D1385))</f>
        <v/>
      </c>
      <c r="G1385">
        <f>G1384+IF(D1385="",0,1)</f>
        <v/>
      </c>
    </row>
    <row r="1386">
      <c r="A1386">
        <f>IF('KG1-3'!$B18="","",'KG1-3'!$B18)</f>
        <v/>
      </c>
      <c r="B1386">
        <f>IF(A1386="","",'KG1-3'!$C18)</f>
        <v/>
      </c>
      <c r="C1386">
        <f>IF(A1386="","",'KG1-3'!$B$2)</f>
        <v/>
      </c>
      <c r="D1386" s="126">
        <f t="array" ref="D1386">IF(A1386="","",IFERROR(SMALL(IF((('KG1-3'!$AD18:$IM18="غياب بدون عذر")+('KG1-3'!$AD18:$IM18="غياب بعذر"))*('KG1-3'!$AD$7:$IM$7="✓"),'KG1-3'!$AD$5:$IM$5),5),""))</f>
        <v/>
      </c>
      <c r="E1386">
        <f>IF(D1386="","",INDEX('KG1-3'!$AD18:$IM18,MATCH(D1386,'KG1-3'!$AD$5:$IM$5,0)))</f>
        <v/>
      </c>
      <c r="F1386">
        <f>IF(D1386="","",COUNTIFS('KG1-3'!$AD18:$IM18,"غياب بدون عذر",'KG1-3'!$AD$7:$IM$7,"✓",'KG1-3'!$AD$5:$IM$5,"&lt;="&amp;D1386))</f>
        <v/>
      </c>
      <c r="G1386">
        <f>G1385+IF(D1386="",0,1)</f>
        <v/>
      </c>
    </row>
    <row r="1387">
      <c r="A1387">
        <f>IF('KG1-3'!$B18="","",'KG1-3'!$B18)</f>
        <v/>
      </c>
      <c r="B1387">
        <f>IF(A1387="","",'KG1-3'!$C18)</f>
        <v/>
      </c>
      <c r="C1387">
        <f>IF(A1387="","",'KG1-3'!$B$2)</f>
        <v/>
      </c>
      <c r="D1387" s="126">
        <f t="array" ref="D1387">IF(A1387="","",IFERROR(SMALL(IF((('KG1-3'!$AD18:$IM18="غياب بدون عذر")+('KG1-3'!$AD18:$IM18="غياب بعذر"))*('KG1-3'!$AD$7:$IM$7="✓"),'KG1-3'!$AD$5:$IM$5),6),""))</f>
        <v/>
      </c>
      <c r="E1387">
        <f>IF(D1387="","",INDEX('KG1-3'!$AD18:$IM18,MATCH(D1387,'KG1-3'!$AD$5:$IM$5,0)))</f>
        <v/>
      </c>
      <c r="F1387">
        <f>IF(D1387="","",COUNTIFS('KG1-3'!$AD18:$IM18,"غياب بدون عذر",'KG1-3'!$AD$7:$IM$7,"✓",'KG1-3'!$AD$5:$IM$5,"&lt;="&amp;D1387))</f>
        <v/>
      </c>
      <c r="G1387">
        <f>G1386+IF(D1387="",0,1)</f>
        <v/>
      </c>
    </row>
    <row r="1388">
      <c r="A1388">
        <f>IF('KG1-3'!$B18="","",'KG1-3'!$B18)</f>
        <v/>
      </c>
      <c r="B1388">
        <f>IF(A1388="","",'KG1-3'!$C18)</f>
        <v/>
      </c>
      <c r="C1388">
        <f>IF(A1388="","",'KG1-3'!$B$2)</f>
        <v/>
      </c>
      <c r="D1388" s="126">
        <f t="array" ref="D1388">IF(A1388="","",IFERROR(SMALL(IF((('KG1-3'!$AD18:$IM18="غياب بدون عذر")+('KG1-3'!$AD18:$IM18="غياب بعذر"))*('KG1-3'!$AD$7:$IM$7="✓"),'KG1-3'!$AD$5:$IM$5),7),""))</f>
        <v/>
      </c>
      <c r="E1388">
        <f>IF(D1388="","",INDEX('KG1-3'!$AD18:$IM18,MATCH(D1388,'KG1-3'!$AD$5:$IM$5,0)))</f>
        <v/>
      </c>
      <c r="F1388">
        <f>IF(D1388="","",COUNTIFS('KG1-3'!$AD18:$IM18,"غياب بدون عذر",'KG1-3'!$AD$7:$IM$7,"✓",'KG1-3'!$AD$5:$IM$5,"&lt;="&amp;D1388))</f>
        <v/>
      </c>
      <c r="G1388">
        <f>G1387+IF(D1388="",0,1)</f>
        <v/>
      </c>
    </row>
    <row r="1389">
      <c r="A1389">
        <f>IF('KG1-3'!$B18="","",'KG1-3'!$B18)</f>
        <v/>
      </c>
      <c r="B1389">
        <f>IF(A1389="","",'KG1-3'!$C18)</f>
        <v/>
      </c>
      <c r="C1389">
        <f>IF(A1389="","",'KG1-3'!$B$2)</f>
        <v/>
      </c>
      <c r="D1389" s="126">
        <f t="array" ref="D1389">IF(A1389="","",IFERROR(SMALL(IF((('KG1-3'!$AD18:$IM18="غياب بدون عذر")+('KG1-3'!$AD18:$IM18="غياب بعذر"))*('KG1-3'!$AD$7:$IM$7="✓"),'KG1-3'!$AD$5:$IM$5),8),""))</f>
        <v/>
      </c>
      <c r="E1389">
        <f>IF(D1389="","",INDEX('KG1-3'!$AD18:$IM18,MATCH(D1389,'KG1-3'!$AD$5:$IM$5,0)))</f>
        <v/>
      </c>
      <c r="F1389">
        <f>IF(D1389="","",COUNTIFS('KG1-3'!$AD18:$IM18,"غياب بدون عذر",'KG1-3'!$AD$7:$IM$7,"✓",'KG1-3'!$AD$5:$IM$5,"&lt;="&amp;D1389))</f>
        <v/>
      </c>
      <c r="G1389">
        <f>G1388+IF(D1389="",0,1)</f>
        <v/>
      </c>
    </row>
    <row r="1390">
      <c r="A1390">
        <f>IF('KG1-3'!$B18="","",'KG1-3'!$B18)</f>
        <v/>
      </c>
      <c r="B1390">
        <f>IF(A1390="","",'KG1-3'!$C18)</f>
        <v/>
      </c>
      <c r="C1390">
        <f>IF(A1390="","",'KG1-3'!$B$2)</f>
        <v/>
      </c>
      <c r="D1390" s="126">
        <f t="array" ref="D1390">IF(A1390="","",IFERROR(SMALL(IF((('KG1-3'!$AD18:$IM18="غياب بدون عذر")+('KG1-3'!$AD18:$IM18="غياب بعذر"))*('KG1-3'!$AD$7:$IM$7="✓"),'KG1-3'!$AD$5:$IM$5),9),""))</f>
        <v/>
      </c>
      <c r="E1390">
        <f>IF(D1390="","",INDEX('KG1-3'!$AD18:$IM18,MATCH(D1390,'KG1-3'!$AD$5:$IM$5,0)))</f>
        <v/>
      </c>
      <c r="F1390">
        <f>IF(D1390="","",COUNTIFS('KG1-3'!$AD18:$IM18,"غياب بدون عذر",'KG1-3'!$AD$7:$IM$7,"✓",'KG1-3'!$AD$5:$IM$5,"&lt;="&amp;D1390))</f>
        <v/>
      </c>
      <c r="G1390">
        <f>G1389+IF(D1390="",0,1)</f>
        <v/>
      </c>
    </row>
    <row r="1391">
      <c r="A1391">
        <f>IF('KG1-3'!$B18="","",'KG1-3'!$B18)</f>
        <v/>
      </c>
      <c r="B1391">
        <f>IF(A1391="","",'KG1-3'!$C18)</f>
        <v/>
      </c>
      <c r="C1391">
        <f>IF(A1391="","",'KG1-3'!$B$2)</f>
        <v/>
      </c>
      <c r="D1391" s="126">
        <f t="array" ref="D1391">IF(A1391="","",IFERROR(SMALL(IF((('KG1-3'!$AD18:$IM18="غياب بدون عذر")+('KG1-3'!$AD18:$IM18="غياب بعذر"))*('KG1-3'!$AD$7:$IM$7="✓"),'KG1-3'!$AD$5:$IM$5),10),""))</f>
        <v/>
      </c>
      <c r="E1391">
        <f>IF(D1391="","",INDEX('KG1-3'!$AD18:$IM18,MATCH(D1391,'KG1-3'!$AD$5:$IM$5,0)))</f>
        <v/>
      </c>
      <c r="F1391">
        <f>IF(D1391="","",COUNTIFS('KG1-3'!$AD18:$IM18,"غياب بدون عذر",'KG1-3'!$AD$7:$IM$7,"✓",'KG1-3'!$AD$5:$IM$5,"&lt;="&amp;D1391))</f>
        <v/>
      </c>
      <c r="G1391">
        <f>G1390+IF(D1391="",0,1)</f>
        <v/>
      </c>
    </row>
    <row r="1392">
      <c r="A1392">
        <f>IF('KG1-3'!$B18="","",'KG1-3'!$B18)</f>
        <v/>
      </c>
      <c r="B1392">
        <f>IF(A1392="","",'KG1-3'!$C18)</f>
        <v/>
      </c>
      <c r="C1392">
        <f>IF(A1392="","",'KG1-3'!$B$2)</f>
        <v/>
      </c>
      <c r="D1392" s="126">
        <f t="array" ref="D1392">IF(A1392="","",IFERROR(SMALL(IF((('KG1-3'!$AD18:$IM18="غياب بدون عذر")+('KG1-3'!$AD18:$IM18="غياب بعذر"))*('KG1-3'!$AD$7:$IM$7="✓"),'KG1-3'!$AD$5:$IM$5),11),""))</f>
        <v/>
      </c>
      <c r="E1392">
        <f>IF(D1392="","",INDEX('KG1-3'!$AD18:$IM18,MATCH(D1392,'KG1-3'!$AD$5:$IM$5,0)))</f>
        <v/>
      </c>
      <c r="F1392">
        <f>IF(D1392="","",COUNTIFS('KG1-3'!$AD18:$IM18,"غياب بدون عذر",'KG1-3'!$AD$7:$IM$7,"✓",'KG1-3'!$AD$5:$IM$5,"&lt;="&amp;D1392))</f>
        <v/>
      </c>
      <c r="G1392">
        <f>G1391+IF(D1392="",0,1)</f>
        <v/>
      </c>
    </row>
    <row r="1393">
      <c r="A1393">
        <f>IF('KG1-3'!$B18="","",'KG1-3'!$B18)</f>
        <v/>
      </c>
      <c r="B1393">
        <f>IF(A1393="","",'KG1-3'!$C18)</f>
        <v/>
      </c>
      <c r="C1393">
        <f>IF(A1393="","",'KG1-3'!$B$2)</f>
        <v/>
      </c>
      <c r="D1393" s="126">
        <f t="array" ref="D1393">IF(A1393="","",IFERROR(SMALL(IF((('KG1-3'!$AD18:$IM18="غياب بدون عذر")+('KG1-3'!$AD18:$IM18="غياب بعذر"))*('KG1-3'!$AD$7:$IM$7="✓"),'KG1-3'!$AD$5:$IM$5),12),""))</f>
        <v/>
      </c>
      <c r="E1393">
        <f>IF(D1393="","",INDEX('KG1-3'!$AD18:$IM18,MATCH(D1393,'KG1-3'!$AD$5:$IM$5,0)))</f>
        <v/>
      </c>
      <c r="F1393">
        <f>IF(D1393="","",COUNTIFS('KG1-3'!$AD18:$IM18,"غياب بدون عذر",'KG1-3'!$AD$7:$IM$7,"✓",'KG1-3'!$AD$5:$IM$5,"&lt;="&amp;D1393))</f>
        <v/>
      </c>
      <c r="G1393">
        <f>G1392+IF(D1393="",0,1)</f>
        <v/>
      </c>
    </row>
    <row r="1394">
      <c r="A1394">
        <f>IF('KG1-3'!$B18="","",'KG1-3'!$B18)</f>
        <v/>
      </c>
      <c r="B1394">
        <f>IF(A1394="","",'KG1-3'!$C18)</f>
        <v/>
      </c>
      <c r="C1394">
        <f>IF(A1394="","",'KG1-3'!$B$2)</f>
        <v/>
      </c>
      <c r="D1394" s="126">
        <f t="array" ref="D1394">IF(A1394="","",IFERROR(SMALL(IF((('KG1-3'!$AD18:$IM18="غياب بدون عذر")+('KG1-3'!$AD18:$IM18="غياب بعذر"))*('KG1-3'!$AD$7:$IM$7="✓"),'KG1-3'!$AD$5:$IM$5),13),""))</f>
        <v/>
      </c>
      <c r="E1394">
        <f>IF(D1394="","",INDEX('KG1-3'!$AD18:$IM18,MATCH(D1394,'KG1-3'!$AD$5:$IM$5,0)))</f>
        <v/>
      </c>
      <c r="F1394">
        <f>IF(D1394="","",COUNTIFS('KG1-3'!$AD18:$IM18,"غياب بدون عذر",'KG1-3'!$AD$7:$IM$7,"✓",'KG1-3'!$AD$5:$IM$5,"&lt;="&amp;D1394))</f>
        <v/>
      </c>
      <c r="G1394">
        <f>G1393+IF(D1394="",0,1)</f>
        <v/>
      </c>
    </row>
    <row r="1395">
      <c r="A1395">
        <f>IF('KG1-3'!$B18="","",'KG1-3'!$B18)</f>
        <v/>
      </c>
      <c r="B1395">
        <f>IF(A1395="","",'KG1-3'!$C18)</f>
        <v/>
      </c>
      <c r="C1395">
        <f>IF(A1395="","",'KG1-3'!$B$2)</f>
        <v/>
      </c>
      <c r="D1395" s="126">
        <f t="array" ref="D1395">IF(A1395="","",IFERROR(SMALL(IF((('KG1-3'!$AD18:$IM18="غياب بدون عذر")+('KG1-3'!$AD18:$IM18="غياب بعذر"))*('KG1-3'!$AD$7:$IM$7="✓"),'KG1-3'!$AD$5:$IM$5),14),""))</f>
        <v/>
      </c>
      <c r="E1395">
        <f>IF(D1395="","",INDEX('KG1-3'!$AD18:$IM18,MATCH(D1395,'KG1-3'!$AD$5:$IM$5,0)))</f>
        <v/>
      </c>
      <c r="F1395">
        <f>IF(D1395="","",COUNTIFS('KG1-3'!$AD18:$IM18,"غياب بدون عذر",'KG1-3'!$AD$7:$IM$7,"✓",'KG1-3'!$AD$5:$IM$5,"&lt;="&amp;D1395))</f>
        <v/>
      </c>
      <c r="G1395">
        <f>G1394+IF(D1395="",0,1)</f>
        <v/>
      </c>
    </row>
    <row r="1396">
      <c r="A1396">
        <f>IF('KG1-3'!$B18="","",'KG1-3'!$B18)</f>
        <v/>
      </c>
      <c r="B1396">
        <f>IF(A1396="","",'KG1-3'!$C18)</f>
        <v/>
      </c>
      <c r="C1396">
        <f>IF(A1396="","",'KG1-3'!$B$2)</f>
        <v/>
      </c>
      <c r="D1396" s="126">
        <f t="array" ref="D1396">IF(A1396="","",IFERROR(SMALL(IF((('KG1-3'!$AD18:$IM18="غياب بدون عذر")+('KG1-3'!$AD18:$IM18="غياب بعذر"))*('KG1-3'!$AD$7:$IM$7="✓"),'KG1-3'!$AD$5:$IM$5),15),""))</f>
        <v/>
      </c>
      <c r="E1396">
        <f>IF(D1396="","",INDEX('KG1-3'!$AD18:$IM18,MATCH(D1396,'KG1-3'!$AD$5:$IM$5,0)))</f>
        <v/>
      </c>
      <c r="F1396">
        <f>IF(D1396="","",COUNTIFS('KG1-3'!$AD18:$IM18,"غياب بدون عذر",'KG1-3'!$AD$7:$IM$7,"✓",'KG1-3'!$AD$5:$IM$5,"&lt;="&amp;D1396))</f>
        <v/>
      </c>
      <c r="G1396">
        <f>G1395+IF(D1396="",0,1)</f>
        <v/>
      </c>
    </row>
    <row r="1397">
      <c r="A1397">
        <f>IF('KG1-3'!$B18="","",'KG1-3'!$B18)</f>
        <v/>
      </c>
      <c r="B1397">
        <f>IF(A1397="","",'KG1-3'!$C18)</f>
        <v/>
      </c>
      <c r="C1397">
        <f>IF(A1397="","",'KG1-3'!$B$2)</f>
        <v/>
      </c>
      <c r="D1397" s="126">
        <f t="array" ref="D1397">IF(A1397="","",IFERROR(SMALL(IF((('KG1-3'!$AD18:$IM18="غياب بدون عذر")+('KG1-3'!$AD18:$IM18="غياب بعذر"))*('KG1-3'!$AD$7:$IM$7="✓"),'KG1-3'!$AD$5:$IM$5),16),""))</f>
        <v/>
      </c>
      <c r="E1397">
        <f>IF(D1397="","",INDEX('KG1-3'!$AD18:$IM18,MATCH(D1397,'KG1-3'!$AD$5:$IM$5,0)))</f>
        <v/>
      </c>
      <c r="F1397">
        <f>IF(D1397="","",COUNTIFS('KG1-3'!$AD18:$IM18,"غياب بدون عذر",'KG1-3'!$AD$7:$IM$7,"✓",'KG1-3'!$AD$5:$IM$5,"&lt;="&amp;D1397))</f>
        <v/>
      </c>
      <c r="G1397">
        <f>G1396+IF(D1397="",0,1)</f>
        <v/>
      </c>
    </row>
    <row r="1398">
      <c r="A1398">
        <f>IF('KG1-3'!$B18="","",'KG1-3'!$B18)</f>
        <v/>
      </c>
      <c r="B1398">
        <f>IF(A1398="","",'KG1-3'!$C18)</f>
        <v/>
      </c>
      <c r="C1398">
        <f>IF(A1398="","",'KG1-3'!$B$2)</f>
        <v/>
      </c>
      <c r="D1398" s="126">
        <f t="array" ref="D1398">IF(A1398="","",IFERROR(SMALL(IF((('KG1-3'!$AD18:$IM18="غياب بدون عذر")+('KG1-3'!$AD18:$IM18="غياب بعذر"))*('KG1-3'!$AD$7:$IM$7="✓"),'KG1-3'!$AD$5:$IM$5),17),""))</f>
        <v/>
      </c>
      <c r="E1398">
        <f>IF(D1398="","",INDEX('KG1-3'!$AD18:$IM18,MATCH(D1398,'KG1-3'!$AD$5:$IM$5,0)))</f>
        <v/>
      </c>
      <c r="F1398">
        <f>IF(D1398="","",COUNTIFS('KG1-3'!$AD18:$IM18,"غياب بدون عذر",'KG1-3'!$AD$7:$IM$7,"✓",'KG1-3'!$AD$5:$IM$5,"&lt;="&amp;D1398))</f>
        <v/>
      </c>
      <c r="G1398">
        <f>G1397+IF(D1398="",0,1)</f>
        <v/>
      </c>
    </row>
    <row r="1399">
      <c r="A1399">
        <f>IF('KG1-3'!$B18="","",'KG1-3'!$B18)</f>
        <v/>
      </c>
      <c r="B1399">
        <f>IF(A1399="","",'KG1-3'!$C18)</f>
        <v/>
      </c>
      <c r="C1399">
        <f>IF(A1399="","",'KG1-3'!$B$2)</f>
        <v/>
      </c>
      <c r="D1399" s="126">
        <f t="array" ref="D1399">IF(A1399="","",IFERROR(SMALL(IF((('KG1-3'!$AD18:$IM18="غياب بدون عذر")+('KG1-3'!$AD18:$IM18="غياب بعذر"))*('KG1-3'!$AD$7:$IM$7="✓"),'KG1-3'!$AD$5:$IM$5),18),""))</f>
        <v/>
      </c>
      <c r="E1399">
        <f>IF(D1399="","",INDEX('KG1-3'!$AD18:$IM18,MATCH(D1399,'KG1-3'!$AD$5:$IM$5,0)))</f>
        <v/>
      </c>
      <c r="F1399">
        <f>IF(D1399="","",COUNTIFS('KG1-3'!$AD18:$IM18,"غياب بدون عذر",'KG1-3'!$AD$7:$IM$7,"✓",'KG1-3'!$AD$5:$IM$5,"&lt;="&amp;D1399))</f>
        <v/>
      </c>
      <c r="G1399">
        <f>G1398+IF(D1399="",0,1)</f>
        <v/>
      </c>
    </row>
    <row r="1400">
      <c r="A1400">
        <f>IF('KG1-3'!$B18="","",'KG1-3'!$B18)</f>
        <v/>
      </c>
      <c r="B1400">
        <f>IF(A1400="","",'KG1-3'!$C18)</f>
        <v/>
      </c>
      <c r="C1400">
        <f>IF(A1400="","",'KG1-3'!$B$2)</f>
        <v/>
      </c>
      <c r="D1400" s="126">
        <f t="array" ref="D1400">IF(A1400="","",IFERROR(SMALL(IF((('KG1-3'!$AD18:$IM18="غياب بدون عذر")+('KG1-3'!$AD18:$IM18="غياب بعذر"))*('KG1-3'!$AD$7:$IM$7="✓"),'KG1-3'!$AD$5:$IM$5),19),""))</f>
        <v/>
      </c>
      <c r="E1400">
        <f>IF(D1400="","",INDEX('KG1-3'!$AD18:$IM18,MATCH(D1400,'KG1-3'!$AD$5:$IM$5,0)))</f>
        <v/>
      </c>
      <c r="F1400">
        <f>IF(D1400="","",COUNTIFS('KG1-3'!$AD18:$IM18,"غياب بدون عذر",'KG1-3'!$AD$7:$IM$7,"✓",'KG1-3'!$AD$5:$IM$5,"&lt;="&amp;D1400))</f>
        <v/>
      </c>
      <c r="G1400">
        <f>G1399+IF(D1400="",0,1)</f>
        <v/>
      </c>
    </row>
    <row r="1401">
      <c r="A1401">
        <f>IF('KG1-3'!$B18="","",'KG1-3'!$B18)</f>
        <v/>
      </c>
      <c r="B1401">
        <f>IF(A1401="","",'KG1-3'!$C18)</f>
        <v/>
      </c>
      <c r="C1401">
        <f>IF(A1401="","",'KG1-3'!$B$2)</f>
        <v/>
      </c>
      <c r="D1401" s="126">
        <f t="array" ref="D1401">IF(A1401="","",IFERROR(SMALL(IF((('KG1-3'!$AD18:$IM18="غياب بدون عذر")+('KG1-3'!$AD18:$IM18="غياب بعذر"))*('KG1-3'!$AD$7:$IM$7="✓"),'KG1-3'!$AD$5:$IM$5),20),""))</f>
        <v/>
      </c>
      <c r="E1401">
        <f>IF(D1401="","",INDEX('KG1-3'!$AD18:$IM18,MATCH(D1401,'KG1-3'!$AD$5:$IM$5,0)))</f>
        <v/>
      </c>
      <c r="F1401">
        <f>IF(D1401="","",COUNTIFS('KG1-3'!$AD18:$IM18,"غياب بدون عذر",'KG1-3'!$AD$7:$IM$7,"✓",'KG1-3'!$AD$5:$IM$5,"&lt;="&amp;D1401))</f>
        <v/>
      </c>
      <c r="G1401">
        <f>G1400+IF(D1401="",0,1)</f>
        <v/>
      </c>
    </row>
    <row r="1402">
      <c r="A1402">
        <f>IF('KG1-3'!$B19="","",'KG1-3'!$B19)</f>
        <v/>
      </c>
      <c r="B1402">
        <f>IF(A1402="","",'KG1-3'!$C19)</f>
        <v/>
      </c>
      <c r="C1402">
        <f>IF(A1402="","",'KG1-3'!$B$2)</f>
        <v/>
      </c>
      <c r="D1402" s="126">
        <f t="array" ref="D1402">IF(A1402="","",IFERROR(SMALL(IF((('KG1-3'!$AD19:$IM19="غياب بدون عذر")+('KG1-3'!$AD19:$IM19="غياب بعذر"))*('KG1-3'!$AD$7:$IM$7="✓"),'KG1-3'!$AD$5:$IM$5),1),""))</f>
        <v/>
      </c>
      <c r="E1402">
        <f>IF(D1402="","",INDEX('KG1-3'!$AD19:$IM19,MATCH(D1402,'KG1-3'!$AD$5:$IM$5,0)))</f>
        <v/>
      </c>
      <c r="F1402">
        <f>IF(D1402="","",COUNTIFS('KG1-3'!$AD19:$IM19,"غياب بدون عذر",'KG1-3'!$AD$7:$IM$7,"✓",'KG1-3'!$AD$5:$IM$5,"&lt;="&amp;D1402))</f>
        <v/>
      </c>
      <c r="G1402">
        <f>G1401+IF(D1402="",0,1)</f>
        <v/>
      </c>
    </row>
    <row r="1403">
      <c r="A1403">
        <f>IF('KG1-3'!$B19="","",'KG1-3'!$B19)</f>
        <v/>
      </c>
      <c r="B1403">
        <f>IF(A1403="","",'KG1-3'!$C19)</f>
        <v/>
      </c>
      <c r="C1403">
        <f>IF(A1403="","",'KG1-3'!$B$2)</f>
        <v/>
      </c>
      <c r="D1403" s="126">
        <f t="array" ref="D1403">IF(A1403="","",IFERROR(SMALL(IF((('KG1-3'!$AD19:$IM19="غياب بدون عذر")+('KG1-3'!$AD19:$IM19="غياب بعذر"))*('KG1-3'!$AD$7:$IM$7="✓"),'KG1-3'!$AD$5:$IM$5),2),""))</f>
        <v/>
      </c>
      <c r="E1403">
        <f>IF(D1403="","",INDEX('KG1-3'!$AD19:$IM19,MATCH(D1403,'KG1-3'!$AD$5:$IM$5,0)))</f>
        <v/>
      </c>
      <c r="F1403">
        <f>IF(D1403="","",COUNTIFS('KG1-3'!$AD19:$IM19,"غياب بدون عذر",'KG1-3'!$AD$7:$IM$7,"✓",'KG1-3'!$AD$5:$IM$5,"&lt;="&amp;D1403))</f>
        <v/>
      </c>
      <c r="G1403">
        <f>G1402+IF(D1403="",0,1)</f>
        <v/>
      </c>
    </row>
    <row r="1404">
      <c r="A1404">
        <f>IF('KG1-3'!$B19="","",'KG1-3'!$B19)</f>
        <v/>
      </c>
      <c r="B1404">
        <f>IF(A1404="","",'KG1-3'!$C19)</f>
        <v/>
      </c>
      <c r="C1404">
        <f>IF(A1404="","",'KG1-3'!$B$2)</f>
        <v/>
      </c>
      <c r="D1404" s="126">
        <f t="array" ref="D1404">IF(A1404="","",IFERROR(SMALL(IF((('KG1-3'!$AD19:$IM19="غياب بدون عذر")+('KG1-3'!$AD19:$IM19="غياب بعذر"))*('KG1-3'!$AD$7:$IM$7="✓"),'KG1-3'!$AD$5:$IM$5),3),""))</f>
        <v/>
      </c>
      <c r="E1404">
        <f>IF(D1404="","",INDEX('KG1-3'!$AD19:$IM19,MATCH(D1404,'KG1-3'!$AD$5:$IM$5,0)))</f>
        <v/>
      </c>
      <c r="F1404">
        <f>IF(D1404="","",COUNTIFS('KG1-3'!$AD19:$IM19,"غياب بدون عذر",'KG1-3'!$AD$7:$IM$7,"✓",'KG1-3'!$AD$5:$IM$5,"&lt;="&amp;D1404))</f>
        <v/>
      </c>
      <c r="G1404">
        <f>G1403+IF(D1404="",0,1)</f>
        <v/>
      </c>
    </row>
    <row r="1405">
      <c r="A1405">
        <f>IF('KG1-3'!$B19="","",'KG1-3'!$B19)</f>
        <v/>
      </c>
      <c r="B1405">
        <f>IF(A1405="","",'KG1-3'!$C19)</f>
        <v/>
      </c>
      <c r="C1405">
        <f>IF(A1405="","",'KG1-3'!$B$2)</f>
        <v/>
      </c>
      <c r="D1405" s="126">
        <f t="array" ref="D1405">IF(A1405="","",IFERROR(SMALL(IF((('KG1-3'!$AD19:$IM19="غياب بدون عذر")+('KG1-3'!$AD19:$IM19="غياب بعذر"))*('KG1-3'!$AD$7:$IM$7="✓"),'KG1-3'!$AD$5:$IM$5),4),""))</f>
        <v/>
      </c>
      <c r="E1405">
        <f>IF(D1405="","",INDEX('KG1-3'!$AD19:$IM19,MATCH(D1405,'KG1-3'!$AD$5:$IM$5,0)))</f>
        <v/>
      </c>
      <c r="F1405">
        <f>IF(D1405="","",COUNTIFS('KG1-3'!$AD19:$IM19,"غياب بدون عذر",'KG1-3'!$AD$7:$IM$7,"✓",'KG1-3'!$AD$5:$IM$5,"&lt;="&amp;D1405))</f>
        <v/>
      </c>
      <c r="G1405">
        <f>G1404+IF(D1405="",0,1)</f>
        <v/>
      </c>
    </row>
    <row r="1406">
      <c r="A1406">
        <f>IF('KG1-3'!$B19="","",'KG1-3'!$B19)</f>
        <v/>
      </c>
      <c r="B1406">
        <f>IF(A1406="","",'KG1-3'!$C19)</f>
        <v/>
      </c>
      <c r="C1406">
        <f>IF(A1406="","",'KG1-3'!$B$2)</f>
        <v/>
      </c>
      <c r="D1406" s="126">
        <f t="array" ref="D1406">IF(A1406="","",IFERROR(SMALL(IF((('KG1-3'!$AD19:$IM19="غياب بدون عذر")+('KG1-3'!$AD19:$IM19="غياب بعذر"))*('KG1-3'!$AD$7:$IM$7="✓"),'KG1-3'!$AD$5:$IM$5),5),""))</f>
        <v/>
      </c>
      <c r="E1406">
        <f>IF(D1406="","",INDEX('KG1-3'!$AD19:$IM19,MATCH(D1406,'KG1-3'!$AD$5:$IM$5,0)))</f>
        <v/>
      </c>
      <c r="F1406">
        <f>IF(D1406="","",COUNTIFS('KG1-3'!$AD19:$IM19,"غياب بدون عذر",'KG1-3'!$AD$7:$IM$7,"✓",'KG1-3'!$AD$5:$IM$5,"&lt;="&amp;D1406))</f>
        <v/>
      </c>
      <c r="G1406">
        <f>G1405+IF(D1406="",0,1)</f>
        <v/>
      </c>
    </row>
    <row r="1407">
      <c r="A1407">
        <f>IF('KG1-3'!$B19="","",'KG1-3'!$B19)</f>
        <v/>
      </c>
      <c r="B1407">
        <f>IF(A1407="","",'KG1-3'!$C19)</f>
        <v/>
      </c>
      <c r="C1407">
        <f>IF(A1407="","",'KG1-3'!$B$2)</f>
        <v/>
      </c>
      <c r="D1407" s="126">
        <f t="array" ref="D1407">IF(A1407="","",IFERROR(SMALL(IF((('KG1-3'!$AD19:$IM19="غياب بدون عذر")+('KG1-3'!$AD19:$IM19="غياب بعذر"))*('KG1-3'!$AD$7:$IM$7="✓"),'KG1-3'!$AD$5:$IM$5),6),""))</f>
        <v/>
      </c>
      <c r="E1407">
        <f>IF(D1407="","",INDEX('KG1-3'!$AD19:$IM19,MATCH(D1407,'KG1-3'!$AD$5:$IM$5,0)))</f>
        <v/>
      </c>
      <c r="F1407">
        <f>IF(D1407="","",COUNTIFS('KG1-3'!$AD19:$IM19,"غياب بدون عذر",'KG1-3'!$AD$7:$IM$7,"✓",'KG1-3'!$AD$5:$IM$5,"&lt;="&amp;D1407))</f>
        <v/>
      </c>
      <c r="G1407">
        <f>G1406+IF(D1407="",0,1)</f>
        <v/>
      </c>
    </row>
    <row r="1408">
      <c r="A1408">
        <f>IF('KG1-3'!$B19="","",'KG1-3'!$B19)</f>
        <v/>
      </c>
      <c r="B1408">
        <f>IF(A1408="","",'KG1-3'!$C19)</f>
        <v/>
      </c>
      <c r="C1408">
        <f>IF(A1408="","",'KG1-3'!$B$2)</f>
        <v/>
      </c>
      <c r="D1408" s="126">
        <f t="array" ref="D1408">IF(A1408="","",IFERROR(SMALL(IF((('KG1-3'!$AD19:$IM19="غياب بدون عذر")+('KG1-3'!$AD19:$IM19="غياب بعذر"))*('KG1-3'!$AD$7:$IM$7="✓"),'KG1-3'!$AD$5:$IM$5),7),""))</f>
        <v/>
      </c>
      <c r="E1408">
        <f>IF(D1408="","",INDEX('KG1-3'!$AD19:$IM19,MATCH(D1408,'KG1-3'!$AD$5:$IM$5,0)))</f>
        <v/>
      </c>
      <c r="F1408">
        <f>IF(D1408="","",COUNTIFS('KG1-3'!$AD19:$IM19,"غياب بدون عذر",'KG1-3'!$AD$7:$IM$7,"✓",'KG1-3'!$AD$5:$IM$5,"&lt;="&amp;D1408))</f>
        <v/>
      </c>
      <c r="G1408">
        <f>G1407+IF(D1408="",0,1)</f>
        <v/>
      </c>
    </row>
    <row r="1409">
      <c r="A1409">
        <f>IF('KG1-3'!$B19="","",'KG1-3'!$B19)</f>
        <v/>
      </c>
      <c r="B1409">
        <f>IF(A1409="","",'KG1-3'!$C19)</f>
        <v/>
      </c>
      <c r="C1409">
        <f>IF(A1409="","",'KG1-3'!$B$2)</f>
        <v/>
      </c>
      <c r="D1409" s="126">
        <f t="array" ref="D1409">IF(A1409="","",IFERROR(SMALL(IF((('KG1-3'!$AD19:$IM19="غياب بدون عذر")+('KG1-3'!$AD19:$IM19="غياب بعذر"))*('KG1-3'!$AD$7:$IM$7="✓"),'KG1-3'!$AD$5:$IM$5),8),""))</f>
        <v/>
      </c>
      <c r="E1409">
        <f>IF(D1409="","",INDEX('KG1-3'!$AD19:$IM19,MATCH(D1409,'KG1-3'!$AD$5:$IM$5,0)))</f>
        <v/>
      </c>
      <c r="F1409">
        <f>IF(D1409="","",COUNTIFS('KG1-3'!$AD19:$IM19,"غياب بدون عذر",'KG1-3'!$AD$7:$IM$7,"✓",'KG1-3'!$AD$5:$IM$5,"&lt;="&amp;D1409))</f>
        <v/>
      </c>
      <c r="G1409">
        <f>G1408+IF(D1409="",0,1)</f>
        <v/>
      </c>
    </row>
    <row r="1410">
      <c r="A1410">
        <f>IF('KG1-3'!$B19="","",'KG1-3'!$B19)</f>
        <v/>
      </c>
      <c r="B1410">
        <f>IF(A1410="","",'KG1-3'!$C19)</f>
        <v/>
      </c>
      <c r="C1410">
        <f>IF(A1410="","",'KG1-3'!$B$2)</f>
        <v/>
      </c>
      <c r="D1410" s="126">
        <f t="array" ref="D1410">IF(A1410="","",IFERROR(SMALL(IF((('KG1-3'!$AD19:$IM19="غياب بدون عذر")+('KG1-3'!$AD19:$IM19="غياب بعذر"))*('KG1-3'!$AD$7:$IM$7="✓"),'KG1-3'!$AD$5:$IM$5),9),""))</f>
        <v/>
      </c>
      <c r="E1410">
        <f>IF(D1410="","",INDEX('KG1-3'!$AD19:$IM19,MATCH(D1410,'KG1-3'!$AD$5:$IM$5,0)))</f>
        <v/>
      </c>
      <c r="F1410">
        <f>IF(D1410="","",COUNTIFS('KG1-3'!$AD19:$IM19,"غياب بدون عذر",'KG1-3'!$AD$7:$IM$7,"✓",'KG1-3'!$AD$5:$IM$5,"&lt;="&amp;D1410))</f>
        <v/>
      </c>
      <c r="G1410">
        <f>G1409+IF(D1410="",0,1)</f>
        <v/>
      </c>
    </row>
    <row r="1411">
      <c r="A1411">
        <f>IF('KG1-3'!$B19="","",'KG1-3'!$B19)</f>
        <v/>
      </c>
      <c r="B1411">
        <f>IF(A1411="","",'KG1-3'!$C19)</f>
        <v/>
      </c>
      <c r="C1411">
        <f>IF(A1411="","",'KG1-3'!$B$2)</f>
        <v/>
      </c>
      <c r="D1411" s="126">
        <f t="array" ref="D1411">IF(A1411="","",IFERROR(SMALL(IF((('KG1-3'!$AD19:$IM19="غياب بدون عذر")+('KG1-3'!$AD19:$IM19="غياب بعذر"))*('KG1-3'!$AD$7:$IM$7="✓"),'KG1-3'!$AD$5:$IM$5),10),""))</f>
        <v/>
      </c>
      <c r="E1411">
        <f>IF(D1411="","",INDEX('KG1-3'!$AD19:$IM19,MATCH(D1411,'KG1-3'!$AD$5:$IM$5,0)))</f>
        <v/>
      </c>
      <c r="F1411">
        <f>IF(D1411="","",COUNTIFS('KG1-3'!$AD19:$IM19,"غياب بدون عذر",'KG1-3'!$AD$7:$IM$7,"✓",'KG1-3'!$AD$5:$IM$5,"&lt;="&amp;D1411))</f>
        <v/>
      </c>
      <c r="G1411">
        <f>G1410+IF(D1411="",0,1)</f>
        <v/>
      </c>
    </row>
    <row r="1412">
      <c r="A1412">
        <f>IF('KG1-3'!$B19="","",'KG1-3'!$B19)</f>
        <v/>
      </c>
      <c r="B1412">
        <f>IF(A1412="","",'KG1-3'!$C19)</f>
        <v/>
      </c>
      <c r="C1412">
        <f>IF(A1412="","",'KG1-3'!$B$2)</f>
        <v/>
      </c>
      <c r="D1412" s="126">
        <f t="array" ref="D1412">IF(A1412="","",IFERROR(SMALL(IF((('KG1-3'!$AD19:$IM19="غياب بدون عذر")+('KG1-3'!$AD19:$IM19="غياب بعذر"))*('KG1-3'!$AD$7:$IM$7="✓"),'KG1-3'!$AD$5:$IM$5),11),""))</f>
        <v/>
      </c>
      <c r="E1412">
        <f>IF(D1412="","",INDEX('KG1-3'!$AD19:$IM19,MATCH(D1412,'KG1-3'!$AD$5:$IM$5,0)))</f>
        <v/>
      </c>
      <c r="F1412">
        <f>IF(D1412="","",COUNTIFS('KG1-3'!$AD19:$IM19,"غياب بدون عذر",'KG1-3'!$AD$7:$IM$7,"✓",'KG1-3'!$AD$5:$IM$5,"&lt;="&amp;D1412))</f>
        <v/>
      </c>
      <c r="G1412">
        <f>G1411+IF(D1412="",0,1)</f>
        <v/>
      </c>
    </row>
    <row r="1413">
      <c r="A1413">
        <f>IF('KG1-3'!$B19="","",'KG1-3'!$B19)</f>
        <v/>
      </c>
      <c r="B1413">
        <f>IF(A1413="","",'KG1-3'!$C19)</f>
        <v/>
      </c>
      <c r="C1413">
        <f>IF(A1413="","",'KG1-3'!$B$2)</f>
        <v/>
      </c>
      <c r="D1413" s="126">
        <f t="array" ref="D1413">IF(A1413="","",IFERROR(SMALL(IF((('KG1-3'!$AD19:$IM19="غياب بدون عذر")+('KG1-3'!$AD19:$IM19="غياب بعذر"))*('KG1-3'!$AD$7:$IM$7="✓"),'KG1-3'!$AD$5:$IM$5),12),""))</f>
        <v/>
      </c>
      <c r="E1413">
        <f>IF(D1413="","",INDEX('KG1-3'!$AD19:$IM19,MATCH(D1413,'KG1-3'!$AD$5:$IM$5,0)))</f>
        <v/>
      </c>
      <c r="F1413">
        <f>IF(D1413="","",COUNTIFS('KG1-3'!$AD19:$IM19,"غياب بدون عذر",'KG1-3'!$AD$7:$IM$7,"✓",'KG1-3'!$AD$5:$IM$5,"&lt;="&amp;D1413))</f>
        <v/>
      </c>
      <c r="G1413">
        <f>G1412+IF(D1413="",0,1)</f>
        <v/>
      </c>
    </row>
    <row r="1414">
      <c r="A1414">
        <f>IF('KG1-3'!$B19="","",'KG1-3'!$B19)</f>
        <v/>
      </c>
      <c r="B1414">
        <f>IF(A1414="","",'KG1-3'!$C19)</f>
        <v/>
      </c>
      <c r="C1414">
        <f>IF(A1414="","",'KG1-3'!$B$2)</f>
        <v/>
      </c>
      <c r="D1414" s="126">
        <f t="array" ref="D1414">IF(A1414="","",IFERROR(SMALL(IF((('KG1-3'!$AD19:$IM19="غياب بدون عذر")+('KG1-3'!$AD19:$IM19="غياب بعذر"))*('KG1-3'!$AD$7:$IM$7="✓"),'KG1-3'!$AD$5:$IM$5),13),""))</f>
        <v/>
      </c>
      <c r="E1414">
        <f>IF(D1414="","",INDEX('KG1-3'!$AD19:$IM19,MATCH(D1414,'KG1-3'!$AD$5:$IM$5,0)))</f>
        <v/>
      </c>
      <c r="F1414">
        <f>IF(D1414="","",COUNTIFS('KG1-3'!$AD19:$IM19,"غياب بدون عذر",'KG1-3'!$AD$7:$IM$7,"✓",'KG1-3'!$AD$5:$IM$5,"&lt;="&amp;D1414))</f>
        <v/>
      </c>
      <c r="G1414">
        <f>G1413+IF(D1414="",0,1)</f>
        <v/>
      </c>
    </row>
    <row r="1415">
      <c r="A1415">
        <f>IF('KG1-3'!$B19="","",'KG1-3'!$B19)</f>
        <v/>
      </c>
      <c r="B1415">
        <f>IF(A1415="","",'KG1-3'!$C19)</f>
        <v/>
      </c>
      <c r="C1415">
        <f>IF(A1415="","",'KG1-3'!$B$2)</f>
        <v/>
      </c>
      <c r="D1415" s="126">
        <f t="array" ref="D1415">IF(A1415="","",IFERROR(SMALL(IF((('KG1-3'!$AD19:$IM19="غياب بدون عذر")+('KG1-3'!$AD19:$IM19="غياب بعذر"))*('KG1-3'!$AD$7:$IM$7="✓"),'KG1-3'!$AD$5:$IM$5),14),""))</f>
        <v/>
      </c>
      <c r="E1415">
        <f>IF(D1415="","",INDEX('KG1-3'!$AD19:$IM19,MATCH(D1415,'KG1-3'!$AD$5:$IM$5,0)))</f>
        <v/>
      </c>
      <c r="F1415">
        <f>IF(D1415="","",COUNTIFS('KG1-3'!$AD19:$IM19,"غياب بدون عذر",'KG1-3'!$AD$7:$IM$7,"✓",'KG1-3'!$AD$5:$IM$5,"&lt;="&amp;D1415))</f>
        <v/>
      </c>
      <c r="G1415">
        <f>G1414+IF(D1415="",0,1)</f>
        <v/>
      </c>
    </row>
    <row r="1416">
      <c r="A1416">
        <f>IF('KG1-3'!$B19="","",'KG1-3'!$B19)</f>
        <v/>
      </c>
      <c r="B1416">
        <f>IF(A1416="","",'KG1-3'!$C19)</f>
        <v/>
      </c>
      <c r="C1416">
        <f>IF(A1416="","",'KG1-3'!$B$2)</f>
        <v/>
      </c>
      <c r="D1416" s="126">
        <f t="array" ref="D1416">IF(A1416="","",IFERROR(SMALL(IF((('KG1-3'!$AD19:$IM19="غياب بدون عذر")+('KG1-3'!$AD19:$IM19="غياب بعذر"))*('KG1-3'!$AD$7:$IM$7="✓"),'KG1-3'!$AD$5:$IM$5),15),""))</f>
        <v/>
      </c>
      <c r="E1416">
        <f>IF(D1416="","",INDEX('KG1-3'!$AD19:$IM19,MATCH(D1416,'KG1-3'!$AD$5:$IM$5,0)))</f>
        <v/>
      </c>
      <c r="F1416">
        <f>IF(D1416="","",COUNTIFS('KG1-3'!$AD19:$IM19,"غياب بدون عذر",'KG1-3'!$AD$7:$IM$7,"✓",'KG1-3'!$AD$5:$IM$5,"&lt;="&amp;D1416))</f>
        <v/>
      </c>
      <c r="G1416">
        <f>G1415+IF(D1416="",0,1)</f>
        <v/>
      </c>
    </row>
    <row r="1417">
      <c r="A1417">
        <f>IF('KG1-3'!$B19="","",'KG1-3'!$B19)</f>
        <v/>
      </c>
      <c r="B1417">
        <f>IF(A1417="","",'KG1-3'!$C19)</f>
        <v/>
      </c>
      <c r="C1417">
        <f>IF(A1417="","",'KG1-3'!$B$2)</f>
        <v/>
      </c>
      <c r="D1417" s="126">
        <f t="array" ref="D1417">IF(A1417="","",IFERROR(SMALL(IF((('KG1-3'!$AD19:$IM19="غياب بدون عذر")+('KG1-3'!$AD19:$IM19="غياب بعذر"))*('KG1-3'!$AD$7:$IM$7="✓"),'KG1-3'!$AD$5:$IM$5),16),""))</f>
        <v/>
      </c>
      <c r="E1417">
        <f>IF(D1417="","",INDEX('KG1-3'!$AD19:$IM19,MATCH(D1417,'KG1-3'!$AD$5:$IM$5,0)))</f>
        <v/>
      </c>
      <c r="F1417">
        <f>IF(D1417="","",COUNTIFS('KG1-3'!$AD19:$IM19,"غياب بدون عذر",'KG1-3'!$AD$7:$IM$7,"✓",'KG1-3'!$AD$5:$IM$5,"&lt;="&amp;D1417))</f>
        <v/>
      </c>
      <c r="G1417">
        <f>G1416+IF(D1417="",0,1)</f>
        <v/>
      </c>
    </row>
    <row r="1418">
      <c r="A1418">
        <f>IF('KG1-3'!$B19="","",'KG1-3'!$B19)</f>
        <v/>
      </c>
      <c r="B1418">
        <f>IF(A1418="","",'KG1-3'!$C19)</f>
        <v/>
      </c>
      <c r="C1418">
        <f>IF(A1418="","",'KG1-3'!$B$2)</f>
        <v/>
      </c>
      <c r="D1418" s="126">
        <f t="array" ref="D1418">IF(A1418="","",IFERROR(SMALL(IF((('KG1-3'!$AD19:$IM19="غياب بدون عذر")+('KG1-3'!$AD19:$IM19="غياب بعذر"))*('KG1-3'!$AD$7:$IM$7="✓"),'KG1-3'!$AD$5:$IM$5),17),""))</f>
        <v/>
      </c>
      <c r="E1418">
        <f>IF(D1418="","",INDEX('KG1-3'!$AD19:$IM19,MATCH(D1418,'KG1-3'!$AD$5:$IM$5,0)))</f>
        <v/>
      </c>
      <c r="F1418">
        <f>IF(D1418="","",COUNTIFS('KG1-3'!$AD19:$IM19,"غياب بدون عذر",'KG1-3'!$AD$7:$IM$7,"✓",'KG1-3'!$AD$5:$IM$5,"&lt;="&amp;D1418))</f>
        <v/>
      </c>
      <c r="G1418">
        <f>G1417+IF(D1418="",0,1)</f>
        <v/>
      </c>
    </row>
    <row r="1419">
      <c r="A1419">
        <f>IF('KG1-3'!$B19="","",'KG1-3'!$B19)</f>
        <v/>
      </c>
      <c r="B1419">
        <f>IF(A1419="","",'KG1-3'!$C19)</f>
        <v/>
      </c>
      <c r="C1419">
        <f>IF(A1419="","",'KG1-3'!$B$2)</f>
        <v/>
      </c>
      <c r="D1419" s="126">
        <f t="array" ref="D1419">IF(A1419="","",IFERROR(SMALL(IF((('KG1-3'!$AD19:$IM19="غياب بدون عذر")+('KG1-3'!$AD19:$IM19="غياب بعذر"))*('KG1-3'!$AD$7:$IM$7="✓"),'KG1-3'!$AD$5:$IM$5),18),""))</f>
        <v/>
      </c>
      <c r="E1419">
        <f>IF(D1419="","",INDEX('KG1-3'!$AD19:$IM19,MATCH(D1419,'KG1-3'!$AD$5:$IM$5,0)))</f>
        <v/>
      </c>
      <c r="F1419">
        <f>IF(D1419="","",COUNTIFS('KG1-3'!$AD19:$IM19,"غياب بدون عذر",'KG1-3'!$AD$7:$IM$7,"✓",'KG1-3'!$AD$5:$IM$5,"&lt;="&amp;D1419))</f>
        <v/>
      </c>
      <c r="G1419">
        <f>G1418+IF(D1419="",0,1)</f>
        <v/>
      </c>
    </row>
    <row r="1420">
      <c r="A1420">
        <f>IF('KG1-3'!$B19="","",'KG1-3'!$B19)</f>
        <v/>
      </c>
      <c r="B1420">
        <f>IF(A1420="","",'KG1-3'!$C19)</f>
        <v/>
      </c>
      <c r="C1420">
        <f>IF(A1420="","",'KG1-3'!$B$2)</f>
        <v/>
      </c>
      <c r="D1420" s="126">
        <f t="array" ref="D1420">IF(A1420="","",IFERROR(SMALL(IF((('KG1-3'!$AD19:$IM19="غياب بدون عذر")+('KG1-3'!$AD19:$IM19="غياب بعذر"))*('KG1-3'!$AD$7:$IM$7="✓"),'KG1-3'!$AD$5:$IM$5),19),""))</f>
        <v/>
      </c>
      <c r="E1420">
        <f>IF(D1420="","",INDEX('KG1-3'!$AD19:$IM19,MATCH(D1420,'KG1-3'!$AD$5:$IM$5,0)))</f>
        <v/>
      </c>
      <c r="F1420">
        <f>IF(D1420="","",COUNTIFS('KG1-3'!$AD19:$IM19,"غياب بدون عذر",'KG1-3'!$AD$7:$IM$7,"✓",'KG1-3'!$AD$5:$IM$5,"&lt;="&amp;D1420))</f>
        <v/>
      </c>
      <c r="G1420">
        <f>G1419+IF(D1420="",0,1)</f>
        <v/>
      </c>
    </row>
    <row r="1421">
      <c r="A1421">
        <f>IF('KG1-3'!$B19="","",'KG1-3'!$B19)</f>
        <v/>
      </c>
      <c r="B1421">
        <f>IF(A1421="","",'KG1-3'!$C19)</f>
        <v/>
      </c>
      <c r="C1421">
        <f>IF(A1421="","",'KG1-3'!$B$2)</f>
        <v/>
      </c>
      <c r="D1421" s="126">
        <f t="array" ref="D1421">IF(A1421="","",IFERROR(SMALL(IF((('KG1-3'!$AD19:$IM19="غياب بدون عذر")+('KG1-3'!$AD19:$IM19="غياب بعذر"))*('KG1-3'!$AD$7:$IM$7="✓"),'KG1-3'!$AD$5:$IM$5),20),""))</f>
        <v/>
      </c>
      <c r="E1421">
        <f>IF(D1421="","",INDEX('KG1-3'!$AD19:$IM19,MATCH(D1421,'KG1-3'!$AD$5:$IM$5,0)))</f>
        <v/>
      </c>
      <c r="F1421">
        <f>IF(D1421="","",COUNTIFS('KG1-3'!$AD19:$IM19,"غياب بدون عذر",'KG1-3'!$AD$7:$IM$7,"✓",'KG1-3'!$AD$5:$IM$5,"&lt;="&amp;D1421))</f>
        <v/>
      </c>
      <c r="G1421">
        <f>G1420+IF(D1421="",0,1)</f>
        <v/>
      </c>
    </row>
    <row r="1422">
      <c r="A1422">
        <f>IF('KG1-3'!$B20="","",'KG1-3'!$B20)</f>
        <v/>
      </c>
      <c r="B1422">
        <f>IF(A1422="","",'KG1-3'!$C20)</f>
        <v/>
      </c>
      <c r="C1422">
        <f>IF(A1422="","",'KG1-3'!$B$2)</f>
        <v/>
      </c>
      <c r="D1422" s="126">
        <f t="array" ref="D1422">IF(A1422="","",IFERROR(SMALL(IF((('KG1-3'!$AD20:$IM20="غياب بدون عذر")+('KG1-3'!$AD20:$IM20="غياب بعذر"))*('KG1-3'!$AD$7:$IM$7="✓"),'KG1-3'!$AD$5:$IM$5),1),""))</f>
        <v/>
      </c>
      <c r="E1422">
        <f>IF(D1422="","",INDEX('KG1-3'!$AD20:$IM20,MATCH(D1422,'KG1-3'!$AD$5:$IM$5,0)))</f>
        <v/>
      </c>
      <c r="F1422">
        <f>IF(D1422="","",COUNTIFS('KG1-3'!$AD20:$IM20,"غياب بدون عذر",'KG1-3'!$AD$7:$IM$7,"✓",'KG1-3'!$AD$5:$IM$5,"&lt;="&amp;D1422))</f>
        <v/>
      </c>
      <c r="G1422">
        <f>G1421+IF(D1422="",0,1)</f>
        <v/>
      </c>
    </row>
    <row r="1423">
      <c r="A1423">
        <f>IF('KG1-3'!$B20="","",'KG1-3'!$B20)</f>
        <v/>
      </c>
      <c r="B1423">
        <f>IF(A1423="","",'KG1-3'!$C20)</f>
        <v/>
      </c>
      <c r="C1423">
        <f>IF(A1423="","",'KG1-3'!$B$2)</f>
        <v/>
      </c>
      <c r="D1423" s="126">
        <f t="array" ref="D1423">IF(A1423="","",IFERROR(SMALL(IF((('KG1-3'!$AD20:$IM20="غياب بدون عذر")+('KG1-3'!$AD20:$IM20="غياب بعذر"))*('KG1-3'!$AD$7:$IM$7="✓"),'KG1-3'!$AD$5:$IM$5),2),""))</f>
        <v/>
      </c>
      <c r="E1423">
        <f>IF(D1423="","",INDEX('KG1-3'!$AD20:$IM20,MATCH(D1423,'KG1-3'!$AD$5:$IM$5,0)))</f>
        <v/>
      </c>
      <c r="F1423">
        <f>IF(D1423="","",COUNTIFS('KG1-3'!$AD20:$IM20,"غياب بدون عذر",'KG1-3'!$AD$7:$IM$7,"✓",'KG1-3'!$AD$5:$IM$5,"&lt;="&amp;D1423))</f>
        <v/>
      </c>
      <c r="G1423">
        <f>G1422+IF(D1423="",0,1)</f>
        <v/>
      </c>
    </row>
    <row r="1424">
      <c r="A1424">
        <f>IF('KG1-3'!$B20="","",'KG1-3'!$B20)</f>
        <v/>
      </c>
      <c r="B1424">
        <f>IF(A1424="","",'KG1-3'!$C20)</f>
        <v/>
      </c>
      <c r="C1424">
        <f>IF(A1424="","",'KG1-3'!$B$2)</f>
        <v/>
      </c>
      <c r="D1424" s="126">
        <f t="array" ref="D1424">IF(A1424="","",IFERROR(SMALL(IF((('KG1-3'!$AD20:$IM20="غياب بدون عذر")+('KG1-3'!$AD20:$IM20="غياب بعذر"))*('KG1-3'!$AD$7:$IM$7="✓"),'KG1-3'!$AD$5:$IM$5),3),""))</f>
        <v/>
      </c>
      <c r="E1424">
        <f>IF(D1424="","",INDEX('KG1-3'!$AD20:$IM20,MATCH(D1424,'KG1-3'!$AD$5:$IM$5,0)))</f>
        <v/>
      </c>
      <c r="F1424">
        <f>IF(D1424="","",COUNTIFS('KG1-3'!$AD20:$IM20,"غياب بدون عذر",'KG1-3'!$AD$7:$IM$7,"✓",'KG1-3'!$AD$5:$IM$5,"&lt;="&amp;D1424))</f>
        <v/>
      </c>
      <c r="G1424">
        <f>G1423+IF(D1424="",0,1)</f>
        <v/>
      </c>
    </row>
    <row r="1425">
      <c r="A1425">
        <f>IF('KG1-3'!$B20="","",'KG1-3'!$B20)</f>
        <v/>
      </c>
      <c r="B1425">
        <f>IF(A1425="","",'KG1-3'!$C20)</f>
        <v/>
      </c>
      <c r="C1425">
        <f>IF(A1425="","",'KG1-3'!$B$2)</f>
        <v/>
      </c>
      <c r="D1425" s="126">
        <f t="array" ref="D1425">IF(A1425="","",IFERROR(SMALL(IF((('KG1-3'!$AD20:$IM20="غياب بدون عذر")+('KG1-3'!$AD20:$IM20="غياب بعذر"))*('KG1-3'!$AD$7:$IM$7="✓"),'KG1-3'!$AD$5:$IM$5),4),""))</f>
        <v/>
      </c>
      <c r="E1425">
        <f>IF(D1425="","",INDEX('KG1-3'!$AD20:$IM20,MATCH(D1425,'KG1-3'!$AD$5:$IM$5,0)))</f>
        <v/>
      </c>
      <c r="F1425">
        <f>IF(D1425="","",COUNTIFS('KG1-3'!$AD20:$IM20,"غياب بدون عذر",'KG1-3'!$AD$7:$IM$7,"✓",'KG1-3'!$AD$5:$IM$5,"&lt;="&amp;D1425))</f>
        <v/>
      </c>
      <c r="G1425">
        <f>G1424+IF(D1425="",0,1)</f>
        <v/>
      </c>
    </row>
    <row r="1426">
      <c r="A1426">
        <f>IF('KG1-3'!$B20="","",'KG1-3'!$B20)</f>
        <v/>
      </c>
      <c r="B1426">
        <f>IF(A1426="","",'KG1-3'!$C20)</f>
        <v/>
      </c>
      <c r="C1426">
        <f>IF(A1426="","",'KG1-3'!$B$2)</f>
        <v/>
      </c>
      <c r="D1426" s="126">
        <f t="array" ref="D1426">IF(A1426="","",IFERROR(SMALL(IF((('KG1-3'!$AD20:$IM20="غياب بدون عذر")+('KG1-3'!$AD20:$IM20="غياب بعذر"))*('KG1-3'!$AD$7:$IM$7="✓"),'KG1-3'!$AD$5:$IM$5),5),""))</f>
        <v/>
      </c>
      <c r="E1426">
        <f>IF(D1426="","",INDEX('KG1-3'!$AD20:$IM20,MATCH(D1426,'KG1-3'!$AD$5:$IM$5,0)))</f>
        <v/>
      </c>
      <c r="F1426">
        <f>IF(D1426="","",COUNTIFS('KG1-3'!$AD20:$IM20,"غياب بدون عذر",'KG1-3'!$AD$7:$IM$7,"✓",'KG1-3'!$AD$5:$IM$5,"&lt;="&amp;D1426))</f>
        <v/>
      </c>
      <c r="G1426">
        <f>G1425+IF(D1426="",0,1)</f>
        <v/>
      </c>
    </row>
    <row r="1427">
      <c r="A1427">
        <f>IF('KG1-3'!$B20="","",'KG1-3'!$B20)</f>
        <v/>
      </c>
      <c r="B1427">
        <f>IF(A1427="","",'KG1-3'!$C20)</f>
        <v/>
      </c>
      <c r="C1427">
        <f>IF(A1427="","",'KG1-3'!$B$2)</f>
        <v/>
      </c>
      <c r="D1427" s="126">
        <f t="array" ref="D1427">IF(A1427="","",IFERROR(SMALL(IF((('KG1-3'!$AD20:$IM20="غياب بدون عذر")+('KG1-3'!$AD20:$IM20="غياب بعذر"))*('KG1-3'!$AD$7:$IM$7="✓"),'KG1-3'!$AD$5:$IM$5),6),""))</f>
        <v/>
      </c>
      <c r="E1427">
        <f>IF(D1427="","",INDEX('KG1-3'!$AD20:$IM20,MATCH(D1427,'KG1-3'!$AD$5:$IM$5,0)))</f>
        <v/>
      </c>
      <c r="F1427">
        <f>IF(D1427="","",COUNTIFS('KG1-3'!$AD20:$IM20,"غياب بدون عذر",'KG1-3'!$AD$7:$IM$7,"✓",'KG1-3'!$AD$5:$IM$5,"&lt;="&amp;D1427))</f>
        <v/>
      </c>
      <c r="G1427">
        <f>G1426+IF(D1427="",0,1)</f>
        <v/>
      </c>
    </row>
    <row r="1428">
      <c r="A1428">
        <f>IF('KG1-3'!$B20="","",'KG1-3'!$B20)</f>
        <v/>
      </c>
      <c r="B1428">
        <f>IF(A1428="","",'KG1-3'!$C20)</f>
        <v/>
      </c>
      <c r="C1428">
        <f>IF(A1428="","",'KG1-3'!$B$2)</f>
        <v/>
      </c>
      <c r="D1428" s="126">
        <f t="array" ref="D1428">IF(A1428="","",IFERROR(SMALL(IF((('KG1-3'!$AD20:$IM20="غياب بدون عذر")+('KG1-3'!$AD20:$IM20="غياب بعذر"))*('KG1-3'!$AD$7:$IM$7="✓"),'KG1-3'!$AD$5:$IM$5),7),""))</f>
        <v/>
      </c>
      <c r="E1428">
        <f>IF(D1428="","",INDEX('KG1-3'!$AD20:$IM20,MATCH(D1428,'KG1-3'!$AD$5:$IM$5,0)))</f>
        <v/>
      </c>
      <c r="F1428">
        <f>IF(D1428="","",COUNTIFS('KG1-3'!$AD20:$IM20,"غياب بدون عذر",'KG1-3'!$AD$7:$IM$7,"✓",'KG1-3'!$AD$5:$IM$5,"&lt;="&amp;D1428))</f>
        <v/>
      </c>
      <c r="G1428">
        <f>G1427+IF(D1428="",0,1)</f>
        <v/>
      </c>
    </row>
    <row r="1429">
      <c r="A1429">
        <f>IF('KG1-3'!$B20="","",'KG1-3'!$B20)</f>
        <v/>
      </c>
      <c r="B1429">
        <f>IF(A1429="","",'KG1-3'!$C20)</f>
        <v/>
      </c>
      <c r="C1429">
        <f>IF(A1429="","",'KG1-3'!$B$2)</f>
        <v/>
      </c>
      <c r="D1429" s="126">
        <f t="array" ref="D1429">IF(A1429="","",IFERROR(SMALL(IF((('KG1-3'!$AD20:$IM20="غياب بدون عذر")+('KG1-3'!$AD20:$IM20="غياب بعذر"))*('KG1-3'!$AD$7:$IM$7="✓"),'KG1-3'!$AD$5:$IM$5),8),""))</f>
        <v/>
      </c>
      <c r="E1429">
        <f>IF(D1429="","",INDEX('KG1-3'!$AD20:$IM20,MATCH(D1429,'KG1-3'!$AD$5:$IM$5,0)))</f>
        <v/>
      </c>
      <c r="F1429">
        <f>IF(D1429="","",COUNTIFS('KG1-3'!$AD20:$IM20,"غياب بدون عذر",'KG1-3'!$AD$7:$IM$7,"✓",'KG1-3'!$AD$5:$IM$5,"&lt;="&amp;D1429))</f>
        <v/>
      </c>
      <c r="G1429">
        <f>G1428+IF(D1429="",0,1)</f>
        <v/>
      </c>
    </row>
    <row r="1430">
      <c r="A1430">
        <f>IF('KG1-3'!$B20="","",'KG1-3'!$B20)</f>
        <v/>
      </c>
      <c r="B1430">
        <f>IF(A1430="","",'KG1-3'!$C20)</f>
        <v/>
      </c>
      <c r="C1430">
        <f>IF(A1430="","",'KG1-3'!$B$2)</f>
        <v/>
      </c>
      <c r="D1430" s="126">
        <f t="array" ref="D1430">IF(A1430="","",IFERROR(SMALL(IF((('KG1-3'!$AD20:$IM20="غياب بدون عذر")+('KG1-3'!$AD20:$IM20="غياب بعذر"))*('KG1-3'!$AD$7:$IM$7="✓"),'KG1-3'!$AD$5:$IM$5),9),""))</f>
        <v/>
      </c>
      <c r="E1430">
        <f>IF(D1430="","",INDEX('KG1-3'!$AD20:$IM20,MATCH(D1430,'KG1-3'!$AD$5:$IM$5,0)))</f>
        <v/>
      </c>
      <c r="F1430">
        <f>IF(D1430="","",COUNTIFS('KG1-3'!$AD20:$IM20,"غياب بدون عذر",'KG1-3'!$AD$7:$IM$7,"✓",'KG1-3'!$AD$5:$IM$5,"&lt;="&amp;D1430))</f>
        <v/>
      </c>
      <c r="G1430">
        <f>G1429+IF(D1430="",0,1)</f>
        <v/>
      </c>
    </row>
    <row r="1431">
      <c r="A1431">
        <f>IF('KG1-3'!$B20="","",'KG1-3'!$B20)</f>
        <v/>
      </c>
      <c r="B1431">
        <f>IF(A1431="","",'KG1-3'!$C20)</f>
        <v/>
      </c>
      <c r="C1431">
        <f>IF(A1431="","",'KG1-3'!$B$2)</f>
        <v/>
      </c>
      <c r="D1431" s="126">
        <f t="array" ref="D1431">IF(A1431="","",IFERROR(SMALL(IF((('KG1-3'!$AD20:$IM20="غياب بدون عذر")+('KG1-3'!$AD20:$IM20="غياب بعذر"))*('KG1-3'!$AD$7:$IM$7="✓"),'KG1-3'!$AD$5:$IM$5),10),""))</f>
        <v/>
      </c>
      <c r="E1431">
        <f>IF(D1431="","",INDEX('KG1-3'!$AD20:$IM20,MATCH(D1431,'KG1-3'!$AD$5:$IM$5,0)))</f>
        <v/>
      </c>
      <c r="F1431">
        <f>IF(D1431="","",COUNTIFS('KG1-3'!$AD20:$IM20,"غياب بدون عذر",'KG1-3'!$AD$7:$IM$7,"✓",'KG1-3'!$AD$5:$IM$5,"&lt;="&amp;D1431))</f>
        <v/>
      </c>
      <c r="G1431">
        <f>G1430+IF(D1431="",0,1)</f>
        <v/>
      </c>
    </row>
    <row r="1432">
      <c r="A1432">
        <f>IF('KG1-3'!$B20="","",'KG1-3'!$B20)</f>
        <v/>
      </c>
      <c r="B1432">
        <f>IF(A1432="","",'KG1-3'!$C20)</f>
        <v/>
      </c>
      <c r="C1432">
        <f>IF(A1432="","",'KG1-3'!$B$2)</f>
        <v/>
      </c>
      <c r="D1432" s="126">
        <f t="array" ref="D1432">IF(A1432="","",IFERROR(SMALL(IF((('KG1-3'!$AD20:$IM20="غياب بدون عذر")+('KG1-3'!$AD20:$IM20="غياب بعذر"))*('KG1-3'!$AD$7:$IM$7="✓"),'KG1-3'!$AD$5:$IM$5),11),""))</f>
        <v/>
      </c>
      <c r="E1432">
        <f>IF(D1432="","",INDEX('KG1-3'!$AD20:$IM20,MATCH(D1432,'KG1-3'!$AD$5:$IM$5,0)))</f>
        <v/>
      </c>
      <c r="F1432">
        <f>IF(D1432="","",COUNTIFS('KG1-3'!$AD20:$IM20,"غياب بدون عذر",'KG1-3'!$AD$7:$IM$7,"✓",'KG1-3'!$AD$5:$IM$5,"&lt;="&amp;D1432))</f>
        <v/>
      </c>
      <c r="G1432">
        <f>G1431+IF(D1432="",0,1)</f>
        <v/>
      </c>
    </row>
    <row r="1433">
      <c r="A1433">
        <f>IF('KG1-3'!$B20="","",'KG1-3'!$B20)</f>
        <v/>
      </c>
      <c r="B1433">
        <f>IF(A1433="","",'KG1-3'!$C20)</f>
        <v/>
      </c>
      <c r="C1433">
        <f>IF(A1433="","",'KG1-3'!$B$2)</f>
        <v/>
      </c>
      <c r="D1433" s="126">
        <f t="array" ref="D1433">IF(A1433="","",IFERROR(SMALL(IF((('KG1-3'!$AD20:$IM20="غياب بدون عذر")+('KG1-3'!$AD20:$IM20="غياب بعذر"))*('KG1-3'!$AD$7:$IM$7="✓"),'KG1-3'!$AD$5:$IM$5),12),""))</f>
        <v/>
      </c>
      <c r="E1433">
        <f>IF(D1433="","",INDEX('KG1-3'!$AD20:$IM20,MATCH(D1433,'KG1-3'!$AD$5:$IM$5,0)))</f>
        <v/>
      </c>
      <c r="F1433">
        <f>IF(D1433="","",COUNTIFS('KG1-3'!$AD20:$IM20,"غياب بدون عذر",'KG1-3'!$AD$7:$IM$7,"✓",'KG1-3'!$AD$5:$IM$5,"&lt;="&amp;D1433))</f>
        <v/>
      </c>
      <c r="G1433">
        <f>G1432+IF(D1433="",0,1)</f>
        <v/>
      </c>
    </row>
    <row r="1434">
      <c r="A1434">
        <f>IF('KG1-3'!$B20="","",'KG1-3'!$B20)</f>
        <v/>
      </c>
      <c r="B1434">
        <f>IF(A1434="","",'KG1-3'!$C20)</f>
        <v/>
      </c>
      <c r="C1434">
        <f>IF(A1434="","",'KG1-3'!$B$2)</f>
        <v/>
      </c>
      <c r="D1434" s="126">
        <f t="array" ref="D1434">IF(A1434="","",IFERROR(SMALL(IF((('KG1-3'!$AD20:$IM20="غياب بدون عذر")+('KG1-3'!$AD20:$IM20="غياب بعذر"))*('KG1-3'!$AD$7:$IM$7="✓"),'KG1-3'!$AD$5:$IM$5),13),""))</f>
        <v/>
      </c>
      <c r="E1434">
        <f>IF(D1434="","",INDEX('KG1-3'!$AD20:$IM20,MATCH(D1434,'KG1-3'!$AD$5:$IM$5,0)))</f>
        <v/>
      </c>
      <c r="F1434">
        <f>IF(D1434="","",COUNTIFS('KG1-3'!$AD20:$IM20,"غياب بدون عذر",'KG1-3'!$AD$7:$IM$7,"✓",'KG1-3'!$AD$5:$IM$5,"&lt;="&amp;D1434))</f>
        <v/>
      </c>
      <c r="G1434">
        <f>G1433+IF(D1434="",0,1)</f>
        <v/>
      </c>
    </row>
    <row r="1435">
      <c r="A1435">
        <f>IF('KG1-3'!$B20="","",'KG1-3'!$B20)</f>
        <v/>
      </c>
      <c r="B1435">
        <f>IF(A1435="","",'KG1-3'!$C20)</f>
        <v/>
      </c>
      <c r="C1435">
        <f>IF(A1435="","",'KG1-3'!$B$2)</f>
        <v/>
      </c>
      <c r="D1435" s="126">
        <f t="array" ref="D1435">IF(A1435="","",IFERROR(SMALL(IF((('KG1-3'!$AD20:$IM20="غياب بدون عذر")+('KG1-3'!$AD20:$IM20="غياب بعذر"))*('KG1-3'!$AD$7:$IM$7="✓"),'KG1-3'!$AD$5:$IM$5),14),""))</f>
        <v/>
      </c>
      <c r="E1435">
        <f>IF(D1435="","",INDEX('KG1-3'!$AD20:$IM20,MATCH(D1435,'KG1-3'!$AD$5:$IM$5,0)))</f>
        <v/>
      </c>
      <c r="F1435">
        <f>IF(D1435="","",COUNTIFS('KG1-3'!$AD20:$IM20,"غياب بدون عذر",'KG1-3'!$AD$7:$IM$7,"✓",'KG1-3'!$AD$5:$IM$5,"&lt;="&amp;D1435))</f>
        <v/>
      </c>
      <c r="G1435">
        <f>G1434+IF(D1435="",0,1)</f>
        <v/>
      </c>
    </row>
    <row r="1436">
      <c r="A1436">
        <f>IF('KG1-3'!$B20="","",'KG1-3'!$B20)</f>
        <v/>
      </c>
      <c r="B1436">
        <f>IF(A1436="","",'KG1-3'!$C20)</f>
        <v/>
      </c>
      <c r="C1436">
        <f>IF(A1436="","",'KG1-3'!$B$2)</f>
        <v/>
      </c>
      <c r="D1436" s="126">
        <f t="array" ref="D1436">IF(A1436="","",IFERROR(SMALL(IF((('KG1-3'!$AD20:$IM20="غياب بدون عذر")+('KG1-3'!$AD20:$IM20="غياب بعذر"))*('KG1-3'!$AD$7:$IM$7="✓"),'KG1-3'!$AD$5:$IM$5),15),""))</f>
        <v/>
      </c>
      <c r="E1436">
        <f>IF(D1436="","",INDEX('KG1-3'!$AD20:$IM20,MATCH(D1436,'KG1-3'!$AD$5:$IM$5,0)))</f>
        <v/>
      </c>
      <c r="F1436">
        <f>IF(D1436="","",COUNTIFS('KG1-3'!$AD20:$IM20,"غياب بدون عذر",'KG1-3'!$AD$7:$IM$7,"✓",'KG1-3'!$AD$5:$IM$5,"&lt;="&amp;D1436))</f>
        <v/>
      </c>
      <c r="G1436">
        <f>G1435+IF(D1436="",0,1)</f>
        <v/>
      </c>
    </row>
    <row r="1437">
      <c r="A1437">
        <f>IF('KG1-3'!$B20="","",'KG1-3'!$B20)</f>
        <v/>
      </c>
      <c r="B1437">
        <f>IF(A1437="","",'KG1-3'!$C20)</f>
        <v/>
      </c>
      <c r="C1437">
        <f>IF(A1437="","",'KG1-3'!$B$2)</f>
        <v/>
      </c>
      <c r="D1437" s="126">
        <f t="array" ref="D1437">IF(A1437="","",IFERROR(SMALL(IF((('KG1-3'!$AD20:$IM20="غياب بدون عذر")+('KG1-3'!$AD20:$IM20="غياب بعذر"))*('KG1-3'!$AD$7:$IM$7="✓"),'KG1-3'!$AD$5:$IM$5),16),""))</f>
        <v/>
      </c>
      <c r="E1437">
        <f>IF(D1437="","",INDEX('KG1-3'!$AD20:$IM20,MATCH(D1437,'KG1-3'!$AD$5:$IM$5,0)))</f>
        <v/>
      </c>
      <c r="F1437">
        <f>IF(D1437="","",COUNTIFS('KG1-3'!$AD20:$IM20,"غياب بدون عذر",'KG1-3'!$AD$7:$IM$7,"✓",'KG1-3'!$AD$5:$IM$5,"&lt;="&amp;D1437))</f>
        <v/>
      </c>
      <c r="G1437">
        <f>G1436+IF(D1437="",0,1)</f>
        <v/>
      </c>
    </row>
    <row r="1438">
      <c r="A1438">
        <f>IF('KG1-3'!$B20="","",'KG1-3'!$B20)</f>
        <v/>
      </c>
      <c r="B1438">
        <f>IF(A1438="","",'KG1-3'!$C20)</f>
        <v/>
      </c>
      <c r="C1438">
        <f>IF(A1438="","",'KG1-3'!$B$2)</f>
        <v/>
      </c>
      <c r="D1438" s="126">
        <f t="array" ref="D1438">IF(A1438="","",IFERROR(SMALL(IF((('KG1-3'!$AD20:$IM20="غياب بدون عذر")+('KG1-3'!$AD20:$IM20="غياب بعذر"))*('KG1-3'!$AD$7:$IM$7="✓"),'KG1-3'!$AD$5:$IM$5),17),""))</f>
        <v/>
      </c>
      <c r="E1438">
        <f>IF(D1438="","",INDEX('KG1-3'!$AD20:$IM20,MATCH(D1438,'KG1-3'!$AD$5:$IM$5,0)))</f>
        <v/>
      </c>
      <c r="F1438">
        <f>IF(D1438="","",COUNTIFS('KG1-3'!$AD20:$IM20,"غياب بدون عذر",'KG1-3'!$AD$7:$IM$7,"✓",'KG1-3'!$AD$5:$IM$5,"&lt;="&amp;D1438))</f>
        <v/>
      </c>
      <c r="G1438">
        <f>G1437+IF(D1438="",0,1)</f>
        <v/>
      </c>
    </row>
    <row r="1439">
      <c r="A1439">
        <f>IF('KG1-3'!$B20="","",'KG1-3'!$B20)</f>
        <v/>
      </c>
      <c r="B1439">
        <f>IF(A1439="","",'KG1-3'!$C20)</f>
        <v/>
      </c>
      <c r="C1439">
        <f>IF(A1439="","",'KG1-3'!$B$2)</f>
        <v/>
      </c>
      <c r="D1439" s="126">
        <f t="array" ref="D1439">IF(A1439="","",IFERROR(SMALL(IF((('KG1-3'!$AD20:$IM20="غياب بدون عذر")+('KG1-3'!$AD20:$IM20="غياب بعذر"))*('KG1-3'!$AD$7:$IM$7="✓"),'KG1-3'!$AD$5:$IM$5),18),""))</f>
        <v/>
      </c>
      <c r="E1439">
        <f>IF(D1439="","",INDEX('KG1-3'!$AD20:$IM20,MATCH(D1439,'KG1-3'!$AD$5:$IM$5,0)))</f>
        <v/>
      </c>
      <c r="F1439">
        <f>IF(D1439="","",COUNTIFS('KG1-3'!$AD20:$IM20,"غياب بدون عذر",'KG1-3'!$AD$7:$IM$7,"✓",'KG1-3'!$AD$5:$IM$5,"&lt;="&amp;D1439))</f>
        <v/>
      </c>
      <c r="G1439">
        <f>G1438+IF(D1439="",0,1)</f>
        <v/>
      </c>
    </row>
    <row r="1440">
      <c r="A1440">
        <f>IF('KG1-3'!$B20="","",'KG1-3'!$B20)</f>
        <v/>
      </c>
      <c r="B1440">
        <f>IF(A1440="","",'KG1-3'!$C20)</f>
        <v/>
      </c>
      <c r="C1440">
        <f>IF(A1440="","",'KG1-3'!$B$2)</f>
        <v/>
      </c>
      <c r="D1440" s="126">
        <f t="array" ref="D1440">IF(A1440="","",IFERROR(SMALL(IF((('KG1-3'!$AD20:$IM20="غياب بدون عذر")+('KG1-3'!$AD20:$IM20="غياب بعذر"))*('KG1-3'!$AD$7:$IM$7="✓"),'KG1-3'!$AD$5:$IM$5),19),""))</f>
        <v/>
      </c>
      <c r="E1440">
        <f>IF(D1440="","",INDEX('KG1-3'!$AD20:$IM20,MATCH(D1440,'KG1-3'!$AD$5:$IM$5,0)))</f>
        <v/>
      </c>
      <c r="F1440">
        <f>IF(D1440="","",COUNTIFS('KG1-3'!$AD20:$IM20,"غياب بدون عذر",'KG1-3'!$AD$7:$IM$7,"✓",'KG1-3'!$AD$5:$IM$5,"&lt;="&amp;D1440))</f>
        <v/>
      </c>
      <c r="G1440">
        <f>G1439+IF(D1440="",0,1)</f>
        <v/>
      </c>
    </row>
    <row r="1441">
      <c r="A1441">
        <f>IF('KG1-3'!$B20="","",'KG1-3'!$B20)</f>
        <v/>
      </c>
      <c r="B1441">
        <f>IF(A1441="","",'KG1-3'!$C20)</f>
        <v/>
      </c>
      <c r="C1441">
        <f>IF(A1441="","",'KG1-3'!$B$2)</f>
        <v/>
      </c>
      <c r="D1441" s="126">
        <f t="array" ref="D1441">IF(A1441="","",IFERROR(SMALL(IF((('KG1-3'!$AD20:$IM20="غياب بدون عذر")+('KG1-3'!$AD20:$IM20="غياب بعذر"))*('KG1-3'!$AD$7:$IM$7="✓"),'KG1-3'!$AD$5:$IM$5),20),""))</f>
        <v/>
      </c>
      <c r="E1441">
        <f>IF(D1441="","",INDEX('KG1-3'!$AD20:$IM20,MATCH(D1441,'KG1-3'!$AD$5:$IM$5,0)))</f>
        <v/>
      </c>
      <c r="F1441">
        <f>IF(D1441="","",COUNTIFS('KG1-3'!$AD20:$IM20,"غياب بدون عذر",'KG1-3'!$AD$7:$IM$7,"✓",'KG1-3'!$AD$5:$IM$5,"&lt;="&amp;D1441))</f>
        <v/>
      </c>
      <c r="G1441">
        <f>G1440+IF(D1441="",0,1)</f>
        <v/>
      </c>
    </row>
    <row r="1442">
      <c r="A1442">
        <f>IF('KG1-3'!$B21="","",'KG1-3'!$B21)</f>
        <v/>
      </c>
      <c r="B1442">
        <f>IF(A1442="","",'KG1-3'!$C21)</f>
        <v/>
      </c>
      <c r="C1442">
        <f>IF(A1442="","",'KG1-3'!$B$2)</f>
        <v/>
      </c>
      <c r="D1442" s="126">
        <f t="array" ref="D1442">IF(A1442="","",IFERROR(SMALL(IF((('KG1-3'!$AD21:$IM21="غياب بدون عذر")+('KG1-3'!$AD21:$IM21="غياب بعذر"))*('KG1-3'!$AD$7:$IM$7="✓"),'KG1-3'!$AD$5:$IM$5),1),""))</f>
        <v/>
      </c>
      <c r="E1442">
        <f>IF(D1442="","",INDEX('KG1-3'!$AD21:$IM21,MATCH(D1442,'KG1-3'!$AD$5:$IM$5,0)))</f>
        <v/>
      </c>
      <c r="F1442">
        <f>IF(D1442="","",COUNTIFS('KG1-3'!$AD21:$IM21,"غياب بدون عذر",'KG1-3'!$AD$7:$IM$7,"✓",'KG1-3'!$AD$5:$IM$5,"&lt;="&amp;D1442))</f>
        <v/>
      </c>
      <c r="G1442">
        <f>G1441+IF(D1442="",0,1)</f>
        <v/>
      </c>
    </row>
    <row r="1443">
      <c r="A1443">
        <f>IF('KG1-3'!$B21="","",'KG1-3'!$B21)</f>
        <v/>
      </c>
      <c r="B1443">
        <f>IF(A1443="","",'KG1-3'!$C21)</f>
        <v/>
      </c>
      <c r="C1443">
        <f>IF(A1443="","",'KG1-3'!$B$2)</f>
        <v/>
      </c>
      <c r="D1443" s="126">
        <f t="array" ref="D1443">IF(A1443="","",IFERROR(SMALL(IF((('KG1-3'!$AD21:$IM21="غياب بدون عذر")+('KG1-3'!$AD21:$IM21="غياب بعذر"))*('KG1-3'!$AD$7:$IM$7="✓"),'KG1-3'!$AD$5:$IM$5),2),""))</f>
        <v/>
      </c>
      <c r="E1443">
        <f>IF(D1443="","",INDEX('KG1-3'!$AD21:$IM21,MATCH(D1443,'KG1-3'!$AD$5:$IM$5,0)))</f>
        <v/>
      </c>
      <c r="F1443">
        <f>IF(D1443="","",COUNTIFS('KG1-3'!$AD21:$IM21,"غياب بدون عذر",'KG1-3'!$AD$7:$IM$7,"✓",'KG1-3'!$AD$5:$IM$5,"&lt;="&amp;D1443))</f>
        <v/>
      </c>
      <c r="G1443">
        <f>G1442+IF(D1443="",0,1)</f>
        <v/>
      </c>
    </row>
    <row r="1444">
      <c r="A1444">
        <f>IF('KG1-3'!$B21="","",'KG1-3'!$B21)</f>
        <v/>
      </c>
      <c r="B1444">
        <f>IF(A1444="","",'KG1-3'!$C21)</f>
        <v/>
      </c>
      <c r="C1444">
        <f>IF(A1444="","",'KG1-3'!$B$2)</f>
        <v/>
      </c>
      <c r="D1444" s="126">
        <f t="array" ref="D1444">IF(A1444="","",IFERROR(SMALL(IF((('KG1-3'!$AD21:$IM21="غياب بدون عذر")+('KG1-3'!$AD21:$IM21="غياب بعذر"))*('KG1-3'!$AD$7:$IM$7="✓"),'KG1-3'!$AD$5:$IM$5),3),""))</f>
        <v/>
      </c>
      <c r="E1444">
        <f>IF(D1444="","",INDEX('KG1-3'!$AD21:$IM21,MATCH(D1444,'KG1-3'!$AD$5:$IM$5,0)))</f>
        <v/>
      </c>
      <c r="F1444">
        <f>IF(D1444="","",COUNTIFS('KG1-3'!$AD21:$IM21,"غياب بدون عذر",'KG1-3'!$AD$7:$IM$7,"✓",'KG1-3'!$AD$5:$IM$5,"&lt;="&amp;D1444))</f>
        <v/>
      </c>
      <c r="G1444">
        <f>G1443+IF(D1444="",0,1)</f>
        <v/>
      </c>
    </row>
    <row r="1445">
      <c r="A1445">
        <f>IF('KG1-3'!$B21="","",'KG1-3'!$B21)</f>
        <v/>
      </c>
      <c r="B1445">
        <f>IF(A1445="","",'KG1-3'!$C21)</f>
        <v/>
      </c>
      <c r="C1445">
        <f>IF(A1445="","",'KG1-3'!$B$2)</f>
        <v/>
      </c>
      <c r="D1445" s="126">
        <f t="array" ref="D1445">IF(A1445="","",IFERROR(SMALL(IF((('KG1-3'!$AD21:$IM21="غياب بدون عذر")+('KG1-3'!$AD21:$IM21="غياب بعذر"))*('KG1-3'!$AD$7:$IM$7="✓"),'KG1-3'!$AD$5:$IM$5),4),""))</f>
        <v/>
      </c>
      <c r="E1445">
        <f>IF(D1445="","",INDEX('KG1-3'!$AD21:$IM21,MATCH(D1445,'KG1-3'!$AD$5:$IM$5,0)))</f>
        <v/>
      </c>
      <c r="F1445">
        <f>IF(D1445="","",COUNTIFS('KG1-3'!$AD21:$IM21,"غياب بدون عذر",'KG1-3'!$AD$7:$IM$7,"✓",'KG1-3'!$AD$5:$IM$5,"&lt;="&amp;D1445))</f>
        <v/>
      </c>
      <c r="G1445">
        <f>G1444+IF(D1445="",0,1)</f>
        <v/>
      </c>
    </row>
    <row r="1446">
      <c r="A1446">
        <f>IF('KG1-3'!$B21="","",'KG1-3'!$B21)</f>
        <v/>
      </c>
      <c r="B1446">
        <f>IF(A1446="","",'KG1-3'!$C21)</f>
        <v/>
      </c>
      <c r="C1446">
        <f>IF(A1446="","",'KG1-3'!$B$2)</f>
        <v/>
      </c>
      <c r="D1446" s="126">
        <f t="array" ref="D1446">IF(A1446="","",IFERROR(SMALL(IF((('KG1-3'!$AD21:$IM21="غياب بدون عذر")+('KG1-3'!$AD21:$IM21="غياب بعذر"))*('KG1-3'!$AD$7:$IM$7="✓"),'KG1-3'!$AD$5:$IM$5),5),""))</f>
        <v/>
      </c>
      <c r="E1446">
        <f>IF(D1446="","",INDEX('KG1-3'!$AD21:$IM21,MATCH(D1446,'KG1-3'!$AD$5:$IM$5,0)))</f>
        <v/>
      </c>
      <c r="F1446">
        <f>IF(D1446="","",COUNTIFS('KG1-3'!$AD21:$IM21,"غياب بدون عذر",'KG1-3'!$AD$7:$IM$7,"✓",'KG1-3'!$AD$5:$IM$5,"&lt;="&amp;D1446))</f>
        <v/>
      </c>
      <c r="G1446">
        <f>G1445+IF(D1446="",0,1)</f>
        <v/>
      </c>
    </row>
    <row r="1447">
      <c r="A1447">
        <f>IF('KG1-3'!$B21="","",'KG1-3'!$B21)</f>
        <v/>
      </c>
      <c r="B1447">
        <f>IF(A1447="","",'KG1-3'!$C21)</f>
        <v/>
      </c>
      <c r="C1447">
        <f>IF(A1447="","",'KG1-3'!$B$2)</f>
        <v/>
      </c>
      <c r="D1447" s="126">
        <f t="array" ref="D1447">IF(A1447="","",IFERROR(SMALL(IF((('KG1-3'!$AD21:$IM21="غياب بدون عذر")+('KG1-3'!$AD21:$IM21="غياب بعذر"))*('KG1-3'!$AD$7:$IM$7="✓"),'KG1-3'!$AD$5:$IM$5),6),""))</f>
        <v/>
      </c>
      <c r="E1447">
        <f>IF(D1447="","",INDEX('KG1-3'!$AD21:$IM21,MATCH(D1447,'KG1-3'!$AD$5:$IM$5,0)))</f>
        <v/>
      </c>
      <c r="F1447">
        <f>IF(D1447="","",COUNTIFS('KG1-3'!$AD21:$IM21,"غياب بدون عذر",'KG1-3'!$AD$7:$IM$7,"✓",'KG1-3'!$AD$5:$IM$5,"&lt;="&amp;D1447))</f>
        <v/>
      </c>
      <c r="G1447">
        <f>G1446+IF(D1447="",0,1)</f>
        <v/>
      </c>
    </row>
    <row r="1448">
      <c r="A1448">
        <f>IF('KG1-3'!$B21="","",'KG1-3'!$B21)</f>
        <v/>
      </c>
      <c r="B1448">
        <f>IF(A1448="","",'KG1-3'!$C21)</f>
        <v/>
      </c>
      <c r="C1448">
        <f>IF(A1448="","",'KG1-3'!$B$2)</f>
        <v/>
      </c>
      <c r="D1448" s="126">
        <f t="array" ref="D1448">IF(A1448="","",IFERROR(SMALL(IF((('KG1-3'!$AD21:$IM21="غياب بدون عذر")+('KG1-3'!$AD21:$IM21="غياب بعذر"))*('KG1-3'!$AD$7:$IM$7="✓"),'KG1-3'!$AD$5:$IM$5),7),""))</f>
        <v/>
      </c>
      <c r="E1448">
        <f>IF(D1448="","",INDEX('KG1-3'!$AD21:$IM21,MATCH(D1448,'KG1-3'!$AD$5:$IM$5,0)))</f>
        <v/>
      </c>
      <c r="F1448">
        <f>IF(D1448="","",COUNTIFS('KG1-3'!$AD21:$IM21,"غياب بدون عذر",'KG1-3'!$AD$7:$IM$7,"✓",'KG1-3'!$AD$5:$IM$5,"&lt;="&amp;D1448))</f>
        <v/>
      </c>
      <c r="G1448">
        <f>G1447+IF(D1448="",0,1)</f>
        <v/>
      </c>
    </row>
    <row r="1449">
      <c r="A1449">
        <f>IF('KG1-3'!$B21="","",'KG1-3'!$B21)</f>
        <v/>
      </c>
      <c r="B1449">
        <f>IF(A1449="","",'KG1-3'!$C21)</f>
        <v/>
      </c>
      <c r="C1449">
        <f>IF(A1449="","",'KG1-3'!$B$2)</f>
        <v/>
      </c>
      <c r="D1449" s="126">
        <f t="array" ref="D1449">IF(A1449="","",IFERROR(SMALL(IF((('KG1-3'!$AD21:$IM21="غياب بدون عذر")+('KG1-3'!$AD21:$IM21="غياب بعذر"))*('KG1-3'!$AD$7:$IM$7="✓"),'KG1-3'!$AD$5:$IM$5),8),""))</f>
        <v/>
      </c>
      <c r="E1449">
        <f>IF(D1449="","",INDEX('KG1-3'!$AD21:$IM21,MATCH(D1449,'KG1-3'!$AD$5:$IM$5,0)))</f>
        <v/>
      </c>
      <c r="F1449">
        <f>IF(D1449="","",COUNTIFS('KG1-3'!$AD21:$IM21,"غياب بدون عذر",'KG1-3'!$AD$7:$IM$7,"✓",'KG1-3'!$AD$5:$IM$5,"&lt;="&amp;D1449))</f>
        <v/>
      </c>
      <c r="G1449">
        <f>G1448+IF(D1449="",0,1)</f>
        <v/>
      </c>
    </row>
    <row r="1450">
      <c r="A1450">
        <f>IF('KG1-3'!$B21="","",'KG1-3'!$B21)</f>
        <v/>
      </c>
      <c r="B1450">
        <f>IF(A1450="","",'KG1-3'!$C21)</f>
        <v/>
      </c>
      <c r="C1450">
        <f>IF(A1450="","",'KG1-3'!$B$2)</f>
        <v/>
      </c>
      <c r="D1450" s="126">
        <f t="array" ref="D1450">IF(A1450="","",IFERROR(SMALL(IF((('KG1-3'!$AD21:$IM21="غياب بدون عذر")+('KG1-3'!$AD21:$IM21="غياب بعذر"))*('KG1-3'!$AD$7:$IM$7="✓"),'KG1-3'!$AD$5:$IM$5),9),""))</f>
        <v/>
      </c>
      <c r="E1450">
        <f>IF(D1450="","",INDEX('KG1-3'!$AD21:$IM21,MATCH(D1450,'KG1-3'!$AD$5:$IM$5,0)))</f>
        <v/>
      </c>
      <c r="F1450">
        <f>IF(D1450="","",COUNTIFS('KG1-3'!$AD21:$IM21,"غياب بدون عذر",'KG1-3'!$AD$7:$IM$7,"✓",'KG1-3'!$AD$5:$IM$5,"&lt;="&amp;D1450))</f>
        <v/>
      </c>
      <c r="G1450">
        <f>G1449+IF(D1450="",0,1)</f>
        <v/>
      </c>
    </row>
    <row r="1451">
      <c r="A1451">
        <f>IF('KG1-3'!$B21="","",'KG1-3'!$B21)</f>
        <v/>
      </c>
      <c r="B1451">
        <f>IF(A1451="","",'KG1-3'!$C21)</f>
        <v/>
      </c>
      <c r="C1451">
        <f>IF(A1451="","",'KG1-3'!$B$2)</f>
        <v/>
      </c>
      <c r="D1451" s="126">
        <f t="array" ref="D1451">IF(A1451="","",IFERROR(SMALL(IF((('KG1-3'!$AD21:$IM21="غياب بدون عذر")+('KG1-3'!$AD21:$IM21="غياب بعذر"))*('KG1-3'!$AD$7:$IM$7="✓"),'KG1-3'!$AD$5:$IM$5),10),""))</f>
        <v/>
      </c>
      <c r="E1451">
        <f>IF(D1451="","",INDEX('KG1-3'!$AD21:$IM21,MATCH(D1451,'KG1-3'!$AD$5:$IM$5,0)))</f>
        <v/>
      </c>
      <c r="F1451">
        <f>IF(D1451="","",COUNTIFS('KG1-3'!$AD21:$IM21,"غياب بدون عذر",'KG1-3'!$AD$7:$IM$7,"✓",'KG1-3'!$AD$5:$IM$5,"&lt;="&amp;D1451))</f>
        <v/>
      </c>
      <c r="G1451">
        <f>G1450+IF(D1451="",0,1)</f>
        <v/>
      </c>
    </row>
    <row r="1452">
      <c r="A1452">
        <f>IF('KG1-3'!$B21="","",'KG1-3'!$B21)</f>
        <v/>
      </c>
      <c r="B1452">
        <f>IF(A1452="","",'KG1-3'!$C21)</f>
        <v/>
      </c>
      <c r="C1452">
        <f>IF(A1452="","",'KG1-3'!$B$2)</f>
        <v/>
      </c>
      <c r="D1452" s="126">
        <f t="array" ref="D1452">IF(A1452="","",IFERROR(SMALL(IF((('KG1-3'!$AD21:$IM21="غياب بدون عذر")+('KG1-3'!$AD21:$IM21="غياب بعذر"))*('KG1-3'!$AD$7:$IM$7="✓"),'KG1-3'!$AD$5:$IM$5),11),""))</f>
        <v/>
      </c>
      <c r="E1452">
        <f>IF(D1452="","",INDEX('KG1-3'!$AD21:$IM21,MATCH(D1452,'KG1-3'!$AD$5:$IM$5,0)))</f>
        <v/>
      </c>
      <c r="F1452">
        <f>IF(D1452="","",COUNTIFS('KG1-3'!$AD21:$IM21,"غياب بدون عذر",'KG1-3'!$AD$7:$IM$7,"✓",'KG1-3'!$AD$5:$IM$5,"&lt;="&amp;D1452))</f>
        <v/>
      </c>
      <c r="G1452">
        <f>G1451+IF(D1452="",0,1)</f>
        <v/>
      </c>
    </row>
    <row r="1453">
      <c r="A1453">
        <f>IF('KG1-3'!$B21="","",'KG1-3'!$B21)</f>
        <v/>
      </c>
      <c r="B1453">
        <f>IF(A1453="","",'KG1-3'!$C21)</f>
        <v/>
      </c>
      <c r="C1453">
        <f>IF(A1453="","",'KG1-3'!$B$2)</f>
        <v/>
      </c>
      <c r="D1453" s="126">
        <f t="array" ref="D1453">IF(A1453="","",IFERROR(SMALL(IF((('KG1-3'!$AD21:$IM21="غياب بدون عذر")+('KG1-3'!$AD21:$IM21="غياب بعذر"))*('KG1-3'!$AD$7:$IM$7="✓"),'KG1-3'!$AD$5:$IM$5),12),""))</f>
        <v/>
      </c>
      <c r="E1453">
        <f>IF(D1453="","",INDEX('KG1-3'!$AD21:$IM21,MATCH(D1453,'KG1-3'!$AD$5:$IM$5,0)))</f>
        <v/>
      </c>
      <c r="F1453">
        <f>IF(D1453="","",COUNTIFS('KG1-3'!$AD21:$IM21,"غياب بدون عذر",'KG1-3'!$AD$7:$IM$7,"✓",'KG1-3'!$AD$5:$IM$5,"&lt;="&amp;D1453))</f>
        <v/>
      </c>
      <c r="G1453">
        <f>G1452+IF(D1453="",0,1)</f>
        <v/>
      </c>
    </row>
    <row r="1454">
      <c r="A1454">
        <f>IF('KG1-3'!$B21="","",'KG1-3'!$B21)</f>
        <v/>
      </c>
      <c r="B1454">
        <f>IF(A1454="","",'KG1-3'!$C21)</f>
        <v/>
      </c>
      <c r="C1454">
        <f>IF(A1454="","",'KG1-3'!$B$2)</f>
        <v/>
      </c>
      <c r="D1454" s="126">
        <f t="array" ref="D1454">IF(A1454="","",IFERROR(SMALL(IF((('KG1-3'!$AD21:$IM21="غياب بدون عذر")+('KG1-3'!$AD21:$IM21="غياب بعذر"))*('KG1-3'!$AD$7:$IM$7="✓"),'KG1-3'!$AD$5:$IM$5),13),""))</f>
        <v/>
      </c>
      <c r="E1454">
        <f>IF(D1454="","",INDEX('KG1-3'!$AD21:$IM21,MATCH(D1454,'KG1-3'!$AD$5:$IM$5,0)))</f>
        <v/>
      </c>
      <c r="F1454">
        <f>IF(D1454="","",COUNTIFS('KG1-3'!$AD21:$IM21,"غياب بدون عذر",'KG1-3'!$AD$7:$IM$7,"✓",'KG1-3'!$AD$5:$IM$5,"&lt;="&amp;D1454))</f>
        <v/>
      </c>
      <c r="G1454">
        <f>G1453+IF(D1454="",0,1)</f>
        <v/>
      </c>
    </row>
    <row r="1455">
      <c r="A1455">
        <f>IF('KG1-3'!$B21="","",'KG1-3'!$B21)</f>
        <v/>
      </c>
      <c r="B1455">
        <f>IF(A1455="","",'KG1-3'!$C21)</f>
        <v/>
      </c>
      <c r="C1455">
        <f>IF(A1455="","",'KG1-3'!$B$2)</f>
        <v/>
      </c>
      <c r="D1455" s="126">
        <f t="array" ref="D1455">IF(A1455="","",IFERROR(SMALL(IF((('KG1-3'!$AD21:$IM21="غياب بدون عذر")+('KG1-3'!$AD21:$IM21="غياب بعذر"))*('KG1-3'!$AD$7:$IM$7="✓"),'KG1-3'!$AD$5:$IM$5),14),""))</f>
        <v/>
      </c>
      <c r="E1455">
        <f>IF(D1455="","",INDEX('KG1-3'!$AD21:$IM21,MATCH(D1455,'KG1-3'!$AD$5:$IM$5,0)))</f>
        <v/>
      </c>
      <c r="F1455">
        <f>IF(D1455="","",COUNTIFS('KG1-3'!$AD21:$IM21,"غياب بدون عذر",'KG1-3'!$AD$7:$IM$7,"✓",'KG1-3'!$AD$5:$IM$5,"&lt;="&amp;D1455))</f>
        <v/>
      </c>
      <c r="G1455">
        <f>G1454+IF(D1455="",0,1)</f>
        <v/>
      </c>
    </row>
    <row r="1456">
      <c r="A1456">
        <f>IF('KG1-3'!$B21="","",'KG1-3'!$B21)</f>
        <v/>
      </c>
      <c r="B1456">
        <f>IF(A1456="","",'KG1-3'!$C21)</f>
        <v/>
      </c>
      <c r="C1456">
        <f>IF(A1456="","",'KG1-3'!$B$2)</f>
        <v/>
      </c>
      <c r="D1456" s="126">
        <f t="array" ref="D1456">IF(A1456="","",IFERROR(SMALL(IF((('KG1-3'!$AD21:$IM21="غياب بدون عذر")+('KG1-3'!$AD21:$IM21="غياب بعذر"))*('KG1-3'!$AD$7:$IM$7="✓"),'KG1-3'!$AD$5:$IM$5),15),""))</f>
        <v/>
      </c>
      <c r="E1456">
        <f>IF(D1456="","",INDEX('KG1-3'!$AD21:$IM21,MATCH(D1456,'KG1-3'!$AD$5:$IM$5,0)))</f>
        <v/>
      </c>
      <c r="F1456">
        <f>IF(D1456="","",COUNTIFS('KG1-3'!$AD21:$IM21,"غياب بدون عذر",'KG1-3'!$AD$7:$IM$7,"✓",'KG1-3'!$AD$5:$IM$5,"&lt;="&amp;D1456))</f>
        <v/>
      </c>
      <c r="G1456">
        <f>G1455+IF(D1456="",0,1)</f>
        <v/>
      </c>
    </row>
    <row r="1457">
      <c r="A1457">
        <f>IF('KG1-3'!$B21="","",'KG1-3'!$B21)</f>
        <v/>
      </c>
      <c r="B1457">
        <f>IF(A1457="","",'KG1-3'!$C21)</f>
        <v/>
      </c>
      <c r="C1457">
        <f>IF(A1457="","",'KG1-3'!$B$2)</f>
        <v/>
      </c>
      <c r="D1457" s="126">
        <f t="array" ref="D1457">IF(A1457="","",IFERROR(SMALL(IF((('KG1-3'!$AD21:$IM21="غياب بدون عذر")+('KG1-3'!$AD21:$IM21="غياب بعذر"))*('KG1-3'!$AD$7:$IM$7="✓"),'KG1-3'!$AD$5:$IM$5),16),""))</f>
        <v/>
      </c>
      <c r="E1457">
        <f>IF(D1457="","",INDEX('KG1-3'!$AD21:$IM21,MATCH(D1457,'KG1-3'!$AD$5:$IM$5,0)))</f>
        <v/>
      </c>
      <c r="F1457">
        <f>IF(D1457="","",COUNTIFS('KG1-3'!$AD21:$IM21,"غياب بدون عذر",'KG1-3'!$AD$7:$IM$7,"✓",'KG1-3'!$AD$5:$IM$5,"&lt;="&amp;D1457))</f>
        <v/>
      </c>
      <c r="G1457">
        <f>G1456+IF(D1457="",0,1)</f>
        <v/>
      </c>
    </row>
    <row r="1458">
      <c r="A1458">
        <f>IF('KG1-3'!$B21="","",'KG1-3'!$B21)</f>
        <v/>
      </c>
      <c r="B1458">
        <f>IF(A1458="","",'KG1-3'!$C21)</f>
        <v/>
      </c>
      <c r="C1458">
        <f>IF(A1458="","",'KG1-3'!$B$2)</f>
        <v/>
      </c>
      <c r="D1458" s="126">
        <f t="array" ref="D1458">IF(A1458="","",IFERROR(SMALL(IF((('KG1-3'!$AD21:$IM21="غياب بدون عذر")+('KG1-3'!$AD21:$IM21="غياب بعذر"))*('KG1-3'!$AD$7:$IM$7="✓"),'KG1-3'!$AD$5:$IM$5),17),""))</f>
        <v/>
      </c>
      <c r="E1458">
        <f>IF(D1458="","",INDEX('KG1-3'!$AD21:$IM21,MATCH(D1458,'KG1-3'!$AD$5:$IM$5,0)))</f>
        <v/>
      </c>
      <c r="F1458">
        <f>IF(D1458="","",COUNTIFS('KG1-3'!$AD21:$IM21,"غياب بدون عذر",'KG1-3'!$AD$7:$IM$7,"✓",'KG1-3'!$AD$5:$IM$5,"&lt;="&amp;D1458))</f>
        <v/>
      </c>
      <c r="G1458">
        <f>G1457+IF(D1458="",0,1)</f>
        <v/>
      </c>
    </row>
    <row r="1459">
      <c r="A1459">
        <f>IF('KG1-3'!$B21="","",'KG1-3'!$B21)</f>
        <v/>
      </c>
      <c r="B1459">
        <f>IF(A1459="","",'KG1-3'!$C21)</f>
        <v/>
      </c>
      <c r="C1459">
        <f>IF(A1459="","",'KG1-3'!$B$2)</f>
        <v/>
      </c>
      <c r="D1459" s="126">
        <f t="array" ref="D1459">IF(A1459="","",IFERROR(SMALL(IF((('KG1-3'!$AD21:$IM21="غياب بدون عذر")+('KG1-3'!$AD21:$IM21="غياب بعذر"))*('KG1-3'!$AD$7:$IM$7="✓"),'KG1-3'!$AD$5:$IM$5),18),""))</f>
        <v/>
      </c>
      <c r="E1459">
        <f>IF(D1459="","",INDEX('KG1-3'!$AD21:$IM21,MATCH(D1459,'KG1-3'!$AD$5:$IM$5,0)))</f>
        <v/>
      </c>
      <c r="F1459">
        <f>IF(D1459="","",COUNTIFS('KG1-3'!$AD21:$IM21,"غياب بدون عذر",'KG1-3'!$AD$7:$IM$7,"✓",'KG1-3'!$AD$5:$IM$5,"&lt;="&amp;D1459))</f>
        <v/>
      </c>
      <c r="G1459">
        <f>G1458+IF(D1459="",0,1)</f>
        <v/>
      </c>
    </row>
    <row r="1460">
      <c r="A1460">
        <f>IF('KG1-3'!$B21="","",'KG1-3'!$B21)</f>
        <v/>
      </c>
      <c r="B1460">
        <f>IF(A1460="","",'KG1-3'!$C21)</f>
        <v/>
      </c>
      <c r="C1460">
        <f>IF(A1460="","",'KG1-3'!$B$2)</f>
        <v/>
      </c>
      <c r="D1460" s="126">
        <f t="array" ref="D1460">IF(A1460="","",IFERROR(SMALL(IF((('KG1-3'!$AD21:$IM21="غياب بدون عذر")+('KG1-3'!$AD21:$IM21="غياب بعذر"))*('KG1-3'!$AD$7:$IM$7="✓"),'KG1-3'!$AD$5:$IM$5),19),""))</f>
        <v/>
      </c>
      <c r="E1460">
        <f>IF(D1460="","",INDEX('KG1-3'!$AD21:$IM21,MATCH(D1460,'KG1-3'!$AD$5:$IM$5,0)))</f>
        <v/>
      </c>
      <c r="F1460">
        <f>IF(D1460="","",COUNTIFS('KG1-3'!$AD21:$IM21,"غياب بدون عذر",'KG1-3'!$AD$7:$IM$7,"✓",'KG1-3'!$AD$5:$IM$5,"&lt;="&amp;D1460))</f>
        <v/>
      </c>
      <c r="G1460">
        <f>G1459+IF(D1460="",0,1)</f>
        <v/>
      </c>
    </row>
    <row r="1461">
      <c r="A1461">
        <f>IF('KG1-3'!$B21="","",'KG1-3'!$B21)</f>
        <v/>
      </c>
      <c r="B1461">
        <f>IF(A1461="","",'KG1-3'!$C21)</f>
        <v/>
      </c>
      <c r="C1461">
        <f>IF(A1461="","",'KG1-3'!$B$2)</f>
        <v/>
      </c>
      <c r="D1461" s="126">
        <f t="array" ref="D1461">IF(A1461="","",IFERROR(SMALL(IF((('KG1-3'!$AD21:$IM21="غياب بدون عذر")+('KG1-3'!$AD21:$IM21="غياب بعذر"))*('KG1-3'!$AD$7:$IM$7="✓"),'KG1-3'!$AD$5:$IM$5),20),""))</f>
        <v/>
      </c>
      <c r="E1461">
        <f>IF(D1461="","",INDEX('KG1-3'!$AD21:$IM21,MATCH(D1461,'KG1-3'!$AD$5:$IM$5,0)))</f>
        <v/>
      </c>
      <c r="F1461">
        <f>IF(D1461="","",COUNTIFS('KG1-3'!$AD21:$IM21,"غياب بدون عذر",'KG1-3'!$AD$7:$IM$7,"✓",'KG1-3'!$AD$5:$IM$5,"&lt;="&amp;D1461))</f>
        <v/>
      </c>
      <c r="G1461">
        <f>G1460+IF(D1461="",0,1)</f>
        <v/>
      </c>
    </row>
    <row r="1462">
      <c r="A1462">
        <f>IF('KG1-3'!$B22="","",'KG1-3'!$B22)</f>
        <v/>
      </c>
      <c r="B1462">
        <f>IF(A1462="","",'KG1-3'!$C22)</f>
        <v/>
      </c>
      <c r="C1462">
        <f>IF(A1462="","",'KG1-3'!$B$2)</f>
        <v/>
      </c>
      <c r="D1462" s="126">
        <f t="array" ref="D1462">IF(A1462="","",IFERROR(SMALL(IF((('KG1-3'!$AD22:$IM22="غياب بدون عذر")+('KG1-3'!$AD22:$IM22="غياب بعذر"))*('KG1-3'!$AD$7:$IM$7="✓"),'KG1-3'!$AD$5:$IM$5),1),""))</f>
        <v/>
      </c>
      <c r="E1462">
        <f>IF(D1462="","",INDEX('KG1-3'!$AD22:$IM22,MATCH(D1462,'KG1-3'!$AD$5:$IM$5,0)))</f>
        <v/>
      </c>
      <c r="F1462">
        <f>IF(D1462="","",COUNTIFS('KG1-3'!$AD22:$IM22,"غياب بدون عذر",'KG1-3'!$AD$7:$IM$7,"✓",'KG1-3'!$AD$5:$IM$5,"&lt;="&amp;D1462))</f>
        <v/>
      </c>
      <c r="G1462">
        <f>G1461+IF(D1462="",0,1)</f>
        <v/>
      </c>
    </row>
    <row r="1463">
      <c r="A1463">
        <f>IF('KG1-3'!$B22="","",'KG1-3'!$B22)</f>
        <v/>
      </c>
      <c r="B1463">
        <f>IF(A1463="","",'KG1-3'!$C22)</f>
        <v/>
      </c>
      <c r="C1463">
        <f>IF(A1463="","",'KG1-3'!$B$2)</f>
        <v/>
      </c>
      <c r="D1463" s="126">
        <f t="array" ref="D1463">IF(A1463="","",IFERROR(SMALL(IF((('KG1-3'!$AD22:$IM22="غياب بدون عذر")+('KG1-3'!$AD22:$IM22="غياب بعذر"))*('KG1-3'!$AD$7:$IM$7="✓"),'KG1-3'!$AD$5:$IM$5),2),""))</f>
        <v/>
      </c>
      <c r="E1463">
        <f>IF(D1463="","",INDEX('KG1-3'!$AD22:$IM22,MATCH(D1463,'KG1-3'!$AD$5:$IM$5,0)))</f>
        <v/>
      </c>
      <c r="F1463">
        <f>IF(D1463="","",COUNTIFS('KG1-3'!$AD22:$IM22,"غياب بدون عذر",'KG1-3'!$AD$7:$IM$7,"✓",'KG1-3'!$AD$5:$IM$5,"&lt;="&amp;D1463))</f>
        <v/>
      </c>
      <c r="G1463">
        <f>G1462+IF(D1463="",0,1)</f>
        <v/>
      </c>
    </row>
    <row r="1464">
      <c r="A1464">
        <f>IF('KG1-3'!$B22="","",'KG1-3'!$B22)</f>
        <v/>
      </c>
      <c r="B1464">
        <f>IF(A1464="","",'KG1-3'!$C22)</f>
        <v/>
      </c>
      <c r="C1464">
        <f>IF(A1464="","",'KG1-3'!$B$2)</f>
        <v/>
      </c>
      <c r="D1464" s="126">
        <f t="array" ref="D1464">IF(A1464="","",IFERROR(SMALL(IF((('KG1-3'!$AD22:$IM22="غياب بدون عذر")+('KG1-3'!$AD22:$IM22="غياب بعذر"))*('KG1-3'!$AD$7:$IM$7="✓"),'KG1-3'!$AD$5:$IM$5),3),""))</f>
        <v/>
      </c>
      <c r="E1464">
        <f>IF(D1464="","",INDEX('KG1-3'!$AD22:$IM22,MATCH(D1464,'KG1-3'!$AD$5:$IM$5,0)))</f>
        <v/>
      </c>
      <c r="F1464">
        <f>IF(D1464="","",COUNTIFS('KG1-3'!$AD22:$IM22,"غياب بدون عذر",'KG1-3'!$AD$7:$IM$7,"✓",'KG1-3'!$AD$5:$IM$5,"&lt;="&amp;D1464))</f>
        <v/>
      </c>
      <c r="G1464">
        <f>G1463+IF(D1464="",0,1)</f>
        <v/>
      </c>
    </row>
    <row r="1465">
      <c r="A1465">
        <f>IF('KG1-3'!$B22="","",'KG1-3'!$B22)</f>
        <v/>
      </c>
      <c r="B1465">
        <f>IF(A1465="","",'KG1-3'!$C22)</f>
        <v/>
      </c>
      <c r="C1465">
        <f>IF(A1465="","",'KG1-3'!$B$2)</f>
        <v/>
      </c>
      <c r="D1465" s="126">
        <f t="array" ref="D1465">IF(A1465="","",IFERROR(SMALL(IF((('KG1-3'!$AD22:$IM22="غياب بدون عذر")+('KG1-3'!$AD22:$IM22="غياب بعذر"))*('KG1-3'!$AD$7:$IM$7="✓"),'KG1-3'!$AD$5:$IM$5),4),""))</f>
        <v/>
      </c>
      <c r="E1465">
        <f>IF(D1465="","",INDEX('KG1-3'!$AD22:$IM22,MATCH(D1465,'KG1-3'!$AD$5:$IM$5,0)))</f>
        <v/>
      </c>
      <c r="F1465">
        <f>IF(D1465="","",COUNTIFS('KG1-3'!$AD22:$IM22,"غياب بدون عذر",'KG1-3'!$AD$7:$IM$7,"✓",'KG1-3'!$AD$5:$IM$5,"&lt;="&amp;D1465))</f>
        <v/>
      </c>
      <c r="G1465">
        <f>G1464+IF(D1465="",0,1)</f>
        <v/>
      </c>
    </row>
    <row r="1466">
      <c r="A1466">
        <f>IF('KG1-3'!$B22="","",'KG1-3'!$B22)</f>
        <v/>
      </c>
      <c r="B1466">
        <f>IF(A1466="","",'KG1-3'!$C22)</f>
        <v/>
      </c>
      <c r="C1466">
        <f>IF(A1466="","",'KG1-3'!$B$2)</f>
        <v/>
      </c>
      <c r="D1466" s="126">
        <f t="array" ref="D1466">IF(A1466="","",IFERROR(SMALL(IF((('KG1-3'!$AD22:$IM22="غياب بدون عذر")+('KG1-3'!$AD22:$IM22="غياب بعذر"))*('KG1-3'!$AD$7:$IM$7="✓"),'KG1-3'!$AD$5:$IM$5),5),""))</f>
        <v/>
      </c>
      <c r="E1466">
        <f>IF(D1466="","",INDEX('KG1-3'!$AD22:$IM22,MATCH(D1466,'KG1-3'!$AD$5:$IM$5,0)))</f>
        <v/>
      </c>
      <c r="F1466">
        <f>IF(D1466="","",COUNTIFS('KG1-3'!$AD22:$IM22,"غياب بدون عذر",'KG1-3'!$AD$7:$IM$7,"✓",'KG1-3'!$AD$5:$IM$5,"&lt;="&amp;D1466))</f>
        <v/>
      </c>
      <c r="G1466">
        <f>G1465+IF(D1466="",0,1)</f>
        <v/>
      </c>
    </row>
    <row r="1467">
      <c r="A1467">
        <f>IF('KG1-3'!$B22="","",'KG1-3'!$B22)</f>
        <v/>
      </c>
      <c r="B1467">
        <f>IF(A1467="","",'KG1-3'!$C22)</f>
        <v/>
      </c>
      <c r="C1467">
        <f>IF(A1467="","",'KG1-3'!$B$2)</f>
        <v/>
      </c>
      <c r="D1467" s="126">
        <f t="array" ref="D1467">IF(A1467="","",IFERROR(SMALL(IF((('KG1-3'!$AD22:$IM22="غياب بدون عذر")+('KG1-3'!$AD22:$IM22="غياب بعذر"))*('KG1-3'!$AD$7:$IM$7="✓"),'KG1-3'!$AD$5:$IM$5),6),""))</f>
        <v/>
      </c>
      <c r="E1467">
        <f>IF(D1467="","",INDEX('KG1-3'!$AD22:$IM22,MATCH(D1467,'KG1-3'!$AD$5:$IM$5,0)))</f>
        <v/>
      </c>
      <c r="F1467">
        <f>IF(D1467="","",COUNTIFS('KG1-3'!$AD22:$IM22,"غياب بدون عذر",'KG1-3'!$AD$7:$IM$7,"✓",'KG1-3'!$AD$5:$IM$5,"&lt;="&amp;D1467))</f>
        <v/>
      </c>
      <c r="G1467">
        <f>G1466+IF(D1467="",0,1)</f>
        <v/>
      </c>
    </row>
    <row r="1468">
      <c r="A1468">
        <f>IF('KG1-3'!$B22="","",'KG1-3'!$B22)</f>
        <v/>
      </c>
      <c r="B1468">
        <f>IF(A1468="","",'KG1-3'!$C22)</f>
        <v/>
      </c>
      <c r="C1468">
        <f>IF(A1468="","",'KG1-3'!$B$2)</f>
        <v/>
      </c>
      <c r="D1468" s="126">
        <f t="array" ref="D1468">IF(A1468="","",IFERROR(SMALL(IF((('KG1-3'!$AD22:$IM22="غياب بدون عذر")+('KG1-3'!$AD22:$IM22="غياب بعذر"))*('KG1-3'!$AD$7:$IM$7="✓"),'KG1-3'!$AD$5:$IM$5),7),""))</f>
        <v/>
      </c>
      <c r="E1468">
        <f>IF(D1468="","",INDEX('KG1-3'!$AD22:$IM22,MATCH(D1468,'KG1-3'!$AD$5:$IM$5,0)))</f>
        <v/>
      </c>
      <c r="F1468">
        <f>IF(D1468="","",COUNTIFS('KG1-3'!$AD22:$IM22,"غياب بدون عذر",'KG1-3'!$AD$7:$IM$7,"✓",'KG1-3'!$AD$5:$IM$5,"&lt;="&amp;D1468))</f>
        <v/>
      </c>
      <c r="G1468">
        <f>G1467+IF(D1468="",0,1)</f>
        <v/>
      </c>
    </row>
    <row r="1469">
      <c r="A1469">
        <f>IF('KG1-3'!$B22="","",'KG1-3'!$B22)</f>
        <v/>
      </c>
      <c r="B1469">
        <f>IF(A1469="","",'KG1-3'!$C22)</f>
        <v/>
      </c>
      <c r="C1469">
        <f>IF(A1469="","",'KG1-3'!$B$2)</f>
        <v/>
      </c>
      <c r="D1469" s="126">
        <f t="array" ref="D1469">IF(A1469="","",IFERROR(SMALL(IF((('KG1-3'!$AD22:$IM22="غياب بدون عذر")+('KG1-3'!$AD22:$IM22="غياب بعذر"))*('KG1-3'!$AD$7:$IM$7="✓"),'KG1-3'!$AD$5:$IM$5),8),""))</f>
        <v/>
      </c>
      <c r="E1469">
        <f>IF(D1469="","",INDEX('KG1-3'!$AD22:$IM22,MATCH(D1469,'KG1-3'!$AD$5:$IM$5,0)))</f>
        <v/>
      </c>
      <c r="F1469">
        <f>IF(D1469="","",COUNTIFS('KG1-3'!$AD22:$IM22,"غياب بدون عذر",'KG1-3'!$AD$7:$IM$7,"✓",'KG1-3'!$AD$5:$IM$5,"&lt;="&amp;D1469))</f>
        <v/>
      </c>
      <c r="G1469">
        <f>G1468+IF(D1469="",0,1)</f>
        <v/>
      </c>
    </row>
    <row r="1470">
      <c r="A1470">
        <f>IF('KG1-3'!$B22="","",'KG1-3'!$B22)</f>
        <v/>
      </c>
      <c r="B1470">
        <f>IF(A1470="","",'KG1-3'!$C22)</f>
        <v/>
      </c>
      <c r="C1470">
        <f>IF(A1470="","",'KG1-3'!$B$2)</f>
        <v/>
      </c>
      <c r="D1470" s="126">
        <f t="array" ref="D1470">IF(A1470="","",IFERROR(SMALL(IF((('KG1-3'!$AD22:$IM22="غياب بدون عذر")+('KG1-3'!$AD22:$IM22="غياب بعذر"))*('KG1-3'!$AD$7:$IM$7="✓"),'KG1-3'!$AD$5:$IM$5),9),""))</f>
        <v/>
      </c>
      <c r="E1470">
        <f>IF(D1470="","",INDEX('KG1-3'!$AD22:$IM22,MATCH(D1470,'KG1-3'!$AD$5:$IM$5,0)))</f>
        <v/>
      </c>
      <c r="F1470">
        <f>IF(D1470="","",COUNTIFS('KG1-3'!$AD22:$IM22,"غياب بدون عذر",'KG1-3'!$AD$7:$IM$7,"✓",'KG1-3'!$AD$5:$IM$5,"&lt;="&amp;D1470))</f>
        <v/>
      </c>
      <c r="G1470">
        <f>G1469+IF(D1470="",0,1)</f>
        <v/>
      </c>
    </row>
    <row r="1471">
      <c r="A1471">
        <f>IF('KG1-3'!$B22="","",'KG1-3'!$B22)</f>
        <v/>
      </c>
      <c r="B1471">
        <f>IF(A1471="","",'KG1-3'!$C22)</f>
        <v/>
      </c>
      <c r="C1471">
        <f>IF(A1471="","",'KG1-3'!$B$2)</f>
        <v/>
      </c>
      <c r="D1471" s="126">
        <f t="array" ref="D1471">IF(A1471="","",IFERROR(SMALL(IF((('KG1-3'!$AD22:$IM22="غياب بدون عذر")+('KG1-3'!$AD22:$IM22="غياب بعذر"))*('KG1-3'!$AD$7:$IM$7="✓"),'KG1-3'!$AD$5:$IM$5),10),""))</f>
        <v/>
      </c>
      <c r="E1471">
        <f>IF(D1471="","",INDEX('KG1-3'!$AD22:$IM22,MATCH(D1471,'KG1-3'!$AD$5:$IM$5,0)))</f>
        <v/>
      </c>
      <c r="F1471">
        <f>IF(D1471="","",COUNTIFS('KG1-3'!$AD22:$IM22,"غياب بدون عذر",'KG1-3'!$AD$7:$IM$7,"✓",'KG1-3'!$AD$5:$IM$5,"&lt;="&amp;D1471))</f>
        <v/>
      </c>
      <c r="G1471">
        <f>G1470+IF(D1471="",0,1)</f>
        <v/>
      </c>
    </row>
    <row r="1472">
      <c r="A1472">
        <f>IF('KG1-3'!$B22="","",'KG1-3'!$B22)</f>
        <v/>
      </c>
      <c r="B1472">
        <f>IF(A1472="","",'KG1-3'!$C22)</f>
        <v/>
      </c>
      <c r="C1472">
        <f>IF(A1472="","",'KG1-3'!$B$2)</f>
        <v/>
      </c>
      <c r="D1472" s="126">
        <f t="array" ref="D1472">IF(A1472="","",IFERROR(SMALL(IF((('KG1-3'!$AD22:$IM22="غياب بدون عذر")+('KG1-3'!$AD22:$IM22="غياب بعذر"))*('KG1-3'!$AD$7:$IM$7="✓"),'KG1-3'!$AD$5:$IM$5),11),""))</f>
        <v/>
      </c>
      <c r="E1472">
        <f>IF(D1472="","",INDEX('KG1-3'!$AD22:$IM22,MATCH(D1472,'KG1-3'!$AD$5:$IM$5,0)))</f>
        <v/>
      </c>
      <c r="F1472">
        <f>IF(D1472="","",COUNTIFS('KG1-3'!$AD22:$IM22,"غياب بدون عذر",'KG1-3'!$AD$7:$IM$7,"✓",'KG1-3'!$AD$5:$IM$5,"&lt;="&amp;D1472))</f>
        <v/>
      </c>
      <c r="G1472">
        <f>G1471+IF(D1472="",0,1)</f>
        <v/>
      </c>
    </row>
    <row r="1473">
      <c r="A1473">
        <f>IF('KG1-3'!$B22="","",'KG1-3'!$B22)</f>
        <v/>
      </c>
      <c r="B1473">
        <f>IF(A1473="","",'KG1-3'!$C22)</f>
        <v/>
      </c>
      <c r="C1473">
        <f>IF(A1473="","",'KG1-3'!$B$2)</f>
        <v/>
      </c>
      <c r="D1473" s="126">
        <f t="array" ref="D1473">IF(A1473="","",IFERROR(SMALL(IF((('KG1-3'!$AD22:$IM22="غياب بدون عذر")+('KG1-3'!$AD22:$IM22="غياب بعذر"))*('KG1-3'!$AD$7:$IM$7="✓"),'KG1-3'!$AD$5:$IM$5),12),""))</f>
        <v/>
      </c>
      <c r="E1473">
        <f>IF(D1473="","",INDEX('KG1-3'!$AD22:$IM22,MATCH(D1473,'KG1-3'!$AD$5:$IM$5,0)))</f>
        <v/>
      </c>
      <c r="F1473">
        <f>IF(D1473="","",COUNTIFS('KG1-3'!$AD22:$IM22,"غياب بدون عذر",'KG1-3'!$AD$7:$IM$7,"✓",'KG1-3'!$AD$5:$IM$5,"&lt;="&amp;D1473))</f>
        <v/>
      </c>
      <c r="G1473">
        <f>G1472+IF(D1473="",0,1)</f>
        <v/>
      </c>
    </row>
    <row r="1474">
      <c r="A1474">
        <f>IF('KG1-3'!$B22="","",'KG1-3'!$B22)</f>
        <v/>
      </c>
      <c r="B1474">
        <f>IF(A1474="","",'KG1-3'!$C22)</f>
        <v/>
      </c>
      <c r="C1474">
        <f>IF(A1474="","",'KG1-3'!$B$2)</f>
        <v/>
      </c>
      <c r="D1474" s="126">
        <f t="array" ref="D1474">IF(A1474="","",IFERROR(SMALL(IF((('KG1-3'!$AD22:$IM22="غياب بدون عذر")+('KG1-3'!$AD22:$IM22="غياب بعذر"))*('KG1-3'!$AD$7:$IM$7="✓"),'KG1-3'!$AD$5:$IM$5),13),""))</f>
        <v/>
      </c>
      <c r="E1474">
        <f>IF(D1474="","",INDEX('KG1-3'!$AD22:$IM22,MATCH(D1474,'KG1-3'!$AD$5:$IM$5,0)))</f>
        <v/>
      </c>
      <c r="F1474">
        <f>IF(D1474="","",COUNTIFS('KG1-3'!$AD22:$IM22,"غياب بدون عذر",'KG1-3'!$AD$7:$IM$7,"✓",'KG1-3'!$AD$5:$IM$5,"&lt;="&amp;D1474))</f>
        <v/>
      </c>
      <c r="G1474">
        <f>G1473+IF(D1474="",0,1)</f>
        <v/>
      </c>
    </row>
    <row r="1475">
      <c r="A1475">
        <f>IF('KG1-3'!$B22="","",'KG1-3'!$B22)</f>
        <v/>
      </c>
      <c r="B1475">
        <f>IF(A1475="","",'KG1-3'!$C22)</f>
        <v/>
      </c>
      <c r="C1475">
        <f>IF(A1475="","",'KG1-3'!$B$2)</f>
        <v/>
      </c>
      <c r="D1475" s="126">
        <f t="array" ref="D1475">IF(A1475="","",IFERROR(SMALL(IF((('KG1-3'!$AD22:$IM22="غياب بدون عذر")+('KG1-3'!$AD22:$IM22="غياب بعذر"))*('KG1-3'!$AD$7:$IM$7="✓"),'KG1-3'!$AD$5:$IM$5),14),""))</f>
        <v/>
      </c>
      <c r="E1475">
        <f>IF(D1475="","",INDEX('KG1-3'!$AD22:$IM22,MATCH(D1475,'KG1-3'!$AD$5:$IM$5,0)))</f>
        <v/>
      </c>
      <c r="F1475">
        <f>IF(D1475="","",COUNTIFS('KG1-3'!$AD22:$IM22,"غياب بدون عذر",'KG1-3'!$AD$7:$IM$7,"✓",'KG1-3'!$AD$5:$IM$5,"&lt;="&amp;D1475))</f>
        <v/>
      </c>
      <c r="G1475">
        <f>G1474+IF(D1475="",0,1)</f>
        <v/>
      </c>
    </row>
    <row r="1476">
      <c r="A1476">
        <f>IF('KG1-3'!$B22="","",'KG1-3'!$B22)</f>
        <v/>
      </c>
      <c r="B1476">
        <f>IF(A1476="","",'KG1-3'!$C22)</f>
        <v/>
      </c>
      <c r="C1476">
        <f>IF(A1476="","",'KG1-3'!$B$2)</f>
        <v/>
      </c>
      <c r="D1476" s="126">
        <f t="array" ref="D1476">IF(A1476="","",IFERROR(SMALL(IF((('KG1-3'!$AD22:$IM22="غياب بدون عذر")+('KG1-3'!$AD22:$IM22="غياب بعذر"))*('KG1-3'!$AD$7:$IM$7="✓"),'KG1-3'!$AD$5:$IM$5),15),""))</f>
        <v/>
      </c>
      <c r="E1476">
        <f>IF(D1476="","",INDEX('KG1-3'!$AD22:$IM22,MATCH(D1476,'KG1-3'!$AD$5:$IM$5,0)))</f>
        <v/>
      </c>
      <c r="F1476">
        <f>IF(D1476="","",COUNTIFS('KG1-3'!$AD22:$IM22,"غياب بدون عذر",'KG1-3'!$AD$7:$IM$7,"✓",'KG1-3'!$AD$5:$IM$5,"&lt;="&amp;D1476))</f>
        <v/>
      </c>
      <c r="G1476">
        <f>G1475+IF(D1476="",0,1)</f>
        <v/>
      </c>
    </row>
    <row r="1477">
      <c r="A1477">
        <f>IF('KG1-3'!$B22="","",'KG1-3'!$B22)</f>
        <v/>
      </c>
      <c r="B1477">
        <f>IF(A1477="","",'KG1-3'!$C22)</f>
        <v/>
      </c>
      <c r="C1477">
        <f>IF(A1477="","",'KG1-3'!$B$2)</f>
        <v/>
      </c>
      <c r="D1477" s="126">
        <f t="array" ref="D1477">IF(A1477="","",IFERROR(SMALL(IF((('KG1-3'!$AD22:$IM22="غياب بدون عذر")+('KG1-3'!$AD22:$IM22="غياب بعذر"))*('KG1-3'!$AD$7:$IM$7="✓"),'KG1-3'!$AD$5:$IM$5),16),""))</f>
        <v/>
      </c>
      <c r="E1477">
        <f>IF(D1477="","",INDEX('KG1-3'!$AD22:$IM22,MATCH(D1477,'KG1-3'!$AD$5:$IM$5,0)))</f>
        <v/>
      </c>
      <c r="F1477">
        <f>IF(D1477="","",COUNTIFS('KG1-3'!$AD22:$IM22,"غياب بدون عذر",'KG1-3'!$AD$7:$IM$7,"✓",'KG1-3'!$AD$5:$IM$5,"&lt;="&amp;D1477))</f>
        <v/>
      </c>
      <c r="G1477">
        <f>G1476+IF(D1477="",0,1)</f>
        <v/>
      </c>
    </row>
    <row r="1478">
      <c r="A1478">
        <f>IF('KG1-3'!$B22="","",'KG1-3'!$B22)</f>
        <v/>
      </c>
      <c r="B1478">
        <f>IF(A1478="","",'KG1-3'!$C22)</f>
        <v/>
      </c>
      <c r="C1478">
        <f>IF(A1478="","",'KG1-3'!$B$2)</f>
        <v/>
      </c>
      <c r="D1478" s="126">
        <f t="array" ref="D1478">IF(A1478="","",IFERROR(SMALL(IF((('KG1-3'!$AD22:$IM22="غياب بدون عذر")+('KG1-3'!$AD22:$IM22="غياب بعذر"))*('KG1-3'!$AD$7:$IM$7="✓"),'KG1-3'!$AD$5:$IM$5),17),""))</f>
        <v/>
      </c>
      <c r="E1478">
        <f>IF(D1478="","",INDEX('KG1-3'!$AD22:$IM22,MATCH(D1478,'KG1-3'!$AD$5:$IM$5,0)))</f>
        <v/>
      </c>
      <c r="F1478">
        <f>IF(D1478="","",COUNTIFS('KG1-3'!$AD22:$IM22,"غياب بدون عذر",'KG1-3'!$AD$7:$IM$7,"✓",'KG1-3'!$AD$5:$IM$5,"&lt;="&amp;D1478))</f>
        <v/>
      </c>
      <c r="G1478">
        <f>G1477+IF(D1478="",0,1)</f>
        <v/>
      </c>
    </row>
    <row r="1479">
      <c r="A1479">
        <f>IF('KG1-3'!$B22="","",'KG1-3'!$B22)</f>
        <v/>
      </c>
      <c r="B1479">
        <f>IF(A1479="","",'KG1-3'!$C22)</f>
        <v/>
      </c>
      <c r="C1479">
        <f>IF(A1479="","",'KG1-3'!$B$2)</f>
        <v/>
      </c>
      <c r="D1479" s="126">
        <f t="array" ref="D1479">IF(A1479="","",IFERROR(SMALL(IF((('KG1-3'!$AD22:$IM22="غياب بدون عذر")+('KG1-3'!$AD22:$IM22="غياب بعذر"))*('KG1-3'!$AD$7:$IM$7="✓"),'KG1-3'!$AD$5:$IM$5),18),""))</f>
        <v/>
      </c>
      <c r="E1479">
        <f>IF(D1479="","",INDEX('KG1-3'!$AD22:$IM22,MATCH(D1479,'KG1-3'!$AD$5:$IM$5,0)))</f>
        <v/>
      </c>
      <c r="F1479">
        <f>IF(D1479="","",COUNTIFS('KG1-3'!$AD22:$IM22,"غياب بدون عذر",'KG1-3'!$AD$7:$IM$7,"✓",'KG1-3'!$AD$5:$IM$5,"&lt;="&amp;D1479))</f>
        <v/>
      </c>
      <c r="G1479">
        <f>G1478+IF(D1479="",0,1)</f>
        <v/>
      </c>
    </row>
    <row r="1480">
      <c r="A1480">
        <f>IF('KG1-3'!$B22="","",'KG1-3'!$B22)</f>
        <v/>
      </c>
      <c r="B1480">
        <f>IF(A1480="","",'KG1-3'!$C22)</f>
        <v/>
      </c>
      <c r="C1480">
        <f>IF(A1480="","",'KG1-3'!$B$2)</f>
        <v/>
      </c>
      <c r="D1480" s="126">
        <f t="array" ref="D1480">IF(A1480="","",IFERROR(SMALL(IF((('KG1-3'!$AD22:$IM22="غياب بدون عذر")+('KG1-3'!$AD22:$IM22="غياب بعذر"))*('KG1-3'!$AD$7:$IM$7="✓"),'KG1-3'!$AD$5:$IM$5),19),""))</f>
        <v/>
      </c>
      <c r="E1480">
        <f>IF(D1480="","",INDEX('KG1-3'!$AD22:$IM22,MATCH(D1480,'KG1-3'!$AD$5:$IM$5,0)))</f>
        <v/>
      </c>
      <c r="F1480">
        <f>IF(D1480="","",COUNTIFS('KG1-3'!$AD22:$IM22,"غياب بدون عذر",'KG1-3'!$AD$7:$IM$7,"✓",'KG1-3'!$AD$5:$IM$5,"&lt;="&amp;D1480))</f>
        <v/>
      </c>
      <c r="G1480">
        <f>G1479+IF(D1480="",0,1)</f>
        <v/>
      </c>
    </row>
    <row r="1481">
      <c r="A1481">
        <f>IF('KG1-3'!$B22="","",'KG1-3'!$B22)</f>
        <v/>
      </c>
      <c r="B1481">
        <f>IF(A1481="","",'KG1-3'!$C22)</f>
        <v/>
      </c>
      <c r="C1481">
        <f>IF(A1481="","",'KG1-3'!$B$2)</f>
        <v/>
      </c>
      <c r="D1481" s="126">
        <f t="array" ref="D1481">IF(A1481="","",IFERROR(SMALL(IF((('KG1-3'!$AD22:$IM22="غياب بدون عذر")+('KG1-3'!$AD22:$IM22="غياب بعذر"))*('KG1-3'!$AD$7:$IM$7="✓"),'KG1-3'!$AD$5:$IM$5),20),""))</f>
        <v/>
      </c>
      <c r="E1481">
        <f>IF(D1481="","",INDEX('KG1-3'!$AD22:$IM22,MATCH(D1481,'KG1-3'!$AD$5:$IM$5,0)))</f>
        <v/>
      </c>
      <c r="F1481">
        <f>IF(D1481="","",COUNTIFS('KG1-3'!$AD22:$IM22,"غياب بدون عذر",'KG1-3'!$AD$7:$IM$7,"✓",'KG1-3'!$AD$5:$IM$5,"&lt;="&amp;D1481))</f>
        <v/>
      </c>
      <c r="G1481">
        <f>G1480+IF(D1481="",0,1)</f>
        <v/>
      </c>
    </row>
    <row r="1482">
      <c r="A1482">
        <f>IF('KG1-3'!$B23="","",'KG1-3'!$B23)</f>
        <v/>
      </c>
      <c r="B1482">
        <f>IF(A1482="","",'KG1-3'!$C23)</f>
        <v/>
      </c>
      <c r="C1482">
        <f>IF(A1482="","",'KG1-3'!$B$2)</f>
        <v/>
      </c>
      <c r="D1482" s="126">
        <f t="array" ref="D1482">IF(A1482="","",IFERROR(SMALL(IF((('KG1-3'!$AD23:$IM23="غياب بدون عذر")+('KG1-3'!$AD23:$IM23="غياب بعذر"))*('KG1-3'!$AD$7:$IM$7="✓"),'KG1-3'!$AD$5:$IM$5),1),""))</f>
        <v/>
      </c>
      <c r="E1482">
        <f>IF(D1482="","",INDEX('KG1-3'!$AD23:$IM23,MATCH(D1482,'KG1-3'!$AD$5:$IM$5,0)))</f>
        <v/>
      </c>
      <c r="F1482">
        <f>IF(D1482="","",COUNTIFS('KG1-3'!$AD23:$IM23,"غياب بدون عذر",'KG1-3'!$AD$7:$IM$7,"✓",'KG1-3'!$AD$5:$IM$5,"&lt;="&amp;D1482))</f>
        <v/>
      </c>
      <c r="G1482">
        <f>G1481+IF(D1482="",0,1)</f>
        <v/>
      </c>
    </row>
    <row r="1483">
      <c r="A1483">
        <f>IF('KG1-3'!$B23="","",'KG1-3'!$B23)</f>
        <v/>
      </c>
      <c r="B1483">
        <f>IF(A1483="","",'KG1-3'!$C23)</f>
        <v/>
      </c>
      <c r="C1483">
        <f>IF(A1483="","",'KG1-3'!$B$2)</f>
        <v/>
      </c>
      <c r="D1483" s="126">
        <f t="array" ref="D1483">IF(A1483="","",IFERROR(SMALL(IF((('KG1-3'!$AD23:$IM23="غياب بدون عذر")+('KG1-3'!$AD23:$IM23="غياب بعذر"))*('KG1-3'!$AD$7:$IM$7="✓"),'KG1-3'!$AD$5:$IM$5),2),""))</f>
        <v/>
      </c>
      <c r="E1483">
        <f>IF(D1483="","",INDEX('KG1-3'!$AD23:$IM23,MATCH(D1483,'KG1-3'!$AD$5:$IM$5,0)))</f>
        <v/>
      </c>
      <c r="F1483">
        <f>IF(D1483="","",COUNTIFS('KG1-3'!$AD23:$IM23,"غياب بدون عذر",'KG1-3'!$AD$7:$IM$7,"✓",'KG1-3'!$AD$5:$IM$5,"&lt;="&amp;D1483))</f>
        <v/>
      </c>
      <c r="G1483">
        <f>G1482+IF(D1483="",0,1)</f>
        <v/>
      </c>
    </row>
    <row r="1484">
      <c r="A1484">
        <f>IF('KG1-3'!$B23="","",'KG1-3'!$B23)</f>
        <v/>
      </c>
      <c r="B1484">
        <f>IF(A1484="","",'KG1-3'!$C23)</f>
        <v/>
      </c>
      <c r="C1484">
        <f>IF(A1484="","",'KG1-3'!$B$2)</f>
        <v/>
      </c>
      <c r="D1484" s="126">
        <f t="array" ref="D1484">IF(A1484="","",IFERROR(SMALL(IF((('KG1-3'!$AD23:$IM23="غياب بدون عذر")+('KG1-3'!$AD23:$IM23="غياب بعذر"))*('KG1-3'!$AD$7:$IM$7="✓"),'KG1-3'!$AD$5:$IM$5),3),""))</f>
        <v/>
      </c>
      <c r="E1484">
        <f>IF(D1484="","",INDEX('KG1-3'!$AD23:$IM23,MATCH(D1484,'KG1-3'!$AD$5:$IM$5,0)))</f>
        <v/>
      </c>
      <c r="F1484">
        <f>IF(D1484="","",COUNTIFS('KG1-3'!$AD23:$IM23,"غياب بدون عذر",'KG1-3'!$AD$7:$IM$7,"✓",'KG1-3'!$AD$5:$IM$5,"&lt;="&amp;D1484))</f>
        <v/>
      </c>
      <c r="G1484">
        <f>G1483+IF(D1484="",0,1)</f>
        <v/>
      </c>
    </row>
    <row r="1485">
      <c r="A1485">
        <f>IF('KG1-3'!$B23="","",'KG1-3'!$B23)</f>
        <v/>
      </c>
      <c r="B1485">
        <f>IF(A1485="","",'KG1-3'!$C23)</f>
        <v/>
      </c>
      <c r="C1485">
        <f>IF(A1485="","",'KG1-3'!$B$2)</f>
        <v/>
      </c>
      <c r="D1485" s="126">
        <f t="array" ref="D1485">IF(A1485="","",IFERROR(SMALL(IF((('KG1-3'!$AD23:$IM23="غياب بدون عذر")+('KG1-3'!$AD23:$IM23="غياب بعذر"))*('KG1-3'!$AD$7:$IM$7="✓"),'KG1-3'!$AD$5:$IM$5),4),""))</f>
        <v/>
      </c>
      <c r="E1485">
        <f>IF(D1485="","",INDEX('KG1-3'!$AD23:$IM23,MATCH(D1485,'KG1-3'!$AD$5:$IM$5,0)))</f>
        <v/>
      </c>
      <c r="F1485">
        <f>IF(D1485="","",COUNTIFS('KG1-3'!$AD23:$IM23,"غياب بدون عذر",'KG1-3'!$AD$7:$IM$7,"✓",'KG1-3'!$AD$5:$IM$5,"&lt;="&amp;D1485))</f>
        <v/>
      </c>
      <c r="G1485">
        <f>G1484+IF(D1485="",0,1)</f>
        <v/>
      </c>
    </row>
    <row r="1486">
      <c r="A1486">
        <f>IF('KG1-3'!$B23="","",'KG1-3'!$B23)</f>
        <v/>
      </c>
      <c r="B1486">
        <f>IF(A1486="","",'KG1-3'!$C23)</f>
        <v/>
      </c>
      <c r="C1486">
        <f>IF(A1486="","",'KG1-3'!$B$2)</f>
        <v/>
      </c>
      <c r="D1486" s="126">
        <f t="array" ref="D1486">IF(A1486="","",IFERROR(SMALL(IF((('KG1-3'!$AD23:$IM23="غياب بدون عذر")+('KG1-3'!$AD23:$IM23="غياب بعذر"))*('KG1-3'!$AD$7:$IM$7="✓"),'KG1-3'!$AD$5:$IM$5),5),""))</f>
        <v/>
      </c>
      <c r="E1486">
        <f>IF(D1486="","",INDEX('KG1-3'!$AD23:$IM23,MATCH(D1486,'KG1-3'!$AD$5:$IM$5,0)))</f>
        <v/>
      </c>
      <c r="F1486">
        <f>IF(D1486="","",COUNTIFS('KG1-3'!$AD23:$IM23,"غياب بدون عذر",'KG1-3'!$AD$7:$IM$7,"✓",'KG1-3'!$AD$5:$IM$5,"&lt;="&amp;D1486))</f>
        <v/>
      </c>
      <c r="G1486">
        <f>G1485+IF(D1486="",0,1)</f>
        <v/>
      </c>
    </row>
    <row r="1487">
      <c r="A1487">
        <f>IF('KG1-3'!$B23="","",'KG1-3'!$B23)</f>
        <v/>
      </c>
      <c r="B1487">
        <f>IF(A1487="","",'KG1-3'!$C23)</f>
        <v/>
      </c>
      <c r="C1487">
        <f>IF(A1487="","",'KG1-3'!$B$2)</f>
        <v/>
      </c>
      <c r="D1487" s="126">
        <f t="array" ref="D1487">IF(A1487="","",IFERROR(SMALL(IF((('KG1-3'!$AD23:$IM23="غياب بدون عذر")+('KG1-3'!$AD23:$IM23="غياب بعذر"))*('KG1-3'!$AD$7:$IM$7="✓"),'KG1-3'!$AD$5:$IM$5),6),""))</f>
        <v/>
      </c>
      <c r="E1487">
        <f>IF(D1487="","",INDEX('KG1-3'!$AD23:$IM23,MATCH(D1487,'KG1-3'!$AD$5:$IM$5,0)))</f>
        <v/>
      </c>
      <c r="F1487">
        <f>IF(D1487="","",COUNTIFS('KG1-3'!$AD23:$IM23,"غياب بدون عذر",'KG1-3'!$AD$7:$IM$7,"✓",'KG1-3'!$AD$5:$IM$5,"&lt;="&amp;D1487))</f>
        <v/>
      </c>
      <c r="G1487">
        <f>G1486+IF(D1487="",0,1)</f>
        <v/>
      </c>
    </row>
    <row r="1488">
      <c r="A1488">
        <f>IF('KG1-3'!$B23="","",'KG1-3'!$B23)</f>
        <v/>
      </c>
      <c r="B1488">
        <f>IF(A1488="","",'KG1-3'!$C23)</f>
        <v/>
      </c>
      <c r="C1488">
        <f>IF(A1488="","",'KG1-3'!$B$2)</f>
        <v/>
      </c>
      <c r="D1488" s="126">
        <f t="array" ref="D1488">IF(A1488="","",IFERROR(SMALL(IF((('KG1-3'!$AD23:$IM23="غياب بدون عذر")+('KG1-3'!$AD23:$IM23="غياب بعذر"))*('KG1-3'!$AD$7:$IM$7="✓"),'KG1-3'!$AD$5:$IM$5),7),""))</f>
        <v/>
      </c>
      <c r="E1488">
        <f>IF(D1488="","",INDEX('KG1-3'!$AD23:$IM23,MATCH(D1488,'KG1-3'!$AD$5:$IM$5,0)))</f>
        <v/>
      </c>
      <c r="F1488">
        <f>IF(D1488="","",COUNTIFS('KG1-3'!$AD23:$IM23,"غياب بدون عذر",'KG1-3'!$AD$7:$IM$7,"✓",'KG1-3'!$AD$5:$IM$5,"&lt;="&amp;D1488))</f>
        <v/>
      </c>
      <c r="G1488">
        <f>G1487+IF(D1488="",0,1)</f>
        <v/>
      </c>
    </row>
    <row r="1489">
      <c r="A1489">
        <f>IF('KG1-3'!$B23="","",'KG1-3'!$B23)</f>
        <v/>
      </c>
      <c r="B1489">
        <f>IF(A1489="","",'KG1-3'!$C23)</f>
        <v/>
      </c>
      <c r="C1489">
        <f>IF(A1489="","",'KG1-3'!$B$2)</f>
        <v/>
      </c>
      <c r="D1489" s="126">
        <f t="array" ref="D1489">IF(A1489="","",IFERROR(SMALL(IF((('KG1-3'!$AD23:$IM23="غياب بدون عذر")+('KG1-3'!$AD23:$IM23="غياب بعذر"))*('KG1-3'!$AD$7:$IM$7="✓"),'KG1-3'!$AD$5:$IM$5),8),""))</f>
        <v/>
      </c>
      <c r="E1489">
        <f>IF(D1489="","",INDEX('KG1-3'!$AD23:$IM23,MATCH(D1489,'KG1-3'!$AD$5:$IM$5,0)))</f>
        <v/>
      </c>
      <c r="F1489">
        <f>IF(D1489="","",COUNTIFS('KG1-3'!$AD23:$IM23,"غياب بدون عذر",'KG1-3'!$AD$7:$IM$7,"✓",'KG1-3'!$AD$5:$IM$5,"&lt;="&amp;D1489))</f>
        <v/>
      </c>
      <c r="G1489">
        <f>G1488+IF(D1489="",0,1)</f>
        <v/>
      </c>
    </row>
    <row r="1490">
      <c r="A1490">
        <f>IF('KG1-3'!$B23="","",'KG1-3'!$B23)</f>
        <v/>
      </c>
      <c r="B1490">
        <f>IF(A1490="","",'KG1-3'!$C23)</f>
        <v/>
      </c>
      <c r="C1490">
        <f>IF(A1490="","",'KG1-3'!$B$2)</f>
        <v/>
      </c>
      <c r="D1490" s="126">
        <f t="array" ref="D1490">IF(A1490="","",IFERROR(SMALL(IF((('KG1-3'!$AD23:$IM23="غياب بدون عذر")+('KG1-3'!$AD23:$IM23="غياب بعذر"))*('KG1-3'!$AD$7:$IM$7="✓"),'KG1-3'!$AD$5:$IM$5),9),""))</f>
        <v/>
      </c>
      <c r="E1490">
        <f>IF(D1490="","",INDEX('KG1-3'!$AD23:$IM23,MATCH(D1490,'KG1-3'!$AD$5:$IM$5,0)))</f>
        <v/>
      </c>
      <c r="F1490">
        <f>IF(D1490="","",COUNTIFS('KG1-3'!$AD23:$IM23,"غياب بدون عذر",'KG1-3'!$AD$7:$IM$7,"✓",'KG1-3'!$AD$5:$IM$5,"&lt;="&amp;D1490))</f>
        <v/>
      </c>
      <c r="G1490">
        <f>G1489+IF(D1490="",0,1)</f>
        <v/>
      </c>
    </row>
    <row r="1491">
      <c r="A1491">
        <f>IF('KG1-3'!$B23="","",'KG1-3'!$B23)</f>
        <v/>
      </c>
      <c r="B1491">
        <f>IF(A1491="","",'KG1-3'!$C23)</f>
        <v/>
      </c>
      <c r="C1491">
        <f>IF(A1491="","",'KG1-3'!$B$2)</f>
        <v/>
      </c>
      <c r="D1491" s="126">
        <f t="array" ref="D1491">IF(A1491="","",IFERROR(SMALL(IF((('KG1-3'!$AD23:$IM23="غياب بدون عذر")+('KG1-3'!$AD23:$IM23="غياب بعذر"))*('KG1-3'!$AD$7:$IM$7="✓"),'KG1-3'!$AD$5:$IM$5),10),""))</f>
        <v/>
      </c>
      <c r="E1491">
        <f>IF(D1491="","",INDEX('KG1-3'!$AD23:$IM23,MATCH(D1491,'KG1-3'!$AD$5:$IM$5,0)))</f>
        <v/>
      </c>
      <c r="F1491">
        <f>IF(D1491="","",COUNTIFS('KG1-3'!$AD23:$IM23,"غياب بدون عذر",'KG1-3'!$AD$7:$IM$7,"✓",'KG1-3'!$AD$5:$IM$5,"&lt;="&amp;D1491))</f>
        <v/>
      </c>
      <c r="G1491">
        <f>G1490+IF(D1491="",0,1)</f>
        <v/>
      </c>
    </row>
    <row r="1492">
      <c r="A1492">
        <f>IF('KG1-3'!$B23="","",'KG1-3'!$B23)</f>
        <v/>
      </c>
      <c r="B1492">
        <f>IF(A1492="","",'KG1-3'!$C23)</f>
        <v/>
      </c>
      <c r="C1492">
        <f>IF(A1492="","",'KG1-3'!$B$2)</f>
        <v/>
      </c>
      <c r="D1492" s="126">
        <f t="array" ref="D1492">IF(A1492="","",IFERROR(SMALL(IF((('KG1-3'!$AD23:$IM23="غياب بدون عذر")+('KG1-3'!$AD23:$IM23="غياب بعذر"))*('KG1-3'!$AD$7:$IM$7="✓"),'KG1-3'!$AD$5:$IM$5),11),""))</f>
        <v/>
      </c>
      <c r="E1492">
        <f>IF(D1492="","",INDEX('KG1-3'!$AD23:$IM23,MATCH(D1492,'KG1-3'!$AD$5:$IM$5,0)))</f>
        <v/>
      </c>
      <c r="F1492">
        <f>IF(D1492="","",COUNTIFS('KG1-3'!$AD23:$IM23,"غياب بدون عذر",'KG1-3'!$AD$7:$IM$7,"✓",'KG1-3'!$AD$5:$IM$5,"&lt;="&amp;D1492))</f>
        <v/>
      </c>
      <c r="G1492">
        <f>G1491+IF(D1492="",0,1)</f>
        <v/>
      </c>
    </row>
    <row r="1493">
      <c r="A1493">
        <f>IF('KG1-3'!$B23="","",'KG1-3'!$B23)</f>
        <v/>
      </c>
      <c r="B1493">
        <f>IF(A1493="","",'KG1-3'!$C23)</f>
        <v/>
      </c>
      <c r="C1493">
        <f>IF(A1493="","",'KG1-3'!$B$2)</f>
        <v/>
      </c>
      <c r="D1493" s="126">
        <f t="array" ref="D1493">IF(A1493="","",IFERROR(SMALL(IF((('KG1-3'!$AD23:$IM23="غياب بدون عذر")+('KG1-3'!$AD23:$IM23="غياب بعذر"))*('KG1-3'!$AD$7:$IM$7="✓"),'KG1-3'!$AD$5:$IM$5),12),""))</f>
        <v/>
      </c>
      <c r="E1493">
        <f>IF(D1493="","",INDEX('KG1-3'!$AD23:$IM23,MATCH(D1493,'KG1-3'!$AD$5:$IM$5,0)))</f>
        <v/>
      </c>
      <c r="F1493">
        <f>IF(D1493="","",COUNTIFS('KG1-3'!$AD23:$IM23,"غياب بدون عذر",'KG1-3'!$AD$7:$IM$7,"✓",'KG1-3'!$AD$5:$IM$5,"&lt;="&amp;D1493))</f>
        <v/>
      </c>
      <c r="G1493">
        <f>G1492+IF(D1493="",0,1)</f>
        <v/>
      </c>
    </row>
    <row r="1494">
      <c r="A1494">
        <f>IF('KG1-3'!$B23="","",'KG1-3'!$B23)</f>
        <v/>
      </c>
      <c r="B1494">
        <f>IF(A1494="","",'KG1-3'!$C23)</f>
        <v/>
      </c>
      <c r="C1494">
        <f>IF(A1494="","",'KG1-3'!$B$2)</f>
        <v/>
      </c>
      <c r="D1494" s="126">
        <f t="array" ref="D1494">IF(A1494="","",IFERROR(SMALL(IF((('KG1-3'!$AD23:$IM23="غياب بدون عذر")+('KG1-3'!$AD23:$IM23="غياب بعذر"))*('KG1-3'!$AD$7:$IM$7="✓"),'KG1-3'!$AD$5:$IM$5),13),""))</f>
        <v/>
      </c>
      <c r="E1494">
        <f>IF(D1494="","",INDEX('KG1-3'!$AD23:$IM23,MATCH(D1494,'KG1-3'!$AD$5:$IM$5,0)))</f>
        <v/>
      </c>
      <c r="F1494">
        <f>IF(D1494="","",COUNTIFS('KG1-3'!$AD23:$IM23,"غياب بدون عذر",'KG1-3'!$AD$7:$IM$7,"✓",'KG1-3'!$AD$5:$IM$5,"&lt;="&amp;D1494))</f>
        <v/>
      </c>
      <c r="G1494">
        <f>G1493+IF(D1494="",0,1)</f>
        <v/>
      </c>
    </row>
    <row r="1495">
      <c r="A1495">
        <f>IF('KG1-3'!$B23="","",'KG1-3'!$B23)</f>
        <v/>
      </c>
      <c r="B1495">
        <f>IF(A1495="","",'KG1-3'!$C23)</f>
        <v/>
      </c>
      <c r="C1495">
        <f>IF(A1495="","",'KG1-3'!$B$2)</f>
        <v/>
      </c>
      <c r="D1495" s="126">
        <f t="array" ref="D1495">IF(A1495="","",IFERROR(SMALL(IF((('KG1-3'!$AD23:$IM23="غياب بدون عذر")+('KG1-3'!$AD23:$IM23="غياب بعذر"))*('KG1-3'!$AD$7:$IM$7="✓"),'KG1-3'!$AD$5:$IM$5),14),""))</f>
        <v/>
      </c>
      <c r="E1495">
        <f>IF(D1495="","",INDEX('KG1-3'!$AD23:$IM23,MATCH(D1495,'KG1-3'!$AD$5:$IM$5,0)))</f>
        <v/>
      </c>
      <c r="F1495">
        <f>IF(D1495="","",COUNTIFS('KG1-3'!$AD23:$IM23,"غياب بدون عذر",'KG1-3'!$AD$7:$IM$7,"✓",'KG1-3'!$AD$5:$IM$5,"&lt;="&amp;D1495))</f>
        <v/>
      </c>
      <c r="G1495">
        <f>G1494+IF(D1495="",0,1)</f>
        <v/>
      </c>
    </row>
    <row r="1496">
      <c r="A1496">
        <f>IF('KG1-3'!$B23="","",'KG1-3'!$B23)</f>
        <v/>
      </c>
      <c r="B1496">
        <f>IF(A1496="","",'KG1-3'!$C23)</f>
        <v/>
      </c>
      <c r="C1496">
        <f>IF(A1496="","",'KG1-3'!$B$2)</f>
        <v/>
      </c>
      <c r="D1496" s="126">
        <f t="array" ref="D1496">IF(A1496="","",IFERROR(SMALL(IF((('KG1-3'!$AD23:$IM23="غياب بدون عذر")+('KG1-3'!$AD23:$IM23="غياب بعذر"))*('KG1-3'!$AD$7:$IM$7="✓"),'KG1-3'!$AD$5:$IM$5),15),""))</f>
        <v/>
      </c>
      <c r="E1496">
        <f>IF(D1496="","",INDEX('KG1-3'!$AD23:$IM23,MATCH(D1496,'KG1-3'!$AD$5:$IM$5,0)))</f>
        <v/>
      </c>
      <c r="F1496">
        <f>IF(D1496="","",COUNTIFS('KG1-3'!$AD23:$IM23,"غياب بدون عذر",'KG1-3'!$AD$7:$IM$7,"✓",'KG1-3'!$AD$5:$IM$5,"&lt;="&amp;D1496))</f>
        <v/>
      </c>
      <c r="G1496">
        <f>G1495+IF(D1496="",0,1)</f>
        <v/>
      </c>
    </row>
    <row r="1497">
      <c r="A1497">
        <f>IF('KG1-3'!$B23="","",'KG1-3'!$B23)</f>
        <v/>
      </c>
      <c r="B1497">
        <f>IF(A1497="","",'KG1-3'!$C23)</f>
        <v/>
      </c>
      <c r="C1497">
        <f>IF(A1497="","",'KG1-3'!$B$2)</f>
        <v/>
      </c>
      <c r="D1497" s="126">
        <f t="array" ref="D1497">IF(A1497="","",IFERROR(SMALL(IF((('KG1-3'!$AD23:$IM23="غياب بدون عذر")+('KG1-3'!$AD23:$IM23="غياب بعذر"))*('KG1-3'!$AD$7:$IM$7="✓"),'KG1-3'!$AD$5:$IM$5),16),""))</f>
        <v/>
      </c>
      <c r="E1497">
        <f>IF(D1497="","",INDEX('KG1-3'!$AD23:$IM23,MATCH(D1497,'KG1-3'!$AD$5:$IM$5,0)))</f>
        <v/>
      </c>
      <c r="F1497">
        <f>IF(D1497="","",COUNTIFS('KG1-3'!$AD23:$IM23,"غياب بدون عذر",'KG1-3'!$AD$7:$IM$7,"✓",'KG1-3'!$AD$5:$IM$5,"&lt;="&amp;D1497))</f>
        <v/>
      </c>
      <c r="G1497">
        <f>G1496+IF(D1497="",0,1)</f>
        <v/>
      </c>
    </row>
    <row r="1498">
      <c r="A1498">
        <f>IF('KG1-3'!$B23="","",'KG1-3'!$B23)</f>
        <v/>
      </c>
      <c r="B1498">
        <f>IF(A1498="","",'KG1-3'!$C23)</f>
        <v/>
      </c>
      <c r="C1498">
        <f>IF(A1498="","",'KG1-3'!$B$2)</f>
        <v/>
      </c>
      <c r="D1498" s="126">
        <f t="array" ref="D1498">IF(A1498="","",IFERROR(SMALL(IF((('KG1-3'!$AD23:$IM23="غياب بدون عذر")+('KG1-3'!$AD23:$IM23="غياب بعذر"))*('KG1-3'!$AD$7:$IM$7="✓"),'KG1-3'!$AD$5:$IM$5),17),""))</f>
        <v/>
      </c>
      <c r="E1498">
        <f>IF(D1498="","",INDEX('KG1-3'!$AD23:$IM23,MATCH(D1498,'KG1-3'!$AD$5:$IM$5,0)))</f>
        <v/>
      </c>
      <c r="F1498">
        <f>IF(D1498="","",COUNTIFS('KG1-3'!$AD23:$IM23,"غياب بدون عذر",'KG1-3'!$AD$7:$IM$7,"✓",'KG1-3'!$AD$5:$IM$5,"&lt;="&amp;D1498))</f>
        <v/>
      </c>
      <c r="G1498">
        <f>G1497+IF(D1498="",0,1)</f>
        <v/>
      </c>
    </row>
    <row r="1499">
      <c r="A1499">
        <f>IF('KG1-3'!$B23="","",'KG1-3'!$B23)</f>
        <v/>
      </c>
      <c r="B1499">
        <f>IF(A1499="","",'KG1-3'!$C23)</f>
        <v/>
      </c>
      <c r="C1499">
        <f>IF(A1499="","",'KG1-3'!$B$2)</f>
        <v/>
      </c>
      <c r="D1499" s="126">
        <f t="array" ref="D1499">IF(A1499="","",IFERROR(SMALL(IF((('KG1-3'!$AD23:$IM23="غياب بدون عذر")+('KG1-3'!$AD23:$IM23="غياب بعذر"))*('KG1-3'!$AD$7:$IM$7="✓"),'KG1-3'!$AD$5:$IM$5),18),""))</f>
        <v/>
      </c>
      <c r="E1499">
        <f>IF(D1499="","",INDEX('KG1-3'!$AD23:$IM23,MATCH(D1499,'KG1-3'!$AD$5:$IM$5,0)))</f>
        <v/>
      </c>
      <c r="F1499">
        <f>IF(D1499="","",COUNTIFS('KG1-3'!$AD23:$IM23,"غياب بدون عذر",'KG1-3'!$AD$7:$IM$7,"✓",'KG1-3'!$AD$5:$IM$5,"&lt;="&amp;D1499))</f>
        <v/>
      </c>
      <c r="G1499">
        <f>G1498+IF(D1499="",0,1)</f>
        <v/>
      </c>
    </row>
    <row r="1500">
      <c r="A1500">
        <f>IF('KG1-3'!$B23="","",'KG1-3'!$B23)</f>
        <v/>
      </c>
      <c r="B1500">
        <f>IF(A1500="","",'KG1-3'!$C23)</f>
        <v/>
      </c>
      <c r="C1500">
        <f>IF(A1500="","",'KG1-3'!$B$2)</f>
        <v/>
      </c>
      <c r="D1500" s="126">
        <f t="array" ref="D1500">IF(A1500="","",IFERROR(SMALL(IF((('KG1-3'!$AD23:$IM23="غياب بدون عذر")+('KG1-3'!$AD23:$IM23="غياب بعذر"))*('KG1-3'!$AD$7:$IM$7="✓"),'KG1-3'!$AD$5:$IM$5),19),""))</f>
        <v/>
      </c>
      <c r="E1500">
        <f>IF(D1500="","",INDEX('KG1-3'!$AD23:$IM23,MATCH(D1500,'KG1-3'!$AD$5:$IM$5,0)))</f>
        <v/>
      </c>
      <c r="F1500">
        <f>IF(D1500="","",COUNTIFS('KG1-3'!$AD23:$IM23,"غياب بدون عذر",'KG1-3'!$AD$7:$IM$7,"✓",'KG1-3'!$AD$5:$IM$5,"&lt;="&amp;D1500))</f>
        <v/>
      </c>
      <c r="G1500">
        <f>G1499+IF(D1500="",0,1)</f>
        <v/>
      </c>
    </row>
    <row r="1501">
      <c r="A1501">
        <f>IF('KG1-3'!$B23="","",'KG1-3'!$B23)</f>
        <v/>
      </c>
      <c r="B1501">
        <f>IF(A1501="","",'KG1-3'!$C23)</f>
        <v/>
      </c>
      <c r="C1501">
        <f>IF(A1501="","",'KG1-3'!$B$2)</f>
        <v/>
      </c>
      <c r="D1501" s="126">
        <f t="array" ref="D1501">IF(A1501="","",IFERROR(SMALL(IF((('KG1-3'!$AD23:$IM23="غياب بدون عذر")+('KG1-3'!$AD23:$IM23="غياب بعذر"))*('KG1-3'!$AD$7:$IM$7="✓"),'KG1-3'!$AD$5:$IM$5),20),""))</f>
        <v/>
      </c>
      <c r="E1501">
        <f>IF(D1501="","",INDEX('KG1-3'!$AD23:$IM23,MATCH(D1501,'KG1-3'!$AD$5:$IM$5,0)))</f>
        <v/>
      </c>
      <c r="F1501">
        <f>IF(D1501="","",COUNTIFS('KG1-3'!$AD23:$IM23,"غياب بدون عذر",'KG1-3'!$AD$7:$IM$7,"✓",'KG1-3'!$AD$5:$IM$5,"&lt;="&amp;D1501))</f>
        <v/>
      </c>
      <c r="G1501">
        <f>G1500+IF(D1501="",0,1)</f>
        <v/>
      </c>
    </row>
    <row r="1502">
      <c r="A1502">
        <f>IF('KG1-3'!$B24="","",'KG1-3'!$B24)</f>
        <v/>
      </c>
      <c r="B1502">
        <f>IF(A1502="","",'KG1-3'!$C24)</f>
        <v/>
      </c>
      <c r="C1502">
        <f>IF(A1502="","",'KG1-3'!$B$2)</f>
        <v/>
      </c>
      <c r="D1502" s="126">
        <f t="array" ref="D1502">IF(A1502="","",IFERROR(SMALL(IF((('KG1-3'!$AD24:$IM24="غياب بدون عذر")+('KG1-3'!$AD24:$IM24="غياب بعذر"))*('KG1-3'!$AD$7:$IM$7="✓"),'KG1-3'!$AD$5:$IM$5),1),""))</f>
        <v/>
      </c>
      <c r="E1502">
        <f>IF(D1502="","",INDEX('KG1-3'!$AD24:$IM24,MATCH(D1502,'KG1-3'!$AD$5:$IM$5,0)))</f>
        <v/>
      </c>
      <c r="F1502">
        <f>IF(D1502="","",COUNTIFS('KG1-3'!$AD24:$IM24,"غياب بدون عذر",'KG1-3'!$AD$7:$IM$7,"✓",'KG1-3'!$AD$5:$IM$5,"&lt;="&amp;D1502))</f>
        <v/>
      </c>
      <c r="G1502">
        <f>G1501+IF(D1502="",0,1)</f>
        <v/>
      </c>
    </row>
    <row r="1503">
      <c r="A1503">
        <f>IF('KG1-3'!$B24="","",'KG1-3'!$B24)</f>
        <v/>
      </c>
      <c r="B1503">
        <f>IF(A1503="","",'KG1-3'!$C24)</f>
        <v/>
      </c>
      <c r="C1503">
        <f>IF(A1503="","",'KG1-3'!$B$2)</f>
        <v/>
      </c>
      <c r="D1503" s="126">
        <f t="array" ref="D1503">IF(A1503="","",IFERROR(SMALL(IF((('KG1-3'!$AD24:$IM24="غياب بدون عذر")+('KG1-3'!$AD24:$IM24="غياب بعذر"))*('KG1-3'!$AD$7:$IM$7="✓"),'KG1-3'!$AD$5:$IM$5),2),""))</f>
        <v/>
      </c>
      <c r="E1503">
        <f>IF(D1503="","",INDEX('KG1-3'!$AD24:$IM24,MATCH(D1503,'KG1-3'!$AD$5:$IM$5,0)))</f>
        <v/>
      </c>
      <c r="F1503">
        <f>IF(D1503="","",COUNTIFS('KG1-3'!$AD24:$IM24,"غياب بدون عذر",'KG1-3'!$AD$7:$IM$7,"✓",'KG1-3'!$AD$5:$IM$5,"&lt;="&amp;D1503))</f>
        <v/>
      </c>
      <c r="G1503">
        <f>G1502+IF(D1503="",0,1)</f>
        <v/>
      </c>
    </row>
    <row r="1504">
      <c r="A1504">
        <f>IF('KG1-3'!$B24="","",'KG1-3'!$B24)</f>
        <v/>
      </c>
      <c r="B1504">
        <f>IF(A1504="","",'KG1-3'!$C24)</f>
        <v/>
      </c>
      <c r="C1504">
        <f>IF(A1504="","",'KG1-3'!$B$2)</f>
        <v/>
      </c>
      <c r="D1504" s="126">
        <f t="array" ref="D1504">IF(A1504="","",IFERROR(SMALL(IF((('KG1-3'!$AD24:$IM24="غياب بدون عذر")+('KG1-3'!$AD24:$IM24="غياب بعذر"))*('KG1-3'!$AD$7:$IM$7="✓"),'KG1-3'!$AD$5:$IM$5),3),""))</f>
        <v/>
      </c>
      <c r="E1504">
        <f>IF(D1504="","",INDEX('KG1-3'!$AD24:$IM24,MATCH(D1504,'KG1-3'!$AD$5:$IM$5,0)))</f>
        <v/>
      </c>
      <c r="F1504">
        <f>IF(D1504="","",COUNTIFS('KG1-3'!$AD24:$IM24,"غياب بدون عذر",'KG1-3'!$AD$7:$IM$7,"✓",'KG1-3'!$AD$5:$IM$5,"&lt;="&amp;D1504))</f>
        <v/>
      </c>
      <c r="G1504">
        <f>G1503+IF(D1504="",0,1)</f>
        <v/>
      </c>
    </row>
    <row r="1505">
      <c r="A1505">
        <f>IF('KG1-3'!$B24="","",'KG1-3'!$B24)</f>
        <v/>
      </c>
      <c r="B1505">
        <f>IF(A1505="","",'KG1-3'!$C24)</f>
        <v/>
      </c>
      <c r="C1505">
        <f>IF(A1505="","",'KG1-3'!$B$2)</f>
        <v/>
      </c>
      <c r="D1505" s="126">
        <f t="array" ref="D1505">IF(A1505="","",IFERROR(SMALL(IF((('KG1-3'!$AD24:$IM24="غياب بدون عذر")+('KG1-3'!$AD24:$IM24="غياب بعذر"))*('KG1-3'!$AD$7:$IM$7="✓"),'KG1-3'!$AD$5:$IM$5),4),""))</f>
        <v/>
      </c>
      <c r="E1505">
        <f>IF(D1505="","",INDEX('KG1-3'!$AD24:$IM24,MATCH(D1505,'KG1-3'!$AD$5:$IM$5,0)))</f>
        <v/>
      </c>
      <c r="F1505">
        <f>IF(D1505="","",COUNTIFS('KG1-3'!$AD24:$IM24,"غياب بدون عذر",'KG1-3'!$AD$7:$IM$7,"✓",'KG1-3'!$AD$5:$IM$5,"&lt;="&amp;D1505))</f>
        <v/>
      </c>
      <c r="G1505">
        <f>G1504+IF(D1505="",0,1)</f>
        <v/>
      </c>
    </row>
    <row r="1506">
      <c r="A1506">
        <f>IF('KG1-3'!$B24="","",'KG1-3'!$B24)</f>
        <v/>
      </c>
      <c r="B1506">
        <f>IF(A1506="","",'KG1-3'!$C24)</f>
        <v/>
      </c>
      <c r="C1506">
        <f>IF(A1506="","",'KG1-3'!$B$2)</f>
        <v/>
      </c>
      <c r="D1506" s="126">
        <f t="array" ref="D1506">IF(A1506="","",IFERROR(SMALL(IF((('KG1-3'!$AD24:$IM24="غياب بدون عذر")+('KG1-3'!$AD24:$IM24="غياب بعذر"))*('KG1-3'!$AD$7:$IM$7="✓"),'KG1-3'!$AD$5:$IM$5),5),""))</f>
        <v/>
      </c>
      <c r="E1506">
        <f>IF(D1506="","",INDEX('KG1-3'!$AD24:$IM24,MATCH(D1506,'KG1-3'!$AD$5:$IM$5,0)))</f>
        <v/>
      </c>
      <c r="F1506">
        <f>IF(D1506="","",COUNTIFS('KG1-3'!$AD24:$IM24,"غياب بدون عذر",'KG1-3'!$AD$7:$IM$7,"✓",'KG1-3'!$AD$5:$IM$5,"&lt;="&amp;D1506))</f>
        <v/>
      </c>
      <c r="G1506">
        <f>G1505+IF(D1506="",0,1)</f>
        <v/>
      </c>
    </row>
    <row r="1507">
      <c r="A1507">
        <f>IF('KG1-3'!$B24="","",'KG1-3'!$B24)</f>
        <v/>
      </c>
      <c r="B1507">
        <f>IF(A1507="","",'KG1-3'!$C24)</f>
        <v/>
      </c>
      <c r="C1507">
        <f>IF(A1507="","",'KG1-3'!$B$2)</f>
        <v/>
      </c>
      <c r="D1507" s="126">
        <f t="array" ref="D1507">IF(A1507="","",IFERROR(SMALL(IF((('KG1-3'!$AD24:$IM24="غياب بدون عذر")+('KG1-3'!$AD24:$IM24="غياب بعذر"))*('KG1-3'!$AD$7:$IM$7="✓"),'KG1-3'!$AD$5:$IM$5),6),""))</f>
        <v/>
      </c>
      <c r="E1507">
        <f>IF(D1507="","",INDEX('KG1-3'!$AD24:$IM24,MATCH(D1507,'KG1-3'!$AD$5:$IM$5,0)))</f>
        <v/>
      </c>
      <c r="F1507">
        <f>IF(D1507="","",COUNTIFS('KG1-3'!$AD24:$IM24,"غياب بدون عذر",'KG1-3'!$AD$7:$IM$7,"✓",'KG1-3'!$AD$5:$IM$5,"&lt;="&amp;D1507))</f>
        <v/>
      </c>
      <c r="G1507">
        <f>G1506+IF(D1507="",0,1)</f>
        <v/>
      </c>
    </row>
    <row r="1508">
      <c r="A1508">
        <f>IF('KG1-3'!$B24="","",'KG1-3'!$B24)</f>
        <v/>
      </c>
      <c r="B1508">
        <f>IF(A1508="","",'KG1-3'!$C24)</f>
        <v/>
      </c>
      <c r="C1508">
        <f>IF(A1508="","",'KG1-3'!$B$2)</f>
        <v/>
      </c>
      <c r="D1508" s="126">
        <f t="array" ref="D1508">IF(A1508="","",IFERROR(SMALL(IF((('KG1-3'!$AD24:$IM24="غياب بدون عذر")+('KG1-3'!$AD24:$IM24="غياب بعذر"))*('KG1-3'!$AD$7:$IM$7="✓"),'KG1-3'!$AD$5:$IM$5),7),""))</f>
        <v/>
      </c>
      <c r="E1508">
        <f>IF(D1508="","",INDEX('KG1-3'!$AD24:$IM24,MATCH(D1508,'KG1-3'!$AD$5:$IM$5,0)))</f>
        <v/>
      </c>
      <c r="F1508">
        <f>IF(D1508="","",COUNTIFS('KG1-3'!$AD24:$IM24,"غياب بدون عذر",'KG1-3'!$AD$7:$IM$7,"✓",'KG1-3'!$AD$5:$IM$5,"&lt;="&amp;D1508))</f>
        <v/>
      </c>
      <c r="G1508">
        <f>G1507+IF(D1508="",0,1)</f>
        <v/>
      </c>
    </row>
    <row r="1509">
      <c r="A1509">
        <f>IF('KG1-3'!$B24="","",'KG1-3'!$B24)</f>
        <v/>
      </c>
      <c r="B1509">
        <f>IF(A1509="","",'KG1-3'!$C24)</f>
        <v/>
      </c>
      <c r="C1509">
        <f>IF(A1509="","",'KG1-3'!$B$2)</f>
        <v/>
      </c>
      <c r="D1509" s="126">
        <f t="array" ref="D1509">IF(A1509="","",IFERROR(SMALL(IF((('KG1-3'!$AD24:$IM24="غياب بدون عذر")+('KG1-3'!$AD24:$IM24="غياب بعذر"))*('KG1-3'!$AD$7:$IM$7="✓"),'KG1-3'!$AD$5:$IM$5),8),""))</f>
        <v/>
      </c>
      <c r="E1509">
        <f>IF(D1509="","",INDEX('KG1-3'!$AD24:$IM24,MATCH(D1509,'KG1-3'!$AD$5:$IM$5,0)))</f>
        <v/>
      </c>
      <c r="F1509">
        <f>IF(D1509="","",COUNTIFS('KG1-3'!$AD24:$IM24,"غياب بدون عذر",'KG1-3'!$AD$7:$IM$7,"✓",'KG1-3'!$AD$5:$IM$5,"&lt;="&amp;D1509))</f>
        <v/>
      </c>
      <c r="G1509">
        <f>G1508+IF(D1509="",0,1)</f>
        <v/>
      </c>
    </row>
    <row r="1510">
      <c r="A1510">
        <f>IF('KG1-3'!$B24="","",'KG1-3'!$B24)</f>
        <v/>
      </c>
      <c r="B1510">
        <f>IF(A1510="","",'KG1-3'!$C24)</f>
        <v/>
      </c>
      <c r="C1510">
        <f>IF(A1510="","",'KG1-3'!$B$2)</f>
        <v/>
      </c>
      <c r="D1510" s="126">
        <f t="array" ref="D1510">IF(A1510="","",IFERROR(SMALL(IF((('KG1-3'!$AD24:$IM24="غياب بدون عذر")+('KG1-3'!$AD24:$IM24="غياب بعذر"))*('KG1-3'!$AD$7:$IM$7="✓"),'KG1-3'!$AD$5:$IM$5),9),""))</f>
        <v/>
      </c>
      <c r="E1510">
        <f>IF(D1510="","",INDEX('KG1-3'!$AD24:$IM24,MATCH(D1510,'KG1-3'!$AD$5:$IM$5,0)))</f>
        <v/>
      </c>
      <c r="F1510">
        <f>IF(D1510="","",COUNTIFS('KG1-3'!$AD24:$IM24,"غياب بدون عذر",'KG1-3'!$AD$7:$IM$7,"✓",'KG1-3'!$AD$5:$IM$5,"&lt;="&amp;D1510))</f>
        <v/>
      </c>
      <c r="G1510">
        <f>G1509+IF(D1510="",0,1)</f>
        <v/>
      </c>
    </row>
    <row r="1511">
      <c r="A1511">
        <f>IF('KG1-3'!$B24="","",'KG1-3'!$B24)</f>
        <v/>
      </c>
      <c r="B1511">
        <f>IF(A1511="","",'KG1-3'!$C24)</f>
        <v/>
      </c>
      <c r="C1511">
        <f>IF(A1511="","",'KG1-3'!$B$2)</f>
        <v/>
      </c>
      <c r="D1511" s="126">
        <f t="array" ref="D1511">IF(A1511="","",IFERROR(SMALL(IF((('KG1-3'!$AD24:$IM24="غياب بدون عذر")+('KG1-3'!$AD24:$IM24="غياب بعذر"))*('KG1-3'!$AD$7:$IM$7="✓"),'KG1-3'!$AD$5:$IM$5),10),""))</f>
        <v/>
      </c>
      <c r="E1511">
        <f>IF(D1511="","",INDEX('KG1-3'!$AD24:$IM24,MATCH(D1511,'KG1-3'!$AD$5:$IM$5,0)))</f>
        <v/>
      </c>
      <c r="F1511">
        <f>IF(D1511="","",COUNTIFS('KG1-3'!$AD24:$IM24,"غياب بدون عذر",'KG1-3'!$AD$7:$IM$7,"✓",'KG1-3'!$AD$5:$IM$5,"&lt;="&amp;D1511))</f>
        <v/>
      </c>
      <c r="G1511">
        <f>G1510+IF(D1511="",0,1)</f>
        <v/>
      </c>
    </row>
    <row r="1512">
      <c r="A1512">
        <f>IF('KG1-3'!$B24="","",'KG1-3'!$B24)</f>
        <v/>
      </c>
      <c r="B1512">
        <f>IF(A1512="","",'KG1-3'!$C24)</f>
        <v/>
      </c>
      <c r="C1512">
        <f>IF(A1512="","",'KG1-3'!$B$2)</f>
        <v/>
      </c>
      <c r="D1512" s="126">
        <f t="array" ref="D1512">IF(A1512="","",IFERROR(SMALL(IF((('KG1-3'!$AD24:$IM24="غياب بدون عذر")+('KG1-3'!$AD24:$IM24="غياب بعذر"))*('KG1-3'!$AD$7:$IM$7="✓"),'KG1-3'!$AD$5:$IM$5),11),""))</f>
        <v/>
      </c>
      <c r="E1512">
        <f>IF(D1512="","",INDEX('KG1-3'!$AD24:$IM24,MATCH(D1512,'KG1-3'!$AD$5:$IM$5,0)))</f>
        <v/>
      </c>
      <c r="F1512">
        <f>IF(D1512="","",COUNTIFS('KG1-3'!$AD24:$IM24,"غياب بدون عذر",'KG1-3'!$AD$7:$IM$7,"✓",'KG1-3'!$AD$5:$IM$5,"&lt;="&amp;D1512))</f>
        <v/>
      </c>
      <c r="G1512">
        <f>G1511+IF(D1512="",0,1)</f>
        <v/>
      </c>
    </row>
    <row r="1513">
      <c r="A1513">
        <f>IF('KG1-3'!$B24="","",'KG1-3'!$B24)</f>
        <v/>
      </c>
      <c r="B1513">
        <f>IF(A1513="","",'KG1-3'!$C24)</f>
        <v/>
      </c>
      <c r="C1513">
        <f>IF(A1513="","",'KG1-3'!$B$2)</f>
        <v/>
      </c>
      <c r="D1513" s="126">
        <f t="array" ref="D1513">IF(A1513="","",IFERROR(SMALL(IF((('KG1-3'!$AD24:$IM24="غياب بدون عذر")+('KG1-3'!$AD24:$IM24="غياب بعذر"))*('KG1-3'!$AD$7:$IM$7="✓"),'KG1-3'!$AD$5:$IM$5),12),""))</f>
        <v/>
      </c>
      <c r="E1513">
        <f>IF(D1513="","",INDEX('KG1-3'!$AD24:$IM24,MATCH(D1513,'KG1-3'!$AD$5:$IM$5,0)))</f>
        <v/>
      </c>
      <c r="F1513">
        <f>IF(D1513="","",COUNTIFS('KG1-3'!$AD24:$IM24,"غياب بدون عذر",'KG1-3'!$AD$7:$IM$7,"✓",'KG1-3'!$AD$5:$IM$5,"&lt;="&amp;D1513))</f>
        <v/>
      </c>
      <c r="G1513">
        <f>G1512+IF(D1513="",0,1)</f>
        <v/>
      </c>
    </row>
    <row r="1514">
      <c r="A1514">
        <f>IF('KG1-3'!$B24="","",'KG1-3'!$B24)</f>
        <v/>
      </c>
      <c r="B1514">
        <f>IF(A1514="","",'KG1-3'!$C24)</f>
        <v/>
      </c>
      <c r="C1514">
        <f>IF(A1514="","",'KG1-3'!$B$2)</f>
        <v/>
      </c>
      <c r="D1514" s="126">
        <f t="array" ref="D1514">IF(A1514="","",IFERROR(SMALL(IF((('KG1-3'!$AD24:$IM24="غياب بدون عذر")+('KG1-3'!$AD24:$IM24="غياب بعذر"))*('KG1-3'!$AD$7:$IM$7="✓"),'KG1-3'!$AD$5:$IM$5),13),""))</f>
        <v/>
      </c>
      <c r="E1514">
        <f>IF(D1514="","",INDEX('KG1-3'!$AD24:$IM24,MATCH(D1514,'KG1-3'!$AD$5:$IM$5,0)))</f>
        <v/>
      </c>
      <c r="F1514">
        <f>IF(D1514="","",COUNTIFS('KG1-3'!$AD24:$IM24,"غياب بدون عذر",'KG1-3'!$AD$7:$IM$7,"✓",'KG1-3'!$AD$5:$IM$5,"&lt;="&amp;D1514))</f>
        <v/>
      </c>
      <c r="G1514">
        <f>G1513+IF(D1514="",0,1)</f>
        <v/>
      </c>
    </row>
    <row r="1515">
      <c r="A1515">
        <f>IF('KG1-3'!$B24="","",'KG1-3'!$B24)</f>
        <v/>
      </c>
      <c r="B1515">
        <f>IF(A1515="","",'KG1-3'!$C24)</f>
        <v/>
      </c>
      <c r="C1515">
        <f>IF(A1515="","",'KG1-3'!$B$2)</f>
        <v/>
      </c>
      <c r="D1515" s="126">
        <f t="array" ref="D1515">IF(A1515="","",IFERROR(SMALL(IF((('KG1-3'!$AD24:$IM24="غياب بدون عذر")+('KG1-3'!$AD24:$IM24="غياب بعذر"))*('KG1-3'!$AD$7:$IM$7="✓"),'KG1-3'!$AD$5:$IM$5),14),""))</f>
        <v/>
      </c>
      <c r="E1515">
        <f>IF(D1515="","",INDEX('KG1-3'!$AD24:$IM24,MATCH(D1515,'KG1-3'!$AD$5:$IM$5,0)))</f>
        <v/>
      </c>
      <c r="F1515">
        <f>IF(D1515="","",COUNTIFS('KG1-3'!$AD24:$IM24,"غياب بدون عذر",'KG1-3'!$AD$7:$IM$7,"✓",'KG1-3'!$AD$5:$IM$5,"&lt;="&amp;D1515))</f>
        <v/>
      </c>
      <c r="G1515">
        <f>G1514+IF(D1515="",0,1)</f>
        <v/>
      </c>
    </row>
    <row r="1516">
      <c r="A1516">
        <f>IF('KG1-3'!$B24="","",'KG1-3'!$B24)</f>
        <v/>
      </c>
      <c r="B1516">
        <f>IF(A1516="","",'KG1-3'!$C24)</f>
        <v/>
      </c>
      <c r="C1516">
        <f>IF(A1516="","",'KG1-3'!$B$2)</f>
        <v/>
      </c>
      <c r="D1516" s="126">
        <f t="array" ref="D1516">IF(A1516="","",IFERROR(SMALL(IF((('KG1-3'!$AD24:$IM24="غياب بدون عذر")+('KG1-3'!$AD24:$IM24="غياب بعذر"))*('KG1-3'!$AD$7:$IM$7="✓"),'KG1-3'!$AD$5:$IM$5),15),""))</f>
        <v/>
      </c>
      <c r="E1516">
        <f>IF(D1516="","",INDEX('KG1-3'!$AD24:$IM24,MATCH(D1516,'KG1-3'!$AD$5:$IM$5,0)))</f>
        <v/>
      </c>
      <c r="F1516">
        <f>IF(D1516="","",COUNTIFS('KG1-3'!$AD24:$IM24,"غياب بدون عذر",'KG1-3'!$AD$7:$IM$7,"✓",'KG1-3'!$AD$5:$IM$5,"&lt;="&amp;D1516))</f>
        <v/>
      </c>
      <c r="G1516">
        <f>G1515+IF(D1516="",0,1)</f>
        <v/>
      </c>
    </row>
    <row r="1517">
      <c r="A1517">
        <f>IF('KG1-3'!$B24="","",'KG1-3'!$B24)</f>
        <v/>
      </c>
      <c r="B1517">
        <f>IF(A1517="","",'KG1-3'!$C24)</f>
        <v/>
      </c>
      <c r="C1517">
        <f>IF(A1517="","",'KG1-3'!$B$2)</f>
        <v/>
      </c>
      <c r="D1517" s="126">
        <f t="array" ref="D1517">IF(A1517="","",IFERROR(SMALL(IF((('KG1-3'!$AD24:$IM24="غياب بدون عذر")+('KG1-3'!$AD24:$IM24="غياب بعذر"))*('KG1-3'!$AD$7:$IM$7="✓"),'KG1-3'!$AD$5:$IM$5),16),""))</f>
        <v/>
      </c>
      <c r="E1517">
        <f>IF(D1517="","",INDEX('KG1-3'!$AD24:$IM24,MATCH(D1517,'KG1-3'!$AD$5:$IM$5,0)))</f>
        <v/>
      </c>
      <c r="F1517">
        <f>IF(D1517="","",COUNTIFS('KG1-3'!$AD24:$IM24,"غياب بدون عذر",'KG1-3'!$AD$7:$IM$7,"✓",'KG1-3'!$AD$5:$IM$5,"&lt;="&amp;D1517))</f>
        <v/>
      </c>
      <c r="G1517">
        <f>G1516+IF(D1517="",0,1)</f>
        <v/>
      </c>
    </row>
    <row r="1518">
      <c r="A1518">
        <f>IF('KG1-3'!$B24="","",'KG1-3'!$B24)</f>
        <v/>
      </c>
      <c r="B1518">
        <f>IF(A1518="","",'KG1-3'!$C24)</f>
        <v/>
      </c>
      <c r="C1518">
        <f>IF(A1518="","",'KG1-3'!$B$2)</f>
        <v/>
      </c>
      <c r="D1518" s="126">
        <f t="array" ref="D1518">IF(A1518="","",IFERROR(SMALL(IF((('KG1-3'!$AD24:$IM24="غياب بدون عذر")+('KG1-3'!$AD24:$IM24="غياب بعذر"))*('KG1-3'!$AD$7:$IM$7="✓"),'KG1-3'!$AD$5:$IM$5),17),""))</f>
        <v/>
      </c>
      <c r="E1518">
        <f>IF(D1518="","",INDEX('KG1-3'!$AD24:$IM24,MATCH(D1518,'KG1-3'!$AD$5:$IM$5,0)))</f>
        <v/>
      </c>
      <c r="F1518">
        <f>IF(D1518="","",COUNTIFS('KG1-3'!$AD24:$IM24,"غياب بدون عذر",'KG1-3'!$AD$7:$IM$7,"✓",'KG1-3'!$AD$5:$IM$5,"&lt;="&amp;D1518))</f>
        <v/>
      </c>
      <c r="G1518">
        <f>G1517+IF(D1518="",0,1)</f>
        <v/>
      </c>
    </row>
    <row r="1519">
      <c r="A1519">
        <f>IF('KG1-3'!$B24="","",'KG1-3'!$B24)</f>
        <v/>
      </c>
      <c r="B1519">
        <f>IF(A1519="","",'KG1-3'!$C24)</f>
        <v/>
      </c>
      <c r="C1519">
        <f>IF(A1519="","",'KG1-3'!$B$2)</f>
        <v/>
      </c>
      <c r="D1519" s="126">
        <f t="array" ref="D1519">IF(A1519="","",IFERROR(SMALL(IF((('KG1-3'!$AD24:$IM24="غياب بدون عذر")+('KG1-3'!$AD24:$IM24="غياب بعذر"))*('KG1-3'!$AD$7:$IM$7="✓"),'KG1-3'!$AD$5:$IM$5),18),""))</f>
        <v/>
      </c>
      <c r="E1519">
        <f>IF(D1519="","",INDEX('KG1-3'!$AD24:$IM24,MATCH(D1519,'KG1-3'!$AD$5:$IM$5,0)))</f>
        <v/>
      </c>
      <c r="F1519">
        <f>IF(D1519="","",COUNTIFS('KG1-3'!$AD24:$IM24,"غياب بدون عذر",'KG1-3'!$AD$7:$IM$7,"✓",'KG1-3'!$AD$5:$IM$5,"&lt;="&amp;D1519))</f>
        <v/>
      </c>
      <c r="G1519">
        <f>G1518+IF(D1519="",0,1)</f>
        <v/>
      </c>
    </row>
    <row r="1520">
      <c r="A1520">
        <f>IF('KG1-3'!$B24="","",'KG1-3'!$B24)</f>
        <v/>
      </c>
      <c r="B1520">
        <f>IF(A1520="","",'KG1-3'!$C24)</f>
        <v/>
      </c>
      <c r="C1520">
        <f>IF(A1520="","",'KG1-3'!$B$2)</f>
        <v/>
      </c>
      <c r="D1520" s="126">
        <f t="array" ref="D1520">IF(A1520="","",IFERROR(SMALL(IF((('KG1-3'!$AD24:$IM24="غياب بدون عذر")+('KG1-3'!$AD24:$IM24="غياب بعذر"))*('KG1-3'!$AD$7:$IM$7="✓"),'KG1-3'!$AD$5:$IM$5),19),""))</f>
        <v/>
      </c>
      <c r="E1520">
        <f>IF(D1520="","",INDEX('KG1-3'!$AD24:$IM24,MATCH(D1520,'KG1-3'!$AD$5:$IM$5,0)))</f>
        <v/>
      </c>
      <c r="F1520">
        <f>IF(D1520="","",COUNTIFS('KG1-3'!$AD24:$IM24,"غياب بدون عذر",'KG1-3'!$AD$7:$IM$7,"✓",'KG1-3'!$AD$5:$IM$5,"&lt;="&amp;D1520))</f>
        <v/>
      </c>
      <c r="G1520">
        <f>G1519+IF(D1520="",0,1)</f>
        <v/>
      </c>
    </row>
    <row r="1521">
      <c r="A1521">
        <f>IF('KG1-3'!$B24="","",'KG1-3'!$B24)</f>
        <v/>
      </c>
      <c r="B1521">
        <f>IF(A1521="","",'KG1-3'!$C24)</f>
        <v/>
      </c>
      <c r="C1521">
        <f>IF(A1521="","",'KG1-3'!$B$2)</f>
        <v/>
      </c>
      <c r="D1521" s="126">
        <f t="array" ref="D1521">IF(A1521="","",IFERROR(SMALL(IF((('KG1-3'!$AD24:$IM24="غياب بدون عذر")+('KG1-3'!$AD24:$IM24="غياب بعذر"))*('KG1-3'!$AD$7:$IM$7="✓"),'KG1-3'!$AD$5:$IM$5),20),""))</f>
        <v/>
      </c>
      <c r="E1521">
        <f>IF(D1521="","",INDEX('KG1-3'!$AD24:$IM24,MATCH(D1521,'KG1-3'!$AD$5:$IM$5,0)))</f>
        <v/>
      </c>
      <c r="F1521">
        <f>IF(D1521="","",COUNTIFS('KG1-3'!$AD24:$IM24,"غياب بدون عذر",'KG1-3'!$AD$7:$IM$7,"✓",'KG1-3'!$AD$5:$IM$5,"&lt;="&amp;D1521))</f>
        <v/>
      </c>
      <c r="G1521">
        <f>G1520+IF(D1521="",0,1)</f>
        <v/>
      </c>
    </row>
    <row r="1522">
      <c r="A1522">
        <f>IF('KG1-3'!$B25="","",'KG1-3'!$B25)</f>
        <v/>
      </c>
      <c r="B1522">
        <f>IF(A1522="","",'KG1-3'!$C25)</f>
        <v/>
      </c>
      <c r="C1522">
        <f>IF(A1522="","",'KG1-3'!$B$2)</f>
        <v/>
      </c>
      <c r="D1522" s="126">
        <f t="array" ref="D1522">IF(A1522="","",IFERROR(SMALL(IF((('KG1-3'!$AD25:$IM25="غياب بدون عذر")+('KG1-3'!$AD25:$IM25="غياب بعذر"))*('KG1-3'!$AD$7:$IM$7="✓"),'KG1-3'!$AD$5:$IM$5),1),""))</f>
        <v/>
      </c>
      <c r="E1522">
        <f>IF(D1522="","",INDEX('KG1-3'!$AD25:$IM25,MATCH(D1522,'KG1-3'!$AD$5:$IM$5,0)))</f>
        <v/>
      </c>
      <c r="F1522">
        <f>IF(D1522="","",COUNTIFS('KG1-3'!$AD25:$IM25,"غياب بدون عذر",'KG1-3'!$AD$7:$IM$7,"✓",'KG1-3'!$AD$5:$IM$5,"&lt;="&amp;D1522))</f>
        <v/>
      </c>
      <c r="G1522">
        <f>G1521+IF(D1522="",0,1)</f>
        <v/>
      </c>
    </row>
    <row r="1523">
      <c r="A1523">
        <f>IF('KG1-3'!$B25="","",'KG1-3'!$B25)</f>
        <v/>
      </c>
      <c r="B1523">
        <f>IF(A1523="","",'KG1-3'!$C25)</f>
        <v/>
      </c>
      <c r="C1523">
        <f>IF(A1523="","",'KG1-3'!$B$2)</f>
        <v/>
      </c>
      <c r="D1523" s="126">
        <f t="array" ref="D1523">IF(A1523="","",IFERROR(SMALL(IF((('KG1-3'!$AD25:$IM25="غياب بدون عذر")+('KG1-3'!$AD25:$IM25="غياب بعذر"))*('KG1-3'!$AD$7:$IM$7="✓"),'KG1-3'!$AD$5:$IM$5),2),""))</f>
        <v/>
      </c>
      <c r="E1523">
        <f>IF(D1523="","",INDEX('KG1-3'!$AD25:$IM25,MATCH(D1523,'KG1-3'!$AD$5:$IM$5,0)))</f>
        <v/>
      </c>
      <c r="F1523">
        <f>IF(D1523="","",COUNTIFS('KG1-3'!$AD25:$IM25,"غياب بدون عذر",'KG1-3'!$AD$7:$IM$7,"✓",'KG1-3'!$AD$5:$IM$5,"&lt;="&amp;D1523))</f>
        <v/>
      </c>
      <c r="G1523">
        <f>G1522+IF(D1523="",0,1)</f>
        <v/>
      </c>
    </row>
    <row r="1524">
      <c r="A1524">
        <f>IF('KG1-3'!$B25="","",'KG1-3'!$B25)</f>
        <v/>
      </c>
      <c r="B1524">
        <f>IF(A1524="","",'KG1-3'!$C25)</f>
        <v/>
      </c>
      <c r="C1524">
        <f>IF(A1524="","",'KG1-3'!$B$2)</f>
        <v/>
      </c>
      <c r="D1524" s="126">
        <f t="array" ref="D1524">IF(A1524="","",IFERROR(SMALL(IF((('KG1-3'!$AD25:$IM25="غياب بدون عذر")+('KG1-3'!$AD25:$IM25="غياب بعذر"))*('KG1-3'!$AD$7:$IM$7="✓"),'KG1-3'!$AD$5:$IM$5),3),""))</f>
        <v/>
      </c>
      <c r="E1524">
        <f>IF(D1524="","",INDEX('KG1-3'!$AD25:$IM25,MATCH(D1524,'KG1-3'!$AD$5:$IM$5,0)))</f>
        <v/>
      </c>
      <c r="F1524">
        <f>IF(D1524="","",COUNTIFS('KG1-3'!$AD25:$IM25,"غياب بدون عذر",'KG1-3'!$AD$7:$IM$7,"✓",'KG1-3'!$AD$5:$IM$5,"&lt;="&amp;D1524))</f>
        <v/>
      </c>
      <c r="G1524">
        <f>G1523+IF(D1524="",0,1)</f>
        <v/>
      </c>
    </row>
    <row r="1525">
      <c r="A1525">
        <f>IF('KG1-3'!$B25="","",'KG1-3'!$B25)</f>
        <v/>
      </c>
      <c r="B1525">
        <f>IF(A1525="","",'KG1-3'!$C25)</f>
        <v/>
      </c>
      <c r="C1525">
        <f>IF(A1525="","",'KG1-3'!$B$2)</f>
        <v/>
      </c>
      <c r="D1525" s="126">
        <f t="array" ref="D1525">IF(A1525="","",IFERROR(SMALL(IF((('KG1-3'!$AD25:$IM25="غياب بدون عذر")+('KG1-3'!$AD25:$IM25="غياب بعذر"))*('KG1-3'!$AD$7:$IM$7="✓"),'KG1-3'!$AD$5:$IM$5),4),""))</f>
        <v/>
      </c>
      <c r="E1525">
        <f>IF(D1525="","",INDEX('KG1-3'!$AD25:$IM25,MATCH(D1525,'KG1-3'!$AD$5:$IM$5,0)))</f>
        <v/>
      </c>
      <c r="F1525">
        <f>IF(D1525="","",COUNTIFS('KG1-3'!$AD25:$IM25,"غياب بدون عذر",'KG1-3'!$AD$7:$IM$7,"✓",'KG1-3'!$AD$5:$IM$5,"&lt;="&amp;D1525))</f>
        <v/>
      </c>
      <c r="G1525">
        <f>G1524+IF(D1525="",0,1)</f>
        <v/>
      </c>
    </row>
    <row r="1526">
      <c r="A1526">
        <f>IF('KG1-3'!$B25="","",'KG1-3'!$B25)</f>
        <v/>
      </c>
      <c r="B1526">
        <f>IF(A1526="","",'KG1-3'!$C25)</f>
        <v/>
      </c>
      <c r="C1526">
        <f>IF(A1526="","",'KG1-3'!$B$2)</f>
        <v/>
      </c>
      <c r="D1526" s="126">
        <f t="array" ref="D1526">IF(A1526="","",IFERROR(SMALL(IF((('KG1-3'!$AD25:$IM25="غياب بدون عذر")+('KG1-3'!$AD25:$IM25="غياب بعذر"))*('KG1-3'!$AD$7:$IM$7="✓"),'KG1-3'!$AD$5:$IM$5),5),""))</f>
        <v/>
      </c>
      <c r="E1526">
        <f>IF(D1526="","",INDEX('KG1-3'!$AD25:$IM25,MATCH(D1526,'KG1-3'!$AD$5:$IM$5,0)))</f>
        <v/>
      </c>
      <c r="F1526">
        <f>IF(D1526="","",COUNTIFS('KG1-3'!$AD25:$IM25,"غياب بدون عذر",'KG1-3'!$AD$7:$IM$7,"✓",'KG1-3'!$AD$5:$IM$5,"&lt;="&amp;D1526))</f>
        <v/>
      </c>
      <c r="G1526">
        <f>G1525+IF(D1526="",0,1)</f>
        <v/>
      </c>
    </row>
    <row r="1527">
      <c r="A1527">
        <f>IF('KG1-3'!$B25="","",'KG1-3'!$B25)</f>
        <v/>
      </c>
      <c r="B1527">
        <f>IF(A1527="","",'KG1-3'!$C25)</f>
        <v/>
      </c>
      <c r="C1527">
        <f>IF(A1527="","",'KG1-3'!$B$2)</f>
        <v/>
      </c>
      <c r="D1527" s="126">
        <f t="array" ref="D1527">IF(A1527="","",IFERROR(SMALL(IF((('KG1-3'!$AD25:$IM25="غياب بدون عذر")+('KG1-3'!$AD25:$IM25="غياب بعذر"))*('KG1-3'!$AD$7:$IM$7="✓"),'KG1-3'!$AD$5:$IM$5),6),""))</f>
        <v/>
      </c>
      <c r="E1527">
        <f>IF(D1527="","",INDEX('KG1-3'!$AD25:$IM25,MATCH(D1527,'KG1-3'!$AD$5:$IM$5,0)))</f>
        <v/>
      </c>
      <c r="F1527">
        <f>IF(D1527="","",COUNTIFS('KG1-3'!$AD25:$IM25,"غياب بدون عذر",'KG1-3'!$AD$7:$IM$7,"✓",'KG1-3'!$AD$5:$IM$5,"&lt;="&amp;D1527))</f>
        <v/>
      </c>
      <c r="G1527">
        <f>G1526+IF(D1527="",0,1)</f>
        <v/>
      </c>
    </row>
    <row r="1528">
      <c r="A1528">
        <f>IF('KG1-3'!$B25="","",'KG1-3'!$B25)</f>
        <v/>
      </c>
      <c r="B1528">
        <f>IF(A1528="","",'KG1-3'!$C25)</f>
        <v/>
      </c>
      <c r="C1528">
        <f>IF(A1528="","",'KG1-3'!$B$2)</f>
        <v/>
      </c>
      <c r="D1528" s="126">
        <f t="array" ref="D1528">IF(A1528="","",IFERROR(SMALL(IF((('KG1-3'!$AD25:$IM25="غياب بدون عذر")+('KG1-3'!$AD25:$IM25="غياب بعذر"))*('KG1-3'!$AD$7:$IM$7="✓"),'KG1-3'!$AD$5:$IM$5),7),""))</f>
        <v/>
      </c>
      <c r="E1528">
        <f>IF(D1528="","",INDEX('KG1-3'!$AD25:$IM25,MATCH(D1528,'KG1-3'!$AD$5:$IM$5,0)))</f>
        <v/>
      </c>
      <c r="F1528">
        <f>IF(D1528="","",COUNTIFS('KG1-3'!$AD25:$IM25,"غياب بدون عذر",'KG1-3'!$AD$7:$IM$7,"✓",'KG1-3'!$AD$5:$IM$5,"&lt;="&amp;D1528))</f>
        <v/>
      </c>
      <c r="G1528">
        <f>G1527+IF(D1528="",0,1)</f>
        <v/>
      </c>
    </row>
    <row r="1529">
      <c r="A1529">
        <f>IF('KG1-3'!$B25="","",'KG1-3'!$B25)</f>
        <v/>
      </c>
      <c r="B1529">
        <f>IF(A1529="","",'KG1-3'!$C25)</f>
        <v/>
      </c>
      <c r="C1529">
        <f>IF(A1529="","",'KG1-3'!$B$2)</f>
        <v/>
      </c>
      <c r="D1529" s="126">
        <f t="array" ref="D1529">IF(A1529="","",IFERROR(SMALL(IF((('KG1-3'!$AD25:$IM25="غياب بدون عذر")+('KG1-3'!$AD25:$IM25="غياب بعذر"))*('KG1-3'!$AD$7:$IM$7="✓"),'KG1-3'!$AD$5:$IM$5),8),""))</f>
        <v/>
      </c>
      <c r="E1529">
        <f>IF(D1529="","",INDEX('KG1-3'!$AD25:$IM25,MATCH(D1529,'KG1-3'!$AD$5:$IM$5,0)))</f>
        <v/>
      </c>
      <c r="F1529">
        <f>IF(D1529="","",COUNTIFS('KG1-3'!$AD25:$IM25,"غياب بدون عذر",'KG1-3'!$AD$7:$IM$7,"✓",'KG1-3'!$AD$5:$IM$5,"&lt;="&amp;D1529))</f>
        <v/>
      </c>
      <c r="G1529">
        <f>G1528+IF(D1529="",0,1)</f>
        <v/>
      </c>
    </row>
    <row r="1530">
      <c r="A1530">
        <f>IF('KG1-3'!$B25="","",'KG1-3'!$B25)</f>
        <v/>
      </c>
      <c r="B1530">
        <f>IF(A1530="","",'KG1-3'!$C25)</f>
        <v/>
      </c>
      <c r="C1530">
        <f>IF(A1530="","",'KG1-3'!$B$2)</f>
        <v/>
      </c>
      <c r="D1530" s="126">
        <f t="array" ref="D1530">IF(A1530="","",IFERROR(SMALL(IF((('KG1-3'!$AD25:$IM25="غياب بدون عذر")+('KG1-3'!$AD25:$IM25="غياب بعذر"))*('KG1-3'!$AD$7:$IM$7="✓"),'KG1-3'!$AD$5:$IM$5),9),""))</f>
        <v/>
      </c>
      <c r="E1530">
        <f>IF(D1530="","",INDEX('KG1-3'!$AD25:$IM25,MATCH(D1530,'KG1-3'!$AD$5:$IM$5,0)))</f>
        <v/>
      </c>
      <c r="F1530">
        <f>IF(D1530="","",COUNTIFS('KG1-3'!$AD25:$IM25,"غياب بدون عذر",'KG1-3'!$AD$7:$IM$7,"✓",'KG1-3'!$AD$5:$IM$5,"&lt;="&amp;D1530))</f>
        <v/>
      </c>
      <c r="G1530">
        <f>G1529+IF(D1530="",0,1)</f>
        <v/>
      </c>
    </row>
    <row r="1531">
      <c r="A1531">
        <f>IF('KG1-3'!$B25="","",'KG1-3'!$B25)</f>
        <v/>
      </c>
      <c r="B1531">
        <f>IF(A1531="","",'KG1-3'!$C25)</f>
        <v/>
      </c>
      <c r="C1531">
        <f>IF(A1531="","",'KG1-3'!$B$2)</f>
        <v/>
      </c>
      <c r="D1531" s="126">
        <f t="array" ref="D1531">IF(A1531="","",IFERROR(SMALL(IF((('KG1-3'!$AD25:$IM25="غياب بدون عذر")+('KG1-3'!$AD25:$IM25="غياب بعذر"))*('KG1-3'!$AD$7:$IM$7="✓"),'KG1-3'!$AD$5:$IM$5),10),""))</f>
        <v/>
      </c>
      <c r="E1531">
        <f>IF(D1531="","",INDEX('KG1-3'!$AD25:$IM25,MATCH(D1531,'KG1-3'!$AD$5:$IM$5,0)))</f>
        <v/>
      </c>
      <c r="F1531">
        <f>IF(D1531="","",COUNTIFS('KG1-3'!$AD25:$IM25,"غياب بدون عذر",'KG1-3'!$AD$7:$IM$7,"✓",'KG1-3'!$AD$5:$IM$5,"&lt;="&amp;D1531))</f>
        <v/>
      </c>
      <c r="G1531">
        <f>G1530+IF(D1531="",0,1)</f>
        <v/>
      </c>
    </row>
    <row r="1532">
      <c r="A1532">
        <f>IF('KG1-3'!$B25="","",'KG1-3'!$B25)</f>
        <v/>
      </c>
      <c r="B1532">
        <f>IF(A1532="","",'KG1-3'!$C25)</f>
        <v/>
      </c>
      <c r="C1532">
        <f>IF(A1532="","",'KG1-3'!$B$2)</f>
        <v/>
      </c>
      <c r="D1532" s="126">
        <f t="array" ref="D1532">IF(A1532="","",IFERROR(SMALL(IF((('KG1-3'!$AD25:$IM25="غياب بدون عذر")+('KG1-3'!$AD25:$IM25="غياب بعذر"))*('KG1-3'!$AD$7:$IM$7="✓"),'KG1-3'!$AD$5:$IM$5),11),""))</f>
        <v/>
      </c>
      <c r="E1532">
        <f>IF(D1532="","",INDEX('KG1-3'!$AD25:$IM25,MATCH(D1532,'KG1-3'!$AD$5:$IM$5,0)))</f>
        <v/>
      </c>
      <c r="F1532">
        <f>IF(D1532="","",COUNTIFS('KG1-3'!$AD25:$IM25,"غياب بدون عذر",'KG1-3'!$AD$7:$IM$7,"✓",'KG1-3'!$AD$5:$IM$5,"&lt;="&amp;D1532))</f>
        <v/>
      </c>
      <c r="G1532">
        <f>G1531+IF(D1532="",0,1)</f>
        <v/>
      </c>
    </row>
    <row r="1533">
      <c r="A1533">
        <f>IF('KG1-3'!$B25="","",'KG1-3'!$B25)</f>
        <v/>
      </c>
      <c r="B1533">
        <f>IF(A1533="","",'KG1-3'!$C25)</f>
        <v/>
      </c>
      <c r="C1533">
        <f>IF(A1533="","",'KG1-3'!$B$2)</f>
        <v/>
      </c>
      <c r="D1533" s="126">
        <f t="array" ref="D1533">IF(A1533="","",IFERROR(SMALL(IF((('KG1-3'!$AD25:$IM25="غياب بدون عذر")+('KG1-3'!$AD25:$IM25="غياب بعذر"))*('KG1-3'!$AD$7:$IM$7="✓"),'KG1-3'!$AD$5:$IM$5),12),""))</f>
        <v/>
      </c>
      <c r="E1533">
        <f>IF(D1533="","",INDEX('KG1-3'!$AD25:$IM25,MATCH(D1533,'KG1-3'!$AD$5:$IM$5,0)))</f>
        <v/>
      </c>
      <c r="F1533">
        <f>IF(D1533="","",COUNTIFS('KG1-3'!$AD25:$IM25,"غياب بدون عذر",'KG1-3'!$AD$7:$IM$7,"✓",'KG1-3'!$AD$5:$IM$5,"&lt;="&amp;D1533))</f>
        <v/>
      </c>
      <c r="G1533">
        <f>G1532+IF(D1533="",0,1)</f>
        <v/>
      </c>
    </row>
    <row r="1534">
      <c r="A1534">
        <f>IF('KG1-3'!$B25="","",'KG1-3'!$B25)</f>
        <v/>
      </c>
      <c r="B1534">
        <f>IF(A1534="","",'KG1-3'!$C25)</f>
        <v/>
      </c>
      <c r="C1534">
        <f>IF(A1534="","",'KG1-3'!$B$2)</f>
        <v/>
      </c>
      <c r="D1534" s="126">
        <f t="array" ref="D1534">IF(A1534="","",IFERROR(SMALL(IF((('KG1-3'!$AD25:$IM25="غياب بدون عذر")+('KG1-3'!$AD25:$IM25="غياب بعذر"))*('KG1-3'!$AD$7:$IM$7="✓"),'KG1-3'!$AD$5:$IM$5),13),""))</f>
        <v/>
      </c>
      <c r="E1534">
        <f>IF(D1534="","",INDEX('KG1-3'!$AD25:$IM25,MATCH(D1534,'KG1-3'!$AD$5:$IM$5,0)))</f>
        <v/>
      </c>
      <c r="F1534">
        <f>IF(D1534="","",COUNTIFS('KG1-3'!$AD25:$IM25,"غياب بدون عذر",'KG1-3'!$AD$7:$IM$7,"✓",'KG1-3'!$AD$5:$IM$5,"&lt;="&amp;D1534))</f>
        <v/>
      </c>
      <c r="G1534">
        <f>G1533+IF(D1534="",0,1)</f>
        <v/>
      </c>
    </row>
    <row r="1535">
      <c r="A1535">
        <f>IF('KG1-3'!$B25="","",'KG1-3'!$B25)</f>
        <v/>
      </c>
      <c r="B1535">
        <f>IF(A1535="","",'KG1-3'!$C25)</f>
        <v/>
      </c>
      <c r="C1535">
        <f>IF(A1535="","",'KG1-3'!$B$2)</f>
        <v/>
      </c>
      <c r="D1535" s="126">
        <f t="array" ref="D1535">IF(A1535="","",IFERROR(SMALL(IF((('KG1-3'!$AD25:$IM25="غياب بدون عذر")+('KG1-3'!$AD25:$IM25="غياب بعذر"))*('KG1-3'!$AD$7:$IM$7="✓"),'KG1-3'!$AD$5:$IM$5),14),""))</f>
        <v/>
      </c>
      <c r="E1535">
        <f>IF(D1535="","",INDEX('KG1-3'!$AD25:$IM25,MATCH(D1535,'KG1-3'!$AD$5:$IM$5,0)))</f>
        <v/>
      </c>
      <c r="F1535">
        <f>IF(D1535="","",COUNTIFS('KG1-3'!$AD25:$IM25,"غياب بدون عذر",'KG1-3'!$AD$7:$IM$7,"✓",'KG1-3'!$AD$5:$IM$5,"&lt;="&amp;D1535))</f>
        <v/>
      </c>
      <c r="G1535">
        <f>G1534+IF(D1535="",0,1)</f>
        <v/>
      </c>
    </row>
    <row r="1536">
      <c r="A1536">
        <f>IF('KG1-3'!$B25="","",'KG1-3'!$B25)</f>
        <v/>
      </c>
      <c r="B1536">
        <f>IF(A1536="","",'KG1-3'!$C25)</f>
        <v/>
      </c>
      <c r="C1536">
        <f>IF(A1536="","",'KG1-3'!$B$2)</f>
        <v/>
      </c>
      <c r="D1536" s="126">
        <f t="array" ref="D1536">IF(A1536="","",IFERROR(SMALL(IF((('KG1-3'!$AD25:$IM25="غياب بدون عذر")+('KG1-3'!$AD25:$IM25="غياب بعذر"))*('KG1-3'!$AD$7:$IM$7="✓"),'KG1-3'!$AD$5:$IM$5),15),""))</f>
        <v/>
      </c>
      <c r="E1536">
        <f>IF(D1536="","",INDEX('KG1-3'!$AD25:$IM25,MATCH(D1536,'KG1-3'!$AD$5:$IM$5,0)))</f>
        <v/>
      </c>
      <c r="F1536">
        <f>IF(D1536="","",COUNTIFS('KG1-3'!$AD25:$IM25,"غياب بدون عذر",'KG1-3'!$AD$7:$IM$7,"✓",'KG1-3'!$AD$5:$IM$5,"&lt;="&amp;D1536))</f>
        <v/>
      </c>
      <c r="G1536">
        <f>G1535+IF(D1536="",0,1)</f>
        <v/>
      </c>
    </row>
    <row r="1537">
      <c r="A1537">
        <f>IF('KG1-3'!$B25="","",'KG1-3'!$B25)</f>
        <v/>
      </c>
      <c r="B1537">
        <f>IF(A1537="","",'KG1-3'!$C25)</f>
        <v/>
      </c>
      <c r="C1537">
        <f>IF(A1537="","",'KG1-3'!$B$2)</f>
        <v/>
      </c>
      <c r="D1537" s="126">
        <f t="array" ref="D1537">IF(A1537="","",IFERROR(SMALL(IF((('KG1-3'!$AD25:$IM25="غياب بدون عذر")+('KG1-3'!$AD25:$IM25="غياب بعذر"))*('KG1-3'!$AD$7:$IM$7="✓"),'KG1-3'!$AD$5:$IM$5),16),""))</f>
        <v/>
      </c>
      <c r="E1537">
        <f>IF(D1537="","",INDEX('KG1-3'!$AD25:$IM25,MATCH(D1537,'KG1-3'!$AD$5:$IM$5,0)))</f>
        <v/>
      </c>
      <c r="F1537">
        <f>IF(D1537="","",COUNTIFS('KG1-3'!$AD25:$IM25,"غياب بدون عذر",'KG1-3'!$AD$7:$IM$7,"✓",'KG1-3'!$AD$5:$IM$5,"&lt;="&amp;D1537))</f>
        <v/>
      </c>
      <c r="G1537">
        <f>G1536+IF(D1537="",0,1)</f>
        <v/>
      </c>
    </row>
    <row r="1538">
      <c r="A1538">
        <f>IF('KG1-3'!$B25="","",'KG1-3'!$B25)</f>
        <v/>
      </c>
      <c r="B1538">
        <f>IF(A1538="","",'KG1-3'!$C25)</f>
        <v/>
      </c>
      <c r="C1538">
        <f>IF(A1538="","",'KG1-3'!$B$2)</f>
        <v/>
      </c>
      <c r="D1538" s="126">
        <f t="array" ref="D1538">IF(A1538="","",IFERROR(SMALL(IF((('KG1-3'!$AD25:$IM25="غياب بدون عذر")+('KG1-3'!$AD25:$IM25="غياب بعذر"))*('KG1-3'!$AD$7:$IM$7="✓"),'KG1-3'!$AD$5:$IM$5),17),""))</f>
        <v/>
      </c>
      <c r="E1538">
        <f>IF(D1538="","",INDEX('KG1-3'!$AD25:$IM25,MATCH(D1538,'KG1-3'!$AD$5:$IM$5,0)))</f>
        <v/>
      </c>
      <c r="F1538">
        <f>IF(D1538="","",COUNTIFS('KG1-3'!$AD25:$IM25,"غياب بدون عذر",'KG1-3'!$AD$7:$IM$7,"✓",'KG1-3'!$AD$5:$IM$5,"&lt;="&amp;D1538))</f>
        <v/>
      </c>
      <c r="G1538">
        <f>G1537+IF(D1538="",0,1)</f>
        <v/>
      </c>
    </row>
    <row r="1539">
      <c r="A1539">
        <f>IF('KG1-3'!$B25="","",'KG1-3'!$B25)</f>
        <v/>
      </c>
      <c r="B1539">
        <f>IF(A1539="","",'KG1-3'!$C25)</f>
        <v/>
      </c>
      <c r="C1539">
        <f>IF(A1539="","",'KG1-3'!$B$2)</f>
        <v/>
      </c>
      <c r="D1539" s="126">
        <f t="array" ref="D1539">IF(A1539="","",IFERROR(SMALL(IF((('KG1-3'!$AD25:$IM25="غياب بدون عذر")+('KG1-3'!$AD25:$IM25="غياب بعذر"))*('KG1-3'!$AD$7:$IM$7="✓"),'KG1-3'!$AD$5:$IM$5),18),""))</f>
        <v/>
      </c>
      <c r="E1539">
        <f>IF(D1539="","",INDEX('KG1-3'!$AD25:$IM25,MATCH(D1539,'KG1-3'!$AD$5:$IM$5,0)))</f>
        <v/>
      </c>
      <c r="F1539">
        <f>IF(D1539="","",COUNTIFS('KG1-3'!$AD25:$IM25,"غياب بدون عذر",'KG1-3'!$AD$7:$IM$7,"✓",'KG1-3'!$AD$5:$IM$5,"&lt;="&amp;D1539))</f>
        <v/>
      </c>
      <c r="G1539">
        <f>G1538+IF(D1539="",0,1)</f>
        <v/>
      </c>
    </row>
    <row r="1540">
      <c r="A1540">
        <f>IF('KG1-3'!$B25="","",'KG1-3'!$B25)</f>
        <v/>
      </c>
      <c r="B1540">
        <f>IF(A1540="","",'KG1-3'!$C25)</f>
        <v/>
      </c>
      <c r="C1540">
        <f>IF(A1540="","",'KG1-3'!$B$2)</f>
        <v/>
      </c>
      <c r="D1540" s="126">
        <f t="array" ref="D1540">IF(A1540="","",IFERROR(SMALL(IF((('KG1-3'!$AD25:$IM25="غياب بدون عذر")+('KG1-3'!$AD25:$IM25="غياب بعذر"))*('KG1-3'!$AD$7:$IM$7="✓"),'KG1-3'!$AD$5:$IM$5),19),""))</f>
        <v/>
      </c>
      <c r="E1540">
        <f>IF(D1540="","",INDEX('KG1-3'!$AD25:$IM25,MATCH(D1540,'KG1-3'!$AD$5:$IM$5,0)))</f>
        <v/>
      </c>
      <c r="F1540">
        <f>IF(D1540="","",COUNTIFS('KG1-3'!$AD25:$IM25,"غياب بدون عذر",'KG1-3'!$AD$7:$IM$7,"✓",'KG1-3'!$AD$5:$IM$5,"&lt;="&amp;D1540))</f>
        <v/>
      </c>
      <c r="G1540">
        <f>G1539+IF(D1540="",0,1)</f>
        <v/>
      </c>
    </row>
    <row r="1541">
      <c r="A1541">
        <f>IF('KG1-3'!$B25="","",'KG1-3'!$B25)</f>
        <v/>
      </c>
      <c r="B1541">
        <f>IF(A1541="","",'KG1-3'!$C25)</f>
        <v/>
      </c>
      <c r="C1541">
        <f>IF(A1541="","",'KG1-3'!$B$2)</f>
        <v/>
      </c>
      <c r="D1541" s="126">
        <f t="array" ref="D1541">IF(A1541="","",IFERROR(SMALL(IF((('KG1-3'!$AD25:$IM25="غياب بدون عذر")+('KG1-3'!$AD25:$IM25="غياب بعذر"))*('KG1-3'!$AD$7:$IM$7="✓"),'KG1-3'!$AD$5:$IM$5),20),""))</f>
        <v/>
      </c>
      <c r="E1541">
        <f>IF(D1541="","",INDEX('KG1-3'!$AD25:$IM25,MATCH(D1541,'KG1-3'!$AD$5:$IM$5,0)))</f>
        <v/>
      </c>
      <c r="F1541">
        <f>IF(D1541="","",COUNTIFS('KG1-3'!$AD25:$IM25,"غياب بدون عذر",'KG1-3'!$AD$7:$IM$7,"✓",'KG1-3'!$AD$5:$IM$5,"&lt;="&amp;D1541))</f>
        <v/>
      </c>
      <c r="G1541">
        <f>G1540+IF(D1541="",0,1)</f>
        <v/>
      </c>
    </row>
    <row r="1542">
      <c r="A1542">
        <f>IF('KG1-3'!$B26="","",'KG1-3'!$B26)</f>
        <v/>
      </c>
      <c r="B1542">
        <f>IF(A1542="","",'KG1-3'!$C26)</f>
        <v/>
      </c>
      <c r="C1542">
        <f>IF(A1542="","",'KG1-3'!$B$2)</f>
        <v/>
      </c>
      <c r="D1542" s="126">
        <f t="array" ref="D1542">IF(A1542="","",IFERROR(SMALL(IF((('KG1-3'!$AD26:$IM26="غياب بدون عذر")+('KG1-3'!$AD26:$IM26="غياب بعذر"))*('KG1-3'!$AD$7:$IM$7="✓"),'KG1-3'!$AD$5:$IM$5),1),""))</f>
        <v/>
      </c>
      <c r="E1542">
        <f>IF(D1542="","",INDEX('KG1-3'!$AD26:$IM26,MATCH(D1542,'KG1-3'!$AD$5:$IM$5,0)))</f>
        <v/>
      </c>
      <c r="F1542">
        <f>IF(D1542="","",COUNTIFS('KG1-3'!$AD26:$IM26,"غياب بدون عذر",'KG1-3'!$AD$7:$IM$7,"✓",'KG1-3'!$AD$5:$IM$5,"&lt;="&amp;D1542))</f>
        <v/>
      </c>
      <c r="G1542">
        <f>G1541+IF(D1542="",0,1)</f>
        <v/>
      </c>
    </row>
    <row r="1543">
      <c r="A1543">
        <f>IF('KG1-3'!$B26="","",'KG1-3'!$B26)</f>
        <v/>
      </c>
      <c r="B1543">
        <f>IF(A1543="","",'KG1-3'!$C26)</f>
        <v/>
      </c>
      <c r="C1543">
        <f>IF(A1543="","",'KG1-3'!$B$2)</f>
        <v/>
      </c>
      <c r="D1543" s="126">
        <f t="array" ref="D1543">IF(A1543="","",IFERROR(SMALL(IF((('KG1-3'!$AD26:$IM26="غياب بدون عذر")+('KG1-3'!$AD26:$IM26="غياب بعذر"))*('KG1-3'!$AD$7:$IM$7="✓"),'KG1-3'!$AD$5:$IM$5),2),""))</f>
        <v/>
      </c>
      <c r="E1543">
        <f>IF(D1543="","",INDEX('KG1-3'!$AD26:$IM26,MATCH(D1543,'KG1-3'!$AD$5:$IM$5,0)))</f>
        <v/>
      </c>
      <c r="F1543">
        <f>IF(D1543="","",COUNTIFS('KG1-3'!$AD26:$IM26,"غياب بدون عذر",'KG1-3'!$AD$7:$IM$7,"✓",'KG1-3'!$AD$5:$IM$5,"&lt;="&amp;D1543))</f>
        <v/>
      </c>
      <c r="G1543">
        <f>G1542+IF(D1543="",0,1)</f>
        <v/>
      </c>
    </row>
    <row r="1544">
      <c r="A1544">
        <f>IF('KG1-3'!$B26="","",'KG1-3'!$B26)</f>
        <v/>
      </c>
      <c r="B1544">
        <f>IF(A1544="","",'KG1-3'!$C26)</f>
        <v/>
      </c>
      <c r="C1544">
        <f>IF(A1544="","",'KG1-3'!$B$2)</f>
        <v/>
      </c>
      <c r="D1544" s="126">
        <f t="array" ref="D1544">IF(A1544="","",IFERROR(SMALL(IF((('KG1-3'!$AD26:$IM26="غياب بدون عذر")+('KG1-3'!$AD26:$IM26="غياب بعذر"))*('KG1-3'!$AD$7:$IM$7="✓"),'KG1-3'!$AD$5:$IM$5),3),""))</f>
        <v/>
      </c>
      <c r="E1544">
        <f>IF(D1544="","",INDEX('KG1-3'!$AD26:$IM26,MATCH(D1544,'KG1-3'!$AD$5:$IM$5,0)))</f>
        <v/>
      </c>
      <c r="F1544">
        <f>IF(D1544="","",COUNTIFS('KG1-3'!$AD26:$IM26,"غياب بدون عذر",'KG1-3'!$AD$7:$IM$7,"✓",'KG1-3'!$AD$5:$IM$5,"&lt;="&amp;D1544))</f>
        <v/>
      </c>
      <c r="G1544">
        <f>G1543+IF(D1544="",0,1)</f>
        <v/>
      </c>
    </row>
    <row r="1545">
      <c r="A1545">
        <f>IF('KG1-3'!$B26="","",'KG1-3'!$B26)</f>
        <v/>
      </c>
      <c r="B1545">
        <f>IF(A1545="","",'KG1-3'!$C26)</f>
        <v/>
      </c>
      <c r="C1545">
        <f>IF(A1545="","",'KG1-3'!$B$2)</f>
        <v/>
      </c>
      <c r="D1545" s="126">
        <f t="array" ref="D1545">IF(A1545="","",IFERROR(SMALL(IF((('KG1-3'!$AD26:$IM26="غياب بدون عذر")+('KG1-3'!$AD26:$IM26="غياب بعذر"))*('KG1-3'!$AD$7:$IM$7="✓"),'KG1-3'!$AD$5:$IM$5),4),""))</f>
        <v/>
      </c>
      <c r="E1545">
        <f>IF(D1545="","",INDEX('KG1-3'!$AD26:$IM26,MATCH(D1545,'KG1-3'!$AD$5:$IM$5,0)))</f>
        <v/>
      </c>
      <c r="F1545">
        <f>IF(D1545="","",COUNTIFS('KG1-3'!$AD26:$IM26,"غياب بدون عذر",'KG1-3'!$AD$7:$IM$7,"✓",'KG1-3'!$AD$5:$IM$5,"&lt;="&amp;D1545))</f>
        <v/>
      </c>
      <c r="G1545">
        <f>G1544+IF(D1545="",0,1)</f>
        <v/>
      </c>
    </row>
    <row r="1546">
      <c r="A1546">
        <f>IF('KG1-3'!$B26="","",'KG1-3'!$B26)</f>
        <v/>
      </c>
      <c r="B1546">
        <f>IF(A1546="","",'KG1-3'!$C26)</f>
        <v/>
      </c>
      <c r="C1546">
        <f>IF(A1546="","",'KG1-3'!$B$2)</f>
        <v/>
      </c>
      <c r="D1546" s="126">
        <f t="array" ref="D1546">IF(A1546="","",IFERROR(SMALL(IF((('KG1-3'!$AD26:$IM26="غياب بدون عذر")+('KG1-3'!$AD26:$IM26="غياب بعذر"))*('KG1-3'!$AD$7:$IM$7="✓"),'KG1-3'!$AD$5:$IM$5),5),""))</f>
        <v/>
      </c>
      <c r="E1546">
        <f>IF(D1546="","",INDEX('KG1-3'!$AD26:$IM26,MATCH(D1546,'KG1-3'!$AD$5:$IM$5,0)))</f>
        <v/>
      </c>
      <c r="F1546">
        <f>IF(D1546="","",COUNTIFS('KG1-3'!$AD26:$IM26,"غياب بدون عذر",'KG1-3'!$AD$7:$IM$7,"✓",'KG1-3'!$AD$5:$IM$5,"&lt;="&amp;D1546))</f>
        <v/>
      </c>
      <c r="G1546">
        <f>G1545+IF(D1546="",0,1)</f>
        <v/>
      </c>
    </row>
    <row r="1547">
      <c r="A1547">
        <f>IF('KG1-3'!$B26="","",'KG1-3'!$B26)</f>
        <v/>
      </c>
      <c r="B1547">
        <f>IF(A1547="","",'KG1-3'!$C26)</f>
        <v/>
      </c>
      <c r="C1547">
        <f>IF(A1547="","",'KG1-3'!$B$2)</f>
        <v/>
      </c>
      <c r="D1547" s="126">
        <f t="array" ref="D1547">IF(A1547="","",IFERROR(SMALL(IF((('KG1-3'!$AD26:$IM26="غياب بدون عذر")+('KG1-3'!$AD26:$IM26="غياب بعذر"))*('KG1-3'!$AD$7:$IM$7="✓"),'KG1-3'!$AD$5:$IM$5),6),""))</f>
        <v/>
      </c>
      <c r="E1547">
        <f>IF(D1547="","",INDEX('KG1-3'!$AD26:$IM26,MATCH(D1547,'KG1-3'!$AD$5:$IM$5,0)))</f>
        <v/>
      </c>
      <c r="F1547">
        <f>IF(D1547="","",COUNTIFS('KG1-3'!$AD26:$IM26,"غياب بدون عذر",'KG1-3'!$AD$7:$IM$7,"✓",'KG1-3'!$AD$5:$IM$5,"&lt;="&amp;D1547))</f>
        <v/>
      </c>
      <c r="G1547">
        <f>G1546+IF(D1547="",0,1)</f>
        <v/>
      </c>
    </row>
    <row r="1548">
      <c r="A1548">
        <f>IF('KG1-3'!$B26="","",'KG1-3'!$B26)</f>
        <v/>
      </c>
      <c r="B1548">
        <f>IF(A1548="","",'KG1-3'!$C26)</f>
        <v/>
      </c>
      <c r="C1548">
        <f>IF(A1548="","",'KG1-3'!$B$2)</f>
        <v/>
      </c>
      <c r="D1548" s="126">
        <f t="array" ref="D1548">IF(A1548="","",IFERROR(SMALL(IF((('KG1-3'!$AD26:$IM26="غياب بدون عذر")+('KG1-3'!$AD26:$IM26="غياب بعذر"))*('KG1-3'!$AD$7:$IM$7="✓"),'KG1-3'!$AD$5:$IM$5),7),""))</f>
        <v/>
      </c>
      <c r="E1548">
        <f>IF(D1548="","",INDEX('KG1-3'!$AD26:$IM26,MATCH(D1548,'KG1-3'!$AD$5:$IM$5,0)))</f>
        <v/>
      </c>
      <c r="F1548">
        <f>IF(D1548="","",COUNTIFS('KG1-3'!$AD26:$IM26,"غياب بدون عذر",'KG1-3'!$AD$7:$IM$7,"✓",'KG1-3'!$AD$5:$IM$5,"&lt;="&amp;D1548))</f>
        <v/>
      </c>
      <c r="G1548">
        <f>G1547+IF(D1548="",0,1)</f>
        <v/>
      </c>
    </row>
    <row r="1549">
      <c r="A1549">
        <f>IF('KG1-3'!$B26="","",'KG1-3'!$B26)</f>
        <v/>
      </c>
      <c r="B1549">
        <f>IF(A1549="","",'KG1-3'!$C26)</f>
        <v/>
      </c>
      <c r="C1549">
        <f>IF(A1549="","",'KG1-3'!$B$2)</f>
        <v/>
      </c>
      <c r="D1549" s="126">
        <f t="array" ref="D1549">IF(A1549="","",IFERROR(SMALL(IF((('KG1-3'!$AD26:$IM26="غياب بدون عذر")+('KG1-3'!$AD26:$IM26="غياب بعذر"))*('KG1-3'!$AD$7:$IM$7="✓"),'KG1-3'!$AD$5:$IM$5),8),""))</f>
        <v/>
      </c>
      <c r="E1549">
        <f>IF(D1549="","",INDEX('KG1-3'!$AD26:$IM26,MATCH(D1549,'KG1-3'!$AD$5:$IM$5,0)))</f>
        <v/>
      </c>
      <c r="F1549">
        <f>IF(D1549="","",COUNTIFS('KG1-3'!$AD26:$IM26,"غياب بدون عذر",'KG1-3'!$AD$7:$IM$7,"✓",'KG1-3'!$AD$5:$IM$5,"&lt;="&amp;D1549))</f>
        <v/>
      </c>
      <c r="G1549">
        <f>G1548+IF(D1549="",0,1)</f>
        <v/>
      </c>
    </row>
    <row r="1550">
      <c r="A1550">
        <f>IF('KG1-3'!$B26="","",'KG1-3'!$B26)</f>
        <v/>
      </c>
      <c r="B1550">
        <f>IF(A1550="","",'KG1-3'!$C26)</f>
        <v/>
      </c>
      <c r="C1550">
        <f>IF(A1550="","",'KG1-3'!$B$2)</f>
        <v/>
      </c>
      <c r="D1550" s="126">
        <f t="array" ref="D1550">IF(A1550="","",IFERROR(SMALL(IF((('KG1-3'!$AD26:$IM26="غياب بدون عذر")+('KG1-3'!$AD26:$IM26="غياب بعذر"))*('KG1-3'!$AD$7:$IM$7="✓"),'KG1-3'!$AD$5:$IM$5),9),""))</f>
        <v/>
      </c>
      <c r="E1550">
        <f>IF(D1550="","",INDEX('KG1-3'!$AD26:$IM26,MATCH(D1550,'KG1-3'!$AD$5:$IM$5,0)))</f>
        <v/>
      </c>
      <c r="F1550">
        <f>IF(D1550="","",COUNTIFS('KG1-3'!$AD26:$IM26,"غياب بدون عذر",'KG1-3'!$AD$7:$IM$7,"✓",'KG1-3'!$AD$5:$IM$5,"&lt;="&amp;D1550))</f>
        <v/>
      </c>
      <c r="G1550">
        <f>G1549+IF(D1550="",0,1)</f>
        <v/>
      </c>
    </row>
    <row r="1551">
      <c r="A1551">
        <f>IF('KG1-3'!$B26="","",'KG1-3'!$B26)</f>
        <v/>
      </c>
      <c r="B1551">
        <f>IF(A1551="","",'KG1-3'!$C26)</f>
        <v/>
      </c>
      <c r="C1551">
        <f>IF(A1551="","",'KG1-3'!$B$2)</f>
        <v/>
      </c>
      <c r="D1551" s="126">
        <f t="array" ref="D1551">IF(A1551="","",IFERROR(SMALL(IF((('KG1-3'!$AD26:$IM26="غياب بدون عذر")+('KG1-3'!$AD26:$IM26="غياب بعذر"))*('KG1-3'!$AD$7:$IM$7="✓"),'KG1-3'!$AD$5:$IM$5),10),""))</f>
        <v/>
      </c>
      <c r="E1551">
        <f>IF(D1551="","",INDEX('KG1-3'!$AD26:$IM26,MATCH(D1551,'KG1-3'!$AD$5:$IM$5,0)))</f>
        <v/>
      </c>
      <c r="F1551">
        <f>IF(D1551="","",COUNTIFS('KG1-3'!$AD26:$IM26,"غياب بدون عذر",'KG1-3'!$AD$7:$IM$7,"✓",'KG1-3'!$AD$5:$IM$5,"&lt;="&amp;D1551))</f>
        <v/>
      </c>
      <c r="G1551">
        <f>G1550+IF(D1551="",0,1)</f>
        <v/>
      </c>
    </row>
    <row r="1552">
      <c r="A1552">
        <f>IF('KG1-3'!$B26="","",'KG1-3'!$B26)</f>
        <v/>
      </c>
      <c r="B1552">
        <f>IF(A1552="","",'KG1-3'!$C26)</f>
        <v/>
      </c>
      <c r="C1552">
        <f>IF(A1552="","",'KG1-3'!$B$2)</f>
        <v/>
      </c>
      <c r="D1552" s="126">
        <f t="array" ref="D1552">IF(A1552="","",IFERROR(SMALL(IF((('KG1-3'!$AD26:$IM26="غياب بدون عذر")+('KG1-3'!$AD26:$IM26="غياب بعذر"))*('KG1-3'!$AD$7:$IM$7="✓"),'KG1-3'!$AD$5:$IM$5),11),""))</f>
        <v/>
      </c>
      <c r="E1552">
        <f>IF(D1552="","",INDEX('KG1-3'!$AD26:$IM26,MATCH(D1552,'KG1-3'!$AD$5:$IM$5,0)))</f>
        <v/>
      </c>
      <c r="F1552">
        <f>IF(D1552="","",COUNTIFS('KG1-3'!$AD26:$IM26,"غياب بدون عذر",'KG1-3'!$AD$7:$IM$7,"✓",'KG1-3'!$AD$5:$IM$5,"&lt;="&amp;D1552))</f>
        <v/>
      </c>
      <c r="G1552">
        <f>G1551+IF(D1552="",0,1)</f>
        <v/>
      </c>
    </row>
    <row r="1553">
      <c r="A1553">
        <f>IF('KG1-3'!$B26="","",'KG1-3'!$B26)</f>
        <v/>
      </c>
      <c r="B1553">
        <f>IF(A1553="","",'KG1-3'!$C26)</f>
        <v/>
      </c>
      <c r="C1553">
        <f>IF(A1553="","",'KG1-3'!$B$2)</f>
        <v/>
      </c>
      <c r="D1553" s="126">
        <f t="array" ref="D1553">IF(A1553="","",IFERROR(SMALL(IF((('KG1-3'!$AD26:$IM26="غياب بدون عذر")+('KG1-3'!$AD26:$IM26="غياب بعذر"))*('KG1-3'!$AD$7:$IM$7="✓"),'KG1-3'!$AD$5:$IM$5),12),""))</f>
        <v/>
      </c>
      <c r="E1553">
        <f>IF(D1553="","",INDEX('KG1-3'!$AD26:$IM26,MATCH(D1553,'KG1-3'!$AD$5:$IM$5,0)))</f>
        <v/>
      </c>
      <c r="F1553">
        <f>IF(D1553="","",COUNTIFS('KG1-3'!$AD26:$IM26,"غياب بدون عذر",'KG1-3'!$AD$7:$IM$7,"✓",'KG1-3'!$AD$5:$IM$5,"&lt;="&amp;D1553))</f>
        <v/>
      </c>
      <c r="G1553">
        <f>G1552+IF(D1553="",0,1)</f>
        <v/>
      </c>
    </row>
    <row r="1554">
      <c r="A1554">
        <f>IF('KG1-3'!$B26="","",'KG1-3'!$B26)</f>
        <v/>
      </c>
      <c r="B1554">
        <f>IF(A1554="","",'KG1-3'!$C26)</f>
        <v/>
      </c>
      <c r="C1554">
        <f>IF(A1554="","",'KG1-3'!$B$2)</f>
        <v/>
      </c>
      <c r="D1554" s="126">
        <f t="array" ref="D1554">IF(A1554="","",IFERROR(SMALL(IF((('KG1-3'!$AD26:$IM26="غياب بدون عذر")+('KG1-3'!$AD26:$IM26="غياب بعذر"))*('KG1-3'!$AD$7:$IM$7="✓"),'KG1-3'!$AD$5:$IM$5),13),""))</f>
        <v/>
      </c>
      <c r="E1554">
        <f>IF(D1554="","",INDEX('KG1-3'!$AD26:$IM26,MATCH(D1554,'KG1-3'!$AD$5:$IM$5,0)))</f>
        <v/>
      </c>
      <c r="F1554">
        <f>IF(D1554="","",COUNTIFS('KG1-3'!$AD26:$IM26,"غياب بدون عذر",'KG1-3'!$AD$7:$IM$7,"✓",'KG1-3'!$AD$5:$IM$5,"&lt;="&amp;D1554))</f>
        <v/>
      </c>
      <c r="G1554">
        <f>G1553+IF(D1554="",0,1)</f>
        <v/>
      </c>
    </row>
    <row r="1555">
      <c r="A1555">
        <f>IF('KG1-3'!$B26="","",'KG1-3'!$B26)</f>
        <v/>
      </c>
      <c r="B1555">
        <f>IF(A1555="","",'KG1-3'!$C26)</f>
        <v/>
      </c>
      <c r="C1555">
        <f>IF(A1555="","",'KG1-3'!$B$2)</f>
        <v/>
      </c>
      <c r="D1555" s="126">
        <f t="array" ref="D1555">IF(A1555="","",IFERROR(SMALL(IF((('KG1-3'!$AD26:$IM26="غياب بدون عذر")+('KG1-3'!$AD26:$IM26="غياب بعذر"))*('KG1-3'!$AD$7:$IM$7="✓"),'KG1-3'!$AD$5:$IM$5),14),""))</f>
        <v/>
      </c>
      <c r="E1555">
        <f>IF(D1555="","",INDEX('KG1-3'!$AD26:$IM26,MATCH(D1555,'KG1-3'!$AD$5:$IM$5,0)))</f>
        <v/>
      </c>
      <c r="F1555">
        <f>IF(D1555="","",COUNTIFS('KG1-3'!$AD26:$IM26,"غياب بدون عذر",'KG1-3'!$AD$7:$IM$7,"✓",'KG1-3'!$AD$5:$IM$5,"&lt;="&amp;D1555))</f>
        <v/>
      </c>
      <c r="G1555">
        <f>G1554+IF(D1555="",0,1)</f>
        <v/>
      </c>
    </row>
    <row r="1556">
      <c r="A1556">
        <f>IF('KG1-3'!$B26="","",'KG1-3'!$B26)</f>
        <v/>
      </c>
      <c r="B1556">
        <f>IF(A1556="","",'KG1-3'!$C26)</f>
        <v/>
      </c>
      <c r="C1556">
        <f>IF(A1556="","",'KG1-3'!$B$2)</f>
        <v/>
      </c>
      <c r="D1556" s="126">
        <f t="array" ref="D1556">IF(A1556="","",IFERROR(SMALL(IF((('KG1-3'!$AD26:$IM26="غياب بدون عذر")+('KG1-3'!$AD26:$IM26="غياب بعذر"))*('KG1-3'!$AD$7:$IM$7="✓"),'KG1-3'!$AD$5:$IM$5),15),""))</f>
        <v/>
      </c>
      <c r="E1556">
        <f>IF(D1556="","",INDEX('KG1-3'!$AD26:$IM26,MATCH(D1556,'KG1-3'!$AD$5:$IM$5,0)))</f>
        <v/>
      </c>
      <c r="F1556">
        <f>IF(D1556="","",COUNTIFS('KG1-3'!$AD26:$IM26,"غياب بدون عذر",'KG1-3'!$AD$7:$IM$7,"✓",'KG1-3'!$AD$5:$IM$5,"&lt;="&amp;D1556))</f>
        <v/>
      </c>
      <c r="G1556">
        <f>G1555+IF(D1556="",0,1)</f>
        <v/>
      </c>
    </row>
    <row r="1557">
      <c r="A1557">
        <f>IF('KG1-3'!$B26="","",'KG1-3'!$B26)</f>
        <v/>
      </c>
      <c r="B1557">
        <f>IF(A1557="","",'KG1-3'!$C26)</f>
        <v/>
      </c>
      <c r="C1557">
        <f>IF(A1557="","",'KG1-3'!$B$2)</f>
        <v/>
      </c>
      <c r="D1557" s="126">
        <f t="array" ref="D1557">IF(A1557="","",IFERROR(SMALL(IF((('KG1-3'!$AD26:$IM26="غياب بدون عذر")+('KG1-3'!$AD26:$IM26="غياب بعذر"))*('KG1-3'!$AD$7:$IM$7="✓"),'KG1-3'!$AD$5:$IM$5),16),""))</f>
        <v/>
      </c>
      <c r="E1557">
        <f>IF(D1557="","",INDEX('KG1-3'!$AD26:$IM26,MATCH(D1557,'KG1-3'!$AD$5:$IM$5,0)))</f>
        <v/>
      </c>
      <c r="F1557">
        <f>IF(D1557="","",COUNTIFS('KG1-3'!$AD26:$IM26,"غياب بدون عذر",'KG1-3'!$AD$7:$IM$7,"✓",'KG1-3'!$AD$5:$IM$5,"&lt;="&amp;D1557))</f>
        <v/>
      </c>
      <c r="G1557">
        <f>G1556+IF(D1557="",0,1)</f>
        <v/>
      </c>
    </row>
    <row r="1558">
      <c r="A1558">
        <f>IF('KG1-3'!$B26="","",'KG1-3'!$B26)</f>
        <v/>
      </c>
      <c r="B1558">
        <f>IF(A1558="","",'KG1-3'!$C26)</f>
        <v/>
      </c>
      <c r="C1558">
        <f>IF(A1558="","",'KG1-3'!$B$2)</f>
        <v/>
      </c>
      <c r="D1558" s="126">
        <f t="array" ref="D1558">IF(A1558="","",IFERROR(SMALL(IF((('KG1-3'!$AD26:$IM26="غياب بدون عذر")+('KG1-3'!$AD26:$IM26="غياب بعذر"))*('KG1-3'!$AD$7:$IM$7="✓"),'KG1-3'!$AD$5:$IM$5),17),""))</f>
        <v/>
      </c>
      <c r="E1558">
        <f>IF(D1558="","",INDEX('KG1-3'!$AD26:$IM26,MATCH(D1558,'KG1-3'!$AD$5:$IM$5,0)))</f>
        <v/>
      </c>
      <c r="F1558">
        <f>IF(D1558="","",COUNTIFS('KG1-3'!$AD26:$IM26,"غياب بدون عذر",'KG1-3'!$AD$7:$IM$7,"✓",'KG1-3'!$AD$5:$IM$5,"&lt;="&amp;D1558))</f>
        <v/>
      </c>
      <c r="G1558">
        <f>G1557+IF(D1558="",0,1)</f>
        <v/>
      </c>
    </row>
    <row r="1559">
      <c r="A1559">
        <f>IF('KG1-3'!$B26="","",'KG1-3'!$B26)</f>
        <v/>
      </c>
      <c r="B1559">
        <f>IF(A1559="","",'KG1-3'!$C26)</f>
        <v/>
      </c>
      <c r="C1559">
        <f>IF(A1559="","",'KG1-3'!$B$2)</f>
        <v/>
      </c>
      <c r="D1559" s="126">
        <f t="array" ref="D1559">IF(A1559="","",IFERROR(SMALL(IF((('KG1-3'!$AD26:$IM26="غياب بدون عذر")+('KG1-3'!$AD26:$IM26="غياب بعذر"))*('KG1-3'!$AD$7:$IM$7="✓"),'KG1-3'!$AD$5:$IM$5),18),""))</f>
        <v/>
      </c>
      <c r="E1559">
        <f>IF(D1559="","",INDEX('KG1-3'!$AD26:$IM26,MATCH(D1559,'KG1-3'!$AD$5:$IM$5,0)))</f>
        <v/>
      </c>
      <c r="F1559">
        <f>IF(D1559="","",COUNTIFS('KG1-3'!$AD26:$IM26,"غياب بدون عذر",'KG1-3'!$AD$7:$IM$7,"✓",'KG1-3'!$AD$5:$IM$5,"&lt;="&amp;D1559))</f>
        <v/>
      </c>
      <c r="G1559">
        <f>G1558+IF(D1559="",0,1)</f>
        <v/>
      </c>
    </row>
    <row r="1560">
      <c r="A1560">
        <f>IF('KG1-3'!$B26="","",'KG1-3'!$B26)</f>
        <v/>
      </c>
      <c r="B1560">
        <f>IF(A1560="","",'KG1-3'!$C26)</f>
        <v/>
      </c>
      <c r="C1560">
        <f>IF(A1560="","",'KG1-3'!$B$2)</f>
        <v/>
      </c>
      <c r="D1560" s="126">
        <f t="array" ref="D1560">IF(A1560="","",IFERROR(SMALL(IF((('KG1-3'!$AD26:$IM26="غياب بدون عذر")+('KG1-3'!$AD26:$IM26="غياب بعذر"))*('KG1-3'!$AD$7:$IM$7="✓"),'KG1-3'!$AD$5:$IM$5),19),""))</f>
        <v/>
      </c>
      <c r="E1560">
        <f>IF(D1560="","",INDEX('KG1-3'!$AD26:$IM26,MATCH(D1560,'KG1-3'!$AD$5:$IM$5,0)))</f>
        <v/>
      </c>
      <c r="F1560">
        <f>IF(D1560="","",COUNTIFS('KG1-3'!$AD26:$IM26,"غياب بدون عذر",'KG1-3'!$AD$7:$IM$7,"✓",'KG1-3'!$AD$5:$IM$5,"&lt;="&amp;D1560))</f>
        <v/>
      </c>
      <c r="G1560">
        <f>G1559+IF(D1560="",0,1)</f>
        <v/>
      </c>
    </row>
    <row r="1561">
      <c r="A1561">
        <f>IF('KG1-3'!$B26="","",'KG1-3'!$B26)</f>
        <v/>
      </c>
      <c r="B1561">
        <f>IF(A1561="","",'KG1-3'!$C26)</f>
        <v/>
      </c>
      <c r="C1561">
        <f>IF(A1561="","",'KG1-3'!$B$2)</f>
        <v/>
      </c>
      <c r="D1561" s="126">
        <f t="array" ref="D1561">IF(A1561="","",IFERROR(SMALL(IF((('KG1-3'!$AD26:$IM26="غياب بدون عذر")+('KG1-3'!$AD26:$IM26="غياب بعذر"))*('KG1-3'!$AD$7:$IM$7="✓"),'KG1-3'!$AD$5:$IM$5),20),""))</f>
        <v/>
      </c>
      <c r="E1561">
        <f>IF(D1561="","",INDEX('KG1-3'!$AD26:$IM26,MATCH(D1561,'KG1-3'!$AD$5:$IM$5,0)))</f>
        <v/>
      </c>
      <c r="F1561">
        <f>IF(D1561="","",COUNTIFS('KG1-3'!$AD26:$IM26,"غياب بدون عذر",'KG1-3'!$AD$7:$IM$7,"✓",'KG1-3'!$AD$5:$IM$5,"&lt;="&amp;D1561))</f>
        <v/>
      </c>
      <c r="G1561">
        <f>G1560+IF(D1561="",0,1)</f>
        <v/>
      </c>
    </row>
    <row r="1562">
      <c r="A1562">
        <f>IF('KG1-3'!$B27="","",'KG1-3'!$B27)</f>
        <v/>
      </c>
      <c r="B1562">
        <f>IF(A1562="","",'KG1-3'!$C27)</f>
        <v/>
      </c>
      <c r="C1562">
        <f>IF(A1562="","",'KG1-3'!$B$2)</f>
        <v/>
      </c>
      <c r="D1562" s="126">
        <f t="array" ref="D1562">IF(A1562="","",IFERROR(SMALL(IF((('KG1-3'!$AD27:$IM27="غياب بدون عذر")+('KG1-3'!$AD27:$IM27="غياب بعذر"))*('KG1-3'!$AD$7:$IM$7="✓"),'KG1-3'!$AD$5:$IM$5),1),""))</f>
        <v/>
      </c>
      <c r="E1562">
        <f>IF(D1562="","",INDEX('KG1-3'!$AD27:$IM27,MATCH(D1562,'KG1-3'!$AD$5:$IM$5,0)))</f>
        <v/>
      </c>
      <c r="F1562">
        <f>IF(D1562="","",COUNTIFS('KG1-3'!$AD27:$IM27,"غياب بدون عذر",'KG1-3'!$AD$7:$IM$7,"✓",'KG1-3'!$AD$5:$IM$5,"&lt;="&amp;D1562))</f>
        <v/>
      </c>
      <c r="G1562">
        <f>G1561+IF(D1562="",0,1)</f>
        <v/>
      </c>
    </row>
    <row r="1563">
      <c r="A1563">
        <f>IF('KG1-3'!$B27="","",'KG1-3'!$B27)</f>
        <v/>
      </c>
      <c r="B1563">
        <f>IF(A1563="","",'KG1-3'!$C27)</f>
        <v/>
      </c>
      <c r="C1563">
        <f>IF(A1563="","",'KG1-3'!$B$2)</f>
        <v/>
      </c>
      <c r="D1563" s="126">
        <f t="array" ref="D1563">IF(A1563="","",IFERROR(SMALL(IF((('KG1-3'!$AD27:$IM27="غياب بدون عذر")+('KG1-3'!$AD27:$IM27="غياب بعذر"))*('KG1-3'!$AD$7:$IM$7="✓"),'KG1-3'!$AD$5:$IM$5),2),""))</f>
        <v/>
      </c>
      <c r="E1563">
        <f>IF(D1563="","",INDEX('KG1-3'!$AD27:$IM27,MATCH(D1563,'KG1-3'!$AD$5:$IM$5,0)))</f>
        <v/>
      </c>
      <c r="F1563">
        <f>IF(D1563="","",COUNTIFS('KG1-3'!$AD27:$IM27,"غياب بدون عذر",'KG1-3'!$AD$7:$IM$7,"✓",'KG1-3'!$AD$5:$IM$5,"&lt;="&amp;D1563))</f>
        <v/>
      </c>
      <c r="G1563">
        <f>G1562+IF(D1563="",0,1)</f>
        <v/>
      </c>
    </row>
    <row r="1564">
      <c r="A1564">
        <f>IF('KG1-3'!$B27="","",'KG1-3'!$B27)</f>
        <v/>
      </c>
      <c r="B1564">
        <f>IF(A1564="","",'KG1-3'!$C27)</f>
        <v/>
      </c>
      <c r="C1564">
        <f>IF(A1564="","",'KG1-3'!$B$2)</f>
        <v/>
      </c>
      <c r="D1564" s="126">
        <f t="array" ref="D1564">IF(A1564="","",IFERROR(SMALL(IF((('KG1-3'!$AD27:$IM27="غياب بدون عذر")+('KG1-3'!$AD27:$IM27="غياب بعذر"))*('KG1-3'!$AD$7:$IM$7="✓"),'KG1-3'!$AD$5:$IM$5),3),""))</f>
        <v/>
      </c>
      <c r="E1564">
        <f>IF(D1564="","",INDEX('KG1-3'!$AD27:$IM27,MATCH(D1564,'KG1-3'!$AD$5:$IM$5,0)))</f>
        <v/>
      </c>
      <c r="F1564">
        <f>IF(D1564="","",COUNTIFS('KG1-3'!$AD27:$IM27,"غياب بدون عذر",'KG1-3'!$AD$7:$IM$7,"✓",'KG1-3'!$AD$5:$IM$5,"&lt;="&amp;D1564))</f>
        <v/>
      </c>
      <c r="G1564">
        <f>G1563+IF(D1564="",0,1)</f>
        <v/>
      </c>
    </row>
    <row r="1565">
      <c r="A1565">
        <f>IF('KG1-3'!$B27="","",'KG1-3'!$B27)</f>
        <v/>
      </c>
      <c r="B1565">
        <f>IF(A1565="","",'KG1-3'!$C27)</f>
        <v/>
      </c>
      <c r="C1565">
        <f>IF(A1565="","",'KG1-3'!$B$2)</f>
        <v/>
      </c>
      <c r="D1565" s="126">
        <f t="array" ref="D1565">IF(A1565="","",IFERROR(SMALL(IF((('KG1-3'!$AD27:$IM27="غياب بدون عذر")+('KG1-3'!$AD27:$IM27="غياب بعذر"))*('KG1-3'!$AD$7:$IM$7="✓"),'KG1-3'!$AD$5:$IM$5),4),""))</f>
        <v/>
      </c>
      <c r="E1565">
        <f>IF(D1565="","",INDEX('KG1-3'!$AD27:$IM27,MATCH(D1565,'KG1-3'!$AD$5:$IM$5,0)))</f>
        <v/>
      </c>
      <c r="F1565">
        <f>IF(D1565="","",COUNTIFS('KG1-3'!$AD27:$IM27,"غياب بدون عذر",'KG1-3'!$AD$7:$IM$7,"✓",'KG1-3'!$AD$5:$IM$5,"&lt;="&amp;D1565))</f>
        <v/>
      </c>
      <c r="G1565">
        <f>G1564+IF(D1565="",0,1)</f>
        <v/>
      </c>
    </row>
    <row r="1566">
      <c r="A1566">
        <f>IF('KG1-3'!$B27="","",'KG1-3'!$B27)</f>
        <v/>
      </c>
      <c r="B1566">
        <f>IF(A1566="","",'KG1-3'!$C27)</f>
        <v/>
      </c>
      <c r="C1566">
        <f>IF(A1566="","",'KG1-3'!$B$2)</f>
        <v/>
      </c>
      <c r="D1566" s="126">
        <f t="array" ref="D1566">IF(A1566="","",IFERROR(SMALL(IF((('KG1-3'!$AD27:$IM27="غياب بدون عذر")+('KG1-3'!$AD27:$IM27="غياب بعذر"))*('KG1-3'!$AD$7:$IM$7="✓"),'KG1-3'!$AD$5:$IM$5),5),""))</f>
        <v/>
      </c>
      <c r="E1566">
        <f>IF(D1566="","",INDEX('KG1-3'!$AD27:$IM27,MATCH(D1566,'KG1-3'!$AD$5:$IM$5,0)))</f>
        <v/>
      </c>
      <c r="F1566">
        <f>IF(D1566="","",COUNTIFS('KG1-3'!$AD27:$IM27,"غياب بدون عذر",'KG1-3'!$AD$7:$IM$7,"✓",'KG1-3'!$AD$5:$IM$5,"&lt;="&amp;D1566))</f>
        <v/>
      </c>
      <c r="G1566">
        <f>G1565+IF(D1566="",0,1)</f>
        <v/>
      </c>
    </row>
    <row r="1567">
      <c r="A1567">
        <f>IF('KG1-3'!$B27="","",'KG1-3'!$B27)</f>
        <v/>
      </c>
      <c r="B1567">
        <f>IF(A1567="","",'KG1-3'!$C27)</f>
        <v/>
      </c>
      <c r="C1567">
        <f>IF(A1567="","",'KG1-3'!$B$2)</f>
        <v/>
      </c>
      <c r="D1567" s="126">
        <f t="array" ref="D1567">IF(A1567="","",IFERROR(SMALL(IF((('KG1-3'!$AD27:$IM27="غياب بدون عذر")+('KG1-3'!$AD27:$IM27="غياب بعذر"))*('KG1-3'!$AD$7:$IM$7="✓"),'KG1-3'!$AD$5:$IM$5),6),""))</f>
        <v/>
      </c>
      <c r="E1567">
        <f>IF(D1567="","",INDEX('KG1-3'!$AD27:$IM27,MATCH(D1567,'KG1-3'!$AD$5:$IM$5,0)))</f>
        <v/>
      </c>
      <c r="F1567">
        <f>IF(D1567="","",COUNTIFS('KG1-3'!$AD27:$IM27,"غياب بدون عذر",'KG1-3'!$AD$7:$IM$7,"✓",'KG1-3'!$AD$5:$IM$5,"&lt;="&amp;D1567))</f>
        <v/>
      </c>
      <c r="G1567">
        <f>G1566+IF(D1567="",0,1)</f>
        <v/>
      </c>
    </row>
    <row r="1568">
      <c r="A1568">
        <f>IF('KG1-3'!$B27="","",'KG1-3'!$B27)</f>
        <v/>
      </c>
      <c r="B1568">
        <f>IF(A1568="","",'KG1-3'!$C27)</f>
        <v/>
      </c>
      <c r="C1568">
        <f>IF(A1568="","",'KG1-3'!$B$2)</f>
        <v/>
      </c>
      <c r="D1568" s="126">
        <f t="array" ref="D1568">IF(A1568="","",IFERROR(SMALL(IF((('KG1-3'!$AD27:$IM27="غياب بدون عذر")+('KG1-3'!$AD27:$IM27="غياب بعذر"))*('KG1-3'!$AD$7:$IM$7="✓"),'KG1-3'!$AD$5:$IM$5),7),""))</f>
        <v/>
      </c>
      <c r="E1568">
        <f>IF(D1568="","",INDEX('KG1-3'!$AD27:$IM27,MATCH(D1568,'KG1-3'!$AD$5:$IM$5,0)))</f>
        <v/>
      </c>
      <c r="F1568">
        <f>IF(D1568="","",COUNTIFS('KG1-3'!$AD27:$IM27,"غياب بدون عذر",'KG1-3'!$AD$7:$IM$7,"✓",'KG1-3'!$AD$5:$IM$5,"&lt;="&amp;D1568))</f>
        <v/>
      </c>
      <c r="G1568">
        <f>G1567+IF(D1568="",0,1)</f>
        <v/>
      </c>
    </row>
    <row r="1569">
      <c r="A1569">
        <f>IF('KG1-3'!$B27="","",'KG1-3'!$B27)</f>
        <v/>
      </c>
      <c r="B1569">
        <f>IF(A1569="","",'KG1-3'!$C27)</f>
        <v/>
      </c>
      <c r="C1569">
        <f>IF(A1569="","",'KG1-3'!$B$2)</f>
        <v/>
      </c>
      <c r="D1569" s="126">
        <f t="array" ref="D1569">IF(A1569="","",IFERROR(SMALL(IF((('KG1-3'!$AD27:$IM27="غياب بدون عذر")+('KG1-3'!$AD27:$IM27="غياب بعذر"))*('KG1-3'!$AD$7:$IM$7="✓"),'KG1-3'!$AD$5:$IM$5),8),""))</f>
        <v/>
      </c>
      <c r="E1569">
        <f>IF(D1569="","",INDEX('KG1-3'!$AD27:$IM27,MATCH(D1569,'KG1-3'!$AD$5:$IM$5,0)))</f>
        <v/>
      </c>
      <c r="F1569">
        <f>IF(D1569="","",COUNTIFS('KG1-3'!$AD27:$IM27,"غياب بدون عذر",'KG1-3'!$AD$7:$IM$7,"✓",'KG1-3'!$AD$5:$IM$5,"&lt;="&amp;D1569))</f>
        <v/>
      </c>
      <c r="G1569">
        <f>G1568+IF(D1569="",0,1)</f>
        <v/>
      </c>
    </row>
    <row r="1570">
      <c r="A1570">
        <f>IF('KG1-3'!$B27="","",'KG1-3'!$B27)</f>
        <v/>
      </c>
      <c r="B1570">
        <f>IF(A1570="","",'KG1-3'!$C27)</f>
        <v/>
      </c>
      <c r="C1570">
        <f>IF(A1570="","",'KG1-3'!$B$2)</f>
        <v/>
      </c>
      <c r="D1570" s="126">
        <f t="array" ref="D1570">IF(A1570="","",IFERROR(SMALL(IF((('KG1-3'!$AD27:$IM27="غياب بدون عذر")+('KG1-3'!$AD27:$IM27="غياب بعذر"))*('KG1-3'!$AD$7:$IM$7="✓"),'KG1-3'!$AD$5:$IM$5),9),""))</f>
        <v/>
      </c>
      <c r="E1570">
        <f>IF(D1570="","",INDEX('KG1-3'!$AD27:$IM27,MATCH(D1570,'KG1-3'!$AD$5:$IM$5,0)))</f>
        <v/>
      </c>
      <c r="F1570">
        <f>IF(D1570="","",COUNTIFS('KG1-3'!$AD27:$IM27,"غياب بدون عذر",'KG1-3'!$AD$7:$IM$7,"✓",'KG1-3'!$AD$5:$IM$5,"&lt;="&amp;D1570))</f>
        <v/>
      </c>
      <c r="G1570">
        <f>G1569+IF(D1570="",0,1)</f>
        <v/>
      </c>
    </row>
    <row r="1571">
      <c r="A1571">
        <f>IF('KG1-3'!$B27="","",'KG1-3'!$B27)</f>
        <v/>
      </c>
      <c r="B1571">
        <f>IF(A1571="","",'KG1-3'!$C27)</f>
        <v/>
      </c>
      <c r="C1571">
        <f>IF(A1571="","",'KG1-3'!$B$2)</f>
        <v/>
      </c>
      <c r="D1571" s="126">
        <f t="array" ref="D1571">IF(A1571="","",IFERROR(SMALL(IF((('KG1-3'!$AD27:$IM27="غياب بدون عذر")+('KG1-3'!$AD27:$IM27="غياب بعذر"))*('KG1-3'!$AD$7:$IM$7="✓"),'KG1-3'!$AD$5:$IM$5),10),""))</f>
        <v/>
      </c>
      <c r="E1571">
        <f>IF(D1571="","",INDEX('KG1-3'!$AD27:$IM27,MATCH(D1571,'KG1-3'!$AD$5:$IM$5,0)))</f>
        <v/>
      </c>
      <c r="F1571">
        <f>IF(D1571="","",COUNTIFS('KG1-3'!$AD27:$IM27,"غياب بدون عذر",'KG1-3'!$AD$7:$IM$7,"✓",'KG1-3'!$AD$5:$IM$5,"&lt;="&amp;D1571))</f>
        <v/>
      </c>
      <c r="G1571">
        <f>G1570+IF(D1571="",0,1)</f>
        <v/>
      </c>
    </row>
    <row r="1572">
      <c r="A1572">
        <f>IF('KG1-3'!$B27="","",'KG1-3'!$B27)</f>
        <v/>
      </c>
      <c r="B1572">
        <f>IF(A1572="","",'KG1-3'!$C27)</f>
        <v/>
      </c>
      <c r="C1572">
        <f>IF(A1572="","",'KG1-3'!$B$2)</f>
        <v/>
      </c>
      <c r="D1572" s="126">
        <f t="array" ref="D1572">IF(A1572="","",IFERROR(SMALL(IF((('KG1-3'!$AD27:$IM27="غياب بدون عذر")+('KG1-3'!$AD27:$IM27="غياب بعذر"))*('KG1-3'!$AD$7:$IM$7="✓"),'KG1-3'!$AD$5:$IM$5),11),""))</f>
        <v/>
      </c>
      <c r="E1572">
        <f>IF(D1572="","",INDEX('KG1-3'!$AD27:$IM27,MATCH(D1572,'KG1-3'!$AD$5:$IM$5,0)))</f>
        <v/>
      </c>
      <c r="F1572">
        <f>IF(D1572="","",COUNTIFS('KG1-3'!$AD27:$IM27,"غياب بدون عذر",'KG1-3'!$AD$7:$IM$7,"✓",'KG1-3'!$AD$5:$IM$5,"&lt;="&amp;D1572))</f>
        <v/>
      </c>
      <c r="G1572">
        <f>G1571+IF(D1572="",0,1)</f>
        <v/>
      </c>
    </row>
    <row r="1573">
      <c r="A1573">
        <f>IF('KG1-3'!$B27="","",'KG1-3'!$B27)</f>
        <v/>
      </c>
      <c r="B1573">
        <f>IF(A1573="","",'KG1-3'!$C27)</f>
        <v/>
      </c>
      <c r="C1573">
        <f>IF(A1573="","",'KG1-3'!$B$2)</f>
        <v/>
      </c>
      <c r="D1573" s="126">
        <f t="array" ref="D1573">IF(A1573="","",IFERROR(SMALL(IF((('KG1-3'!$AD27:$IM27="غياب بدون عذر")+('KG1-3'!$AD27:$IM27="غياب بعذر"))*('KG1-3'!$AD$7:$IM$7="✓"),'KG1-3'!$AD$5:$IM$5),12),""))</f>
        <v/>
      </c>
      <c r="E1573">
        <f>IF(D1573="","",INDEX('KG1-3'!$AD27:$IM27,MATCH(D1573,'KG1-3'!$AD$5:$IM$5,0)))</f>
        <v/>
      </c>
      <c r="F1573">
        <f>IF(D1573="","",COUNTIFS('KG1-3'!$AD27:$IM27,"غياب بدون عذر",'KG1-3'!$AD$7:$IM$7,"✓",'KG1-3'!$AD$5:$IM$5,"&lt;="&amp;D1573))</f>
        <v/>
      </c>
      <c r="G1573">
        <f>G1572+IF(D1573="",0,1)</f>
        <v/>
      </c>
    </row>
    <row r="1574">
      <c r="A1574">
        <f>IF('KG1-3'!$B27="","",'KG1-3'!$B27)</f>
        <v/>
      </c>
      <c r="B1574">
        <f>IF(A1574="","",'KG1-3'!$C27)</f>
        <v/>
      </c>
      <c r="C1574">
        <f>IF(A1574="","",'KG1-3'!$B$2)</f>
        <v/>
      </c>
      <c r="D1574" s="126">
        <f t="array" ref="D1574">IF(A1574="","",IFERROR(SMALL(IF((('KG1-3'!$AD27:$IM27="غياب بدون عذر")+('KG1-3'!$AD27:$IM27="غياب بعذر"))*('KG1-3'!$AD$7:$IM$7="✓"),'KG1-3'!$AD$5:$IM$5),13),""))</f>
        <v/>
      </c>
      <c r="E1574">
        <f>IF(D1574="","",INDEX('KG1-3'!$AD27:$IM27,MATCH(D1574,'KG1-3'!$AD$5:$IM$5,0)))</f>
        <v/>
      </c>
      <c r="F1574">
        <f>IF(D1574="","",COUNTIFS('KG1-3'!$AD27:$IM27,"غياب بدون عذر",'KG1-3'!$AD$7:$IM$7,"✓",'KG1-3'!$AD$5:$IM$5,"&lt;="&amp;D1574))</f>
        <v/>
      </c>
      <c r="G1574">
        <f>G1573+IF(D1574="",0,1)</f>
        <v/>
      </c>
    </row>
    <row r="1575">
      <c r="A1575">
        <f>IF('KG1-3'!$B27="","",'KG1-3'!$B27)</f>
        <v/>
      </c>
      <c r="B1575">
        <f>IF(A1575="","",'KG1-3'!$C27)</f>
        <v/>
      </c>
      <c r="C1575">
        <f>IF(A1575="","",'KG1-3'!$B$2)</f>
        <v/>
      </c>
      <c r="D1575" s="126">
        <f t="array" ref="D1575">IF(A1575="","",IFERROR(SMALL(IF((('KG1-3'!$AD27:$IM27="غياب بدون عذر")+('KG1-3'!$AD27:$IM27="غياب بعذر"))*('KG1-3'!$AD$7:$IM$7="✓"),'KG1-3'!$AD$5:$IM$5),14),""))</f>
        <v/>
      </c>
      <c r="E1575">
        <f>IF(D1575="","",INDEX('KG1-3'!$AD27:$IM27,MATCH(D1575,'KG1-3'!$AD$5:$IM$5,0)))</f>
        <v/>
      </c>
      <c r="F1575">
        <f>IF(D1575="","",COUNTIFS('KG1-3'!$AD27:$IM27,"غياب بدون عذر",'KG1-3'!$AD$7:$IM$7,"✓",'KG1-3'!$AD$5:$IM$5,"&lt;="&amp;D1575))</f>
        <v/>
      </c>
      <c r="G1575">
        <f>G1574+IF(D1575="",0,1)</f>
        <v/>
      </c>
    </row>
    <row r="1576">
      <c r="A1576">
        <f>IF('KG1-3'!$B27="","",'KG1-3'!$B27)</f>
        <v/>
      </c>
      <c r="B1576">
        <f>IF(A1576="","",'KG1-3'!$C27)</f>
        <v/>
      </c>
      <c r="C1576">
        <f>IF(A1576="","",'KG1-3'!$B$2)</f>
        <v/>
      </c>
      <c r="D1576" s="126">
        <f t="array" ref="D1576">IF(A1576="","",IFERROR(SMALL(IF((('KG1-3'!$AD27:$IM27="غياب بدون عذر")+('KG1-3'!$AD27:$IM27="غياب بعذر"))*('KG1-3'!$AD$7:$IM$7="✓"),'KG1-3'!$AD$5:$IM$5),15),""))</f>
        <v/>
      </c>
      <c r="E1576">
        <f>IF(D1576="","",INDEX('KG1-3'!$AD27:$IM27,MATCH(D1576,'KG1-3'!$AD$5:$IM$5,0)))</f>
        <v/>
      </c>
      <c r="F1576">
        <f>IF(D1576="","",COUNTIFS('KG1-3'!$AD27:$IM27,"غياب بدون عذر",'KG1-3'!$AD$7:$IM$7,"✓",'KG1-3'!$AD$5:$IM$5,"&lt;="&amp;D1576))</f>
        <v/>
      </c>
      <c r="G1576">
        <f>G1575+IF(D1576="",0,1)</f>
        <v/>
      </c>
    </row>
    <row r="1577">
      <c r="A1577">
        <f>IF('KG1-3'!$B27="","",'KG1-3'!$B27)</f>
        <v/>
      </c>
      <c r="B1577">
        <f>IF(A1577="","",'KG1-3'!$C27)</f>
        <v/>
      </c>
      <c r="C1577">
        <f>IF(A1577="","",'KG1-3'!$B$2)</f>
        <v/>
      </c>
      <c r="D1577" s="126">
        <f t="array" ref="D1577">IF(A1577="","",IFERROR(SMALL(IF((('KG1-3'!$AD27:$IM27="غياب بدون عذر")+('KG1-3'!$AD27:$IM27="غياب بعذر"))*('KG1-3'!$AD$7:$IM$7="✓"),'KG1-3'!$AD$5:$IM$5),16),""))</f>
        <v/>
      </c>
      <c r="E1577">
        <f>IF(D1577="","",INDEX('KG1-3'!$AD27:$IM27,MATCH(D1577,'KG1-3'!$AD$5:$IM$5,0)))</f>
        <v/>
      </c>
      <c r="F1577">
        <f>IF(D1577="","",COUNTIFS('KG1-3'!$AD27:$IM27,"غياب بدون عذر",'KG1-3'!$AD$7:$IM$7,"✓",'KG1-3'!$AD$5:$IM$5,"&lt;="&amp;D1577))</f>
        <v/>
      </c>
      <c r="G1577">
        <f>G1576+IF(D1577="",0,1)</f>
        <v/>
      </c>
    </row>
    <row r="1578">
      <c r="A1578">
        <f>IF('KG1-3'!$B27="","",'KG1-3'!$B27)</f>
        <v/>
      </c>
      <c r="B1578">
        <f>IF(A1578="","",'KG1-3'!$C27)</f>
        <v/>
      </c>
      <c r="C1578">
        <f>IF(A1578="","",'KG1-3'!$B$2)</f>
        <v/>
      </c>
      <c r="D1578" s="126">
        <f t="array" ref="D1578">IF(A1578="","",IFERROR(SMALL(IF((('KG1-3'!$AD27:$IM27="غياب بدون عذر")+('KG1-3'!$AD27:$IM27="غياب بعذر"))*('KG1-3'!$AD$7:$IM$7="✓"),'KG1-3'!$AD$5:$IM$5),17),""))</f>
        <v/>
      </c>
      <c r="E1578">
        <f>IF(D1578="","",INDEX('KG1-3'!$AD27:$IM27,MATCH(D1578,'KG1-3'!$AD$5:$IM$5,0)))</f>
        <v/>
      </c>
      <c r="F1578">
        <f>IF(D1578="","",COUNTIFS('KG1-3'!$AD27:$IM27,"غياب بدون عذر",'KG1-3'!$AD$7:$IM$7,"✓",'KG1-3'!$AD$5:$IM$5,"&lt;="&amp;D1578))</f>
        <v/>
      </c>
      <c r="G1578">
        <f>G1577+IF(D1578="",0,1)</f>
        <v/>
      </c>
    </row>
    <row r="1579">
      <c r="A1579">
        <f>IF('KG1-3'!$B27="","",'KG1-3'!$B27)</f>
        <v/>
      </c>
      <c r="B1579">
        <f>IF(A1579="","",'KG1-3'!$C27)</f>
        <v/>
      </c>
      <c r="C1579">
        <f>IF(A1579="","",'KG1-3'!$B$2)</f>
        <v/>
      </c>
      <c r="D1579" s="126">
        <f t="array" ref="D1579">IF(A1579="","",IFERROR(SMALL(IF((('KG1-3'!$AD27:$IM27="غياب بدون عذر")+('KG1-3'!$AD27:$IM27="غياب بعذر"))*('KG1-3'!$AD$7:$IM$7="✓"),'KG1-3'!$AD$5:$IM$5),18),""))</f>
        <v/>
      </c>
      <c r="E1579">
        <f>IF(D1579="","",INDEX('KG1-3'!$AD27:$IM27,MATCH(D1579,'KG1-3'!$AD$5:$IM$5,0)))</f>
        <v/>
      </c>
      <c r="F1579">
        <f>IF(D1579="","",COUNTIFS('KG1-3'!$AD27:$IM27,"غياب بدون عذر",'KG1-3'!$AD$7:$IM$7,"✓",'KG1-3'!$AD$5:$IM$5,"&lt;="&amp;D1579))</f>
        <v/>
      </c>
      <c r="G1579">
        <f>G1578+IF(D1579="",0,1)</f>
        <v/>
      </c>
    </row>
    <row r="1580">
      <c r="A1580">
        <f>IF('KG1-3'!$B27="","",'KG1-3'!$B27)</f>
        <v/>
      </c>
      <c r="B1580">
        <f>IF(A1580="","",'KG1-3'!$C27)</f>
        <v/>
      </c>
      <c r="C1580">
        <f>IF(A1580="","",'KG1-3'!$B$2)</f>
        <v/>
      </c>
      <c r="D1580" s="126">
        <f t="array" ref="D1580">IF(A1580="","",IFERROR(SMALL(IF((('KG1-3'!$AD27:$IM27="غياب بدون عذر")+('KG1-3'!$AD27:$IM27="غياب بعذر"))*('KG1-3'!$AD$7:$IM$7="✓"),'KG1-3'!$AD$5:$IM$5),19),""))</f>
        <v/>
      </c>
      <c r="E1580">
        <f>IF(D1580="","",INDEX('KG1-3'!$AD27:$IM27,MATCH(D1580,'KG1-3'!$AD$5:$IM$5,0)))</f>
        <v/>
      </c>
      <c r="F1580">
        <f>IF(D1580="","",COUNTIFS('KG1-3'!$AD27:$IM27,"غياب بدون عذر",'KG1-3'!$AD$7:$IM$7,"✓",'KG1-3'!$AD$5:$IM$5,"&lt;="&amp;D1580))</f>
        <v/>
      </c>
      <c r="G1580">
        <f>G1579+IF(D1580="",0,1)</f>
        <v/>
      </c>
    </row>
    <row r="1581">
      <c r="A1581">
        <f>IF('KG1-3'!$B27="","",'KG1-3'!$B27)</f>
        <v/>
      </c>
      <c r="B1581">
        <f>IF(A1581="","",'KG1-3'!$C27)</f>
        <v/>
      </c>
      <c r="C1581">
        <f>IF(A1581="","",'KG1-3'!$B$2)</f>
        <v/>
      </c>
      <c r="D1581" s="126">
        <f t="array" ref="D1581">IF(A1581="","",IFERROR(SMALL(IF((('KG1-3'!$AD27:$IM27="غياب بدون عذر")+('KG1-3'!$AD27:$IM27="غياب بعذر"))*('KG1-3'!$AD$7:$IM$7="✓"),'KG1-3'!$AD$5:$IM$5),20),""))</f>
        <v/>
      </c>
      <c r="E1581">
        <f>IF(D1581="","",INDEX('KG1-3'!$AD27:$IM27,MATCH(D1581,'KG1-3'!$AD$5:$IM$5,0)))</f>
        <v/>
      </c>
      <c r="F1581">
        <f>IF(D1581="","",COUNTIFS('KG1-3'!$AD27:$IM27,"غياب بدون عذر",'KG1-3'!$AD$7:$IM$7,"✓",'KG1-3'!$AD$5:$IM$5,"&lt;="&amp;D1581))</f>
        <v/>
      </c>
      <c r="G1581">
        <f>G1580+IF(D1581="",0,1)</f>
        <v/>
      </c>
    </row>
    <row r="1582">
      <c r="A1582">
        <f>IF('KG1-3'!$B28="","",'KG1-3'!$B28)</f>
        <v/>
      </c>
      <c r="B1582">
        <f>IF(A1582="","",'KG1-3'!$C28)</f>
        <v/>
      </c>
      <c r="C1582">
        <f>IF(A1582="","",'KG1-3'!$B$2)</f>
        <v/>
      </c>
      <c r="D1582" s="126">
        <f t="array" ref="D1582">IF(A1582="","",IFERROR(SMALL(IF((('KG1-3'!$AD28:$IM28="غياب بدون عذر")+('KG1-3'!$AD28:$IM28="غياب بعذر"))*('KG1-3'!$AD$7:$IM$7="✓"),'KG1-3'!$AD$5:$IM$5),1),""))</f>
        <v/>
      </c>
      <c r="E1582">
        <f>IF(D1582="","",INDEX('KG1-3'!$AD28:$IM28,MATCH(D1582,'KG1-3'!$AD$5:$IM$5,0)))</f>
        <v/>
      </c>
      <c r="F1582">
        <f>IF(D1582="","",COUNTIFS('KG1-3'!$AD28:$IM28,"غياب بدون عذر",'KG1-3'!$AD$7:$IM$7,"✓",'KG1-3'!$AD$5:$IM$5,"&lt;="&amp;D1582))</f>
        <v/>
      </c>
      <c r="G1582">
        <f>G1581+IF(D1582="",0,1)</f>
        <v/>
      </c>
    </row>
    <row r="1583">
      <c r="A1583">
        <f>IF('KG1-3'!$B28="","",'KG1-3'!$B28)</f>
        <v/>
      </c>
      <c r="B1583">
        <f>IF(A1583="","",'KG1-3'!$C28)</f>
        <v/>
      </c>
      <c r="C1583">
        <f>IF(A1583="","",'KG1-3'!$B$2)</f>
        <v/>
      </c>
      <c r="D1583" s="126">
        <f t="array" ref="D1583">IF(A1583="","",IFERROR(SMALL(IF((('KG1-3'!$AD28:$IM28="غياب بدون عذر")+('KG1-3'!$AD28:$IM28="غياب بعذر"))*('KG1-3'!$AD$7:$IM$7="✓"),'KG1-3'!$AD$5:$IM$5),2),""))</f>
        <v/>
      </c>
      <c r="E1583">
        <f>IF(D1583="","",INDEX('KG1-3'!$AD28:$IM28,MATCH(D1583,'KG1-3'!$AD$5:$IM$5,0)))</f>
        <v/>
      </c>
      <c r="F1583">
        <f>IF(D1583="","",COUNTIFS('KG1-3'!$AD28:$IM28,"غياب بدون عذر",'KG1-3'!$AD$7:$IM$7,"✓",'KG1-3'!$AD$5:$IM$5,"&lt;="&amp;D1583))</f>
        <v/>
      </c>
      <c r="G1583">
        <f>G1582+IF(D1583="",0,1)</f>
        <v/>
      </c>
    </row>
    <row r="1584">
      <c r="A1584">
        <f>IF('KG1-3'!$B28="","",'KG1-3'!$B28)</f>
        <v/>
      </c>
      <c r="B1584">
        <f>IF(A1584="","",'KG1-3'!$C28)</f>
        <v/>
      </c>
      <c r="C1584">
        <f>IF(A1584="","",'KG1-3'!$B$2)</f>
        <v/>
      </c>
      <c r="D1584" s="126">
        <f t="array" ref="D1584">IF(A1584="","",IFERROR(SMALL(IF((('KG1-3'!$AD28:$IM28="غياب بدون عذر")+('KG1-3'!$AD28:$IM28="غياب بعذر"))*('KG1-3'!$AD$7:$IM$7="✓"),'KG1-3'!$AD$5:$IM$5),3),""))</f>
        <v/>
      </c>
      <c r="E1584">
        <f>IF(D1584="","",INDEX('KG1-3'!$AD28:$IM28,MATCH(D1584,'KG1-3'!$AD$5:$IM$5,0)))</f>
        <v/>
      </c>
      <c r="F1584">
        <f>IF(D1584="","",COUNTIFS('KG1-3'!$AD28:$IM28,"غياب بدون عذر",'KG1-3'!$AD$7:$IM$7,"✓",'KG1-3'!$AD$5:$IM$5,"&lt;="&amp;D1584))</f>
        <v/>
      </c>
      <c r="G1584">
        <f>G1583+IF(D1584="",0,1)</f>
        <v/>
      </c>
    </row>
    <row r="1585">
      <c r="A1585">
        <f>IF('KG1-3'!$B28="","",'KG1-3'!$B28)</f>
        <v/>
      </c>
      <c r="B1585">
        <f>IF(A1585="","",'KG1-3'!$C28)</f>
        <v/>
      </c>
      <c r="C1585">
        <f>IF(A1585="","",'KG1-3'!$B$2)</f>
        <v/>
      </c>
      <c r="D1585" s="126">
        <f t="array" ref="D1585">IF(A1585="","",IFERROR(SMALL(IF((('KG1-3'!$AD28:$IM28="غياب بدون عذر")+('KG1-3'!$AD28:$IM28="غياب بعذر"))*('KG1-3'!$AD$7:$IM$7="✓"),'KG1-3'!$AD$5:$IM$5),4),""))</f>
        <v/>
      </c>
      <c r="E1585">
        <f>IF(D1585="","",INDEX('KG1-3'!$AD28:$IM28,MATCH(D1585,'KG1-3'!$AD$5:$IM$5,0)))</f>
        <v/>
      </c>
      <c r="F1585">
        <f>IF(D1585="","",COUNTIFS('KG1-3'!$AD28:$IM28,"غياب بدون عذر",'KG1-3'!$AD$7:$IM$7,"✓",'KG1-3'!$AD$5:$IM$5,"&lt;="&amp;D1585))</f>
        <v/>
      </c>
      <c r="G1585">
        <f>G1584+IF(D1585="",0,1)</f>
        <v/>
      </c>
    </row>
    <row r="1586">
      <c r="A1586">
        <f>IF('KG1-3'!$B28="","",'KG1-3'!$B28)</f>
        <v/>
      </c>
      <c r="B1586">
        <f>IF(A1586="","",'KG1-3'!$C28)</f>
        <v/>
      </c>
      <c r="C1586">
        <f>IF(A1586="","",'KG1-3'!$B$2)</f>
        <v/>
      </c>
      <c r="D1586" s="126">
        <f t="array" ref="D1586">IF(A1586="","",IFERROR(SMALL(IF((('KG1-3'!$AD28:$IM28="غياب بدون عذر")+('KG1-3'!$AD28:$IM28="غياب بعذر"))*('KG1-3'!$AD$7:$IM$7="✓"),'KG1-3'!$AD$5:$IM$5),5),""))</f>
        <v/>
      </c>
      <c r="E1586">
        <f>IF(D1586="","",INDEX('KG1-3'!$AD28:$IM28,MATCH(D1586,'KG1-3'!$AD$5:$IM$5,0)))</f>
        <v/>
      </c>
      <c r="F1586">
        <f>IF(D1586="","",COUNTIFS('KG1-3'!$AD28:$IM28,"غياب بدون عذر",'KG1-3'!$AD$7:$IM$7,"✓",'KG1-3'!$AD$5:$IM$5,"&lt;="&amp;D1586))</f>
        <v/>
      </c>
      <c r="G1586">
        <f>G1585+IF(D1586="",0,1)</f>
        <v/>
      </c>
    </row>
    <row r="1587">
      <c r="A1587">
        <f>IF('KG1-3'!$B28="","",'KG1-3'!$B28)</f>
        <v/>
      </c>
      <c r="B1587">
        <f>IF(A1587="","",'KG1-3'!$C28)</f>
        <v/>
      </c>
      <c r="C1587">
        <f>IF(A1587="","",'KG1-3'!$B$2)</f>
        <v/>
      </c>
      <c r="D1587" s="126">
        <f t="array" ref="D1587">IF(A1587="","",IFERROR(SMALL(IF((('KG1-3'!$AD28:$IM28="غياب بدون عذر")+('KG1-3'!$AD28:$IM28="غياب بعذر"))*('KG1-3'!$AD$7:$IM$7="✓"),'KG1-3'!$AD$5:$IM$5),6),""))</f>
        <v/>
      </c>
      <c r="E1587">
        <f>IF(D1587="","",INDEX('KG1-3'!$AD28:$IM28,MATCH(D1587,'KG1-3'!$AD$5:$IM$5,0)))</f>
        <v/>
      </c>
      <c r="F1587">
        <f>IF(D1587="","",COUNTIFS('KG1-3'!$AD28:$IM28,"غياب بدون عذر",'KG1-3'!$AD$7:$IM$7,"✓",'KG1-3'!$AD$5:$IM$5,"&lt;="&amp;D1587))</f>
        <v/>
      </c>
      <c r="G1587">
        <f>G1586+IF(D1587="",0,1)</f>
        <v/>
      </c>
    </row>
    <row r="1588">
      <c r="A1588">
        <f>IF('KG1-3'!$B28="","",'KG1-3'!$B28)</f>
        <v/>
      </c>
      <c r="B1588">
        <f>IF(A1588="","",'KG1-3'!$C28)</f>
        <v/>
      </c>
      <c r="C1588">
        <f>IF(A1588="","",'KG1-3'!$B$2)</f>
        <v/>
      </c>
      <c r="D1588" s="126">
        <f t="array" ref="D1588">IF(A1588="","",IFERROR(SMALL(IF((('KG1-3'!$AD28:$IM28="غياب بدون عذر")+('KG1-3'!$AD28:$IM28="غياب بعذر"))*('KG1-3'!$AD$7:$IM$7="✓"),'KG1-3'!$AD$5:$IM$5),7),""))</f>
        <v/>
      </c>
      <c r="E1588">
        <f>IF(D1588="","",INDEX('KG1-3'!$AD28:$IM28,MATCH(D1588,'KG1-3'!$AD$5:$IM$5,0)))</f>
        <v/>
      </c>
      <c r="F1588">
        <f>IF(D1588="","",COUNTIFS('KG1-3'!$AD28:$IM28,"غياب بدون عذر",'KG1-3'!$AD$7:$IM$7,"✓",'KG1-3'!$AD$5:$IM$5,"&lt;="&amp;D1588))</f>
        <v/>
      </c>
      <c r="G1588">
        <f>G1587+IF(D1588="",0,1)</f>
        <v/>
      </c>
    </row>
    <row r="1589">
      <c r="A1589">
        <f>IF('KG1-3'!$B28="","",'KG1-3'!$B28)</f>
        <v/>
      </c>
      <c r="B1589">
        <f>IF(A1589="","",'KG1-3'!$C28)</f>
        <v/>
      </c>
      <c r="C1589">
        <f>IF(A1589="","",'KG1-3'!$B$2)</f>
        <v/>
      </c>
      <c r="D1589" s="126">
        <f t="array" ref="D1589">IF(A1589="","",IFERROR(SMALL(IF((('KG1-3'!$AD28:$IM28="غياب بدون عذر")+('KG1-3'!$AD28:$IM28="غياب بعذر"))*('KG1-3'!$AD$7:$IM$7="✓"),'KG1-3'!$AD$5:$IM$5),8),""))</f>
        <v/>
      </c>
      <c r="E1589">
        <f>IF(D1589="","",INDEX('KG1-3'!$AD28:$IM28,MATCH(D1589,'KG1-3'!$AD$5:$IM$5,0)))</f>
        <v/>
      </c>
      <c r="F1589">
        <f>IF(D1589="","",COUNTIFS('KG1-3'!$AD28:$IM28,"غياب بدون عذر",'KG1-3'!$AD$7:$IM$7,"✓",'KG1-3'!$AD$5:$IM$5,"&lt;="&amp;D1589))</f>
        <v/>
      </c>
      <c r="G1589">
        <f>G1588+IF(D1589="",0,1)</f>
        <v/>
      </c>
    </row>
    <row r="1590">
      <c r="A1590">
        <f>IF('KG1-3'!$B28="","",'KG1-3'!$B28)</f>
        <v/>
      </c>
      <c r="B1590">
        <f>IF(A1590="","",'KG1-3'!$C28)</f>
        <v/>
      </c>
      <c r="C1590">
        <f>IF(A1590="","",'KG1-3'!$B$2)</f>
        <v/>
      </c>
      <c r="D1590" s="126">
        <f t="array" ref="D1590">IF(A1590="","",IFERROR(SMALL(IF((('KG1-3'!$AD28:$IM28="غياب بدون عذر")+('KG1-3'!$AD28:$IM28="غياب بعذر"))*('KG1-3'!$AD$7:$IM$7="✓"),'KG1-3'!$AD$5:$IM$5),9),""))</f>
        <v/>
      </c>
      <c r="E1590">
        <f>IF(D1590="","",INDEX('KG1-3'!$AD28:$IM28,MATCH(D1590,'KG1-3'!$AD$5:$IM$5,0)))</f>
        <v/>
      </c>
      <c r="F1590">
        <f>IF(D1590="","",COUNTIFS('KG1-3'!$AD28:$IM28,"غياب بدون عذر",'KG1-3'!$AD$7:$IM$7,"✓",'KG1-3'!$AD$5:$IM$5,"&lt;="&amp;D1590))</f>
        <v/>
      </c>
      <c r="G1590">
        <f>G1589+IF(D1590="",0,1)</f>
        <v/>
      </c>
    </row>
    <row r="1591">
      <c r="A1591">
        <f>IF('KG1-3'!$B28="","",'KG1-3'!$B28)</f>
        <v/>
      </c>
      <c r="B1591">
        <f>IF(A1591="","",'KG1-3'!$C28)</f>
        <v/>
      </c>
      <c r="C1591">
        <f>IF(A1591="","",'KG1-3'!$B$2)</f>
        <v/>
      </c>
      <c r="D1591" s="126">
        <f t="array" ref="D1591">IF(A1591="","",IFERROR(SMALL(IF((('KG1-3'!$AD28:$IM28="غياب بدون عذر")+('KG1-3'!$AD28:$IM28="غياب بعذر"))*('KG1-3'!$AD$7:$IM$7="✓"),'KG1-3'!$AD$5:$IM$5),10),""))</f>
        <v/>
      </c>
      <c r="E1591">
        <f>IF(D1591="","",INDEX('KG1-3'!$AD28:$IM28,MATCH(D1591,'KG1-3'!$AD$5:$IM$5,0)))</f>
        <v/>
      </c>
      <c r="F1591">
        <f>IF(D1591="","",COUNTIFS('KG1-3'!$AD28:$IM28,"غياب بدون عذر",'KG1-3'!$AD$7:$IM$7,"✓",'KG1-3'!$AD$5:$IM$5,"&lt;="&amp;D1591))</f>
        <v/>
      </c>
      <c r="G1591">
        <f>G1590+IF(D1591="",0,1)</f>
        <v/>
      </c>
    </row>
    <row r="1592">
      <c r="A1592">
        <f>IF('KG1-3'!$B28="","",'KG1-3'!$B28)</f>
        <v/>
      </c>
      <c r="B1592">
        <f>IF(A1592="","",'KG1-3'!$C28)</f>
        <v/>
      </c>
      <c r="C1592">
        <f>IF(A1592="","",'KG1-3'!$B$2)</f>
        <v/>
      </c>
      <c r="D1592" s="126">
        <f t="array" ref="D1592">IF(A1592="","",IFERROR(SMALL(IF((('KG1-3'!$AD28:$IM28="غياب بدون عذر")+('KG1-3'!$AD28:$IM28="غياب بعذر"))*('KG1-3'!$AD$7:$IM$7="✓"),'KG1-3'!$AD$5:$IM$5),11),""))</f>
        <v/>
      </c>
      <c r="E1592">
        <f>IF(D1592="","",INDEX('KG1-3'!$AD28:$IM28,MATCH(D1592,'KG1-3'!$AD$5:$IM$5,0)))</f>
        <v/>
      </c>
      <c r="F1592">
        <f>IF(D1592="","",COUNTIFS('KG1-3'!$AD28:$IM28,"غياب بدون عذر",'KG1-3'!$AD$7:$IM$7,"✓",'KG1-3'!$AD$5:$IM$5,"&lt;="&amp;D1592))</f>
        <v/>
      </c>
      <c r="G1592">
        <f>G1591+IF(D1592="",0,1)</f>
        <v/>
      </c>
    </row>
    <row r="1593">
      <c r="A1593">
        <f>IF('KG1-3'!$B28="","",'KG1-3'!$B28)</f>
        <v/>
      </c>
      <c r="B1593">
        <f>IF(A1593="","",'KG1-3'!$C28)</f>
        <v/>
      </c>
      <c r="C1593">
        <f>IF(A1593="","",'KG1-3'!$B$2)</f>
        <v/>
      </c>
      <c r="D1593" s="126">
        <f t="array" ref="D1593">IF(A1593="","",IFERROR(SMALL(IF((('KG1-3'!$AD28:$IM28="غياب بدون عذر")+('KG1-3'!$AD28:$IM28="غياب بعذر"))*('KG1-3'!$AD$7:$IM$7="✓"),'KG1-3'!$AD$5:$IM$5),12),""))</f>
        <v/>
      </c>
      <c r="E1593">
        <f>IF(D1593="","",INDEX('KG1-3'!$AD28:$IM28,MATCH(D1593,'KG1-3'!$AD$5:$IM$5,0)))</f>
        <v/>
      </c>
      <c r="F1593">
        <f>IF(D1593="","",COUNTIFS('KG1-3'!$AD28:$IM28,"غياب بدون عذر",'KG1-3'!$AD$7:$IM$7,"✓",'KG1-3'!$AD$5:$IM$5,"&lt;="&amp;D1593))</f>
        <v/>
      </c>
      <c r="G1593">
        <f>G1592+IF(D1593="",0,1)</f>
        <v/>
      </c>
    </row>
    <row r="1594">
      <c r="A1594">
        <f>IF('KG1-3'!$B28="","",'KG1-3'!$B28)</f>
        <v/>
      </c>
      <c r="B1594">
        <f>IF(A1594="","",'KG1-3'!$C28)</f>
        <v/>
      </c>
      <c r="C1594">
        <f>IF(A1594="","",'KG1-3'!$B$2)</f>
        <v/>
      </c>
      <c r="D1594" s="126">
        <f t="array" ref="D1594">IF(A1594="","",IFERROR(SMALL(IF((('KG1-3'!$AD28:$IM28="غياب بدون عذر")+('KG1-3'!$AD28:$IM28="غياب بعذر"))*('KG1-3'!$AD$7:$IM$7="✓"),'KG1-3'!$AD$5:$IM$5),13),""))</f>
        <v/>
      </c>
      <c r="E1594">
        <f>IF(D1594="","",INDEX('KG1-3'!$AD28:$IM28,MATCH(D1594,'KG1-3'!$AD$5:$IM$5,0)))</f>
        <v/>
      </c>
      <c r="F1594">
        <f>IF(D1594="","",COUNTIFS('KG1-3'!$AD28:$IM28,"غياب بدون عذر",'KG1-3'!$AD$7:$IM$7,"✓",'KG1-3'!$AD$5:$IM$5,"&lt;="&amp;D1594))</f>
        <v/>
      </c>
      <c r="G1594">
        <f>G1593+IF(D1594="",0,1)</f>
        <v/>
      </c>
    </row>
    <row r="1595">
      <c r="A1595">
        <f>IF('KG1-3'!$B28="","",'KG1-3'!$B28)</f>
        <v/>
      </c>
      <c r="B1595">
        <f>IF(A1595="","",'KG1-3'!$C28)</f>
        <v/>
      </c>
      <c r="C1595">
        <f>IF(A1595="","",'KG1-3'!$B$2)</f>
        <v/>
      </c>
      <c r="D1595" s="126">
        <f t="array" ref="D1595">IF(A1595="","",IFERROR(SMALL(IF((('KG1-3'!$AD28:$IM28="غياب بدون عذر")+('KG1-3'!$AD28:$IM28="غياب بعذر"))*('KG1-3'!$AD$7:$IM$7="✓"),'KG1-3'!$AD$5:$IM$5),14),""))</f>
        <v/>
      </c>
      <c r="E1595">
        <f>IF(D1595="","",INDEX('KG1-3'!$AD28:$IM28,MATCH(D1595,'KG1-3'!$AD$5:$IM$5,0)))</f>
        <v/>
      </c>
      <c r="F1595">
        <f>IF(D1595="","",COUNTIFS('KG1-3'!$AD28:$IM28,"غياب بدون عذر",'KG1-3'!$AD$7:$IM$7,"✓",'KG1-3'!$AD$5:$IM$5,"&lt;="&amp;D1595))</f>
        <v/>
      </c>
      <c r="G1595">
        <f>G1594+IF(D1595="",0,1)</f>
        <v/>
      </c>
    </row>
    <row r="1596">
      <c r="A1596">
        <f>IF('KG1-3'!$B28="","",'KG1-3'!$B28)</f>
        <v/>
      </c>
      <c r="B1596">
        <f>IF(A1596="","",'KG1-3'!$C28)</f>
        <v/>
      </c>
      <c r="C1596">
        <f>IF(A1596="","",'KG1-3'!$B$2)</f>
        <v/>
      </c>
      <c r="D1596" s="126">
        <f t="array" ref="D1596">IF(A1596="","",IFERROR(SMALL(IF((('KG1-3'!$AD28:$IM28="غياب بدون عذر")+('KG1-3'!$AD28:$IM28="غياب بعذر"))*('KG1-3'!$AD$7:$IM$7="✓"),'KG1-3'!$AD$5:$IM$5),15),""))</f>
        <v/>
      </c>
      <c r="E1596">
        <f>IF(D1596="","",INDEX('KG1-3'!$AD28:$IM28,MATCH(D1596,'KG1-3'!$AD$5:$IM$5,0)))</f>
        <v/>
      </c>
      <c r="F1596">
        <f>IF(D1596="","",COUNTIFS('KG1-3'!$AD28:$IM28,"غياب بدون عذر",'KG1-3'!$AD$7:$IM$7,"✓",'KG1-3'!$AD$5:$IM$5,"&lt;="&amp;D1596))</f>
        <v/>
      </c>
      <c r="G1596">
        <f>G1595+IF(D1596="",0,1)</f>
        <v/>
      </c>
    </row>
    <row r="1597">
      <c r="A1597">
        <f>IF('KG1-3'!$B28="","",'KG1-3'!$B28)</f>
        <v/>
      </c>
      <c r="B1597">
        <f>IF(A1597="","",'KG1-3'!$C28)</f>
        <v/>
      </c>
      <c r="C1597">
        <f>IF(A1597="","",'KG1-3'!$B$2)</f>
        <v/>
      </c>
      <c r="D1597" s="126">
        <f t="array" ref="D1597">IF(A1597="","",IFERROR(SMALL(IF((('KG1-3'!$AD28:$IM28="غياب بدون عذر")+('KG1-3'!$AD28:$IM28="غياب بعذر"))*('KG1-3'!$AD$7:$IM$7="✓"),'KG1-3'!$AD$5:$IM$5),16),""))</f>
        <v/>
      </c>
      <c r="E1597">
        <f>IF(D1597="","",INDEX('KG1-3'!$AD28:$IM28,MATCH(D1597,'KG1-3'!$AD$5:$IM$5,0)))</f>
        <v/>
      </c>
      <c r="F1597">
        <f>IF(D1597="","",COUNTIFS('KG1-3'!$AD28:$IM28,"غياب بدون عذر",'KG1-3'!$AD$7:$IM$7,"✓",'KG1-3'!$AD$5:$IM$5,"&lt;="&amp;D1597))</f>
        <v/>
      </c>
      <c r="G1597">
        <f>G1596+IF(D1597="",0,1)</f>
        <v/>
      </c>
    </row>
    <row r="1598">
      <c r="A1598">
        <f>IF('KG1-3'!$B28="","",'KG1-3'!$B28)</f>
        <v/>
      </c>
      <c r="B1598">
        <f>IF(A1598="","",'KG1-3'!$C28)</f>
        <v/>
      </c>
      <c r="C1598">
        <f>IF(A1598="","",'KG1-3'!$B$2)</f>
        <v/>
      </c>
      <c r="D1598" s="126">
        <f t="array" ref="D1598">IF(A1598="","",IFERROR(SMALL(IF((('KG1-3'!$AD28:$IM28="غياب بدون عذر")+('KG1-3'!$AD28:$IM28="غياب بعذر"))*('KG1-3'!$AD$7:$IM$7="✓"),'KG1-3'!$AD$5:$IM$5),17),""))</f>
        <v/>
      </c>
      <c r="E1598">
        <f>IF(D1598="","",INDEX('KG1-3'!$AD28:$IM28,MATCH(D1598,'KG1-3'!$AD$5:$IM$5,0)))</f>
        <v/>
      </c>
      <c r="F1598">
        <f>IF(D1598="","",COUNTIFS('KG1-3'!$AD28:$IM28,"غياب بدون عذر",'KG1-3'!$AD$7:$IM$7,"✓",'KG1-3'!$AD$5:$IM$5,"&lt;="&amp;D1598))</f>
        <v/>
      </c>
      <c r="G1598">
        <f>G1597+IF(D1598="",0,1)</f>
        <v/>
      </c>
    </row>
    <row r="1599">
      <c r="A1599">
        <f>IF('KG1-3'!$B28="","",'KG1-3'!$B28)</f>
        <v/>
      </c>
      <c r="B1599">
        <f>IF(A1599="","",'KG1-3'!$C28)</f>
        <v/>
      </c>
      <c r="C1599">
        <f>IF(A1599="","",'KG1-3'!$B$2)</f>
        <v/>
      </c>
      <c r="D1599" s="126">
        <f t="array" ref="D1599">IF(A1599="","",IFERROR(SMALL(IF((('KG1-3'!$AD28:$IM28="غياب بدون عذر")+('KG1-3'!$AD28:$IM28="غياب بعذر"))*('KG1-3'!$AD$7:$IM$7="✓"),'KG1-3'!$AD$5:$IM$5),18),""))</f>
        <v/>
      </c>
      <c r="E1599">
        <f>IF(D1599="","",INDEX('KG1-3'!$AD28:$IM28,MATCH(D1599,'KG1-3'!$AD$5:$IM$5,0)))</f>
        <v/>
      </c>
      <c r="F1599">
        <f>IF(D1599="","",COUNTIFS('KG1-3'!$AD28:$IM28,"غياب بدون عذر",'KG1-3'!$AD$7:$IM$7,"✓",'KG1-3'!$AD$5:$IM$5,"&lt;="&amp;D1599))</f>
        <v/>
      </c>
      <c r="G1599">
        <f>G1598+IF(D1599="",0,1)</f>
        <v/>
      </c>
    </row>
    <row r="1600">
      <c r="A1600">
        <f>IF('KG1-3'!$B28="","",'KG1-3'!$B28)</f>
        <v/>
      </c>
      <c r="B1600">
        <f>IF(A1600="","",'KG1-3'!$C28)</f>
        <v/>
      </c>
      <c r="C1600">
        <f>IF(A1600="","",'KG1-3'!$B$2)</f>
        <v/>
      </c>
      <c r="D1600" s="126">
        <f t="array" ref="D1600">IF(A1600="","",IFERROR(SMALL(IF((('KG1-3'!$AD28:$IM28="غياب بدون عذر")+('KG1-3'!$AD28:$IM28="غياب بعذر"))*('KG1-3'!$AD$7:$IM$7="✓"),'KG1-3'!$AD$5:$IM$5),19),""))</f>
        <v/>
      </c>
      <c r="E1600">
        <f>IF(D1600="","",INDEX('KG1-3'!$AD28:$IM28,MATCH(D1600,'KG1-3'!$AD$5:$IM$5,0)))</f>
        <v/>
      </c>
      <c r="F1600">
        <f>IF(D1600="","",COUNTIFS('KG1-3'!$AD28:$IM28,"غياب بدون عذر",'KG1-3'!$AD$7:$IM$7,"✓",'KG1-3'!$AD$5:$IM$5,"&lt;="&amp;D1600))</f>
        <v/>
      </c>
      <c r="G1600">
        <f>G1599+IF(D1600="",0,1)</f>
        <v/>
      </c>
    </row>
    <row r="1601">
      <c r="A1601">
        <f>IF('KG1-3'!$B28="","",'KG1-3'!$B28)</f>
        <v/>
      </c>
      <c r="B1601">
        <f>IF(A1601="","",'KG1-3'!$C28)</f>
        <v/>
      </c>
      <c r="C1601">
        <f>IF(A1601="","",'KG1-3'!$B$2)</f>
        <v/>
      </c>
      <c r="D1601" s="126">
        <f t="array" ref="D1601">IF(A1601="","",IFERROR(SMALL(IF((('KG1-3'!$AD28:$IM28="غياب بدون عذر")+('KG1-3'!$AD28:$IM28="غياب بعذر"))*('KG1-3'!$AD$7:$IM$7="✓"),'KG1-3'!$AD$5:$IM$5),20),""))</f>
        <v/>
      </c>
      <c r="E1601">
        <f>IF(D1601="","",INDEX('KG1-3'!$AD28:$IM28,MATCH(D1601,'KG1-3'!$AD$5:$IM$5,0)))</f>
        <v/>
      </c>
      <c r="F1601">
        <f>IF(D1601="","",COUNTIFS('KG1-3'!$AD28:$IM28,"غياب بدون عذر",'KG1-3'!$AD$7:$IM$7,"✓",'KG1-3'!$AD$5:$IM$5,"&lt;="&amp;D1601))</f>
        <v/>
      </c>
      <c r="G1601">
        <f>G1600+IF(D1601="",0,1)</f>
        <v/>
      </c>
    </row>
    <row r="1602">
      <c r="A1602">
        <f>IF('KG1-3'!$B29="","",'KG1-3'!$B29)</f>
        <v/>
      </c>
      <c r="B1602">
        <f>IF(A1602="","",'KG1-3'!$C29)</f>
        <v/>
      </c>
      <c r="C1602">
        <f>IF(A1602="","",'KG1-3'!$B$2)</f>
        <v/>
      </c>
      <c r="D1602" s="126">
        <f t="array" ref="D1602">IF(A1602="","",IFERROR(SMALL(IF((('KG1-3'!$AD29:$IM29="غياب بدون عذر")+('KG1-3'!$AD29:$IM29="غياب بعذر"))*('KG1-3'!$AD$7:$IM$7="✓"),'KG1-3'!$AD$5:$IM$5),1),""))</f>
        <v/>
      </c>
      <c r="E1602">
        <f>IF(D1602="","",INDEX('KG1-3'!$AD29:$IM29,MATCH(D1602,'KG1-3'!$AD$5:$IM$5,0)))</f>
        <v/>
      </c>
      <c r="F1602">
        <f>IF(D1602="","",COUNTIFS('KG1-3'!$AD29:$IM29,"غياب بدون عذر",'KG1-3'!$AD$7:$IM$7,"✓",'KG1-3'!$AD$5:$IM$5,"&lt;="&amp;D1602))</f>
        <v/>
      </c>
      <c r="G1602">
        <f>G1601+IF(D1602="",0,1)</f>
        <v/>
      </c>
    </row>
    <row r="1603">
      <c r="A1603">
        <f>IF('KG1-3'!$B29="","",'KG1-3'!$B29)</f>
        <v/>
      </c>
      <c r="B1603">
        <f>IF(A1603="","",'KG1-3'!$C29)</f>
        <v/>
      </c>
      <c r="C1603">
        <f>IF(A1603="","",'KG1-3'!$B$2)</f>
        <v/>
      </c>
      <c r="D1603" s="126">
        <f t="array" ref="D1603">IF(A1603="","",IFERROR(SMALL(IF((('KG1-3'!$AD29:$IM29="غياب بدون عذر")+('KG1-3'!$AD29:$IM29="غياب بعذر"))*('KG1-3'!$AD$7:$IM$7="✓"),'KG1-3'!$AD$5:$IM$5),2),""))</f>
        <v/>
      </c>
      <c r="E1603">
        <f>IF(D1603="","",INDEX('KG1-3'!$AD29:$IM29,MATCH(D1603,'KG1-3'!$AD$5:$IM$5,0)))</f>
        <v/>
      </c>
      <c r="F1603">
        <f>IF(D1603="","",COUNTIFS('KG1-3'!$AD29:$IM29,"غياب بدون عذر",'KG1-3'!$AD$7:$IM$7,"✓",'KG1-3'!$AD$5:$IM$5,"&lt;="&amp;D1603))</f>
        <v/>
      </c>
      <c r="G1603">
        <f>G1602+IF(D1603="",0,1)</f>
        <v/>
      </c>
    </row>
    <row r="1604">
      <c r="A1604">
        <f>IF('KG1-3'!$B29="","",'KG1-3'!$B29)</f>
        <v/>
      </c>
      <c r="B1604">
        <f>IF(A1604="","",'KG1-3'!$C29)</f>
        <v/>
      </c>
      <c r="C1604">
        <f>IF(A1604="","",'KG1-3'!$B$2)</f>
        <v/>
      </c>
      <c r="D1604" s="126">
        <f t="array" ref="D1604">IF(A1604="","",IFERROR(SMALL(IF((('KG1-3'!$AD29:$IM29="غياب بدون عذر")+('KG1-3'!$AD29:$IM29="غياب بعذر"))*('KG1-3'!$AD$7:$IM$7="✓"),'KG1-3'!$AD$5:$IM$5),3),""))</f>
        <v/>
      </c>
      <c r="E1604">
        <f>IF(D1604="","",INDEX('KG1-3'!$AD29:$IM29,MATCH(D1604,'KG1-3'!$AD$5:$IM$5,0)))</f>
        <v/>
      </c>
      <c r="F1604">
        <f>IF(D1604="","",COUNTIFS('KG1-3'!$AD29:$IM29,"غياب بدون عذر",'KG1-3'!$AD$7:$IM$7,"✓",'KG1-3'!$AD$5:$IM$5,"&lt;="&amp;D1604))</f>
        <v/>
      </c>
      <c r="G1604">
        <f>G1603+IF(D1604="",0,1)</f>
        <v/>
      </c>
    </row>
    <row r="1605">
      <c r="A1605">
        <f>IF('KG1-3'!$B29="","",'KG1-3'!$B29)</f>
        <v/>
      </c>
      <c r="B1605">
        <f>IF(A1605="","",'KG1-3'!$C29)</f>
        <v/>
      </c>
      <c r="C1605">
        <f>IF(A1605="","",'KG1-3'!$B$2)</f>
        <v/>
      </c>
      <c r="D1605" s="126">
        <f t="array" ref="D1605">IF(A1605="","",IFERROR(SMALL(IF((('KG1-3'!$AD29:$IM29="غياب بدون عذر")+('KG1-3'!$AD29:$IM29="غياب بعذر"))*('KG1-3'!$AD$7:$IM$7="✓"),'KG1-3'!$AD$5:$IM$5),4),""))</f>
        <v/>
      </c>
      <c r="E1605">
        <f>IF(D1605="","",INDEX('KG1-3'!$AD29:$IM29,MATCH(D1605,'KG1-3'!$AD$5:$IM$5,0)))</f>
        <v/>
      </c>
      <c r="F1605">
        <f>IF(D1605="","",COUNTIFS('KG1-3'!$AD29:$IM29,"غياب بدون عذر",'KG1-3'!$AD$7:$IM$7,"✓",'KG1-3'!$AD$5:$IM$5,"&lt;="&amp;D1605))</f>
        <v/>
      </c>
      <c r="G1605">
        <f>G1604+IF(D1605="",0,1)</f>
        <v/>
      </c>
    </row>
    <row r="1606">
      <c r="A1606">
        <f>IF('KG1-3'!$B29="","",'KG1-3'!$B29)</f>
        <v/>
      </c>
      <c r="B1606">
        <f>IF(A1606="","",'KG1-3'!$C29)</f>
        <v/>
      </c>
      <c r="C1606">
        <f>IF(A1606="","",'KG1-3'!$B$2)</f>
        <v/>
      </c>
      <c r="D1606" s="126">
        <f t="array" ref="D1606">IF(A1606="","",IFERROR(SMALL(IF((('KG1-3'!$AD29:$IM29="غياب بدون عذر")+('KG1-3'!$AD29:$IM29="غياب بعذر"))*('KG1-3'!$AD$7:$IM$7="✓"),'KG1-3'!$AD$5:$IM$5),5),""))</f>
        <v/>
      </c>
      <c r="E1606">
        <f>IF(D1606="","",INDEX('KG1-3'!$AD29:$IM29,MATCH(D1606,'KG1-3'!$AD$5:$IM$5,0)))</f>
        <v/>
      </c>
      <c r="F1606">
        <f>IF(D1606="","",COUNTIFS('KG1-3'!$AD29:$IM29,"غياب بدون عذر",'KG1-3'!$AD$7:$IM$7,"✓",'KG1-3'!$AD$5:$IM$5,"&lt;="&amp;D1606))</f>
        <v/>
      </c>
      <c r="G1606">
        <f>G1605+IF(D1606="",0,1)</f>
        <v/>
      </c>
    </row>
    <row r="1607">
      <c r="A1607">
        <f>IF('KG1-3'!$B29="","",'KG1-3'!$B29)</f>
        <v/>
      </c>
      <c r="B1607">
        <f>IF(A1607="","",'KG1-3'!$C29)</f>
        <v/>
      </c>
      <c r="C1607">
        <f>IF(A1607="","",'KG1-3'!$B$2)</f>
        <v/>
      </c>
      <c r="D1607" s="126">
        <f t="array" ref="D1607">IF(A1607="","",IFERROR(SMALL(IF((('KG1-3'!$AD29:$IM29="غياب بدون عذر")+('KG1-3'!$AD29:$IM29="غياب بعذر"))*('KG1-3'!$AD$7:$IM$7="✓"),'KG1-3'!$AD$5:$IM$5),6),""))</f>
        <v/>
      </c>
      <c r="E1607">
        <f>IF(D1607="","",INDEX('KG1-3'!$AD29:$IM29,MATCH(D1607,'KG1-3'!$AD$5:$IM$5,0)))</f>
        <v/>
      </c>
      <c r="F1607">
        <f>IF(D1607="","",COUNTIFS('KG1-3'!$AD29:$IM29,"غياب بدون عذر",'KG1-3'!$AD$7:$IM$7,"✓",'KG1-3'!$AD$5:$IM$5,"&lt;="&amp;D1607))</f>
        <v/>
      </c>
      <c r="G1607">
        <f>G1606+IF(D1607="",0,1)</f>
        <v/>
      </c>
    </row>
    <row r="1608">
      <c r="A1608">
        <f>IF('KG1-3'!$B29="","",'KG1-3'!$B29)</f>
        <v/>
      </c>
      <c r="B1608">
        <f>IF(A1608="","",'KG1-3'!$C29)</f>
        <v/>
      </c>
      <c r="C1608">
        <f>IF(A1608="","",'KG1-3'!$B$2)</f>
        <v/>
      </c>
      <c r="D1608" s="126">
        <f t="array" ref="D1608">IF(A1608="","",IFERROR(SMALL(IF((('KG1-3'!$AD29:$IM29="غياب بدون عذر")+('KG1-3'!$AD29:$IM29="غياب بعذر"))*('KG1-3'!$AD$7:$IM$7="✓"),'KG1-3'!$AD$5:$IM$5),7),""))</f>
        <v/>
      </c>
      <c r="E1608">
        <f>IF(D1608="","",INDEX('KG1-3'!$AD29:$IM29,MATCH(D1608,'KG1-3'!$AD$5:$IM$5,0)))</f>
        <v/>
      </c>
      <c r="F1608">
        <f>IF(D1608="","",COUNTIFS('KG1-3'!$AD29:$IM29,"غياب بدون عذر",'KG1-3'!$AD$7:$IM$7,"✓",'KG1-3'!$AD$5:$IM$5,"&lt;="&amp;D1608))</f>
        <v/>
      </c>
      <c r="G1608">
        <f>G1607+IF(D1608="",0,1)</f>
        <v/>
      </c>
    </row>
    <row r="1609">
      <c r="A1609">
        <f>IF('KG1-3'!$B29="","",'KG1-3'!$B29)</f>
        <v/>
      </c>
      <c r="B1609">
        <f>IF(A1609="","",'KG1-3'!$C29)</f>
        <v/>
      </c>
      <c r="C1609">
        <f>IF(A1609="","",'KG1-3'!$B$2)</f>
        <v/>
      </c>
      <c r="D1609" s="126">
        <f t="array" ref="D1609">IF(A1609="","",IFERROR(SMALL(IF((('KG1-3'!$AD29:$IM29="غياب بدون عذر")+('KG1-3'!$AD29:$IM29="غياب بعذر"))*('KG1-3'!$AD$7:$IM$7="✓"),'KG1-3'!$AD$5:$IM$5),8),""))</f>
        <v/>
      </c>
      <c r="E1609">
        <f>IF(D1609="","",INDEX('KG1-3'!$AD29:$IM29,MATCH(D1609,'KG1-3'!$AD$5:$IM$5,0)))</f>
        <v/>
      </c>
      <c r="F1609">
        <f>IF(D1609="","",COUNTIFS('KG1-3'!$AD29:$IM29,"غياب بدون عذر",'KG1-3'!$AD$7:$IM$7,"✓",'KG1-3'!$AD$5:$IM$5,"&lt;="&amp;D1609))</f>
        <v/>
      </c>
      <c r="G1609">
        <f>G1608+IF(D1609="",0,1)</f>
        <v/>
      </c>
    </row>
    <row r="1610">
      <c r="A1610">
        <f>IF('KG1-3'!$B29="","",'KG1-3'!$B29)</f>
        <v/>
      </c>
      <c r="B1610">
        <f>IF(A1610="","",'KG1-3'!$C29)</f>
        <v/>
      </c>
      <c r="C1610">
        <f>IF(A1610="","",'KG1-3'!$B$2)</f>
        <v/>
      </c>
      <c r="D1610" s="126">
        <f t="array" ref="D1610">IF(A1610="","",IFERROR(SMALL(IF((('KG1-3'!$AD29:$IM29="غياب بدون عذر")+('KG1-3'!$AD29:$IM29="غياب بعذر"))*('KG1-3'!$AD$7:$IM$7="✓"),'KG1-3'!$AD$5:$IM$5),9),""))</f>
        <v/>
      </c>
      <c r="E1610">
        <f>IF(D1610="","",INDEX('KG1-3'!$AD29:$IM29,MATCH(D1610,'KG1-3'!$AD$5:$IM$5,0)))</f>
        <v/>
      </c>
      <c r="F1610">
        <f>IF(D1610="","",COUNTIFS('KG1-3'!$AD29:$IM29,"غياب بدون عذر",'KG1-3'!$AD$7:$IM$7,"✓",'KG1-3'!$AD$5:$IM$5,"&lt;="&amp;D1610))</f>
        <v/>
      </c>
      <c r="G1610">
        <f>G1609+IF(D1610="",0,1)</f>
        <v/>
      </c>
    </row>
    <row r="1611">
      <c r="A1611">
        <f>IF('KG1-3'!$B29="","",'KG1-3'!$B29)</f>
        <v/>
      </c>
      <c r="B1611">
        <f>IF(A1611="","",'KG1-3'!$C29)</f>
        <v/>
      </c>
      <c r="C1611">
        <f>IF(A1611="","",'KG1-3'!$B$2)</f>
        <v/>
      </c>
      <c r="D1611" s="126">
        <f t="array" ref="D1611">IF(A1611="","",IFERROR(SMALL(IF((('KG1-3'!$AD29:$IM29="غياب بدون عذر")+('KG1-3'!$AD29:$IM29="غياب بعذر"))*('KG1-3'!$AD$7:$IM$7="✓"),'KG1-3'!$AD$5:$IM$5),10),""))</f>
        <v/>
      </c>
      <c r="E1611">
        <f>IF(D1611="","",INDEX('KG1-3'!$AD29:$IM29,MATCH(D1611,'KG1-3'!$AD$5:$IM$5,0)))</f>
        <v/>
      </c>
      <c r="F1611">
        <f>IF(D1611="","",COUNTIFS('KG1-3'!$AD29:$IM29,"غياب بدون عذر",'KG1-3'!$AD$7:$IM$7,"✓",'KG1-3'!$AD$5:$IM$5,"&lt;="&amp;D1611))</f>
        <v/>
      </c>
      <c r="G1611">
        <f>G1610+IF(D1611="",0,1)</f>
        <v/>
      </c>
    </row>
    <row r="1612">
      <c r="A1612">
        <f>IF('KG1-3'!$B29="","",'KG1-3'!$B29)</f>
        <v/>
      </c>
      <c r="B1612">
        <f>IF(A1612="","",'KG1-3'!$C29)</f>
        <v/>
      </c>
      <c r="C1612">
        <f>IF(A1612="","",'KG1-3'!$B$2)</f>
        <v/>
      </c>
      <c r="D1612" s="126">
        <f t="array" ref="D1612">IF(A1612="","",IFERROR(SMALL(IF((('KG1-3'!$AD29:$IM29="غياب بدون عذر")+('KG1-3'!$AD29:$IM29="غياب بعذر"))*('KG1-3'!$AD$7:$IM$7="✓"),'KG1-3'!$AD$5:$IM$5),11),""))</f>
        <v/>
      </c>
      <c r="E1612">
        <f>IF(D1612="","",INDEX('KG1-3'!$AD29:$IM29,MATCH(D1612,'KG1-3'!$AD$5:$IM$5,0)))</f>
        <v/>
      </c>
      <c r="F1612">
        <f>IF(D1612="","",COUNTIFS('KG1-3'!$AD29:$IM29,"غياب بدون عذر",'KG1-3'!$AD$7:$IM$7,"✓",'KG1-3'!$AD$5:$IM$5,"&lt;="&amp;D1612))</f>
        <v/>
      </c>
      <c r="G1612">
        <f>G1611+IF(D1612="",0,1)</f>
        <v/>
      </c>
    </row>
    <row r="1613">
      <c r="A1613">
        <f>IF('KG1-3'!$B29="","",'KG1-3'!$B29)</f>
        <v/>
      </c>
      <c r="B1613">
        <f>IF(A1613="","",'KG1-3'!$C29)</f>
        <v/>
      </c>
      <c r="C1613">
        <f>IF(A1613="","",'KG1-3'!$B$2)</f>
        <v/>
      </c>
      <c r="D1613" s="126">
        <f t="array" ref="D1613">IF(A1613="","",IFERROR(SMALL(IF((('KG1-3'!$AD29:$IM29="غياب بدون عذر")+('KG1-3'!$AD29:$IM29="غياب بعذر"))*('KG1-3'!$AD$7:$IM$7="✓"),'KG1-3'!$AD$5:$IM$5),12),""))</f>
        <v/>
      </c>
      <c r="E1613">
        <f>IF(D1613="","",INDEX('KG1-3'!$AD29:$IM29,MATCH(D1613,'KG1-3'!$AD$5:$IM$5,0)))</f>
        <v/>
      </c>
      <c r="F1613">
        <f>IF(D1613="","",COUNTIFS('KG1-3'!$AD29:$IM29,"غياب بدون عذر",'KG1-3'!$AD$7:$IM$7,"✓",'KG1-3'!$AD$5:$IM$5,"&lt;="&amp;D1613))</f>
        <v/>
      </c>
      <c r="G1613">
        <f>G1612+IF(D1613="",0,1)</f>
        <v/>
      </c>
    </row>
    <row r="1614">
      <c r="A1614">
        <f>IF('KG1-3'!$B29="","",'KG1-3'!$B29)</f>
        <v/>
      </c>
      <c r="B1614">
        <f>IF(A1614="","",'KG1-3'!$C29)</f>
        <v/>
      </c>
      <c r="C1614">
        <f>IF(A1614="","",'KG1-3'!$B$2)</f>
        <v/>
      </c>
      <c r="D1614" s="126">
        <f t="array" ref="D1614">IF(A1614="","",IFERROR(SMALL(IF((('KG1-3'!$AD29:$IM29="غياب بدون عذر")+('KG1-3'!$AD29:$IM29="غياب بعذر"))*('KG1-3'!$AD$7:$IM$7="✓"),'KG1-3'!$AD$5:$IM$5),13),""))</f>
        <v/>
      </c>
      <c r="E1614">
        <f>IF(D1614="","",INDEX('KG1-3'!$AD29:$IM29,MATCH(D1614,'KG1-3'!$AD$5:$IM$5,0)))</f>
        <v/>
      </c>
      <c r="F1614">
        <f>IF(D1614="","",COUNTIFS('KG1-3'!$AD29:$IM29,"غياب بدون عذر",'KG1-3'!$AD$7:$IM$7,"✓",'KG1-3'!$AD$5:$IM$5,"&lt;="&amp;D1614))</f>
        <v/>
      </c>
      <c r="G1614">
        <f>G1613+IF(D1614="",0,1)</f>
        <v/>
      </c>
    </row>
    <row r="1615">
      <c r="A1615">
        <f>IF('KG1-3'!$B29="","",'KG1-3'!$B29)</f>
        <v/>
      </c>
      <c r="B1615">
        <f>IF(A1615="","",'KG1-3'!$C29)</f>
        <v/>
      </c>
      <c r="C1615">
        <f>IF(A1615="","",'KG1-3'!$B$2)</f>
        <v/>
      </c>
      <c r="D1615" s="126">
        <f t="array" ref="D1615">IF(A1615="","",IFERROR(SMALL(IF((('KG1-3'!$AD29:$IM29="غياب بدون عذر")+('KG1-3'!$AD29:$IM29="غياب بعذر"))*('KG1-3'!$AD$7:$IM$7="✓"),'KG1-3'!$AD$5:$IM$5),14),""))</f>
        <v/>
      </c>
      <c r="E1615">
        <f>IF(D1615="","",INDEX('KG1-3'!$AD29:$IM29,MATCH(D1615,'KG1-3'!$AD$5:$IM$5,0)))</f>
        <v/>
      </c>
      <c r="F1615">
        <f>IF(D1615="","",COUNTIFS('KG1-3'!$AD29:$IM29,"غياب بدون عذر",'KG1-3'!$AD$7:$IM$7,"✓",'KG1-3'!$AD$5:$IM$5,"&lt;="&amp;D1615))</f>
        <v/>
      </c>
      <c r="G1615">
        <f>G1614+IF(D1615="",0,1)</f>
        <v/>
      </c>
    </row>
    <row r="1616">
      <c r="A1616">
        <f>IF('KG1-3'!$B29="","",'KG1-3'!$B29)</f>
        <v/>
      </c>
      <c r="B1616">
        <f>IF(A1616="","",'KG1-3'!$C29)</f>
        <v/>
      </c>
      <c r="C1616">
        <f>IF(A1616="","",'KG1-3'!$B$2)</f>
        <v/>
      </c>
      <c r="D1616" s="126">
        <f t="array" ref="D1616">IF(A1616="","",IFERROR(SMALL(IF((('KG1-3'!$AD29:$IM29="غياب بدون عذر")+('KG1-3'!$AD29:$IM29="غياب بعذر"))*('KG1-3'!$AD$7:$IM$7="✓"),'KG1-3'!$AD$5:$IM$5),15),""))</f>
        <v/>
      </c>
      <c r="E1616">
        <f>IF(D1616="","",INDEX('KG1-3'!$AD29:$IM29,MATCH(D1616,'KG1-3'!$AD$5:$IM$5,0)))</f>
        <v/>
      </c>
      <c r="F1616">
        <f>IF(D1616="","",COUNTIFS('KG1-3'!$AD29:$IM29,"غياب بدون عذر",'KG1-3'!$AD$7:$IM$7,"✓",'KG1-3'!$AD$5:$IM$5,"&lt;="&amp;D1616))</f>
        <v/>
      </c>
      <c r="G1616">
        <f>G1615+IF(D1616="",0,1)</f>
        <v/>
      </c>
    </row>
    <row r="1617">
      <c r="A1617">
        <f>IF('KG1-3'!$B29="","",'KG1-3'!$B29)</f>
        <v/>
      </c>
      <c r="B1617">
        <f>IF(A1617="","",'KG1-3'!$C29)</f>
        <v/>
      </c>
      <c r="C1617">
        <f>IF(A1617="","",'KG1-3'!$B$2)</f>
        <v/>
      </c>
      <c r="D1617" s="126">
        <f t="array" ref="D1617">IF(A1617="","",IFERROR(SMALL(IF((('KG1-3'!$AD29:$IM29="غياب بدون عذر")+('KG1-3'!$AD29:$IM29="غياب بعذر"))*('KG1-3'!$AD$7:$IM$7="✓"),'KG1-3'!$AD$5:$IM$5),16),""))</f>
        <v/>
      </c>
      <c r="E1617">
        <f>IF(D1617="","",INDEX('KG1-3'!$AD29:$IM29,MATCH(D1617,'KG1-3'!$AD$5:$IM$5,0)))</f>
        <v/>
      </c>
      <c r="F1617">
        <f>IF(D1617="","",COUNTIFS('KG1-3'!$AD29:$IM29,"غياب بدون عذر",'KG1-3'!$AD$7:$IM$7,"✓",'KG1-3'!$AD$5:$IM$5,"&lt;="&amp;D1617))</f>
        <v/>
      </c>
      <c r="G1617">
        <f>G1616+IF(D1617="",0,1)</f>
        <v/>
      </c>
    </row>
    <row r="1618">
      <c r="A1618">
        <f>IF('KG1-3'!$B29="","",'KG1-3'!$B29)</f>
        <v/>
      </c>
      <c r="B1618">
        <f>IF(A1618="","",'KG1-3'!$C29)</f>
        <v/>
      </c>
      <c r="C1618">
        <f>IF(A1618="","",'KG1-3'!$B$2)</f>
        <v/>
      </c>
      <c r="D1618" s="126">
        <f t="array" ref="D1618">IF(A1618="","",IFERROR(SMALL(IF((('KG1-3'!$AD29:$IM29="غياب بدون عذر")+('KG1-3'!$AD29:$IM29="غياب بعذر"))*('KG1-3'!$AD$7:$IM$7="✓"),'KG1-3'!$AD$5:$IM$5),17),""))</f>
        <v/>
      </c>
      <c r="E1618">
        <f>IF(D1618="","",INDEX('KG1-3'!$AD29:$IM29,MATCH(D1618,'KG1-3'!$AD$5:$IM$5,0)))</f>
        <v/>
      </c>
      <c r="F1618">
        <f>IF(D1618="","",COUNTIFS('KG1-3'!$AD29:$IM29,"غياب بدون عذر",'KG1-3'!$AD$7:$IM$7,"✓",'KG1-3'!$AD$5:$IM$5,"&lt;="&amp;D1618))</f>
        <v/>
      </c>
      <c r="G1618">
        <f>G1617+IF(D1618="",0,1)</f>
        <v/>
      </c>
    </row>
    <row r="1619">
      <c r="A1619">
        <f>IF('KG1-3'!$B29="","",'KG1-3'!$B29)</f>
        <v/>
      </c>
      <c r="B1619">
        <f>IF(A1619="","",'KG1-3'!$C29)</f>
        <v/>
      </c>
      <c r="C1619">
        <f>IF(A1619="","",'KG1-3'!$B$2)</f>
        <v/>
      </c>
      <c r="D1619" s="126">
        <f t="array" ref="D1619">IF(A1619="","",IFERROR(SMALL(IF((('KG1-3'!$AD29:$IM29="غياب بدون عذر")+('KG1-3'!$AD29:$IM29="غياب بعذر"))*('KG1-3'!$AD$7:$IM$7="✓"),'KG1-3'!$AD$5:$IM$5),18),""))</f>
        <v/>
      </c>
      <c r="E1619">
        <f>IF(D1619="","",INDEX('KG1-3'!$AD29:$IM29,MATCH(D1619,'KG1-3'!$AD$5:$IM$5,0)))</f>
        <v/>
      </c>
      <c r="F1619">
        <f>IF(D1619="","",COUNTIFS('KG1-3'!$AD29:$IM29,"غياب بدون عذر",'KG1-3'!$AD$7:$IM$7,"✓",'KG1-3'!$AD$5:$IM$5,"&lt;="&amp;D1619))</f>
        <v/>
      </c>
      <c r="G1619">
        <f>G1618+IF(D1619="",0,1)</f>
        <v/>
      </c>
    </row>
    <row r="1620">
      <c r="A1620">
        <f>IF('KG1-3'!$B29="","",'KG1-3'!$B29)</f>
        <v/>
      </c>
      <c r="B1620">
        <f>IF(A1620="","",'KG1-3'!$C29)</f>
        <v/>
      </c>
      <c r="C1620">
        <f>IF(A1620="","",'KG1-3'!$B$2)</f>
        <v/>
      </c>
      <c r="D1620" s="126">
        <f t="array" ref="D1620">IF(A1620="","",IFERROR(SMALL(IF((('KG1-3'!$AD29:$IM29="غياب بدون عذر")+('KG1-3'!$AD29:$IM29="غياب بعذر"))*('KG1-3'!$AD$7:$IM$7="✓"),'KG1-3'!$AD$5:$IM$5),19),""))</f>
        <v/>
      </c>
      <c r="E1620">
        <f>IF(D1620="","",INDEX('KG1-3'!$AD29:$IM29,MATCH(D1620,'KG1-3'!$AD$5:$IM$5,0)))</f>
        <v/>
      </c>
      <c r="F1620">
        <f>IF(D1620="","",COUNTIFS('KG1-3'!$AD29:$IM29,"غياب بدون عذر",'KG1-3'!$AD$7:$IM$7,"✓",'KG1-3'!$AD$5:$IM$5,"&lt;="&amp;D1620))</f>
        <v/>
      </c>
      <c r="G1620">
        <f>G1619+IF(D1620="",0,1)</f>
        <v/>
      </c>
    </row>
    <row r="1621">
      <c r="A1621">
        <f>IF('KG1-3'!$B29="","",'KG1-3'!$B29)</f>
        <v/>
      </c>
      <c r="B1621">
        <f>IF(A1621="","",'KG1-3'!$C29)</f>
        <v/>
      </c>
      <c r="C1621">
        <f>IF(A1621="","",'KG1-3'!$B$2)</f>
        <v/>
      </c>
      <c r="D1621" s="126">
        <f t="array" ref="D1621">IF(A1621="","",IFERROR(SMALL(IF((('KG1-3'!$AD29:$IM29="غياب بدون عذر")+('KG1-3'!$AD29:$IM29="غياب بعذر"))*('KG1-3'!$AD$7:$IM$7="✓"),'KG1-3'!$AD$5:$IM$5),20),""))</f>
        <v/>
      </c>
      <c r="E1621">
        <f>IF(D1621="","",INDEX('KG1-3'!$AD29:$IM29,MATCH(D1621,'KG1-3'!$AD$5:$IM$5,0)))</f>
        <v/>
      </c>
      <c r="F1621">
        <f>IF(D1621="","",COUNTIFS('KG1-3'!$AD29:$IM29,"غياب بدون عذر",'KG1-3'!$AD$7:$IM$7,"✓",'KG1-3'!$AD$5:$IM$5,"&lt;="&amp;D1621))</f>
        <v/>
      </c>
      <c r="G1621">
        <f>G1620+IF(D1621="",0,1)</f>
        <v/>
      </c>
    </row>
    <row r="1622">
      <c r="A1622">
        <f>IF('KG1-3'!$B30="","",'KG1-3'!$B30)</f>
        <v/>
      </c>
      <c r="B1622">
        <f>IF(A1622="","",'KG1-3'!$C30)</f>
        <v/>
      </c>
      <c r="C1622">
        <f>IF(A1622="","",'KG1-3'!$B$2)</f>
        <v/>
      </c>
      <c r="D1622" s="126">
        <f t="array" ref="D1622">IF(A1622="","",IFERROR(SMALL(IF((('KG1-3'!$AD30:$IM30="غياب بدون عذر")+('KG1-3'!$AD30:$IM30="غياب بعذر"))*('KG1-3'!$AD$7:$IM$7="✓"),'KG1-3'!$AD$5:$IM$5),1),""))</f>
        <v/>
      </c>
      <c r="E1622">
        <f>IF(D1622="","",INDEX('KG1-3'!$AD30:$IM30,MATCH(D1622,'KG1-3'!$AD$5:$IM$5,0)))</f>
        <v/>
      </c>
      <c r="F1622">
        <f>IF(D1622="","",COUNTIFS('KG1-3'!$AD30:$IM30,"غياب بدون عذر",'KG1-3'!$AD$7:$IM$7,"✓",'KG1-3'!$AD$5:$IM$5,"&lt;="&amp;D1622))</f>
        <v/>
      </c>
      <c r="G1622">
        <f>G1621+IF(D1622="",0,1)</f>
        <v/>
      </c>
    </row>
    <row r="1623">
      <c r="A1623">
        <f>IF('KG1-3'!$B30="","",'KG1-3'!$B30)</f>
        <v/>
      </c>
      <c r="B1623">
        <f>IF(A1623="","",'KG1-3'!$C30)</f>
        <v/>
      </c>
      <c r="C1623">
        <f>IF(A1623="","",'KG1-3'!$B$2)</f>
        <v/>
      </c>
      <c r="D1623" s="126">
        <f t="array" ref="D1623">IF(A1623="","",IFERROR(SMALL(IF((('KG1-3'!$AD30:$IM30="غياب بدون عذر")+('KG1-3'!$AD30:$IM30="غياب بعذر"))*('KG1-3'!$AD$7:$IM$7="✓"),'KG1-3'!$AD$5:$IM$5),2),""))</f>
        <v/>
      </c>
      <c r="E1623">
        <f>IF(D1623="","",INDEX('KG1-3'!$AD30:$IM30,MATCH(D1623,'KG1-3'!$AD$5:$IM$5,0)))</f>
        <v/>
      </c>
      <c r="F1623">
        <f>IF(D1623="","",COUNTIFS('KG1-3'!$AD30:$IM30,"غياب بدون عذر",'KG1-3'!$AD$7:$IM$7,"✓",'KG1-3'!$AD$5:$IM$5,"&lt;="&amp;D1623))</f>
        <v/>
      </c>
      <c r="G1623">
        <f>G1622+IF(D1623="",0,1)</f>
        <v/>
      </c>
    </row>
    <row r="1624">
      <c r="A1624">
        <f>IF('KG1-3'!$B30="","",'KG1-3'!$B30)</f>
        <v/>
      </c>
      <c r="B1624">
        <f>IF(A1624="","",'KG1-3'!$C30)</f>
        <v/>
      </c>
      <c r="C1624">
        <f>IF(A1624="","",'KG1-3'!$B$2)</f>
        <v/>
      </c>
      <c r="D1624" s="126">
        <f t="array" ref="D1624">IF(A1624="","",IFERROR(SMALL(IF((('KG1-3'!$AD30:$IM30="غياب بدون عذر")+('KG1-3'!$AD30:$IM30="غياب بعذر"))*('KG1-3'!$AD$7:$IM$7="✓"),'KG1-3'!$AD$5:$IM$5),3),""))</f>
        <v/>
      </c>
      <c r="E1624">
        <f>IF(D1624="","",INDEX('KG1-3'!$AD30:$IM30,MATCH(D1624,'KG1-3'!$AD$5:$IM$5,0)))</f>
        <v/>
      </c>
      <c r="F1624">
        <f>IF(D1624="","",COUNTIFS('KG1-3'!$AD30:$IM30,"غياب بدون عذر",'KG1-3'!$AD$7:$IM$7,"✓",'KG1-3'!$AD$5:$IM$5,"&lt;="&amp;D1624))</f>
        <v/>
      </c>
      <c r="G1624">
        <f>G1623+IF(D1624="",0,1)</f>
        <v/>
      </c>
    </row>
    <row r="1625">
      <c r="A1625">
        <f>IF('KG1-3'!$B30="","",'KG1-3'!$B30)</f>
        <v/>
      </c>
      <c r="B1625">
        <f>IF(A1625="","",'KG1-3'!$C30)</f>
        <v/>
      </c>
      <c r="C1625">
        <f>IF(A1625="","",'KG1-3'!$B$2)</f>
        <v/>
      </c>
      <c r="D1625" s="126">
        <f t="array" ref="D1625">IF(A1625="","",IFERROR(SMALL(IF((('KG1-3'!$AD30:$IM30="غياب بدون عذر")+('KG1-3'!$AD30:$IM30="غياب بعذر"))*('KG1-3'!$AD$7:$IM$7="✓"),'KG1-3'!$AD$5:$IM$5),4),""))</f>
        <v/>
      </c>
      <c r="E1625">
        <f>IF(D1625="","",INDEX('KG1-3'!$AD30:$IM30,MATCH(D1625,'KG1-3'!$AD$5:$IM$5,0)))</f>
        <v/>
      </c>
      <c r="F1625">
        <f>IF(D1625="","",COUNTIFS('KG1-3'!$AD30:$IM30,"غياب بدون عذر",'KG1-3'!$AD$7:$IM$7,"✓",'KG1-3'!$AD$5:$IM$5,"&lt;="&amp;D1625))</f>
        <v/>
      </c>
      <c r="G1625">
        <f>G1624+IF(D1625="",0,1)</f>
        <v/>
      </c>
    </row>
    <row r="1626">
      <c r="A1626">
        <f>IF('KG1-3'!$B30="","",'KG1-3'!$B30)</f>
        <v/>
      </c>
      <c r="B1626">
        <f>IF(A1626="","",'KG1-3'!$C30)</f>
        <v/>
      </c>
      <c r="C1626">
        <f>IF(A1626="","",'KG1-3'!$B$2)</f>
        <v/>
      </c>
      <c r="D1626" s="126">
        <f t="array" ref="D1626">IF(A1626="","",IFERROR(SMALL(IF((('KG1-3'!$AD30:$IM30="غياب بدون عذر")+('KG1-3'!$AD30:$IM30="غياب بعذر"))*('KG1-3'!$AD$7:$IM$7="✓"),'KG1-3'!$AD$5:$IM$5),5),""))</f>
        <v/>
      </c>
      <c r="E1626">
        <f>IF(D1626="","",INDEX('KG1-3'!$AD30:$IM30,MATCH(D1626,'KG1-3'!$AD$5:$IM$5,0)))</f>
        <v/>
      </c>
      <c r="F1626">
        <f>IF(D1626="","",COUNTIFS('KG1-3'!$AD30:$IM30,"غياب بدون عذر",'KG1-3'!$AD$7:$IM$7,"✓",'KG1-3'!$AD$5:$IM$5,"&lt;="&amp;D1626))</f>
        <v/>
      </c>
      <c r="G1626">
        <f>G1625+IF(D1626="",0,1)</f>
        <v/>
      </c>
    </row>
    <row r="1627">
      <c r="A1627">
        <f>IF('KG1-3'!$B30="","",'KG1-3'!$B30)</f>
        <v/>
      </c>
      <c r="B1627">
        <f>IF(A1627="","",'KG1-3'!$C30)</f>
        <v/>
      </c>
      <c r="C1627">
        <f>IF(A1627="","",'KG1-3'!$B$2)</f>
        <v/>
      </c>
      <c r="D1627" s="126">
        <f t="array" ref="D1627">IF(A1627="","",IFERROR(SMALL(IF((('KG1-3'!$AD30:$IM30="غياب بدون عذر")+('KG1-3'!$AD30:$IM30="غياب بعذر"))*('KG1-3'!$AD$7:$IM$7="✓"),'KG1-3'!$AD$5:$IM$5),6),""))</f>
        <v/>
      </c>
      <c r="E1627">
        <f>IF(D1627="","",INDEX('KG1-3'!$AD30:$IM30,MATCH(D1627,'KG1-3'!$AD$5:$IM$5,0)))</f>
        <v/>
      </c>
      <c r="F1627">
        <f>IF(D1627="","",COUNTIFS('KG1-3'!$AD30:$IM30,"غياب بدون عذر",'KG1-3'!$AD$7:$IM$7,"✓",'KG1-3'!$AD$5:$IM$5,"&lt;="&amp;D1627))</f>
        <v/>
      </c>
      <c r="G1627">
        <f>G1626+IF(D1627="",0,1)</f>
        <v/>
      </c>
    </row>
    <row r="1628">
      <c r="A1628">
        <f>IF('KG1-3'!$B30="","",'KG1-3'!$B30)</f>
        <v/>
      </c>
      <c r="B1628">
        <f>IF(A1628="","",'KG1-3'!$C30)</f>
        <v/>
      </c>
      <c r="C1628">
        <f>IF(A1628="","",'KG1-3'!$B$2)</f>
        <v/>
      </c>
      <c r="D1628" s="126">
        <f t="array" ref="D1628">IF(A1628="","",IFERROR(SMALL(IF((('KG1-3'!$AD30:$IM30="غياب بدون عذر")+('KG1-3'!$AD30:$IM30="غياب بعذر"))*('KG1-3'!$AD$7:$IM$7="✓"),'KG1-3'!$AD$5:$IM$5),7),""))</f>
        <v/>
      </c>
      <c r="E1628">
        <f>IF(D1628="","",INDEX('KG1-3'!$AD30:$IM30,MATCH(D1628,'KG1-3'!$AD$5:$IM$5,0)))</f>
        <v/>
      </c>
      <c r="F1628">
        <f>IF(D1628="","",COUNTIFS('KG1-3'!$AD30:$IM30,"غياب بدون عذر",'KG1-3'!$AD$7:$IM$7,"✓",'KG1-3'!$AD$5:$IM$5,"&lt;="&amp;D1628))</f>
        <v/>
      </c>
      <c r="G1628">
        <f>G1627+IF(D1628="",0,1)</f>
        <v/>
      </c>
    </row>
    <row r="1629">
      <c r="A1629">
        <f>IF('KG1-3'!$B30="","",'KG1-3'!$B30)</f>
        <v/>
      </c>
      <c r="B1629">
        <f>IF(A1629="","",'KG1-3'!$C30)</f>
        <v/>
      </c>
      <c r="C1629">
        <f>IF(A1629="","",'KG1-3'!$B$2)</f>
        <v/>
      </c>
      <c r="D1629" s="126">
        <f t="array" ref="D1629">IF(A1629="","",IFERROR(SMALL(IF((('KG1-3'!$AD30:$IM30="غياب بدون عذر")+('KG1-3'!$AD30:$IM30="غياب بعذر"))*('KG1-3'!$AD$7:$IM$7="✓"),'KG1-3'!$AD$5:$IM$5),8),""))</f>
        <v/>
      </c>
      <c r="E1629">
        <f>IF(D1629="","",INDEX('KG1-3'!$AD30:$IM30,MATCH(D1629,'KG1-3'!$AD$5:$IM$5,0)))</f>
        <v/>
      </c>
      <c r="F1629">
        <f>IF(D1629="","",COUNTIFS('KG1-3'!$AD30:$IM30,"غياب بدون عذر",'KG1-3'!$AD$7:$IM$7,"✓",'KG1-3'!$AD$5:$IM$5,"&lt;="&amp;D1629))</f>
        <v/>
      </c>
      <c r="G1629">
        <f>G1628+IF(D1629="",0,1)</f>
        <v/>
      </c>
    </row>
    <row r="1630">
      <c r="A1630">
        <f>IF('KG1-3'!$B30="","",'KG1-3'!$B30)</f>
        <v/>
      </c>
      <c r="B1630">
        <f>IF(A1630="","",'KG1-3'!$C30)</f>
        <v/>
      </c>
      <c r="C1630">
        <f>IF(A1630="","",'KG1-3'!$B$2)</f>
        <v/>
      </c>
      <c r="D1630" s="126">
        <f t="array" ref="D1630">IF(A1630="","",IFERROR(SMALL(IF((('KG1-3'!$AD30:$IM30="غياب بدون عذر")+('KG1-3'!$AD30:$IM30="غياب بعذر"))*('KG1-3'!$AD$7:$IM$7="✓"),'KG1-3'!$AD$5:$IM$5),9),""))</f>
        <v/>
      </c>
      <c r="E1630">
        <f>IF(D1630="","",INDEX('KG1-3'!$AD30:$IM30,MATCH(D1630,'KG1-3'!$AD$5:$IM$5,0)))</f>
        <v/>
      </c>
      <c r="F1630">
        <f>IF(D1630="","",COUNTIFS('KG1-3'!$AD30:$IM30,"غياب بدون عذر",'KG1-3'!$AD$7:$IM$7,"✓",'KG1-3'!$AD$5:$IM$5,"&lt;="&amp;D1630))</f>
        <v/>
      </c>
      <c r="G1630">
        <f>G1629+IF(D1630="",0,1)</f>
        <v/>
      </c>
    </row>
    <row r="1631">
      <c r="A1631">
        <f>IF('KG1-3'!$B30="","",'KG1-3'!$B30)</f>
        <v/>
      </c>
      <c r="B1631">
        <f>IF(A1631="","",'KG1-3'!$C30)</f>
        <v/>
      </c>
      <c r="C1631">
        <f>IF(A1631="","",'KG1-3'!$B$2)</f>
        <v/>
      </c>
      <c r="D1631" s="126">
        <f t="array" ref="D1631">IF(A1631="","",IFERROR(SMALL(IF((('KG1-3'!$AD30:$IM30="غياب بدون عذر")+('KG1-3'!$AD30:$IM30="غياب بعذر"))*('KG1-3'!$AD$7:$IM$7="✓"),'KG1-3'!$AD$5:$IM$5),10),""))</f>
        <v/>
      </c>
      <c r="E1631">
        <f>IF(D1631="","",INDEX('KG1-3'!$AD30:$IM30,MATCH(D1631,'KG1-3'!$AD$5:$IM$5,0)))</f>
        <v/>
      </c>
      <c r="F1631">
        <f>IF(D1631="","",COUNTIFS('KG1-3'!$AD30:$IM30,"غياب بدون عذر",'KG1-3'!$AD$7:$IM$7,"✓",'KG1-3'!$AD$5:$IM$5,"&lt;="&amp;D1631))</f>
        <v/>
      </c>
      <c r="G1631">
        <f>G1630+IF(D1631="",0,1)</f>
        <v/>
      </c>
    </row>
    <row r="1632">
      <c r="A1632">
        <f>IF('KG1-3'!$B30="","",'KG1-3'!$B30)</f>
        <v/>
      </c>
      <c r="B1632">
        <f>IF(A1632="","",'KG1-3'!$C30)</f>
        <v/>
      </c>
      <c r="C1632">
        <f>IF(A1632="","",'KG1-3'!$B$2)</f>
        <v/>
      </c>
      <c r="D1632" s="126">
        <f t="array" ref="D1632">IF(A1632="","",IFERROR(SMALL(IF((('KG1-3'!$AD30:$IM30="غياب بدون عذر")+('KG1-3'!$AD30:$IM30="غياب بعذر"))*('KG1-3'!$AD$7:$IM$7="✓"),'KG1-3'!$AD$5:$IM$5),11),""))</f>
        <v/>
      </c>
      <c r="E1632">
        <f>IF(D1632="","",INDEX('KG1-3'!$AD30:$IM30,MATCH(D1632,'KG1-3'!$AD$5:$IM$5,0)))</f>
        <v/>
      </c>
      <c r="F1632">
        <f>IF(D1632="","",COUNTIFS('KG1-3'!$AD30:$IM30,"غياب بدون عذر",'KG1-3'!$AD$7:$IM$7,"✓",'KG1-3'!$AD$5:$IM$5,"&lt;="&amp;D1632))</f>
        <v/>
      </c>
      <c r="G1632">
        <f>G1631+IF(D1632="",0,1)</f>
        <v/>
      </c>
    </row>
    <row r="1633">
      <c r="A1633">
        <f>IF('KG1-3'!$B30="","",'KG1-3'!$B30)</f>
        <v/>
      </c>
      <c r="B1633">
        <f>IF(A1633="","",'KG1-3'!$C30)</f>
        <v/>
      </c>
      <c r="C1633">
        <f>IF(A1633="","",'KG1-3'!$B$2)</f>
        <v/>
      </c>
      <c r="D1633" s="126">
        <f t="array" ref="D1633">IF(A1633="","",IFERROR(SMALL(IF((('KG1-3'!$AD30:$IM30="غياب بدون عذر")+('KG1-3'!$AD30:$IM30="غياب بعذر"))*('KG1-3'!$AD$7:$IM$7="✓"),'KG1-3'!$AD$5:$IM$5),12),""))</f>
        <v/>
      </c>
      <c r="E1633">
        <f>IF(D1633="","",INDEX('KG1-3'!$AD30:$IM30,MATCH(D1633,'KG1-3'!$AD$5:$IM$5,0)))</f>
        <v/>
      </c>
      <c r="F1633">
        <f>IF(D1633="","",COUNTIFS('KG1-3'!$AD30:$IM30,"غياب بدون عذر",'KG1-3'!$AD$7:$IM$7,"✓",'KG1-3'!$AD$5:$IM$5,"&lt;="&amp;D1633))</f>
        <v/>
      </c>
      <c r="G1633">
        <f>G1632+IF(D1633="",0,1)</f>
        <v/>
      </c>
    </row>
    <row r="1634">
      <c r="A1634">
        <f>IF('KG1-3'!$B30="","",'KG1-3'!$B30)</f>
        <v/>
      </c>
      <c r="B1634">
        <f>IF(A1634="","",'KG1-3'!$C30)</f>
        <v/>
      </c>
      <c r="C1634">
        <f>IF(A1634="","",'KG1-3'!$B$2)</f>
        <v/>
      </c>
      <c r="D1634" s="126">
        <f t="array" ref="D1634">IF(A1634="","",IFERROR(SMALL(IF((('KG1-3'!$AD30:$IM30="غياب بدون عذر")+('KG1-3'!$AD30:$IM30="غياب بعذر"))*('KG1-3'!$AD$7:$IM$7="✓"),'KG1-3'!$AD$5:$IM$5),13),""))</f>
        <v/>
      </c>
      <c r="E1634">
        <f>IF(D1634="","",INDEX('KG1-3'!$AD30:$IM30,MATCH(D1634,'KG1-3'!$AD$5:$IM$5,0)))</f>
        <v/>
      </c>
      <c r="F1634">
        <f>IF(D1634="","",COUNTIFS('KG1-3'!$AD30:$IM30,"غياب بدون عذر",'KG1-3'!$AD$7:$IM$7,"✓",'KG1-3'!$AD$5:$IM$5,"&lt;="&amp;D1634))</f>
        <v/>
      </c>
      <c r="G1634">
        <f>G1633+IF(D1634="",0,1)</f>
        <v/>
      </c>
    </row>
    <row r="1635">
      <c r="A1635">
        <f>IF('KG1-3'!$B30="","",'KG1-3'!$B30)</f>
        <v/>
      </c>
      <c r="B1635">
        <f>IF(A1635="","",'KG1-3'!$C30)</f>
        <v/>
      </c>
      <c r="C1635">
        <f>IF(A1635="","",'KG1-3'!$B$2)</f>
        <v/>
      </c>
      <c r="D1635" s="126">
        <f t="array" ref="D1635">IF(A1635="","",IFERROR(SMALL(IF((('KG1-3'!$AD30:$IM30="غياب بدون عذر")+('KG1-3'!$AD30:$IM30="غياب بعذر"))*('KG1-3'!$AD$7:$IM$7="✓"),'KG1-3'!$AD$5:$IM$5),14),""))</f>
        <v/>
      </c>
      <c r="E1635">
        <f>IF(D1635="","",INDEX('KG1-3'!$AD30:$IM30,MATCH(D1635,'KG1-3'!$AD$5:$IM$5,0)))</f>
        <v/>
      </c>
      <c r="F1635">
        <f>IF(D1635="","",COUNTIFS('KG1-3'!$AD30:$IM30,"غياب بدون عذر",'KG1-3'!$AD$7:$IM$7,"✓",'KG1-3'!$AD$5:$IM$5,"&lt;="&amp;D1635))</f>
        <v/>
      </c>
      <c r="G1635">
        <f>G1634+IF(D1635="",0,1)</f>
        <v/>
      </c>
    </row>
    <row r="1636">
      <c r="A1636">
        <f>IF('KG1-3'!$B30="","",'KG1-3'!$B30)</f>
        <v/>
      </c>
      <c r="B1636">
        <f>IF(A1636="","",'KG1-3'!$C30)</f>
        <v/>
      </c>
      <c r="C1636">
        <f>IF(A1636="","",'KG1-3'!$B$2)</f>
        <v/>
      </c>
      <c r="D1636" s="126">
        <f t="array" ref="D1636">IF(A1636="","",IFERROR(SMALL(IF((('KG1-3'!$AD30:$IM30="غياب بدون عذر")+('KG1-3'!$AD30:$IM30="غياب بعذر"))*('KG1-3'!$AD$7:$IM$7="✓"),'KG1-3'!$AD$5:$IM$5),15),""))</f>
        <v/>
      </c>
      <c r="E1636">
        <f>IF(D1636="","",INDEX('KG1-3'!$AD30:$IM30,MATCH(D1636,'KG1-3'!$AD$5:$IM$5,0)))</f>
        <v/>
      </c>
      <c r="F1636">
        <f>IF(D1636="","",COUNTIFS('KG1-3'!$AD30:$IM30,"غياب بدون عذر",'KG1-3'!$AD$7:$IM$7,"✓",'KG1-3'!$AD$5:$IM$5,"&lt;="&amp;D1636))</f>
        <v/>
      </c>
      <c r="G1636">
        <f>G1635+IF(D1636="",0,1)</f>
        <v/>
      </c>
    </row>
    <row r="1637">
      <c r="A1637">
        <f>IF('KG1-3'!$B30="","",'KG1-3'!$B30)</f>
        <v/>
      </c>
      <c r="B1637">
        <f>IF(A1637="","",'KG1-3'!$C30)</f>
        <v/>
      </c>
      <c r="C1637">
        <f>IF(A1637="","",'KG1-3'!$B$2)</f>
        <v/>
      </c>
      <c r="D1637" s="126">
        <f t="array" ref="D1637">IF(A1637="","",IFERROR(SMALL(IF((('KG1-3'!$AD30:$IM30="غياب بدون عذر")+('KG1-3'!$AD30:$IM30="غياب بعذر"))*('KG1-3'!$AD$7:$IM$7="✓"),'KG1-3'!$AD$5:$IM$5),16),""))</f>
        <v/>
      </c>
      <c r="E1637">
        <f>IF(D1637="","",INDEX('KG1-3'!$AD30:$IM30,MATCH(D1637,'KG1-3'!$AD$5:$IM$5,0)))</f>
        <v/>
      </c>
      <c r="F1637">
        <f>IF(D1637="","",COUNTIFS('KG1-3'!$AD30:$IM30,"غياب بدون عذر",'KG1-3'!$AD$7:$IM$7,"✓",'KG1-3'!$AD$5:$IM$5,"&lt;="&amp;D1637))</f>
        <v/>
      </c>
      <c r="G1637">
        <f>G1636+IF(D1637="",0,1)</f>
        <v/>
      </c>
    </row>
    <row r="1638">
      <c r="A1638">
        <f>IF('KG1-3'!$B30="","",'KG1-3'!$B30)</f>
        <v/>
      </c>
      <c r="B1638">
        <f>IF(A1638="","",'KG1-3'!$C30)</f>
        <v/>
      </c>
      <c r="C1638">
        <f>IF(A1638="","",'KG1-3'!$B$2)</f>
        <v/>
      </c>
      <c r="D1638" s="126">
        <f t="array" ref="D1638">IF(A1638="","",IFERROR(SMALL(IF((('KG1-3'!$AD30:$IM30="غياب بدون عذر")+('KG1-3'!$AD30:$IM30="غياب بعذر"))*('KG1-3'!$AD$7:$IM$7="✓"),'KG1-3'!$AD$5:$IM$5),17),""))</f>
        <v/>
      </c>
      <c r="E1638">
        <f>IF(D1638="","",INDEX('KG1-3'!$AD30:$IM30,MATCH(D1638,'KG1-3'!$AD$5:$IM$5,0)))</f>
        <v/>
      </c>
      <c r="F1638">
        <f>IF(D1638="","",COUNTIFS('KG1-3'!$AD30:$IM30,"غياب بدون عذر",'KG1-3'!$AD$7:$IM$7,"✓",'KG1-3'!$AD$5:$IM$5,"&lt;="&amp;D1638))</f>
        <v/>
      </c>
      <c r="G1638">
        <f>G1637+IF(D1638="",0,1)</f>
        <v/>
      </c>
    </row>
    <row r="1639">
      <c r="A1639">
        <f>IF('KG1-3'!$B30="","",'KG1-3'!$B30)</f>
        <v/>
      </c>
      <c r="B1639">
        <f>IF(A1639="","",'KG1-3'!$C30)</f>
        <v/>
      </c>
      <c r="C1639">
        <f>IF(A1639="","",'KG1-3'!$B$2)</f>
        <v/>
      </c>
      <c r="D1639" s="126">
        <f t="array" ref="D1639">IF(A1639="","",IFERROR(SMALL(IF((('KG1-3'!$AD30:$IM30="غياب بدون عذر")+('KG1-3'!$AD30:$IM30="غياب بعذر"))*('KG1-3'!$AD$7:$IM$7="✓"),'KG1-3'!$AD$5:$IM$5),18),""))</f>
        <v/>
      </c>
      <c r="E1639">
        <f>IF(D1639="","",INDEX('KG1-3'!$AD30:$IM30,MATCH(D1639,'KG1-3'!$AD$5:$IM$5,0)))</f>
        <v/>
      </c>
      <c r="F1639">
        <f>IF(D1639="","",COUNTIFS('KG1-3'!$AD30:$IM30,"غياب بدون عذر",'KG1-3'!$AD$7:$IM$7,"✓",'KG1-3'!$AD$5:$IM$5,"&lt;="&amp;D1639))</f>
        <v/>
      </c>
      <c r="G1639">
        <f>G1638+IF(D1639="",0,1)</f>
        <v/>
      </c>
    </row>
    <row r="1640">
      <c r="A1640">
        <f>IF('KG1-3'!$B30="","",'KG1-3'!$B30)</f>
        <v/>
      </c>
      <c r="B1640">
        <f>IF(A1640="","",'KG1-3'!$C30)</f>
        <v/>
      </c>
      <c r="C1640">
        <f>IF(A1640="","",'KG1-3'!$B$2)</f>
        <v/>
      </c>
      <c r="D1640" s="126">
        <f t="array" ref="D1640">IF(A1640="","",IFERROR(SMALL(IF((('KG1-3'!$AD30:$IM30="غياب بدون عذر")+('KG1-3'!$AD30:$IM30="غياب بعذر"))*('KG1-3'!$AD$7:$IM$7="✓"),'KG1-3'!$AD$5:$IM$5),19),""))</f>
        <v/>
      </c>
      <c r="E1640">
        <f>IF(D1640="","",INDEX('KG1-3'!$AD30:$IM30,MATCH(D1640,'KG1-3'!$AD$5:$IM$5,0)))</f>
        <v/>
      </c>
      <c r="F1640">
        <f>IF(D1640="","",COUNTIFS('KG1-3'!$AD30:$IM30,"غياب بدون عذر",'KG1-3'!$AD$7:$IM$7,"✓",'KG1-3'!$AD$5:$IM$5,"&lt;="&amp;D1640))</f>
        <v/>
      </c>
      <c r="G1640">
        <f>G1639+IF(D1640="",0,1)</f>
        <v/>
      </c>
    </row>
    <row r="1641">
      <c r="A1641">
        <f>IF('KG1-3'!$B30="","",'KG1-3'!$B30)</f>
        <v/>
      </c>
      <c r="B1641">
        <f>IF(A1641="","",'KG1-3'!$C30)</f>
        <v/>
      </c>
      <c r="C1641">
        <f>IF(A1641="","",'KG1-3'!$B$2)</f>
        <v/>
      </c>
      <c r="D1641" s="126">
        <f t="array" ref="D1641">IF(A1641="","",IFERROR(SMALL(IF((('KG1-3'!$AD30:$IM30="غياب بدون عذر")+('KG1-3'!$AD30:$IM30="غياب بعذر"))*('KG1-3'!$AD$7:$IM$7="✓"),'KG1-3'!$AD$5:$IM$5),20),""))</f>
        <v/>
      </c>
      <c r="E1641">
        <f>IF(D1641="","",INDEX('KG1-3'!$AD30:$IM30,MATCH(D1641,'KG1-3'!$AD$5:$IM$5,0)))</f>
        <v/>
      </c>
      <c r="F1641">
        <f>IF(D1641="","",COUNTIFS('KG1-3'!$AD30:$IM30,"غياب بدون عذر",'KG1-3'!$AD$7:$IM$7,"✓",'KG1-3'!$AD$5:$IM$5,"&lt;="&amp;D1641))</f>
        <v/>
      </c>
      <c r="G1641">
        <f>G1640+IF(D1641="",0,1)</f>
        <v/>
      </c>
    </row>
    <row r="1642">
      <c r="A1642">
        <f>IF('KG1-3'!$B31="","",'KG1-3'!$B31)</f>
        <v/>
      </c>
      <c r="B1642">
        <f>IF(A1642="","",'KG1-3'!$C31)</f>
        <v/>
      </c>
      <c r="C1642">
        <f>IF(A1642="","",'KG1-3'!$B$2)</f>
        <v/>
      </c>
      <c r="D1642" s="126">
        <f t="array" ref="D1642">IF(A1642="","",IFERROR(SMALL(IF((('KG1-3'!$AD31:$IM31="غياب بدون عذر")+('KG1-3'!$AD31:$IM31="غياب بعذر"))*('KG1-3'!$AD$7:$IM$7="✓"),'KG1-3'!$AD$5:$IM$5),1),""))</f>
        <v/>
      </c>
      <c r="E1642">
        <f>IF(D1642="","",INDEX('KG1-3'!$AD31:$IM31,MATCH(D1642,'KG1-3'!$AD$5:$IM$5,0)))</f>
        <v/>
      </c>
      <c r="F1642">
        <f>IF(D1642="","",COUNTIFS('KG1-3'!$AD31:$IM31,"غياب بدون عذر",'KG1-3'!$AD$7:$IM$7,"✓",'KG1-3'!$AD$5:$IM$5,"&lt;="&amp;D1642))</f>
        <v/>
      </c>
      <c r="G1642">
        <f>G1641+IF(D1642="",0,1)</f>
        <v/>
      </c>
    </row>
    <row r="1643">
      <c r="A1643">
        <f>IF('KG1-3'!$B31="","",'KG1-3'!$B31)</f>
        <v/>
      </c>
      <c r="B1643">
        <f>IF(A1643="","",'KG1-3'!$C31)</f>
        <v/>
      </c>
      <c r="C1643">
        <f>IF(A1643="","",'KG1-3'!$B$2)</f>
        <v/>
      </c>
      <c r="D1643" s="126">
        <f t="array" ref="D1643">IF(A1643="","",IFERROR(SMALL(IF((('KG1-3'!$AD31:$IM31="غياب بدون عذر")+('KG1-3'!$AD31:$IM31="غياب بعذر"))*('KG1-3'!$AD$7:$IM$7="✓"),'KG1-3'!$AD$5:$IM$5),2),""))</f>
        <v/>
      </c>
      <c r="E1643">
        <f>IF(D1643="","",INDEX('KG1-3'!$AD31:$IM31,MATCH(D1643,'KG1-3'!$AD$5:$IM$5,0)))</f>
        <v/>
      </c>
      <c r="F1643">
        <f>IF(D1643="","",COUNTIFS('KG1-3'!$AD31:$IM31,"غياب بدون عذر",'KG1-3'!$AD$7:$IM$7,"✓",'KG1-3'!$AD$5:$IM$5,"&lt;="&amp;D1643))</f>
        <v/>
      </c>
      <c r="G1643">
        <f>G1642+IF(D1643="",0,1)</f>
        <v/>
      </c>
    </row>
    <row r="1644">
      <c r="A1644">
        <f>IF('KG1-3'!$B31="","",'KG1-3'!$B31)</f>
        <v/>
      </c>
      <c r="B1644">
        <f>IF(A1644="","",'KG1-3'!$C31)</f>
        <v/>
      </c>
      <c r="C1644">
        <f>IF(A1644="","",'KG1-3'!$B$2)</f>
        <v/>
      </c>
      <c r="D1644" s="126">
        <f t="array" ref="D1644">IF(A1644="","",IFERROR(SMALL(IF((('KG1-3'!$AD31:$IM31="غياب بدون عذر")+('KG1-3'!$AD31:$IM31="غياب بعذر"))*('KG1-3'!$AD$7:$IM$7="✓"),'KG1-3'!$AD$5:$IM$5),3),""))</f>
        <v/>
      </c>
      <c r="E1644">
        <f>IF(D1644="","",INDEX('KG1-3'!$AD31:$IM31,MATCH(D1644,'KG1-3'!$AD$5:$IM$5,0)))</f>
        <v/>
      </c>
      <c r="F1644">
        <f>IF(D1644="","",COUNTIFS('KG1-3'!$AD31:$IM31,"غياب بدون عذر",'KG1-3'!$AD$7:$IM$7,"✓",'KG1-3'!$AD$5:$IM$5,"&lt;="&amp;D1644))</f>
        <v/>
      </c>
      <c r="G1644">
        <f>G1643+IF(D1644="",0,1)</f>
        <v/>
      </c>
    </row>
    <row r="1645">
      <c r="A1645">
        <f>IF('KG1-3'!$B31="","",'KG1-3'!$B31)</f>
        <v/>
      </c>
      <c r="B1645">
        <f>IF(A1645="","",'KG1-3'!$C31)</f>
        <v/>
      </c>
      <c r="C1645">
        <f>IF(A1645="","",'KG1-3'!$B$2)</f>
        <v/>
      </c>
      <c r="D1645" s="126">
        <f t="array" ref="D1645">IF(A1645="","",IFERROR(SMALL(IF((('KG1-3'!$AD31:$IM31="غياب بدون عذر")+('KG1-3'!$AD31:$IM31="غياب بعذر"))*('KG1-3'!$AD$7:$IM$7="✓"),'KG1-3'!$AD$5:$IM$5),4),""))</f>
        <v/>
      </c>
      <c r="E1645">
        <f>IF(D1645="","",INDEX('KG1-3'!$AD31:$IM31,MATCH(D1645,'KG1-3'!$AD$5:$IM$5,0)))</f>
        <v/>
      </c>
      <c r="F1645">
        <f>IF(D1645="","",COUNTIFS('KG1-3'!$AD31:$IM31,"غياب بدون عذر",'KG1-3'!$AD$7:$IM$7,"✓",'KG1-3'!$AD$5:$IM$5,"&lt;="&amp;D1645))</f>
        <v/>
      </c>
      <c r="G1645">
        <f>G1644+IF(D1645="",0,1)</f>
        <v/>
      </c>
    </row>
    <row r="1646">
      <c r="A1646">
        <f>IF('KG1-3'!$B31="","",'KG1-3'!$B31)</f>
        <v/>
      </c>
      <c r="B1646">
        <f>IF(A1646="","",'KG1-3'!$C31)</f>
        <v/>
      </c>
      <c r="C1646">
        <f>IF(A1646="","",'KG1-3'!$B$2)</f>
        <v/>
      </c>
      <c r="D1646" s="126">
        <f t="array" ref="D1646">IF(A1646="","",IFERROR(SMALL(IF((('KG1-3'!$AD31:$IM31="غياب بدون عذر")+('KG1-3'!$AD31:$IM31="غياب بعذر"))*('KG1-3'!$AD$7:$IM$7="✓"),'KG1-3'!$AD$5:$IM$5),5),""))</f>
        <v/>
      </c>
      <c r="E1646">
        <f>IF(D1646="","",INDEX('KG1-3'!$AD31:$IM31,MATCH(D1646,'KG1-3'!$AD$5:$IM$5,0)))</f>
        <v/>
      </c>
      <c r="F1646">
        <f>IF(D1646="","",COUNTIFS('KG1-3'!$AD31:$IM31,"غياب بدون عذر",'KG1-3'!$AD$7:$IM$7,"✓",'KG1-3'!$AD$5:$IM$5,"&lt;="&amp;D1646))</f>
        <v/>
      </c>
      <c r="G1646">
        <f>G1645+IF(D1646="",0,1)</f>
        <v/>
      </c>
    </row>
    <row r="1647">
      <c r="A1647">
        <f>IF('KG1-3'!$B31="","",'KG1-3'!$B31)</f>
        <v/>
      </c>
      <c r="B1647">
        <f>IF(A1647="","",'KG1-3'!$C31)</f>
        <v/>
      </c>
      <c r="C1647">
        <f>IF(A1647="","",'KG1-3'!$B$2)</f>
        <v/>
      </c>
      <c r="D1647" s="126">
        <f t="array" ref="D1647">IF(A1647="","",IFERROR(SMALL(IF((('KG1-3'!$AD31:$IM31="غياب بدون عذر")+('KG1-3'!$AD31:$IM31="غياب بعذر"))*('KG1-3'!$AD$7:$IM$7="✓"),'KG1-3'!$AD$5:$IM$5),6),""))</f>
        <v/>
      </c>
      <c r="E1647">
        <f>IF(D1647="","",INDEX('KG1-3'!$AD31:$IM31,MATCH(D1647,'KG1-3'!$AD$5:$IM$5,0)))</f>
        <v/>
      </c>
      <c r="F1647">
        <f>IF(D1647="","",COUNTIFS('KG1-3'!$AD31:$IM31,"غياب بدون عذر",'KG1-3'!$AD$7:$IM$7,"✓",'KG1-3'!$AD$5:$IM$5,"&lt;="&amp;D1647))</f>
        <v/>
      </c>
      <c r="G1647">
        <f>G1646+IF(D1647="",0,1)</f>
        <v/>
      </c>
    </row>
    <row r="1648">
      <c r="A1648">
        <f>IF('KG1-3'!$B31="","",'KG1-3'!$B31)</f>
        <v/>
      </c>
      <c r="B1648">
        <f>IF(A1648="","",'KG1-3'!$C31)</f>
        <v/>
      </c>
      <c r="C1648">
        <f>IF(A1648="","",'KG1-3'!$B$2)</f>
        <v/>
      </c>
      <c r="D1648" s="126">
        <f t="array" ref="D1648">IF(A1648="","",IFERROR(SMALL(IF((('KG1-3'!$AD31:$IM31="غياب بدون عذر")+('KG1-3'!$AD31:$IM31="غياب بعذر"))*('KG1-3'!$AD$7:$IM$7="✓"),'KG1-3'!$AD$5:$IM$5),7),""))</f>
        <v/>
      </c>
      <c r="E1648">
        <f>IF(D1648="","",INDEX('KG1-3'!$AD31:$IM31,MATCH(D1648,'KG1-3'!$AD$5:$IM$5,0)))</f>
        <v/>
      </c>
      <c r="F1648">
        <f>IF(D1648="","",COUNTIFS('KG1-3'!$AD31:$IM31,"غياب بدون عذر",'KG1-3'!$AD$7:$IM$7,"✓",'KG1-3'!$AD$5:$IM$5,"&lt;="&amp;D1648))</f>
        <v/>
      </c>
      <c r="G1648">
        <f>G1647+IF(D1648="",0,1)</f>
        <v/>
      </c>
    </row>
    <row r="1649">
      <c r="A1649">
        <f>IF('KG1-3'!$B31="","",'KG1-3'!$B31)</f>
        <v/>
      </c>
      <c r="B1649">
        <f>IF(A1649="","",'KG1-3'!$C31)</f>
        <v/>
      </c>
      <c r="C1649">
        <f>IF(A1649="","",'KG1-3'!$B$2)</f>
        <v/>
      </c>
      <c r="D1649" s="126">
        <f t="array" ref="D1649">IF(A1649="","",IFERROR(SMALL(IF((('KG1-3'!$AD31:$IM31="غياب بدون عذر")+('KG1-3'!$AD31:$IM31="غياب بعذر"))*('KG1-3'!$AD$7:$IM$7="✓"),'KG1-3'!$AD$5:$IM$5),8),""))</f>
        <v/>
      </c>
      <c r="E1649">
        <f>IF(D1649="","",INDEX('KG1-3'!$AD31:$IM31,MATCH(D1649,'KG1-3'!$AD$5:$IM$5,0)))</f>
        <v/>
      </c>
      <c r="F1649">
        <f>IF(D1649="","",COUNTIFS('KG1-3'!$AD31:$IM31,"غياب بدون عذر",'KG1-3'!$AD$7:$IM$7,"✓",'KG1-3'!$AD$5:$IM$5,"&lt;="&amp;D1649))</f>
        <v/>
      </c>
      <c r="G1649">
        <f>G1648+IF(D1649="",0,1)</f>
        <v/>
      </c>
    </row>
    <row r="1650">
      <c r="A1650">
        <f>IF('KG1-3'!$B31="","",'KG1-3'!$B31)</f>
        <v/>
      </c>
      <c r="B1650">
        <f>IF(A1650="","",'KG1-3'!$C31)</f>
        <v/>
      </c>
      <c r="C1650">
        <f>IF(A1650="","",'KG1-3'!$B$2)</f>
        <v/>
      </c>
      <c r="D1650" s="126">
        <f t="array" ref="D1650">IF(A1650="","",IFERROR(SMALL(IF((('KG1-3'!$AD31:$IM31="غياب بدون عذر")+('KG1-3'!$AD31:$IM31="غياب بعذر"))*('KG1-3'!$AD$7:$IM$7="✓"),'KG1-3'!$AD$5:$IM$5),9),""))</f>
        <v/>
      </c>
      <c r="E1650">
        <f>IF(D1650="","",INDEX('KG1-3'!$AD31:$IM31,MATCH(D1650,'KG1-3'!$AD$5:$IM$5,0)))</f>
        <v/>
      </c>
      <c r="F1650">
        <f>IF(D1650="","",COUNTIFS('KG1-3'!$AD31:$IM31,"غياب بدون عذر",'KG1-3'!$AD$7:$IM$7,"✓",'KG1-3'!$AD$5:$IM$5,"&lt;="&amp;D1650))</f>
        <v/>
      </c>
      <c r="G1650">
        <f>G1649+IF(D1650="",0,1)</f>
        <v/>
      </c>
    </row>
    <row r="1651">
      <c r="A1651">
        <f>IF('KG1-3'!$B31="","",'KG1-3'!$B31)</f>
        <v/>
      </c>
      <c r="B1651">
        <f>IF(A1651="","",'KG1-3'!$C31)</f>
        <v/>
      </c>
      <c r="C1651">
        <f>IF(A1651="","",'KG1-3'!$B$2)</f>
        <v/>
      </c>
      <c r="D1651" s="126">
        <f t="array" ref="D1651">IF(A1651="","",IFERROR(SMALL(IF((('KG1-3'!$AD31:$IM31="غياب بدون عذر")+('KG1-3'!$AD31:$IM31="غياب بعذر"))*('KG1-3'!$AD$7:$IM$7="✓"),'KG1-3'!$AD$5:$IM$5),10),""))</f>
        <v/>
      </c>
      <c r="E1651">
        <f>IF(D1651="","",INDEX('KG1-3'!$AD31:$IM31,MATCH(D1651,'KG1-3'!$AD$5:$IM$5,0)))</f>
        <v/>
      </c>
      <c r="F1651">
        <f>IF(D1651="","",COUNTIFS('KG1-3'!$AD31:$IM31,"غياب بدون عذر",'KG1-3'!$AD$7:$IM$7,"✓",'KG1-3'!$AD$5:$IM$5,"&lt;="&amp;D1651))</f>
        <v/>
      </c>
      <c r="G1651">
        <f>G1650+IF(D1651="",0,1)</f>
        <v/>
      </c>
    </row>
    <row r="1652">
      <c r="A1652">
        <f>IF('KG1-3'!$B31="","",'KG1-3'!$B31)</f>
        <v/>
      </c>
      <c r="B1652">
        <f>IF(A1652="","",'KG1-3'!$C31)</f>
        <v/>
      </c>
      <c r="C1652">
        <f>IF(A1652="","",'KG1-3'!$B$2)</f>
        <v/>
      </c>
      <c r="D1652" s="126">
        <f t="array" ref="D1652">IF(A1652="","",IFERROR(SMALL(IF((('KG1-3'!$AD31:$IM31="غياب بدون عذر")+('KG1-3'!$AD31:$IM31="غياب بعذر"))*('KG1-3'!$AD$7:$IM$7="✓"),'KG1-3'!$AD$5:$IM$5),11),""))</f>
        <v/>
      </c>
      <c r="E1652">
        <f>IF(D1652="","",INDEX('KG1-3'!$AD31:$IM31,MATCH(D1652,'KG1-3'!$AD$5:$IM$5,0)))</f>
        <v/>
      </c>
      <c r="F1652">
        <f>IF(D1652="","",COUNTIFS('KG1-3'!$AD31:$IM31,"غياب بدون عذر",'KG1-3'!$AD$7:$IM$7,"✓",'KG1-3'!$AD$5:$IM$5,"&lt;="&amp;D1652))</f>
        <v/>
      </c>
      <c r="G1652">
        <f>G1651+IF(D1652="",0,1)</f>
        <v/>
      </c>
    </row>
    <row r="1653">
      <c r="A1653">
        <f>IF('KG1-3'!$B31="","",'KG1-3'!$B31)</f>
        <v/>
      </c>
      <c r="B1653">
        <f>IF(A1653="","",'KG1-3'!$C31)</f>
        <v/>
      </c>
      <c r="C1653">
        <f>IF(A1653="","",'KG1-3'!$B$2)</f>
        <v/>
      </c>
      <c r="D1653" s="126">
        <f t="array" ref="D1653">IF(A1653="","",IFERROR(SMALL(IF((('KG1-3'!$AD31:$IM31="غياب بدون عذر")+('KG1-3'!$AD31:$IM31="غياب بعذر"))*('KG1-3'!$AD$7:$IM$7="✓"),'KG1-3'!$AD$5:$IM$5),12),""))</f>
        <v/>
      </c>
      <c r="E1653">
        <f>IF(D1653="","",INDEX('KG1-3'!$AD31:$IM31,MATCH(D1653,'KG1-3'!$AD$5:$IM$5,0)))</f>
        <v/>
      </c>
      <c r="F1653">
        <f>IF(D1653="","",COUNTIFS('KG1-3'!$AD31:$IM31,"غياب بدون عذر",'KG1-3'!$AD$7:$IM$7,"✓",'KG1-3'!$AD$5:$IM$5,"&lt;="&amp;D1653))</f>
        <v/>
      </c>
      <c r="G1653">
        <f>G1652+IF(D1653="",0,1)</f>
        <v/>
      </c>
    </row>
    <row r="1654">
      <c r="A1654">
        <f>IF('KG1-3'!$B31="","",'KG1-3'!$B31)</f>
        <v/>
      </c>
      <c r="B1654">
        <f>IF(A1654="","",'KG1-3'!$C31)</f>
        <v/>
      </c>
      <c r="C1654">
        <f>IF(A1654="","",'KG1-3'!$B$2)</f>
        <v/>
      </c>
      <c r="D1654" s="126">
        <f t="array" ref="D1654">IF(A1654="","",IFERROR(SMALL(IF((('KG1-3'!$AD31:$IM31="غياب بدون عذر")+('KG1-3'!$AD31:$IM31="غياب بعذر"))*('KG1-3'!$AD$7:$IM$7="✓"),'KG1-3'!$AD$5:$IM$5),13),""))</f>
        <v/>
      </c>
      <c r="E1654">
        <f>IF(D1654="","",INDEX('KG1-3'!$AD31:$IM31,MATCH(D1654,'KG1-3'!$AD$5:$IM$5,0)))</f>
        <v/>
      </c>
      <c r="F1654">
        <f>IF(D1654="","",COUNTIFS('KG1-3'!$AD31:$IM31,"غياب بدون عذر",'KG1-3'!$AD$7:$IM$7,"✓",'KG1-3'!$AD$5:$IM$5,"&lt;="&amp;D1654))</f>
        <v/>
      </c>
      <c r="G1654">
        <f>G1653+IF(D1654="",0,1)</f>
        <v/>
      </c>
    </row>
    <row r="1655">
      <c r="A1655">
        <f>IF('KG1-3'!$B31="","",'KG1-3'!$B31)</f>
        <v/>
      </c>
      <c r="B1655">
        <f>IF(A1655="","",'KG1-3'!$C31)</f>
        <v/>
      </c>
      <c r="C1655">
        <f>IF(A1655="","",'KG1-3'!$B$2)</f>
        <v/>
      </c>
      <c r="D1655" s="126">
        <f t="array" ref="D1655">IF(A1655="","",IFERROR(SMALL(IF((('KG1-3'!$AD31:$IM31="غياب بدون عذر")+('KG1-3'!$AD31:$IM31="غياب بعذر"))*('KG1-3'!$AD$7:$IM$7="✓"),'KG1-3'!$AD$5:$IM$5),14),""))</f>
        <v/>
      </c>
      <c r="E1655">
        <f>IF(D1655="","",INDEX('KG1-3'!$AD31:$IM31,MATCH(D1655,'KG1-3'!$AD$5:$IM$5,0)))</f>
        <v/>
      </c>
      <c r="F1655">
        <f>IF(D1655="","",COUNTIFS('KG1-3'!$AD31:$IM31,"غياب بدون عذر",'KG1-3'!$AD$7:$IM$7,"✓",'KG1-3'!$AD$5:$IM$5,"&lt;="&amp;D1655))</f>
        <v/>
      </c>
      <c r="G1655">
        <f>G1654+IF(D1655="",0,1)</f>
        <v/>
      </c>
    </row>
    <row r="1656">
      <c r="A1656">
        <f>IF('KG1-3'!$B31="","",'KG1-3'!$B31)</f>
        <v/>
      </c>
      <c r="B1656">
        <f>IF(A1656="","",'KG1-3'!$C31)</f>
        <v/>
      </c>
      <c r="C1656">
        <f>IF(A1656="","",'KG1-3'!$B$2)</f>
        <v/>
      </c>
      <c r="D1656" s="126">
        <f t="array" ref="D1656">IF(A1656="","",IFERROR(SMALL(IF((('KG1-3'!$AD31:$IM31="غياب بدون عذر")+('KG1-3'!$AD31:$IM31="غياب بعذر"))*('KG1-3'!$AD$7:$IM$7="✓"),'KG1-3'!$AD$5:$IM$5),15),""))</f>
        <v/>
      </c>
      <c r="E1656">
        <f>IF(D1656="","",INDEX('KG1-3'!$AD31:$IM31,MATCH(D1656,'KG1-3'!$AD$5:$IM$5,0)))</f>
        <v/>
      </c>
      <c r="F1656">
        <f>IF(D1656="","",COUNTIFS('KG1-3'!$AD31:$IM31,"غياب بدون عذر",'KG1-3'!$AD$7:$IM$7,"✓",'KG1-3'!$AD$5:$IM$5,"&lt;="&amp;D1656))</f>
        <v/>
      </c>
      <c r="G1656">
        <f>G1655+IF(D1656="",0,1)</f>
        <v/>
      </c>
    </row>
    <row r="1657">
      <c r="A1657">
        <f>IF('KG1-3'!$B31="","",'KG1-3'!$B31)</f>
        <v/>
      </c>
      <c r="B1657">
        <f>IF(A1657="","",'KG1-3'!$C31)</f>
        <v/>
      </c>
      <c r="C1657">
        <f>IF(A1657="","",'KG1-3'!$B$2)</f>
        <v/>
      </c>
      <c r="D1657" s="126">
        <f t="array" ref="D1657">IF(A1657="","",IFERROR(SMALL(IF((('KG1-3'!$AD31:$IM31="غياب بدون عذر")+('KG1-3'!$AD31:$IM31="غياب بعذر"))*('KG1-3'!$AD$7:$IM$7="✓"),'KG1-3'!$AD$5:$IM$5),16),""))</f>
        <v/>
      </c>
      <c r="E1657">
        <f>IF(D1657="","",INDEX('KG1-3'!$AD31:$IM31,MATCH(D1657,'KG1-3'!$AD$5:$IM$5,0)))</f>
        <v/>
      </c>
      <c r="F1657">
        <f>IF(D1657="","",COUNTIFS('KG1-3'!$AD31:$IM31,"غياب بدون عذر",'KG1-3'!$AD$7:$IM$7,"✓",'KG1-3'!$AD$5:$IM$5,"&lt;="&amp;D1657))</f>
        <v/>
      </c>
      <c r="G1657">
        <f>G1656+IF(D1657="",0,1)</f>
        <v/>
      </c>
    </row>
    <row r="1658">
      <c r="A1658">
        <f>IF('KG1-3'!$B31="","",'KG1-3'!$B31)</f>
        <v/>
      </c>
      <c r="B1658">
        <f>IF(A1658="","",'KG1-3'!$C31)</f>
        <v/>
      </c>
      <c r="C1658">
        <f>IF(A1658="","",'KG1-3'!$B$2)</f>
        <v/>
      </c>
      <c r="D1658" s="126">
        <f t="array" ref="D1658">IF(A1658="","",IFERROR(SMALL(IF((('KG1-3'!$AD31:$IM31="غياب بدون عذر")+('KG1-3'!$AD31:$IM31="غياب بعذر"))*('KG1-3'!$AD$7:$IM$7="✓"),'KG1-3'!$AD$5:$IM$5),17),""))</f>
        <v/>
      </c>
      <c r="E1658">
        <f>IF(D1658="","",INDEX('KG1-3'!$AD31:$IM31,MATCH(D1658,'KG1-3'!$AD$5:$IM$5,0)))</f>
        <v/>
      </c>
      <c r="F1658">
        <f>IF(D1658="","",COUNTIFS('KG1-3'!$AD31:$IM31,"غياب بدون عذر",'KG1-3'!$AD$7:$IM$7,"✓",'KG1-3'!$AD$5:$IM$5,"&lt;="&amp;D1658))</f>
        <v/>
      </c>
      <c r="G1658">
        <f>G1657+IF(D1658="",0,1)</f>
        <v/>
      </c>
    </row>
    <row r="1659">
      <c r="A1659">
        <f>IF('KG1-3'!$B31="","",'KG1-3'!$B31)</f>
        <v/>
      </c>
      <c r="B1659">
        <f>IF(A1659="","",'KG1-3'!$C31)</f>
        <v/>
      </c>
      <c r="C1659">
        <f>IF(A1659="","",'KG1-3'!$B$2)</f>
        <v/>
      </c>
      <c r="D1659" s="126">
        <f t="array" ref="D1659">IF(A1659="","",IFERROR(SMALL(IF((('KG1-3'!$AD31:$IM31="غياب بدون عذر")+('KG1-3'!$AD31:$IM31="غياب بعذر"))*('KG1-3'!$AD$7:$IM$7="✓"),'KG1-3'!$AD$5:$IM$5),18),""))</f>
        <v/>
      </c>
      <c r="E1659">
        <f>IF(D1659="","",INDEX('KG1-3'!$AD31:$IM31,MATCH(D1659,'KG1-3'!$AD$5:$IM$5,0)))</f>
        <v/>
      </c>
      <c r="F1659">
        <f>IF(D1659="","",COUNTIFS('KG1-3'!$AD31:$IM31,"غياب بدون عذر",'KG1-3'!$AD$7:$IM$7,"✓",'KG1-3'!$AD$5:$IM$5,"&lt;="&amp;D1659))</f>
        <v/>
      </c>
      <c r="G1659">
        <f>G1658+IF(D1659="",0,1)</f>
        <v/>
      </c>
    </row>
    <row r="1660">
      <c r="A1660">
        <f>IF('KG1-3'!$B31="","",'KG1-3'!$B31)</f>
        <v/>
      </c>
      <c r="B1660">
        <f>IF(A1660="","",'KG1-3'!$C31)</f>
        <v/>
      </c>
      <c r="C1660">
        <f>IF(A1660="","",'KG1-3'!$B$2)</f>
        <v/>
      </c>
      <c r="D1660" s="126">
        <f t="array" ref="D1660">IF(A1660="","",IFERROR(SMALL(IF((('KG1-3'!$AD31:$IM31="غياب بدون عذر")+('KG1-3'!$AD31:$IM31="غياب بعذر"))*('KG1-3'!$AD$7:$IM$7="✓"),'KG1-3'!$AD$5:$IM$5),19),""))</f>
        <v/>
      </c>
      <c r="E1660">
        <f>IF(D1660="","",INDEX('KG1-3'!$AD31:$IM31,MATCH(D1660,'KG1-3'!$AD$5:$IM$5,0)))</f>
        <v/>
      </c>
      <c r="F1660">
        <f>IF(D1660="","",COUNTIFS('KG1-3'!$AD31:$IM31,"غياب بدون عذر",'KG1-3'!$AD$7:$IM$7,"✓",'KG1-3'!$AD$5:$IM$5,"&lt;="&amp;D1660))</f>
        <v/>
      </c>
      <c r="G1660">
        <f>G1659+IF(D1660="",0,1)</f>
        <v/>
      </c>
    </row>
    <row r="1661">
      <c r="A1661">
        <f>IF('KG1-3'!$B31="","",'KG1-3'!$B31)</f>
        <v/>
      </c>
      <c r="B1661">
        <f>IF(A1661="","",'KG1-3'!$C31)</f>
        <v/>
      </c>
      <c r="C1661">
        <f>IF(A1661="","",'KG1-3'!$B$2)</f>
        <v/>
      </c>
      <c r="D1661" s="126">
        <f t="array" ref="D1661">IF(A1661="","",IFERROR(SMALL(IF((('KG1-3'!$AD31:$IM31="غياب بدون عذر")+('KG1-3'!$AD31:$IM31="غياب بعذر"))*('KG1-3'!$AD$7:$IM$7="✓"),'KG1-3'!$AD$5:$IM$5),20),""))</f>
        <v/>
      </c>
      <c r="E1661">
        <f>IF(D1661="","",INDEX('KG1-3'!$AD31:$IM31,MATCH(D1661,'KG1-3'!$AD$5:$IM$5,0)))</f>
        <v/>
      </c>
      <c r="F1661">
        <f>IF(D1661="","",COUNTIFS('KG1-3'!$AD31:$IM31,"غياب بدون عذر",'KG1-3'!$AD$7:$IM$7,"✓",'KG1-3'!$AD$5:$IM$5,"&lt;="&amp;D1661))</f>
        <v/>
      </c>
      <c r="G1661">
        <f>G1660+IF(D1661="",0,1)</f>
        <v/>
      </c>
    </row>
    <row r="1662">
      <c r="A1662">
        <f>IF('KG1-3'!$B32="","",'KG1-3'!$B32)</f>
        <v/>
      </c>
      <c r="B1662">
        <f>IF(A1662="","",'KG1-3'!$C32)</f>
        <v/>
      </c>
      <c r="C1662">
        <f>IF(A1662="","",'KG1-3'!$B$2)</f>
        <v/>
      </c>
      <c r="D1662" s="126">
        <f t="array" ref="D1662">IF(A1662="","",IFERROR(SMALL(IF((('KG1-3'!$AD32:$IM32="غياب بدون عذر")+('KG1-3'!$AD32:$IM32="غياب بعذر"))*('KG1-3'!$AD$7:$IM$7="✓"),'KG1-3'!$AD$5:$IM$5),1),""))</f>
        <v/>
      </c>
      <c r="E1662">
        <f>IF(D1662="","",INDEX('KG1-3'!$AD32:$IM32,MATCH(D1662,'KG1-3'!$AD$5:$IM$5,0)))</f>
        <v/>
      </c>
      <c r="F1662">
        <f>IF(D1662="","",COUNTIFS('KG1-3'!$AD32:$IM32,"غياب بدون عذر",'KG1-3'!$AD$7:$IM$7,"✓",'KG1-3'!$AD$5:$IM$5,"&lt;="&amp;D1662))</f>
        <v/>
      </c>
      <c r="G1662">
        <f>G1661+IF(D1662="",0,1)</f>
        <v/>
      </c>
    </row>
    <row r="1663">
      <c r="A1663">
        <f>IF('KG1-3'!$B32="","",'KG1-3'!$B32)</f>
        <v/>
      </c>
      <c r="B1663">
        <f>IF(A1663="","",'KG1-3'!$C32)</f>
        <v/>
      </c>
      <c r="C1663">
        <f>IF(A1663="","",'KG1-3'!$B$2)</f>
        <v/>
      </c>
      <c r="D1663" s="126">
        <f t="array" ref="D1663">IF(A1663="","",IFERROR(SMALL(IF((('KG1-3'!$AD32:$IM32="غياب بدون عذر")+('KG1-3'!$AD32:$IM32="غياب بعذر"))*('KG1-3'!$AD$7:$IM$7="✓"),'KG1-3'!$AD$5:$IM$5),2),""))</f>
        <v/>
      </c>
      <c r="E1663">
        <f>IF(D1663="","",INDEX('KG1-3'!$AD32:$IM32,MATCH(D1663,'KG1-3'!$AD$5:$IM$5,0)))</f>
        <v/>
      </c>
      <c r="F1663">
        <f>IF(D1663="","",COUNTIFS('KG1-3'!$AD32:$IM32,"غياب بدون عذر",'KG1-3'!$AD$7:$IM$7,"✓",'KG1-3'!$AD$5:$IM$5,"&lt;="&amp;D1663))</f>
        <v/>
      </c>
      <c r="G1663">
        <f>G1662+IF(D1663="",0,1)</f>
        <v/>
      </c>
    </row>
    <row r="1664">
      <c r="A1664">
        <f>IF('KG1-3'!$B32="","",'KG1-3'!$B32)</f>
        <v/>
      </c>
      <c r="B1664">
        <f>IF(A1664="","",'KG1-3'!$C32)</f>
        <v/>
      </c>
      <c r="C1664">
        <f>IF(A1664="","",'KG1-3'!$B$2)</f>
        <v/>
      </c>
      <c r="D1664" s="126">
        <f t="array" ref="D1664">IF(A1664="","",IFERROR(SMALL(IF((('KG1-3'!$AD32:$IM32="غياب بدون عذر")+('KG1-3'!$AD32:$IM32="غياب بعذر"))*('KG1-3'!$AD$7:$IM$7="✓"),'KG1-3'!$AD$5:$IM$5),3),""))</f>
        <v/>
      </c>
      <c r="E1664">
        <f>IF(D1664="","",INDEX('KG1-3'!$AD32:$IM32,MATCH(D1664,'KG1-3'!$AD$5:$IM$5,0)))</f>
        <v/>
      </c>
      <c r="F1664">
        <f>IF(D1664="","",COUNTIFS('KG1-3'!$AD32:$IM32,"غياب بدون عذر",'KG1-3'!$AD$7:$IM$7,"✓",'KG1-3'!$AD$5:$IM$5,"&lt;="&amp;D1664))</f>
        <v/>
      </c>
      <c r="G1664">
        <f>G1663+IF(D1664="",0,1)</f>
        <v/>
      </c>
    </row>
    <row r="1665">
      <c r="A1665">
        <f>IF('KG1-3'!$B32="","",'KG1-3'!$B32)</f>
        <v/>
      </c>
      <c r="B1665">
        <f>IF(A1665="","",'KG1-3'!$C32)</f>
        <v/>
      </c>
      <c r="C1665">
        <f>IF(A1665="","",'KG1-3'!$B$2)</f>
        <v/>
      </c>
      <c r="D1665" s="126">
        <f t="array" ref="D1665">IF(A1665="","",IFERROR(SMALL(IF((('KG1-3'!$AD32:$IM32="غياب بدون عذر")+('KG1-3'!$AD32:$IM32="غياب بعذر"))*('KG1-3'!$AD$7:$IM$7="✓"),'KG1-3'!$AD$5:$IM$5),4),""))</f>
        <v/>
      </c>
      <c r="E1665">
        <f>IF(D1665="","",INDEX('KG1-3'!$AD32:$IM32,MATCH(D1665,'KG1-3'!$AD$5:$IM$5,0)))</f>
        <v/>
      </c>
      <c r="F1665">
        <f>IF(D1665="","",COUNTIFS('KG1-3'!$AD32:$IM32,"غياب بدون عذر",'KG1-3'!$AD$7:$IM$7,"✓",'KG1-3'!$AD$5:$IM$5,"&lt;="&amp;D1665))</f>
        <v/>
      </c>
      <c r="G1665">
        <f>G1664+IF(D1665="",0,1)</f>
        <v/>
      </c>
    </row>
    <row r="1666">
      <c r="A1666">
        <f>IF('KG1-3'!$B32="","",'KG1-3'!$B32)</f>
        <v/>
      </c>
      <c r="B1666">
        <f>IF(A1666="","",'KG1-3'!$C32)</f>
        <v/>
      </c>
      <c r="C1666">
        <f>IF(A1666="","",'KG1-3'!$B$2)</f>
        <v/>
      </c>
      <c r="D1666" s="126">
        <f t="array" ref="D1666">IF(A1666="","",IFERROR(SMALL(IF((('KG1-3'!$AD32:$IM32="غياب بدون عذر")+('KG1-3'!$AD32:$IM32="غياب بعذر"))*('KG1-3'!$AD$7:$IM$7="✓"),'KG1-3'!$AD$5:$IM$5),5),""))</f>
        <v/>
      </c>
      <c r="E1666">
        <f>IF(D1666="","",INDEX('KG1-3'!$AD32:$IM32,MATCH(D1666,'KG1-3'!$AD$5:$IM$5,0)))</f>
        <v/>
      </c>
      <c r="F1666">
        <f>IF(D1666="","",COUNTIFS('KG1-3'!$AD32:$IM32,"غياب بدون عذر",'KG1-3'!$AD$7:$IM$7,"✓",'KG1-3'!$AD$5:$IM$5,"&lt;="&amp;D1666))</f>
        <v/>
      </c>
      <c r="G1666">
        <f>G1665+IF(D1666="",0,1)</f>
        <v/>
      </c>
    </row>
    <row r="1667">
      <c r="A1667">
        <f>IF('KG1-3'!$B32="","",'KG1-3'!$B32)</f>
        <v/>
      </c>
      <c r="B1667">
        <f>IF(A1667="","",'KG1-3'!$C32)</f>
        <v/>
      </c>
      <c r="C1667">
        <f>IF(A1667="","",'KG1-3'!$B$2)</f>
        <v/>
      </c>
      <c r="D1667" s="126">
        <f t="array" ref="D1667">IF(A1667="","",IFERROR(SMALL(IF((('KG1-3'!$AD32:$IM32="غياب بدون عذر")+('KG1-3'!$AD32:$IM32="غياب بعذر"))*('KG1-3'!$AD$7:$IM$7="✓"),'KG1-3'!$AD$5:$IM$5),6),""))</f>
        <v/>
      </c>
      <c r="E1667">
        <f>IF(D1667="","",INDEX('KG1-3'!$AD32:$IM32,MATCH(D1667,'KG1-3'!$AD$5:$IM$5,0)))</f>
        <v/>
      </c>
      <c r="F1667">
        <f>IF(D1667="","",COUNTIFS('KG1-3'!$AD32:$IM32,"غياب بدون عذر",'KG1-3'!$AD$7:$IM$7,"✓",'KG1-3'!$AD$5:$IM$5,"&lt;="&amp;D1667))</f>
        <v/>
      </c>
      <c r="G1667">
        <f>G1666+IF(D1667="",0,1)</f>
        <v/>
      </c>
    </row>
    <row r="1668">
      <c r="A1668">
        <f>IF('KG1-3'!$B32="","",'KG1-3'!$B32)</f>
        <v/>
      </c>
      <c r="B1668">
        <f>IF(A1668="","",'KG1-3'!$C32)</f>
        <v/>
      </c>
      <c r="C1668">
        <f>IF(A1668="","",'KG1-3'!$B$2)</f>
        <v/>
      </c>
      <c r="D1668" s="126">
        <f t="array" ref="D1668">IF(A1668="","",IFERROR(SMALL(IF((('KG1-3'!$AD32:$IM32="غياب بدون عذر")+('KG1-3'!$AD32:$IM32="غياب بعذر"))*('KG1-3'!$AD$7:$IM$7="✓"),'KG1-3'!$AD$5:$IM$5),7),""))</f>
        <v/>
      </c>
      <c r="E1668">
        <f>IF(D1668="","",INDEX('KG1-3'!$AD32:$IM32,MATCH(D1668,'KG1-3'!$AD$5:$IM$5,0)))</f>
        <v/>
      </c>
      <c r="F1668">
        <f>IF(D1668="","",COUNTIFS('KG1-3'!$AD32:$IM32,"غياب بدون عذر",'KG1-3'!$AD$7:$IM$7,"✓",'KG1-3'!$AD$5:$IM$5,"&lt;="&amp;D1668))</f>
        <v/>
      </c>
      <c r="G1668">
        <f>G1667+IF(D1668="",0,1)</f>
        <v/>
      </c>
    </row>
    <row r="1669">
      <c r="A1669">
        <f>IF('KG1-3'!$B32="","",'KG1-3'!$B32)</f>
        <v/>
      </c>
      <c r="B1669">
        <f>IF(A1669="","",'KG1-3'!$C32)</f>
        <v/>
      </c>
      <c r="C1669">
        <f>IF(A1669="","",'KG1-3'!$B$2)</f>
        <v/>
      </c>
      <c r="D1669" s="126">
        <f t="array" ref="D1669">IF(A1669="","",IFERROR(SMALL(IF((('KG1-3'!$AD32:$IM32="غياب بدون عذر")+('KG1-3'!$AD32:$IM32="غياب بعذر"))*('KG1-3'!$AD$7:$IM$7="✓"),'KG1-3'!$AD$5:$IM$5),8),""))</f>
        <v/>
      </c>
      <c r="E1669">
        <f>IF(D1669="","",INDEX('KG1-3'!$AD32:$IM32,MATCH(D1669,'KG1-3'!$AD$5:$IM$5,0)))</f>
        <v/>
      </c>
      <c r="F1669">
        <f>IF(D1669="","",COUNTIFS('KG1-3'!$AD32:$IM32,"غياب بدون عذر",'KG1-3'!$AD$7:$IM$7,"✓",'KG1-3'!$AD$5:$IM$5,"&lt;="&amp;D1669))</f>
        <v/>
      </c>
      <c r="G1669">
        <f>G1668+IF(D1669="",0,1)</f>
        <v/>
      </c>
    </row>
    <row r="1670">
      <c r="A1670">
        <f>IF('KG1-3'!$B32="","",'KG1-3'!$B32)</f>
        <v/>
      </c>
      <c r="B1670">
        <f>IF(A1670="","",'KG1-3'!$C32)</f>
        <v/>
      </c>
      <c r="C1670">
        <f>IF(A1670="","",'KG1-3'!$B$2)</f>
        <v/>
      </c>
      <c r="D1670" s="126">
        <f t="array" ref="D1670">IF(A1670="","",IFERROR(SMALL(IF((('KG1-3'!$AD32:$IM32="غياب بدون عذر")+('KG1-3'!$AD32:$IM32="غياب بعذر"))*('KG1-3'!$AD$7:$IM$7="✓"),'KG1-3'!$AD$5:$IM$5),9),""))</f>
        <v/>
      </c>
      <c r="E1670">
        <f>IF(D1670="","",INDEX('KG1-3'!$AD32:$IM32,MATCH(D1670,'KG1-3'!$AD$5:$IM$5,0)))</f>
        <v/>
      </c>
      <c r="F1670">
        <f>IF(D1670="","",COUNTIFS('KG1-3'!$AD32:$IM32,"غياب بدون عذر",'KG1-3'!$AD$7:$IM$7,"✓",'KG1-3'!$AD$5:$IM$5,"&lt;="&amp;D1670))</f>
        <v/>
      </c>
      <c r="G1670">
        <f>G1669+IF(D1670="",0,1)</f>
        <v/>
      </c>
    </row>
    <row r="1671">
      <c r="A1671">
        <f>IF('KG1-3'!$B32="","",'KG1-3'!$B32)</f>
        <v/>
      </c>
      <c r="B1671">
        <f>IF(A1671="","",'KG1-3'!$C32)</f>
        <v/>
      </c>
      <c r="C1671">
        <f>IF(A1671="","",'KG1-3'!$B$2)</f>
        <v/>
      </c>
      <c r="D1671" s="126">
        <f t="array" ref="D1671">IF(A1671="","",IFERROR(SMALL(IF((('KG1-3'!$AD32:$IM32="غياب بدون عذر")+('KG1-3'!$AD32:$IM32="غياب بعذر"))*('KG1-3'!$AD$7:$IM$7="✓"),'KG1-3'!$AD$5:$IM$5),10),""))</f>
        <v/>
      </c>
      <c r="E1671">
        <f>IF(D1671="","",INDEX('KG1-3'!$AD32:$IM32,MATCH(D1671,'KG1-3'!$AD$5:$IM$5,0)))</f>
        <v/>
      </c>
      <c r="F1671">
        <f>IF(D1671="","",COUNTIFS('KG1-3'!$AD32:$IM32,"غياب بدون عذر",'KG1-3'!$AD$7:$IM$7,"✓",'KG1-3'!$AD$5:$IM$5,"&lt;="&amp;D1671))</f>
        <v/>
      </c>
      <c r="G1671">
        <f>G1670+IF(D1671="",0,1)</f>
        <v/>
      </c>
    </row>
    <row r="1672">
      <c r="A1672">
        <f>IF('KG1-3'!$B32="","",'KG1-3'!$B32)</f>
        <v/>
      </c>
      <c r="B1672">
        <f>IF(A1672="","",'KG1-3'!$C32)</f>
        <v/>
      </c>
      <c r="C1672">
        <f>IF(A1672="","",'KG1-3'!$B$2)</f>
        <v/>
      </c>
      <c r="D1672" s="126">
        <f t="array" ref="D1672">IF(A1672="","",IFERROR(SMALL(IF((('KG1-3'!$AD32:$IM32="غياب بدون عذر")+('KG1-3'!$AD32:$IM32="غياب بعذر"))*('KG1-3'!$AD$7:$IM$7="✓"),'KG1-3'!$AD$5:$IM$5),11),""))</f>
        <v/>
      </c>
      <c r="E1672">
        <f>IF(D1672="","",INDEX('KG1-3'!$AD32:$IM32,MATCH(D1672,'KG1-3'!$AD$5:$IM$5,0)))</f>
        <v/>
      </c>
      <c r="F1672">
        <f>IF(D1672="","",COUNTIFS('KG1-3'!$AD32:$IM32,"غياب بدون عذر",'KG1-3'!$AD$7:$IM$7,"✓",'KG1-3'!$AD$5:$IM$5,"&lt;="&amp;D1672))</f>
        <v/>
      </c>
      <c r="G1672">
        <f>G1671+IF(D1672="",0,1)</f>
        <v/>
      </c>
    </row>
    <row r="1673">
      <c r="A1673">
        <f>IF('KG1-3'!$B32="","",'KG1-3'!$B32)</f>
        <v/>
      </c>
      <c r="B1673">
        <f>IF(A1673="","",'KG1-3'!$C32)</f>
        <v/>
      </c>
      <c r="C1673">
        <f>IF(A1673="","",'KG1-3'!$B$2)</f>
        <v/>
      </c>
      <c r="D1673" s="126">
        <f t="array" ref="D1673">IF(A1673="","",IFERROR(SMALL(IF((('KG1-3'!$AD32:$IM32="غياب بدون عذر")+('KG1-3'!$AD32:$IM32="غياب بعذر"))*('KG1-3'!$AD$7:$IM$7="✓"),'KG1-3'!$AD$5:$IM$5),12),""))</f>
        <v/>
      </c>
      <c r="E1673">
        <f>IF(D1673="","",INDEX('KG1-3'!$AD32:$IM32,MATCH(D1673,'KG1-3'!$AD$5:$IM$5,0)))</f>
        <v/>
      </c>
      <c r="F1673">
        <f>IF(D1673="","",COUNTIFS('KG1-3'!$AD32:$IM32,"غياب بدون عذر",'KG1-3'!$AD$7:$IM$7,"✓",'KG1-3'!$AD$5:$IM$5,"&lt;="&amp;D1673))</f>
        <v/>
      </c>
      <c r="G1673">
        <f>G1672+IF(D1673="",0,1)</f>
        <v/>
      </c>
    </row>
    <row r="1674">
      <c r="A1674">
        <f>IF('KG1-3'!$B32="","",'KG1-3'!$B32)</f>
        <v/>
      </c>
      <c r="B1674">
        <f>IF(A1674="","",'KG1-3'!$C32)</f>
        <v/>
      </c>
      <c r="C1674">
        <f>IF(A1674="","",'KG1-3'!$B$2)</f>
        <v/>
      </c>
      <c r="D1674" s="126">
        <f t="array" ref="D1674">IF(A1674="","",IFERROR(SMALL(IF((('KG1-3'!$AD32:$IM32="غياب بدون عذر")+('KG1-3'!$AD32:$IM32="غياب بعذر"))*('KG1-3'!$AD$7:$IM$7="✓"),'KG1-3'!$AD$5:$IM$5),13),""))</f>
        <v/>
      </c>
      <c r="E1674">
        <f>IF(D1674="","",INDEX('KG1-3'!$AD32:$IM32,MATCH(D1674,'KG1-3'!$AD$5:$IM$5,0)))</f>
        <v/>
      </c>
      <c r="F1674">
        <f>IF(D1674="","",COUNTIFS('KG1-3'!$AD32:$IM32,"غياب بدون عذر",'KG1-3'!$AD$7:$IM$7,"✓",'KG1-3'!$AD$5:$IM$5,"&lt;="&amp;D1674))</f>
        <v/>
      </c>
      <c r="G1674">
        <f>G1673+IF(D1674="",0,1)</f>
        <v/>
      </c>
    </row>
    <row r="1675">
      <c r="A1675">
        <f>IF('KG1-3'!$B32="","",'KG1-3'!$B32)</f>
        <v/>
      </c>
      <c r="B1675">
        <f>IF(A1675="","",'KG1-3'!$C32)</f>
        <v/>
      </c>
      <c r="C1675">
        <f>IF(A1675="","",'KG1-3'!$B$2)</f>
        <v/>
      </c>
      <c r="D1675" s="126">
        <f t="array" ref="D1675">IF(A1675="","",IFERROR(SMALL(IF((('KG1-3'!$AD32:$IM32="غياب بدون عذر")+('KG1-3'!$AD32:$IM32="غياب بعذر"))*('KG1-3'!$AD$7:$IM$7="✓"),'KG1-3'!$AD$5:$IM$5),14),""))</f>
        <v/>
      </c>
      <c r="E1675">
        <f>IF(D1675="","",INDEX('KG1-3'!$AD32:$IM32,MATCH(D1675,'KG1-3'!$AD$5:$IM$5,0)))</f>
        <v/>
      </c>
      <c r="F1675">
        <f>IF(D1675="","",COUNTIFS('KG1-3'!$AD32:$IM32,"غياب بدون عذر",'KG1-3'!$AD$7:$IM$7,"✓",'KG1-3'!$AD$5:$IM$5,"&lt;="&amp;D1675))</f>
        <v/>
      </c>
      <c r="G1675">
        <f>G1674+IF(D1675="",0,1)</f>
        <v/>
      </c>
    </row>
    <row r="1676">
      <c r="A1676">
        <f>IF('KG1-3'!$B32="","",'KG1-3'!$B32)</f>
        <v/>
      </c>
      <c r="B1676">
        <f>IF(A1676="","",'KG1-3'!$C32)</f>
        <v/>
      </c>
      <c r="C1676">
        <f>IF(A1676="","",'KG1-3'!$B$2)</f>
        <v/>
      </c>
      <c r="D1676" s="126">
        <f t="array" ref="D1676">IF(A1676="","",IFERROR(SMALL(IF((('KG1-3'!$AD32:$IM32="غياب بدون عذر")+('KG1-3'!$AD32:$IM32="غياب بعذر"))*('KG1-3'!$AD$7:$IM$7="✓"),'KG1-3'!$AD$5:$IM$5),15),""))</f>
        <v/>
      </c>
      <c r="E1676">
        <f>IF(D1676="","",INDEX('KG1-3'!$AD32:$IM32,MATCH(D1676,'KG1-3'!$AD$5:$IM$5,0)))</f>
        <v/>
      </c>
      <c r="F1676">
        <f>IF(D1676="","",COUNTIFS('KG1-3'!$AD32:$IM32,"غياب بدون عذر",'KG1-3'!$AD$7:$IM$7,"✓",'KG1-3'!$AD$5:$IM$5,"&lt;="&amp;D1676))</f>
        <v/>
      </c>
      <c r="G1676">
        <f>G1675+IF(D1676="",0,1)</f>
        <v/>
      </c>
    </row>
    <row r="1677">
      <c r="A1677">
        <f>IF('KG1-3'!$B32="","",'KG1-3'!$B32)</f>
        <v/>
      </c>
      <c r="B1677">
        <f>IF(A1677="","",'KG1-3'!$C32)</f>
        <v/>
      </c>
      <c r="C1677">
        <f>IF(A1677="","",'KG1-3'!$B$2)</f>
        <v/>
      </c>
      <c r="D1677" s="126">
        <f t="array" ref="D1677">IF(A1677="","",IFERROR(SMALL(IF((('KG1-3'!$AD32:$IM32="غياب بدون عذر")+('KG1-3'!$AD32:$IM32="غياب بعذر"))*('KG1-3'!$AD$7:$IM$7="✓"),'KG1-3'!$AD$5:$IM$5),16),""))</f>
        <v/>
      </c>
      <c r="E1677">
        <f>IF(D1677="","",INDEX('KG1-3'!$AD32:$IM32,MATCH(D1677,'KG1-3'!$AD$5:$IM$5,0)))</f>
        <v/>
      </c>
      <c r="F1677">
        <f>IF(D1677="","",COUNTIFS('KG1-3'!$AD32:$IM32,"غياب بدون عذر",'KG1-3'!$AD$7:$IM$7,"✓",'KG1-3'!$AD$5:$IM$5,"&lt;="&amp;D1677))</f>
        <v/>
      </c>
      <c r="G1677">
        <f>G1676+IF(D1677="",0,1)</f>
        <v/>
      </c>
    </row>
    <row r="1678">
      <c r="A1678">
        <f>IF('KG1-3'!$B32="","",'KG1-3'!$B32)</f>
        <v/>
      </c>
      <c r="B1678">
        <f>IF(A1678="","",'KG1-3'!$C32)</f>
        <v/>
      </c>
      <c r="C1678">
        <f>IF(A1678="","",'KG1-3'!$B$2)</f>
        <v/>
      </c>
      <c r="D1678" s="126">
        <f t="array" ref="D1678">IF(A1678="","",IFERROR(SMALL(IF((('KG1-3'!$AD32:$IM32="غياب بدون عذر")+('KG1-3'!$AD32:$IM32="غياب بعذر"))*('KG1-3'!$AD$7:$IM$7="✓"),'KG1-3'!$AD$5:$IM$5),17),""))</f>
        <v/>
      </c>
      <c r="E1678">
        <f>IF(D1678="","",INDEX('KG1-3'!$AD32:$IM32,MATCH(D1678,'KG1-3'!$AD$5:$IM$5,0)))</f>
        <v/>
      </c>
      <c r="F1678">
        <f>IF(D1678="","",COUNTIFS('KG1-3'!$AD32:$IM32,"غياب بدون عذر",'KG1-3'!$AD$7:$IM$7,"✓",'KG1-3'!$AD$5:$IM$5,"&lt;="&amp;D1678))</f>
        <v/>
      </c>
      <c r="G1678">
        <f>G1677+IF(D1678="",0,1)</f>
        <v/>
      </c>
    </row>
    <row r="1679">
      <c r="A1679">
        <f>IF('KG1-3'!$B32="","",'KG1-3'!$B32)</f>
        <v/>
      </c>
      <c r="B1679">
        <f>IF(A1679="","",'KG1-3'!$C32)</f>
        <v/>
      </c>
      <c r="C1679">
        <f>IF(A1679="","",'KG1-3'!$B$2)</f>
        <v/>
      </c>
      <c r="D1679" s="126">
        <f t="array" ref="D1679">IF(A1679="","",IFERROR(SMALL(IF((('KG1-3'!$AD32:$IM32="غياب بدون عذر")+('KG1-3'!$AD32:$IM32="غياب بعذر"))*('KG1-3'!$AD$7:$IM$7="✓"),'KG1-3'!$AD$5:$IM$5),18),""))</f>
        <v/>
      </c>
      <c r="E1679">
        <f>IF(D1679="","",INDEX('KG1-3'!$AD32:$IM32,MATCH(D1679,'KG1-3'!$AD$5:$IM$5,0)))</f>
        <v/>
      </c>
      <c r="F1679">
        <f>IF(D1679="","",COUNTIFS('KG1-3'!$AD32:$IM32,"غياب بدون عذر",'KG1-3'!$AD$7:$IM$7,"✓",'KG1-3'!$AD$5:$IM$5,"&lt;="&amp;D1679))</f>
        <v/>
      </c>
      <c r="G1679">
        <f>G1678+IF(D1679="",0,1)</f>
        <v/>
      </c>
    </row>
    <row r="1680">
      <c r="A1680">
        <f>IF('KG1-3'!$B32="","",'KG1-3'!$B32)</f>
        <v/>
      </c>
      <c r="B1680">
        <f>IF(A1680="","",'KG1-3'!$C32)</f>
        <v/>
      </c>
      <c r="C1680">
        <f>IF(A1680="","",'KG1-3'!$B$2)</f>
        <v/>
      </c>
      <c r="D1680" s="126">
        <f t="array" ref="D1680">IF(A1680="","",IFERROR(SMALL(IF((('KG1-3'!$AD32:$IM32="غياب بدون عذر")+('KG1-3'!$AD32:$IM32="غياب بعذر"))*('KG1-3'!$AD$7:$IM$7="✓"),'KG1-3'!$AD$5:$IM$5),19),""))</f>
        <v/>
      </c>
      <c r="E1680">
        <f>IF(D1680="","",INDEX('KG1-3'!$AD32:$IM32,MATCH(D1680,'KG1-3'!$AD$5:$IM$5,0)))</f>
        <v/>
      </c>
      <c r="F1680">
        <f>IF(D1680="","",COUNTIFS('KG1-3'!$AD32:$IM32,"غياب بدون عذر",'KG1-3'!$AD$7:$IM$7,"✓",'KG1-3'!$AD$5:$IM$5,"&lt;="&amp;D1680))</f>
        <v/>
      </c>
      <c r="G1680">
        <f>G1679+IF(D1680="",0,1)</f>
        <v/>
      </c>
    </row>
    <row r="1681">
      <c r="A1681">
        <f>IF('KG1-3'!$B32="","",'KG1-3'!$B32)</f>
        <v/>
      </c>
      <c r="B1681">
        <f>IF(A1681="","",'KG1-3'!$C32)</f>
        <v/>
      </c>
      <c r="C1681">
        <f>IF(A1681="","",'KG1-3'!$B$2)</f>
        <v/>
      </c>
      <c r="D1681" s="126">
        <f t="array" ref="D1681">IF(A1681="","",IFERROR(SMALL(IF((('KG1-3'!$AD32:$IM32="غياب بدون عذر")+('KG1-3'!$AD32:$IM32="غياب بعذر"))*('KG1-3'!$AD$7:$IM$7="✓"),'KG1-3'!$AD$5:$IM$5),20),""))</f>
        <v/>
      </c>
      <c r="E1681">
        <f>IF(D1681="","",INDEX('KG1-3'!$AD32:$IM32,MATCH(D1681,'KG1-3'!$AD$5:$IM$5,0)))</f>
        <v/>
      </c>
      <c r="F1681">
        <f>IF(D1681="","",COUNTIFS('KG1-3'!$AD32:$IM32,"غياب بدون عذر",'KG1-3'!$AD$7:$IM$7,"✓",'KG1-3'!$AD$5:$IM$5,"&lt;="&amp;D1681))</f>
        <v/>
      </c>
      <c r="G1681">
        <f>G1680+IF(D1681="",0,1)</f>
        <v/>
      </c>
    </row>
    <row r="1682">
      <c r="A1682">
        <f>IF('KG1-3'!$B33="","",'KG1-3'!$B33)</f>
        <v/>
      </c>
      <c r="B1682">
        <f>IF(A1682="","",'KG1-3'!$C33)</f>
        <v/>
      </c>
      <c r="C1682">
        <f>IF(A1682="","",'KG1-3'!$B$2)</f>
        <v/>
      </c>
      <c r="D1682" s="126">
        <f t="array" ref="D1682">IF(A1682="","",IFERROR(SMALL(IF((('KG1-3'!$AD33:$IM33="غياب بدون عذر")+('KG1-3'!$AD33:$IM33="غياب بعذر"))*('KG1-3'!$AD$7:$IM$7="✓"),'KG1-3'!$AD$5:$IM$5),1),""))</f>
        <v/>
      </c>
      <c r="E1682">
        <f>IF(D1682="","",INDEX('KG1-3'!$AD33:$IM33,MATCH(D1682,'KG1-3'!$AD$5:$IM$5,0)))</f>
        <v/>
      </c>
      <c r="F1682">
        <f>IF(D1682="","",COUNTIFS('KG1-3'!$AD33:$IM33,"غياب بدون عذر",'KG1-3'!$AD$7:$IM$7,"✓",'KG1-3'!$AD$5:$IM$5,"&lt;="&amp;D1682))</f>
        <v/>
      </c>
      <c r="G1682">
        <f>G1681+IF(D1682="",0,1)</f>
        <v/>
      </c>
    </row>
    <row r="1683">
      <c r="A1683">
        <f>IF('KG1-3'!$B33="","",'KG1-3'!$B33)</f>
        <v/>
      </c>
      <c r="B1683">
        <f>IF(A1683="","",'KG1-3'!$C33)</f>
        <v/>
      </c>
      <c r="C1683">
        <f>IF(A1683="","",'KG1-3'!$B$2)</f>
        <v/>
      </c>
      <c r="D1683" s="126">
        <f t="array" ref="D1683">IF(A1683="","",IFERROR(SMALL(IF((('KG1-3'!$AD33:$IM33="غياب بدون عذر")+('KG1-3'!$AD33:$IM33="غياب بعذر"))*('KG1-3'!$AD$7:$IM$7="✓"),'KG1-3'!$AD$5:$IM$5),2),""))</f>
        <v/>
      </c>
      <c r="E1683">
        <f>IF(D1683="","",INDEX('KG1-3'!$AD33:$IM33,MATCH(D1683,'KG1-3'!$AD$5:$IM$5,0)))</f>
        <v/>
      </c>
      <c r="F1683">
        <f>IF(D1683="","",COUNTIFS('KG1-3'!$AD33:$IM33,"غياب بدون عذر",'KG1-3'!$AD$7:$IM$7,"✓",'KG1-3'!$AD$5:$IM$5,"&lt;="&amp;D1683))</f>
        <v/>
      </c>
      <c r="G1683">
        <f>G1682+IF(D1683="",0,1)</f>
        <v/>
      </c>
    </row>
    <row r="1684">
      <c r="A1684">
        <f>IF('KG1-3'!$B33="","",'KG1-3'!$B33)</f>
        <v/>
      </c>
      <c r="B1684">
        <f>IF(A1684="","",'KG1-3'!$C33)</f>
        <v/>
      </c>
      <c r="C1684">
        <f>IF(A1684="","",'KG1-3'!$B$2)</f>
        <v/>
      </c>
      <c r="D1684" s="126">
        <f t="array" ref="D1684">IF(A1684="","",IFERROR(SMALL(IF((('KG1-3'!$AD33:$IM33="غياب بدون عذر")+('KG1-3'!$AD33:$IM33="غياب بعذر"))*('KG1-3'!$AD$7:$IM$7="✓"),'KG1-3'!$AD$5:$IM$5),3),""))</f>
        <v/>
      </c>
      <c r="E1684">
        <f>IF(D1684="","",INDEX('KG1-3'!$AD33:$IM33,MATCH(D1684,'KG1-3'!$AD$5:$IM$5,0)))</f>
        <v/>
      </c>
      <c r="F1684">
        <f>IF(D1684="","",COUNTIFS('KG1-3'!$AD33:$IM33,"غياب بدون عذر",'KG1-3'!$AD$7:$IM$7,"✓",'KG1-3'!$AD$5:$IM$5,"&lt;="&amp;D1684))</f>
        <v/>
      </c>
      <c r="G1684">
        <f>G1683+IF(D1684="",0,1)</f>
        <v/>
      </c>
    </row>
    <row r="1685">
      <c r="A1685">
        <f>IF('KG1-3'!$B33="","",'KG1-3'!$B33)</f>
        <v/>
      </c>
      <c r="B1685">
        <f>IF(A1685="","",'KG1-3'!$C33)</f>
        <v/>
      </c>
      <c r="C1685">
        <f>IF(A1685="","",'KG1-3'!$B$2)</f>
        <v/>
      </c>
      <c r="D1685" s="126">
        <f t="array" ref="D1685">IF(A1685="","",IFERROR(SMALL(IF((('KG1-3'!$AD33:$IM33="غياب بدون عذر")+('KG1-3'!$AD33:$IM33="غياب بعذر"))*('KG1-3'!$AD$7:$IM$7="✓"),'KG1-3'!$AD$5:$IM$5),4),""))</f>
        <v/>
      </c>
      <c r="E1685">
        <f>IF(D1685="","",INDEX('KG1-3'!$AD33:$IM33,MATCH(D1685,'KG1-3'!$AD$5:$IM$5,0)))</f>
        <v/>
      </c>
      <c r="F1685">
        <f>IF(D1685="","",COUNTIFS('KG1-3'!$AD33:$IM33,"غياب بدون عذر",'KG1-3'!$AD$7:$IM$7,"✓",'KG1-3'!$AD$5:$IM$5,"&lt;="&amp;D1685))</f>
        <v/>
      </c>
      <c r="G1685">
        <f>G1684+IF(D1685="",0,1)</f>
        <v/>
      </c>
    </row>
    <row r="1686">
      <c r="A1686">
        <f>IF('KG1-3'!$B33="","",'KG1-3'!$B33)</f>
        <v/>
      </c>
      <c r="B1686">
        <f>IF(A1686="","",'KG1-3'!$C33)</f>
        <v/>
      </c>
      <c r="C1686">
        <f>IF(A1686="","",'KG1-3'!$B$2)</f>
        <v/>
      </c>
      <c r="D1686" s="126">
        <f t="array" ref="D1686">IF(A1686="","",IFERROR(SMALL(IF((('KG1-3'!$AD33:$IM33="غياب بدون عذر")+('KG1-3'!$AD33:$IM33="غياب بعذر"))*('KG1-3'!$AD$7:$IM$7="✓"),'KG1-3'!$AD$5:$IM$5),5),""))</f>
        <v/>
      </c>
      <c r="E1686">
        <f>IF(D1686="","",INDEX('KG1-3'!$AD33:$IM33,MATCH(D1686,'KG1-3'!$AD$5:$IM$5,0)))</f>
        <v/>
      </c>
      <c r="F1686">
        <f>IF(D1686="","",COUNTIFS('KG1-3'!$AD33:$IM33,"غياب بدون عذر",'KG1-3'!$AD$7:$IM$7,"✓",'KG1-3'!$AD$5:$IM$5,"&lt;="&amp;D1686))</f>
        <v/>
      </c>
      <c r="G1686">
        <f>G1685+IF(D1686="",0,1)</f>
        <v/>
      </c>
    </row>
    <row r="1687">
      <c r="A1687">
        <f>IF('KG1-3'!$B33="","",'KG1-3'!$B33)</f>
        <v/>
      </c>
      <c r="B1687">
        <f>IF(A1687="","",'KG1-3'!$C33)</f>
        <v/>
      </c>
      <c r="C1687">
        <f>IF(A1687="","",'KG1-3'!$B$2)</f>
        <v/>
      </c>
      <c r="D1687" s="126">
        <f t="array" ref="D1687">IF(A1687="","",IFERROR(SMALL(IF((('KG1-3'!$AD33:$IM33="غياب بدون عذر")+('KG1-3'!$AD33:$IM33="غياب بعذر"))*('KG1-3'!$AD$7:$IM$7="✓"),'KG1-3'!$AD$5:$IM$5),6),""))</f>
        <v/>
      </c>
      <c r="E1687">
        <f>IF(D1687="","",INDEX('KG1-3'!$AD33:$IM33,MATCH(D1687,'KG1-3'!$AD$5:$IM$5,0)))</f>
        <v/>
      </c>
      <c r="F1687">
        <f>IF(D1687="","",COUNTIFS('KG1-3'!$AD33:$IM33,"غياب بدون عذر",'KG1-3'!$AD$7:$IM$7,"✓",'KG1-3'!$AD$5:$IM$5,"&lt;="&amp;D1687))</f>
        <v/>
      </c>
      <c r="G1687">
        <f>G1686+IF(D1687="",0,1)</f>
        <v/>
      </c>
    </row>
    <row r="1688">
      <c r="A1688">
        <f>IF('KG1-3'!$B33="","",'KG1-3'!$B33)</f>
        <v/>
      </c>
      <c r="B1688">
        <f>IF(A1688="","",'KG1-3'!$C33)</f>
        <v/>
      </c>
      <c r="C1688">
        <f>IF(A1688="","",'KG1-3'!$B$2)</f>
        <v/>
      </c>
      <c r="D1688" s="126">
        <f t="array" ref="D1688">IF(A1688="","",IFERROR(SMALL(IF((('KG1-3'!$AD33:$IM33="غياب بدون عذر")+('KG1-3'!$AD33:$IM33="غياب بعذر"))*('KG1-3'!$AD$7:$IM$7="✓"),'KG1-3'!$AD$5:$IM$5),7),""))</f>
        <v/>
      </c>
      <c r="E1688">
        <f>IF(D1688="","",INDEX('KG1-3'!$AD33:$IM33,MATCH(D1688,'KG1-3'!$AD$5:$IM$5,0)))</f>
        <v/>
      </c>
      <c r="F1688">
        <f>IF(D1688="","",COUNTIFS('KG1-3'!$AD33:$IM33,"غياب بدون عذر",'KG1-3'!$AD$7:$IM$7,"✓",'KG1-3'!$AD$5:$IM$5,"&lt;="&amp;D1688))</f>
        <v/>
      </c>
      <c r="G1688">
        <f>G1687+IF(D1688="",0,1)</f>
        <v/>
      </c>
    </row>
    <row r="1689">
      <c r="A1689">
        <f>IF('KG1-3'!$B33="","",'KG1-3'!$B33)</f>
        <v/>
      </c>
      <c r="B1689">
        <f>IF(A1689="","",'KG1-3'!$C33)</f>
        <v/>
      </c>
      <c r="C1689">
        <f>IF(A1689="","",'KG1-3'!$B$2)</f>
        <v/>
      </c>
      <c r="D1689" s="126">
        <f t="array" ref="D1689">IF(A1689="","",IFERROR(SMALL(IF((('KG1-3'!$AD33:$IM33="غياب بدون عذر")+('KG1-3'!$AD33:$IM33="غياب بعذر"))*('KG1-3'!$AD$7:$IM$7="✓"),'KG1-3'!$AD$5:$IM$5),8),""))</f>
        <v/>
      </c>
      <c r="E1689">
        <f>IF(D1689="","",INDEX('KG1-3'!$AD33:$IM33,MATCH(D1689,'KG1-3'!$AD$5:$IM$5,0)))</f>
        <v/>
      </c>
      <c r="F1689">
        <f>IF(D1689="","",COUNTIFS('KG1-3'!$AD33:$IM33,"غياب بدون عذر",'KG1-3'!$AD$7:$IM$7,"✓",'KG1-3'!$AD$5:$IM$5,"&lt;="&amp;D1689))</f>
        <v/>
      </c>
      <c r="G1689">
        <f>G1688+IF(D1689="",0,1)</f>
        <v/>
      </c>
    </row>
    <row r="1690">
      <c r="A1690">
        <f>IF('KG1-3'!$B33="","",'KG1-3'!$B33)</f>
        <v/>
      </c>
      <c r="B1690">
        <f>IF(A1690="","",'KG1-3'!$C33)</f>
        <v/>
      </c>
      <c r="C1690">
        <f>IF(A1690="","",'KG1-3'!$B$2)</f>
        <v/>
      </c>
      <c r="D1690" s="126">
        <f t="array" ref="D1690">IF(A1690="","",IFERROR(SMALL(IF((('KG1-3'!$AD33:$IM33="غياب بدون عذر")+('KG1-3'!$AD33:$IM33="غياب بعذر"))*('KG1-3'!$AD$7:$IM$7="✓"),'KG1-3'!$AD$5:$IM$5),9),""))</f>
        <v/>
      </c>
      <c r="E1690">
        <f>IF(D1690="","",INDEX('KG1-3'!$AD33:$IM33,MATCH(D1690,'KG1-3'!$AD$5:$IM$5,0)))</f>
        <v/>
      </c>
      <c r="F1690">
        <f>IF(D1690="","",COUNTIFS('KG1-3'!$AD33:$IM33,"غياب بدون عذر",'KG1-3'!$AD$7:$IM$7,"✓",'KG1-3'!$AD$5:$IM$5,"&lt;="&amp;D1690))</f>
        <v/>
      </c>
      <c r="G1690">
        <f>G1689+IF(D1690="",0,1)</f>
        <v/>
      </c>
    </row>
    <row r="1691">
      <c r="A1691">
        <f>IF('KG1-3'!$B33="","",'KG1-3'!$B33)</f>
        <v/>
      </c>
      <c r="B1691">
        <f>IF(A1691="","",'KG1-3'!$C33)</f>
        <v/>
      </c>
      <c r="C1691">
        <f>IF(A1691="","",'KG1-3'!$B$2)</f>
        <v/>
      </c>
      <c r="D1691" s="126">
        <f t="array" ref="D1691">IF(A1691="","",IFERROR(SMALL(IF((('KG1-3'!$AD33:$IM33="غياب بدون عذر")+('KG1-3'!$AD33:$IM33="غياب بعذر"))*('KG1-3'!$AD$7:$IM$7="✓"),'KG1-3'!$AD$5:$IM$5),10),""))</f>
        <v/>
      </c>
      <c r="E1691">
        <f>IF(D1691="","",INDEX('KG1-3'!$AD33:$IM33,MATCH(D1691,'KG1-3'!$AD$5:$IM$5,0)))</f>
        <v/>
      </c>
      <c r="F1691">
        <f>IF(D1691="","",COUNTIFS('KG1-3'!$AD33:$IM33,"غياب بدون عذر",'KG1-3'!$AD$7:$IM$7,"✓",'KG1-3'!$AD$5:$IM$5,"&lt;="&amp;D1691))</f>
        <v/>
      </c>
      <c r="G1691">
        <f>G1690+IF(D1691="",0,1)</f>
        <v/>
      </c>
    </row>
    <row r="1692">
      <c r="A1692">
        <f>IF('KG1-3'!$B33="","",'KG1-3'!$B33)</f>
        <v/>
      </c>
      <c r="B1692">
        <f>IF(A1692="","",'KG1-3'!$C33)</f>
        <v/>
      </c>
      <c r="C1692">
        <f>IF(A1692="","",'KG1-3'!$B$2)</f>
        <v/>
      </c>
      <c r="D1692" s="126">
        <f t="array" ref="D1692">IF(A1692="","",IFERROR(SMALL(IF((('KG1-3'!$AD33:$IM33="غياب بدون عذر")+('KG1-3'!$AD33:$IM33="غياب بعذر"))*('KG1-3'!$AD$7:$IM$7="✓"),'KG1-3'!$AD$5:$IM$5),11),""))</f>
        <v/>
      </c>
      <c r="E1692">
        <f>IF(D1692="","",INDEX('KG1-3'!$AD33:$IM33,MATCH(D1692,'KG1-3'!$AD$5:$IM$5,0)))</f>
        <v/>
      </c>
      <c r="F1692">
        <f>IF(D1692="","",COUNTIFS('KG1-3'!$AD33:$IM33,"غياب بدون عذر",'KG1-3'!$AD$7:$IM$7,"✓",'KG1-3'!$AD$5:$IM$5,"&lt;="&amp;D1692))</f>
        <v/>
      </c>
      <c r="G1692">
        <f>G1691+IF(D1692="",0,1)</f>
        <v/>
      </c>
    </row>
    <row r="1693">
      <c r="A1693">
        <f>IF('KG1-3'!$B33="","",'KG1-3'!$B33)</f>
        <v/>
      </c>
      <c r="B1693">
        <f>IF(A1693="","",'KG1-3'!$C33)</f>
        <v/>
      </c>
      <c r="C1693">
        <f>IF(A1693="","",'KG1-3'!$B$2)</f>
        <v/>
      </c>
      <c r="D1693" s="126">
        <f t="array" ref="D1693">IF(A1693="","",IFERROR(SMALL(IF((('KG1-3'!$AD33:$IM33="غياب بدون عذر")+('KG1-3'!$AD33:$IM33="غياب بعذر"))*('KG1-3'!$AD$7:$IM$7="✓"),'KG1-3'!$AD$5:$IM$5),12),""))</f>
        <v/>
      </c>
      <c r="E1693">
        <f>IF(D1693="","",INDEX('KG1-3'!$AD33:$IM33,MATCH(D1693,'KG1-3'!$AD$5:$IM$5,0)))</f>
        <v/>
      </c>
      <c r="F1693">
        <f>IF(D1693="","",COUNTIFS('KG1-3'!$AD33:$IM33,"غياب بدون عذر",'KG1-3'!$AD$7:$IM$7,"✓",'KG1-3'!$AD$5:$IM$5,"&lt;="&amp;D1693))</f>
        <v/>
      </c>
      <c r="G1693">
        <f>G1692+IF(D1693="",0,1)</f>
        <v/>
      </c>
    </row>
    <row r="1694">
      <c r="A1694">
        <f>IF('KG1-3'!$B33="","",'KG1-3'!$B33)</f>
        <v/>
      </c>
      <c r="B1694">
        <f>IF(A1694="","",'KG1-3'!$C33)</f>
        <v/>
      </c>
      <c r="C1694">
        <f>IF(A1694="","",'KG1-3'!$B$2)</f>
        <v/>
      </c>
      <c r="D1694" s="126">
        <f t="array" ref="D1694">IF(A1694="","",IFERROR(SMALL(IF((('KG1-3'!$AD33:$IM33="غياب بدون عذر")+('KG1-3'!$AD33:$IM33="غياب بعذر"))*('KG1-3'!$AD$7:$IM$7="✓"),'KG1-3'!$AD$5:$IM$5),13),""))</f>
        <v/>
      </c>
      <c r="E1694">
        <f>IF(D1694="","",INDEX('KG1-3'!$AD33:$IM33,MATCH(D1694,'KG1-3'!$AD$5:$IM$5,0)))</f>
        <v/>
      </c>
      <c r="F1694">
        <f>IF(D1694="","",COUNTIFS('KG1-3'!$AD33:$IM33,"غياب بدون عذر",'KG1-3'!$AD$7:$IM$7,"✓",'KG1-3'!$AD$5:$IM$5,"&lt;="&amp;D1694))</f>
        <v/>
      </c>
      <c r="G1694">
        <f>G1693+IF(D1694="",0,1)</f>
        <v/>
      </c>
    </row>
    <row r="1695">
      <c r="A1695">
        <f>IF('KG1-3'!$B33="","",'KG1-3'!$B33)</f>
        <v/>
      </c>
      <c r="B1695">
        <f>IF(A1695="","",'KG1-3'!$C33)</f>
        <v/>
      </c>
      <c r="C1695">
        <f>IF(A1695="","",'KG1-3'!$B$2)</f>
        <v/>
      </c>
      <c r="D1695" s="126">
        <f t="array" ref="D1695">IF(A1695="","",IFERROR(SMALL(IF((('KG1-3'!$AD33:$IM33="غياب بدون عذر")+('KG1-3'!$AD33:$IM33="غياب بعذر"))*('KG1-3'!$AD$7:$IM$7="✓"),'KG1-3'!$AD$5:$IM$5),14),""))</f>
        <v/>
      </c>
      <c r="E1695">
        <f>IF(D1695="","",INDEX('KG1-3'!$AD33:$IM33,MATCH(D1695,'KG1-3'!$AD$5:$IM$5,0)))</f>
        <v/>
      </c>
      <c r="F1695">
        <f>IF(D1695="","",COUNTIFS('KG1-3'!$AD33:$IM33,"غياب بدون عذر",'KG1-3'!$AD$7:$IM$7,"✓",'KG1-3'!$AD$5:$IM$5,"&lt;="&amp;D1695))</f>
        <v/>
      </c>
      <c r="G1695">
        <f>G1694+IF(D1695="",0,1)</f>
        <v/>
      </c>
    </row>
    <row r="1696">
      <c r="A1696">
        <f>IF('KG1-3'!$B33="","",'KG1-3'!$B33)</f>
        <v/>
      </c>
      <c r="B1696">
        <f>IF(A1696="","",'KG1-3'!$C33)</f>
        <v/>
      </c>
      <c r="C1696">
        <f>IF(A1696="","",'KG1-3'!$B$2)</f>
        <v/>
      </c>
      <c r="D1696" s="126">
        <f t="array" ref="D1696">IF(A1696="","",IFERROR(SMALL(IF((('KG1-3'!$AD33:$IM33="غياب بدون عذر")+('KG1-3'!$AD33:$IM33="غياب بعذر"))*('KG1-3'!$AD$7:$IM$7="✓"),'KG1-3'!$AD$5:$IM$5),15),""))</f>
        <v/>
      </c>
      <c r="E1696">
        <f>IF(D1696="","",INDEX('KG1-3'!$AD33:$IM33,MATCH(D1696,'KG1-3'!$AD$5:$IM$5,0)))</f>
        <v/>
      </c>
      <c r="F1696">
        <f>IF(D1696="","",COUNTIFS('KG1-3'!$AD33:$IM33,"غياب بدون عذر",'KG1-3'!$AD$7:$IM$7,"✓",'KG1-3'!$AD$5:$IM$5,"&lt;="&amp;D1696))</f>
        <v/>
      </c>
      <c r="G1696">
        <f>G1695+IF(D1696="",0,1)</f>
        <v/>
      </c>
    </row>
    <row r="1697">
      <c r="A1697">
        <f>IF('KG1-3'!$B33="","",'KG1-3'!$B33)</f>
        <v/>
      </c>
      <c r="B1697">
        <f>IF(A1697="","",'KG1-3'!$C33)</f>
        <v/>
      </c>
      <c r="C1697">
        <f>IF(A1697="","",'KG1-3'!$B$2)</f>
        <v/>
      </c>
      <c r="D1697" s="126">
        <f t="array" ref="D1697">IF(A1697="","",IFERROR(SMALL(IF((('KG1-3'!$AD33:$IM33="غياب بدون عذر")+('KG1-3'!$AD33:$IM33="غياب بعذر"))*('KG1-3'!$AD$7:$IM$7="✓"),'KG1-3'!$AD$5:$IM$5),16),""))</f>
        <v/>
      </c>
      <c r="E1697">
        <f>IF(D1697="","",INDEX('KG1-3'!$AD33:$IM33,MATCH(D1697,'KG1-3'!$AD$5:$IM$5,0)))</f>
        <v/>
      </c>
      <c r="F1697">
        <f>IF(D1697="","",COUNTIFS('KG1-3'!$AD33:$IM33,"غياب بدون عذر",'KG1-3'!$AD$7:$IM$7,"✓",'KG1-3'!$AD$5:$IM$5,"&lt;="&amp;D1697))</f>
        <v/>
      </c>
      <c r="G1697">
        <f>G1696+IF(D1697="",0,1)</f>
        <v/>
      </c>
    </row>
    <row r="1698">
      <c r="A1698">
        <f>IF('KG1-3'!$B33="","",'KG1-3'!$B33)</f>
        <v/>
      </c>
      <c r="B1698">
        <f>IF(A1698="","",'KG1-3'!$C33)</f>
        <v/>
      </c>
      <c r="C1698">
        <f>IF(A1698="","",'KG1-3'!$B$2)</f>
        <v/>
      </c>
      <c r="D1698" s="126">
        <f t="array" ref="D1698">IF(A1698="","",IFERROR(SMALL(IF((('KG1-3'!$AD33:$IM33="غياب بدون عذر")+('KG1-3'!$AD33:$IM33="غياب بعذر"))*('KG1-3'!$AD$7:$IM$7="✓"),'KG1-3'!$AD$5:$IM$5),17),""))</f>
        <v/>
      </c>
      <c r="E1698">
        <f>IF(D1698="","",INDEX('KG1-3'!$AD33:$IM33,MATCH(D1698,'KG1-3'!$AD$5:$IM$5,0)))</f>
        <v/>
      </c>
      <c r="F1698">
        <f>IF(D1698="","",COUNTIFS('KG1-3'!$AD33:$IM33,"غياب بدون عذر",'KG1-3'!$AD$7:$IM$7,"✓",'KG1-3'!$AD$5:$IM$5,"&lt;="&amp;D1698))</f>
        <v/>
      </c>
      <c r="G1698">
        <f>G1697+IF(D1698="",0,1)</f>
        <v/>
      </c>
    </row>
    <row r="1699">
      <c r="A1699">
        <f>IF('KG1-3'!$B33="","",'KG1-3'!$B33)</f>
        <v/>
      </c>
      <c r="B1699">
        <f>IF(A1699="","",'KG1-3'!$C33)</f>
        <v/>
      </c>
      <c r="C1699">
        <f>IF(A1699="","",'KG1-3'!$B$2)</f>
        <v/>
      </c>
      <c r="D1699" s="126">
        <f t="array" ref="D1699">IF(A1699="","",IFERROR(SMALL(IF((('KG1-3'!$AD33:$IM33="غياب بدون عذر")+('KG1-3'!$AD33:$IM33="غياب بعذر"))*('KG1-3'!$AD$7:$IM$7="✓"),'KG1-3'!$AD$5:$IM$5),18),""))</f>
        <v/>
      </c>
      <c r="E1699">
        <f>IF(D1699="","",INDEX('KG1-3'!$AD33:$IM33,MATCH(D1699,'KG1-3'!$AD$5:$IM$5,0)))</f>
        <v/>
      </c>
      <c r="F1699">
        <f>IF(D1699="","",COUNTIFS('KG1-3'!$AD33:$IM33,"غياب بدون عذر",'KG1-3'!$AD$7:$IM$7,"✓",'KG1-3'!$AD$5:$IM$5,"&lt;="&amp;D1699))</f>
        <v/>
      </c>
      <c r="G1699">
        <f>G1698+IF(D1699="",0,1)</f>
        <v/>
      </c>
    </row>
    <row r="1700">
      <c r="A1700">
        <f>IF('KG1-3'!$B33="","",'KG1-3'!$B33)</f>
        <v/>
      </c>
      <c r="B1700">
        <f>IF(A1700="","",'KG1-3'!$C33)</f>
        <v/>
      </c>
      <c r="C1700">
        <f>IF(A1700="","",'KG1-3'!$B$2)</f>
        <v/>
      </c>
      <c r="D1700" s="126">
        <f t="array" ref="D1700">IF(A1700="","",IFERROR(SMALL(IF((('KG1-3'!$AD33:$IM33="غياب بدون عذر")+('KG1-3'!$AD33:$IM33="غياب بعذر"))*('KG1-3'!$AD$7:$IM$7="✓"),'KG1-3'!$AD$5:$IM$5),19),""))</f>
        <v/>
      </c>
      <c r="E1700">
        <f>IF(D1700="","",INDEX('KG1-3'!$AD33:$IM33,MATCH(D1700,'KG1-3'!$AD$5:$IM$5,0)))</f>
        <v/>
      </c>
      <c r="F1700">
        <f>IF(D1700="","",COUNTIFS('KG1-3'!$AD33:$IM33,"غياب بدون عذر",'KG1-3'!$AD$7:$IM$7,"✓",'KG1-3'!$AD$5:$IM$5,"&lt;="&amp;D1700))</f>
        <v/>
      </c>
      <c r="G1700">
        <f>G1699+IF(D1700="",0,1)</f>
        <v/>
      </c>
    </row>
    <row r="1701">
      <c r="A1701">
        <f>IF('KG1-3'!$B33="","",'KG1-3'!$B33)</f>
        <v/>
      </c>
      <c r="B1701">
        <f>IF(A1701="","",'KG1-3'!$C33)</f>
        <v/>
      </c>
      <c r="C1701">
        <f>IF(A1701="","",'KG1-3'!$B$2)</f>
        <v/>
      </c>
      <c r="D1701" s="126">
        <f t="array" ref="D1701">IF(A1701="","",IFERROR(SMALL(IF((('KG1-3'!$AD33:$IM33="غياب بدون عذر")+('KG1-3'!$AD33:$IM33="غياب بعذر"))*('KG1-3'!$AD$7:$IM$7="✓"),'KG1-3'!$AD$5:$IM$5),20),""))</f>
        <v/>
      </c>
      <c r="E1701">
        <f>IF(D1701="","",INDEX('KG1-3'!$AD33:$IM33,MATCH(D1701,'KG1-3'!$AD$5:$IM$5,0)))</f>
        <v/>
      </c>
      <c r="F1701">
        <f>IF(D1701="","",COUNTIFS('KG1-3'!$AD33:$IM33,"غياب بدون عذر",'KG1-3'!$AD$7:$IM$7,"✓",'KG1-3'!$AD$5:$IM$5,"&lt;="&amp;D1701))</f>
        <v/>
      </c>
      <c r="G1701">
        <f>G1700+IF(D1701="",0,1)</f>
        <v/>
      </c>
    </row>
    <row r="1702">
      <c r="A1702">
        <f>IF('KG1-3'!$B34="","",'KG1-3'!$B34)</f>
        <v/>
      </c>
      <c r="B1702">
        <f>IF(A1702="","",'KG1-3'!$C34)</f>
        <v/>
      </c>
      <c r="C1702">
        <f>IF(A1702="","",'KG1-3'!$B$2)</f>
        <v/>
      </c>
      <c r="D1702" s="126">
        <f t="array" ref="D1702">IF(A1702="","",IFERROR(SMALL(IF((('KG1-3'!$AD34:$IM34="غياب بدون عذر")+('KG1-3'!$AD34:$IM34="غياب بعذر"))*('KG1-3'!$AD$7:$IM$7="✓"),'KG1-3'!$AD$5:$IM$5),1),""))</f>
        <v/>
      </c>
      <c r="E1702">
        <f>IF(D1702="","",INDEX('KG1-3'!$AD34:$IM34,MATCH(D1702,'KG1-3'!$AD$5:$IM$5,0)))</f>
        <v/>
      </c>
      <c r="F1702">
        <f>IF(D1702="","",COUNTIFS('KG1-3'!$AD34:$IM34,"غياب بدون عذر",'KG1-3'!$AD$7:$IM$7,"✓",'KG1-3'!$AD$5:$IM$5,"&lt;="&amp;D1702))</f>
        <v/>
      </c>
      <c r="G1702">
        <f>G1701+IF(D1702="",0,1)</f>
        <v/>
      </c>
    </row>
    <row r="1703">
      <c r="A1703">
        <f>IF('KG1-3'!$B34="","",'KG1-3'!$B34)</f>
        <v/>
      </c>
      <c r="B1703">
        <f>IF(A1703="","",'KG1-3'!$C34)</f>
        <v/>
      </c>
      <c r="C1703">
        <f>IF(A1703="","",'KG1-3'!$B$2)</f>
        <v/>
      </c>
      <c r="D1703" s="126">
        <f t="array" ref="D1703">IF(A1703="","",IFERROR(SMALL(IF((('KG1-3'!$AD34:$IM34="غياب بدون عذر")+('KG1-3'!$AD34:$IM34="غياب بعذر"))*('KG1-3'!$AD$7:$IM$7="✓"),'KG1-3'!$AD$5:$IM$5),2),""))</f>
        <v/>
      </c>
      <c r="E1703">
        <f>IF(D1703="","",INDEX('KG1-3'!$AD34:$IM34,MATCH(D1703,'KG1-3'!$AD$5:$IM$5,0)))</f>
        <v/>
      </c>
      <c r="F1703">
        <f>IF(D1703="","",COUNTIFS('KG1-3'!$AD34:$IM34,"غياب بدون عذر",'KG1-3'!$AD$7:$IM$7,"✓",'KG1-3'!$AD$5:$IM$5,"&lt;="&amp;D1703))</f>
        <v/>
      </c>
      <c r="G1703">
        <f>G1702+IF(D1703="",0,1)</f>
        <v/>
      </c>
    </row>
    <row r="1704">
      <c r="A1704">
        <f>IF('KG1-3'!$B34="","",'KG1-3'!$B34)</f>
        <v/>
      </c>
      <c r="B1704">
        <f>IF(A1704="","",'KG1-3'!$C34)</f>
        <v/>
      </c>
      <c r="C1704">
        <f>IF(A1704="","",'KG1-3'!$B$2)</f>
        <v/>
      </c>
      <c r="D1704" s="126">
        <f t="array" ref="D1704">IF(A1704="","",IFERROR(SMALL(IF((('KG1-3'!$AD34:$IM34="غياب بدون عذر")+('KG1-3'!$AD34:$IM34="غياب بعذر"))*('KG1-3'!$AD$7:$IM$7="✓"),'KG1-3'!$AD$5:$IM$5),3),""))</f>
        <v/>
      </c>
      <c r="E1704">
        <f>IF(D1704="","",INDEX('KG1-3'!$AD34:$IM34,MATCH(D1704,'KG1-3'!$AD$5:$IM$5,0)))</f>
        <v/>
      </c>
      <c r="F1704">
        <f>IF(D1704="","",COUNTIFS('KG1-3'!$AD34:$IM34,"غياب بدون عذر",'KG1-3'!$AD$7:$IM$7,"✓",'KG1-3'!$AD$5:$IM$5,"&lt;="&amp;D1704))</f>
        <v/>
      </c>
      <c r="G1704">
        <f>G1703+IF(D1704="",0,1)</f>
        <v/>
      </c>
    </row>
    <row r="1705">
      <c r="A1705">
        <f>IF('KG1-3'!$B34="","",'KG1-3'!$B34)</f>
        <v/>
      </c>
      <c r="B1705">
        <f>IF(A1705="","",'KG1-3'!$C34)</f>
        <v/>
      </c>
      <c r="C1705">
        <f>IF(A1705="","",'KG1-3'!$B$2)</f>
        <v/>
      </c>
      <c r="D1705" s="126">
        <f t="array" ref="D1705">IF(A1705="","",IFERROR(SMALL(IF((('KG1-3'!$AD34:$IM34="غياب بدون عذر")+('KG1-3'!$AD34:$IM34="غياب بعذر"))*('KG1-3'!$AD$7:$IM$7="✓"),'KG1-3'!$AD$5:$IM$5),4),""))</f>
        <v/>
      </c>
      <c r="E1705">
        <f>IF(D1705="","",INDEX('KG1-3'!$AD34:$IM34,MATCH(D1705,'KG1-3'!$AD$5:$IM$5,0)))</f>
        <v/>
      </c>
      <c r="F1705">
        <f>IF(D1705="","",COUNTIFS('KG1-3'!$AD34:$IM34,"غياب بدون عذر",'KG1-3'!$AD$7:$IM$7,"✓",'KG1-3'!$AD$5:$IM$5,"&lt;="&amp;D1705))</f>
        <v/>
      </c>
      <c r="G1705">
        <f>G1704+IF(D1705="",0,1)</f>
        <v/>
      </c>
    </row>
    <row r="1706">
      <c r="A1706">
        <f>IF('KG1-3'!$B34="","",'KG1-3'!$B34)</f>
        <v/>
      </c>
      <c r="B1706">
        <f>IF(A1706="","",'KG1-3'!$C34)</f>
        <v/>
      </c>
      <c r="C1706">
        <f>IF(A1706="","",'KG1-3'!$B$2)</f>
        <v/>
      </c>
      <c r="D1706" s="126">
        <f t="array" ref="D1706">IF(A1706="","",IFERROR(SMALL(IF((('KG1-3'!$AD34:$IM34="غياب بدون عذر")+('KG1-3'!$AD34:$IM34="غياب بعذر"))*('KG1-3'!$AD$7:$IM$7="✓"),'KG1-3'!$AD$5:$IM$5),5),""))</f>
        <v/>
      </c>
      <c r="E1706">
        <f>IF(D1706="","",INDEX('KG1-3'!$AD34:$IM34,MATCH(D1706,'KG1-3'!$AD$5:$IM$5,0)))</f>
        <v/>
      </c>
      <c r="F1706">
        <f>IF(D1706="","",COUNTIFS('KG1-3'!$AD34:$IM34,"غياب بدون عذر",'KG1-3'!$AD$7:$IM$7,"✓",'KG1-3'!$AD$5:$IM$5,"&lt;="&amp;D1706))</f>
        <v/>
      </c>
      <c r="G1706">
        <f>G1705+IF(D1706="",0,1)</f>
        <v/>
      </c>
    </row>
    <row r="1707">
      <c r="A1707">
        <f>IF('KG1-3'!$B34="","",'KG1-3'!$B34)</f>
        <v/>
      </c>
      <c r="B1707">
        <f>IF(A1707="","",'KG1-3'!$C34)</f>
        <v/>
      </c>
      <c r="C1707">
        <f>IF(A1707="","",'KG1-3'!$B$2)</f>
        <v/>
      </c>
      <c r="D1707" s="126">
        <f t="array" ref="D1707">IF(A1707="","",IFERROR(SMALL(IF((('KG1-3'!$AD34:$IM34="غياب بدون عذر")+('KG1-3'!$AD34:$IM34="غياب بعذر"))*('KG1-3'!$AD$7:$IM$7="✓"),'KG1-3'!$AD$5:$IM$5),6),""))</f>
        <v/>
      </c>
      <c r="E1707">
        <f>IF(D1707="","",INDEX('KG1-3'!$AD34:$IM34,MATCH(D1707,'KG1-3'!$AD$5:$IM$5,0)))</f>
        <v/>
      </c>
      <c r="F1707">
        <f>IF(D1707="","",COUNTIFS('KG1-3'!$AD34:$IM34,"غياب بدون عذر",'KG1-3'!$AD$7:$IM$7,"✓",'KG1-3'!$AD$5:$IM$5,"&lt;="&amp;D1707))</f>
        <v/>
      </c>
      <c r="G1707">
        <f>G1706+IF(D1707="",0,1)</f>
        <v/>
      </c>
    </row>
    <row r="1708">
      <c r="A1708">
        <f>IF('KG1-3'!$B34="","",'KG1-3'!$B34)</f>
        <v/>
      </c>
      <c r="B1708">
        <f>IF(A1708="","",'KG1-3'!$C34)</f>
        <v/>
      </c>
      <c r="C1708">
        <f>IF(A1708="","",'KG1-3'!$B$2)</f>
        <v/>
      </c>
      <c r="D1708" s="126">
        <f t="array" ref="D1708">IF(A1708="","",IFERROR(SMALL(IF((('KG1-3'!$AD34:$IM34="غياب بدون عذر")+('KG1-3'!$AD34:$IM34="غياب بعذر"))*('KG1-3'!$AD$7:$IM$7="✓"),'KG1-3'!$AD$5:$IM$5),7),""))</f>
        <v/>
      </c>
      <c r="E1708">
        <f>IF(D1708="","",INDEX('KG1-3'!$AD34:$IM34,MATCH(D1708,'KG1-3'!$AD$5:$IM$5,0)))</f>
        <v/>
      </c>
      <c r="F1708">
        <f>IF(D1708="","",COUNTIFS('KG1-3'!$AD34:$IM34,"غياب بدون عذر",'KG1-3'!$AD$7:$IM$7,"✓",'KG1-3'!$AD$5:$IM$5,"&lt;="&amp;D1708))</f>
        <v/>
      </c>
      <c r="G1708">
        <f>G1707+IF(D1708="",0,1)</f>
        <v/>
      </c>
    </row>
    <row r="1709">
      <c r="A1709">
        <f>IF('KG1-3'!$B34="","",'KG1-3'!$B34)</f>
        <v/>
      </c>
      <c r="B1709">
        <f>IF(A1709="","",'KG1-3'!$C34)</f>
        <v/>
      </c>
      <c r="C1709">
        <f>IF(A1709="","",'KG1-3'!$B$2)</f>
        <v/>
      </c>
      <c r="D1709" s="126">
        <f t="array" ref="D1709">IF(A1709="","",IFERROR(SMALL(IF((('KG1-3'!$AD34:$IM34="غياب بدون عذر")+('KG1-3'!$AD34:$IM34="غياب بعذر"))*('KG1-3'!$AD$7:$IM$7="✓"),'KG1-3'!$AD$5:$IM$5),8),""))</f>
        <v/>
      </c>
      <c r="E1709">
        <f>IF(D1709="","",INDEX('KG1-3'!$AD34:$IM34,MATCH(D1709,'KG1-3'!$AD$5:$IM$5,0)))</f>
        <v/>
      </c>
      <c r="F1709">
        <f>IF(D1709="","",COUNTIFS('KG1-3'!$AD34:$IM34,"غياب بدون عذر",'KG1-3'!$AD$7:$IM$7,"✓",'KG1-3'!$AD$5:$IM$5,"&lt;="&amp;D1709))</f>
        <v/>
      </c>
      <c r="G1709">
        <f>G1708+IF(D1709="",0,1)</f>
        <v/>
      </c>
    </row>
    <row r="1710">
      <c r="A1710">
        <f>IF('KG1-3'!$B34="","",'KG1-3'!$B34)</f>
        <v/>
      </c>
      <c r="B1710">
        <f>IF(A1710="","",'KG1-3'!$C34)</f>
        <v/>
      </c>
      <c r="C1710">
        <f>IF(A1710="","",'KG1-3'!$B$2)</f>
        <v/>
      </c>
      <c r="D1710" s="126">
        <f t="array" ref="D1710">IF(A1710="","",IFERROR(SMALL(IF((('KG1-3'!$AD34:$IM34="غياب بدون عذر")+('KG1-3'!$AD34:$IM34="غياب بعذر"))*('KG1-3'!$AD$7:$IM$7="✓"),'KG1-3'!$AD$5:$IM$5),9),""))</f>
        <v/>
      </c>
      <c r="E1710">
        <f>IF(D1710="","",INDEX('KG1-3'!$AD34:$IM34,MATCH(D1710,'KG1-3'!$AD$5:$IM$5,0)))</f>
        <v/>
      </c>
      <c r="F1710">
        <f>IF(D1710="","",COUNTIFS('KG1-3'!$AD34:$IM34,"غياب بدون عذر",'KG1-3'!$AD$7:$IM$7,"✓",'KG1-3'!$AD$5:$IM$5,"&lt;="&amp;D1710))</f>
        <v/>
      </c>
      <c r="G1710">
        <f>G1709+IF(D1710="",0,1)</f>
        <v/>
      </c>
    </row>
    <row r="1711">
      <c r="A1711">
        <f>IF('KG1-3'!$B34="","",'KG1-3'!$B34)</f>
        <v/>
      </c>
      <c r="B1711">
        <f>IF(A1711="","",'KG1-3'!$C34)</f>
        <v/>
      </c>
      <c r="C1711">
        <f>IF(A1711="","",'KG1-3'!$B$2)</f>
        <v/>
      </c>
      <c r="D1711" s="126">
        <f t="array" ref="D1711">IF(A1711="","",IFERROR(SMALL(IF((('KG1-3'!$AD34:$IM34="غياب بدون عذر")+('KG1-3'!$AD34:$IM34="غياب بعذر"))*('KG1-3'!$AD$7:$IM$7="✓"),'KG1-3'!$AD$5:$IM$5),10),""))</f>
        <v/>
      </c>
      <c r="E1711">
        <f>IF(D1711="","",INDEX('KG1-3'!$AD34:$IM34,MATCH(D1711,'KG1-3'!$AD$5:$IM$5,0)))</f>
        <v/>
      </c>
      <c r="F1711">
        <f>IF(D1711="","",COUNTIFS('KG1-3'!$AD34:$IM34,"غياب بدون عذر",'KG1-3'!$AD$7:$IM$7,"✓",'KG1-3'!$AD$5:$IM$5,"&lt;="&amp;D1711))</f>
        <v/>
      </c>
      <c r="G1711">
        <f>G1710+IF(D1711="",0,1)</f>
        <v/>
      </c>
    </row>
    <row r="1712">
      <c r="A1712">
        <f>IF('KG1-3'!$B34="","",'KG1-3'!$B34)</f>
        <v/>
      </c>
      <c r="B1712">
        <f>IF(A1712="","",'KG1-3'!$C34)</f>
        <v/>
      </c>
      <c r="C1712">
        <f>IF(A1712="","",'KG1-3'!$B$2)</f>
        <v/>
      </c>
      <c r="D1712" s="126">
        <f t="array" ref="D1712">IF(A1712="","",IFERROR(SMALL(IF((('KG1-3'!$AD34:$IM34="غياب بدون عذر")+('KG1-3'!$AD34:$IM34="غياب بعذر"))*('KG1-3'!$AD$7:$IM$7="✓"),'KG1-3'!$AD$5:$IM$5),11),""))</f>
        <v/>
      </c>
      <c r="E1712">
        <f>IF(D1712="","",INDEX('KG1-3'!$AD34:$IM34,MATCH(D1712,'KG1-3'!$AD$5:$IM$5,0)))</f>
        <v/>
      </c>
      <c r="F1712">
        <f>IF(D1712="","",COUNTIFS('KG1-3'!$AD34:$IM34,"غياب بدون عذر",'KG1-3'!$AD$7:$IM$7,"✓",'KG1-3'!$AD$5:$IM$5,"&lt;="&amp;D1712))</f>
        <v/>
      </c>
      <c r="G1712">
        <f>G1711+IF(D1712="",0,1)</f>
        <v/>
      </c>
    </row>
    <row r="1713">
      <c r="A1713">
        <f>IF('KG1-3'!$B34="","",'KG1-3'!$B34)</f>
        <v/>
      </c>
      <c r="B1713">
        <f>IF(A1713="","",'KG1-3'!$C34)</f>
        <v/>
      </c>
      <c r="C1713">
        <f>IF(A1713="","",'KG1-3'!$B$2)</f>
        <v/>
      </c>
      <c r="D1713" s="126">
        <f t="array" ref="D1713">IF(A1713="","",IFERROR(SMALL(IF((('KG1-3'!$AD34:$IM34="غياب بدون عذر")+('KG1-3'!$AD34:$IM34="غياب بعذر"))*('KG1-3'!$AD$7:$IM$7="✓"),'KG1-3'!$AD$5:$IM$5),12),""))</f>
        <v/>
      </c>
      <c r="E1713">
        <f>IF(D1713="","",INDEX('KG1-3'!$AD34:$IM34,MATCH(D1713,'KG1-3'!$AD$5:$IM$5,0)))</f>
        <v/>
      </c>
      <c r="F1713">
        <f>IF(D1713="","",COUNTIFS('KG1-3'!$AD34:$IM34,"غياب بدون عذر",'KG1-3'!$AD$7:$IM$7,"✓",'KG1-3'!$AD$5:$IM$5,"&lt;="&amp;D1713))</f>
        <v/>
      </c>
      <c r="G1713">
        <f>G1712+IF(D1713="",0,1)</f>
        <v/>
      </c>
    </row>
    <row r="1714">
      <c r="A1714">
        <f>IF('KG1-3'!$B34="","",'KG1-3'!$B34)</f>
        <v/>
      </c>
      <c r="B1714">
        <f>IF(A1714="","",'KG1-3'!$C34)</f>
        <v/>
      </c>
      <c r="C1714">
        <f>IF(A1714="","",'KG1-3'!$B$2)</f>
        <v/>
      </c>
      <c r="D1714" s="126">
        <f t="array" ref="D1714">IF(A1714="","",IFERROR(SMALL(IF((('KG1-3'!$AD34:$IM34="غياب بدون عذر")+('KG1-3'!$AD34:$IM34="غياب بعذر"))*('KG1-3'!$AD$7:$IM$7="✓"),'KG1-3'!$AD$5:$IM$5),13),""))</f>
        <v/>
      </c>
      <c r="E1714">
        <f>IF(D1714="","",INDEX('KG1-3'!$AD34:$IM34,MATCH(D1714,'KG1-3'!$AD$5:$IM$5,0)))</f>
        <v/>
      </c>
      <c r="F1714">
        <f>IF(D1714="","",COUNTIFS('KG1-3'!$AD34:$IM34,"غياب بدون عذر",'KG1-3'!$AD$7:$IM$7,"✓",'KG1-3'!$AD$5:$IM$5,"&lt;="&amp;D1714))</f>
        <v/>
      </c>
      <c r="G1714">
        <f>G1713+IF(D1714="",0,1)</f>
        <v/>
      </c>
    </row>
    <row r="1715">
      <c r="A1715">
        <f>IF('KG1-3'!$B34="","",'KG1-3'!$B34)</f>
        <v/>
      </c>
      <c r="B1715">
        <f>IF(A1715="","",'KG1-3'!$C34)</f>
        <v/>
      </c>
      <c r="C1715">
        <f>IF(A1715="","",'KG1-3'!$B$2)</f>
        <v/>
      </c>
      <c r="D1715" s="126">
        <f t="array" ref="D1715">IF(A1715="","",IFERROR(SMALL(IF((('KG1-3'!$AD34:$IM34="غياب بدون عذر")+('KG1-3'!$AD34:$IM34="غياب بعذر"))*('KG1-3'!$AD$7:$IM$7="✓"),'KG1-3'!$AD$5:$IM$5),14),""))</f>
        <v/>
      </c>
      <c r="E1715">
        <f>IF(D1715="","",INDEX('KG1-3'!$AD34:$IM34,MATCH(D1715,'KG1-3'!$AD$5:$IM$5,0)))</f>
        <v/>
      </c>
      <c r="F1715">
        <f>IF(D1715="","",COUNTIFS('KG1-3'!$AD34:$IM34,"غياب بدون عذر",'KG1-3'!$AD$7:$IM$7,"✓",'KG1-3'!$AD$5:$IM$5,"&lt;="&amp;D1715))</f>
        <v/>
      </c>
      <c r="G1715">
        <f>G1714+IF(D1715="",0,1)</f>
        <v/>
      </c>
    </row>
    <row r="1716">
      <c r="A1716">
        <f>IF('KG1-3'!$B34="","",'KG1-3'!$B34)</f>
        <v/>
      </c>
      <c r="B1716">
        <f>IF(A1716="","",'KG1-3'!$C34)</f>
        <v/>
      </c>
      <c r="C1716">
        <f>IF(A1716="","",'KG1-3'!$B$2)</f>
        <v/>
      </c>
      <c r="D1716" s="126">
        <f t="array" ref="D1716">IF(A1716="","",IFERROR(SMALL(IF((('KG1-3'!$AD34:$IM34="غياب بدون عذر")+('KG1-3'!$AD34:$IM34="غياب بعذر"))*('KG1-3'!$AD$7:$IM$7="✓"),'KG1-3'!$AD$5:$IM$5),15),""))</f>
        <v/>
      </c>
      <c r="E1716">
        <f>IF(D1716="","",INDEX('KG1-3'!$AD34:$IM34,MATCH(D1716,'KG1-3'!$AD$5:$IM$5,0)))</f>
        <v/>
      </c>
      <c r="F1716">
        <f>IF(D1716="","",COUNTIFS('KG1-3'!$AD34:$IM34,"غياب بدون عذر",'KG1-3'!$AD$7:$IM$7,"✓",'KG1-3'!$AD$5:$IM$5,"&lt;="&amp;D1716))</f>
        <v/>
      </c>
      <c r="G1716">
        <f>G1715+IF(D1716="",0,1)</f>
        <v/>
      </c>
    </row>
    <row r="1717">
      <c r="A1717">
        <f>IF('KG1-3'!$B34="","",'KG1-3'!$B34)</f>
        <v/>
      </c>
      <c r="B1717">
        <f>IF(A1717="","",'KG1-3'!$C34)</f>
        <v/>
      </c>
      <c r="C1717">
        <f>IF(A1717="","",'KG1-3'!$B$2)</f>
        <v/>
      </c>
      <c r="D1717" s="126">
        <f t="array" ref="D1717">IF(A1717="","",IFERROR(SMALL(IF((('KG1-3'!$AD34:$IM34="غياب بدون عذر")+('KG1-3'!$AD34:$IM34="غياب بعذر"))*('KG1-3'!$AD$7:$IM$7="✓"),'KG1-3'!$AD$5:$IM$5),16),""))</f>
        <v/>
      </c>
      <c r="E1717">
        <f>IF(D1717="","",INDEX('KG1-3'!$AD34:$IM34,MATCH(D1717,'KG1-3'!$AD$5:$IM$5,0)))</f>
        <v/>
      </c>
      <c r="F1717">
        <f>IF(D1717="","",COUNTIFS('KG1-3'!$AD34:$IM34,"غياب بدون عذر",'KG1-3'!$AD$7:$IM$7,"✓",'KG1-3'!$AD$5:$IM$5,"&lt;="&amp;D1717))</f>
        <v/>
      </c>
      <c r="G1717">
        <f>G1716+IF(D1717="",0,1)</f>
        <v/>
      </c>
    </row>
    <row r="1718">
      <c r="A1718">
        <f>IF('KG1-3'!$B34="","",'KG1-3'!$B34)</f>
        <v/>
      </c>
      <c r="B1718">
        <f>IF(A1718="","",'KG1-3'!$C34)</f>
        <v/>
      </c>
      <c r="C1718">
        <f>IF(A1718="","",'KG1-3'!$B$2)</f>
        <v/>
      </c>
      <c r="D1718" s="126">
        <f t="array" ref="D1718">IF(A1718="","",IFERROR(SMALL(IF((('KG1-3'!$AD34:$IM34="غياب بدون عذر")+('KG1-3'!$AD34:$IM34="غياب بعذر"))*('KG1-3'!$AD$7:$IM$7="✓"),'KG1-3'!$AD$5:$IM$5),17),""))</f>
        <v/>
      </c>
      <c r="E1718">
        <f>IF(D1718="","",INDEX('KG1-3'!$AD34:$IM34,MATCH(D1718,'KG1-3'!$AD$5:$IM$5,0)))</f>
        <v/>
      </c>
      <c r="F1718">
        <f>IF(D1718="","",COUNTIFS('KG1-3'!$AD34:$IM34,"غياب بدون عذر",'KG1-3'!$AD$7:$IM$7,"✓",'KG1-3'!$AD$5:$IM$5,"&lt;="&amp;D1718))</f>
        <v/>
      </c>
      <c r="G1718">
        <f>G1717+IF(D1718="",0,1)</f>
        <v/>
      </c>
    </row>
    <row r="1719">
      <c r="A1719">
        <f>IF('KG1-3'!$B34="","",'KG1-3'!$B34)</f>
        <v/>
      </c>
      <c r="B1719">
        <f>IF(A1719="","",'KG1-3'!$C34)</f>
        <v/>
      </c>
      <c r="C1719">
        <f>IF(A1719="","",'KG1-3'!$B$2)</f>
        <v/>
      </c>
      <c r="D1719" s="126">
        <f t="array" ref="D1719">IF(A1719="","",IFERROR(SMALL(IF((('KG1-3'!$AD34:$IM34="غياب بدون عذر")+('KG1-3'!$AD34:$IM34="غياب بعذر"))*('KG1-3'!$AD$7:$IM$7="✓"),'KG1-3'!$AD$5:$IM$5),18),""))</f>
        <v/>
      </c>
      <c r="E1719">
        <f>IF(D1719="","",INDEX('KG1-3'!$AD34:$IM34,MATCH(D1719,'KG1-3'!$AD$5:$IM$5,0)))</f>
        <v/>
      </c>
      <c r="F1719">
        <f>IF(D1719="","",COUNTIFS('KG1-3'!$AD34:$IM34,"غياب بدون عذر",'KG1-3'!$AD$7:$IM$7,"✓",'KG1-3'!$AD$5:$IM$5,"&lt;="&amp;D1719))</f>
        <v/>
      </c>
      <c r="G1719">
        <f>G1718+IF(D1719="",0,1)</f>
        <v/>
      </c>
    </row>
    <row r="1720">
      <c r="A1720">
        <f>IF('KG1-3'!$B34="","",'KG1-3'!$B34)</f>
        <v/>
      </c>
      <c r="B1720">
        <f>IF(A1720="","",'KG1-3'!$C34)</f>
        <v/>
      </c>
      <c r="C1720">
        <f>IF(A1720="","",'KG1-3'!$B$2)</f>
        <v/>
      </c>
      <c r="D1720" s="126">
        <f t="array" ref="D1720">IF(A1720="","",IFERROR(SMALL(IF((('KG1-3'!$AD34:$IM34="غياب بدون عذر")+('KG1-3'!$AD34:$IM34="غياب بعذر"))*('KG1-3'!$AD$7:$IM$7="✓"),'KG1-3'!$AD$5:$IM$5),19),""))</f>
        <v/>
      </c>
      <c r="E1720">
        <f>IF(D1720="","",INDEX('KG1-3'!$AD34:$IM34,MATCH(D1720,'KG1-3'!$AD$5:$IM$5,0)))</f>
        <v/>
      </c>
      <c r="F1720">
        <f>IF(D1720="","",COUNTIFS('KG1-3'!$AD34:$IM34,"غياب بدون عذر",'KG1-3'!$AD$7:$IM$7,"✓",'KG1-3'!$AD$5:$IM$5,"&lt;="&amp;D1720))</f>
        <v/>
      </c>
      <c r="G1720">
        <f>G1719+IF(D1720="",0,1)</f>
        <v/>
      </c>
    </row>
    <row r="1721">
      <c r="A1721">
        <f>IF('KG1-3'!$B34="","",'KG1-3'!$B34)</f>
        <v/>
      </c>
      <c r="B1721">
        <f>IF(A1721="","",'KG1-3'!$C34)</f>
        <v/>
      </c>
      <c r="C1721">
        <f>IF(A1721="","",'KG1-3'!$B$2)</f>
        <v/>
      </c>
      <c r="D1721" s="126">
        <f t="array" ref="D1721">IF(A1721="","",IFERROR(SMALL(IF((('KG1-3'!$AD34:$IM34="غياب بدون عذر")+('KG1-3'!$AD34:$IM34="غياب بعذر"))*('KG1-3'!$AD$7:$IM$7="✓"),'KG1-3'!$AD$5:$IM$5),20),""))</f>
        <v/>
      </c>
      <c r="E1721">
        <f>IF(D1721="","",INDEX('KG1-3'!$AD34:$IM34,MATCH(D1721,'KG1-3'!$AD$5:$IM$5,0)))</f>
        <v/>
      </c>
      <c r="F1721">
        <f>IF(D1721="","",COUNTIFS('KG1-3'!$AD34:$IM34,"غياب بدون عذر",'KG1-3'!$AD$7:$IM$7,"✓",'KG1-3'!$AD$5:$IM$5,"&lt;="&amp;D1721))</f>
        <v/>
      </c>
      <c r="G1721">
        <f>G1720+IF(D1721="",0,1)</f>
        <v/>
      </c>
    </row>
    <row r="1722">
      <c r="A1722">
        <f>IF('KG1-3'!$B35="","",'KG1-3'!$B35)</f>
        <v/>
      </c>
      <c r="B1722">
        <f>IF(A1722="","",'KG1-3'!$C35)</f>
        <v/>
      </c>
      <c r="C1722">
        <f>IF(A1722="","",'KG1-3'!$B$2)</f>
        <v/>
      </c>
      <c r="D1722" s="126">
        <f t="array" ref="D1722">IF(A1722="","",IFERROR(SMALL(IF((('KG1-3'!$AD35:$IM35="غياب بدون عذر")+('KG1-3'!$AD35:$IM35="غياب بعذر"))*('KG1-3'!$AD$7:$IM$7="✓"),'KG1-3'!$AD$5:$IM$5),1),""))</f>
        <v/>
      </c>
      <c r="E1722">
        <f>IF(D1722="","",INDEX('KG1-3'!$AD35:$IM35,MATCH(D1722,'KG1-3'!$AD$5:$IM$5,0)))</f>
        <v/>
      </c>
      <c r="F1722">
        <f>IF(D1722="","",COUNTIFS('KG1-3'!$AD35:$IM35,"غياب بدون عذر",'KG1-3'!$AD$7:$IM$7,"✓",'KG1-3'!$AD$5:$IM$5,"&lt;="&amp;D1722))</f>
        <v/>
      </c>
      <c r="G1722">
        <f>G1721+IF(D1722="",0,1)</f>
        <v/>
      </c>
    </row>
    <row r="1723">
      <c r="A1723">
        <f>IF('KG1-3'!$B35="","",'KG1-3'!$B35)</f>
        <v/>
      </c>
      <c r="B1723">
        <f>IF(A1723="","",'KG1-3'!$C35)</f>
        <v/>
      </c>
      <c r="C1723">
        <f>IF(A1723="","",'KG1-3'!$B$2)</f>
        <v/>
      </c>
      <c r="D1723" s="126">
        <f t="array" ref="D1723">IF(A1723="","",IFERROR(SMALL(IF((('KG1-3'!$AD35:$IM35="غياب بدون عذر")+('KG1-3'!$AD35:$IM35="غياب بعذر"))*('KG1-3'!$AD$7:$IM$7="✓"),'KG1-3'!$AD$5:$IM$5),2),""))</f>
        <v/>
      </c>
      <c r="E1723">
        <f>IF(D1723="","",INDEX('KG1-3'!$AD35:$IM35,MATCH(D1723,'KG1-3'!$AD$5:$IM$5,0)))</f>
        <v/>
      </c>
      <c r="F1723">
        <f>IF(D1723="","",COUNTIFS('KG1-3'!$AD35:$IM35,"غياب بدون عذر",'KG1-3'!$AD$7:$IM$7,"✓",'KG1-3'!$AD$5:$IM$5,"&lt;="&amp;D1723))</f>
        <v/>
      </c>
      <c r="G1723">
        <f>G1722+IF(D1723="",0,1)</f>
        <v/>
      </c>
    </row>
    <row r="1724">
      <c r="A1724">
        <f>IF('KG1-3'!$B35="","",'KG1-3'!$B35)</f>
        <v/>
      </c>
      <c r="B1724">
        <f>IF(A1724="","",'KG1-3'!$C35)</f>
        <v/>
      </c>
      <c r="C1724">
        <f>IF(A1724="","",'KG1-3'!$B$2)</f>
        <v/>
      </c>
      <c r="D1724" s="126">
        <f t="array" ref="D1724">IF(A1724="","",IFERROR(SMALL(IF((('KG1-3'!$AD35:$IM35="غياب بدون عذر")+('KG1-3'!$AD35:$IM35="غياب بعذر"))*('KG1-3'!$AD$7:$IM$7="✓"),'KG1-3'!$AD$5:$IM$5),3),""))</f>
        <v/>
      </c>
      <c r="E1724">
        <f>IF(D1724="","",INDEX('KG1-3'!$AD35:$IM35,MATCH(D1724,'KG1-3'!$AD$5:$IM$5,0)))</f>
        <v/>
      </c>
      <c r="F1724">
        <f>IF(D1724="","",COUNTIFS('KG1-3'!$AD35:$IM35,"غياب بدون عذر",'KG1-3'!$AD$7:$IM$7,"✓",'KG1-3'!$AD$5:$IM$5,"&lt;="&amp;D1724))</f>
        <v/>
      </c>
      <c r="G1724">
        <f>G1723+IF(D1724="",0,1)</f>
        <v/>
      </c>
    </row>
    <row r="1725">
      <c r="A1725">
        <f>IF('KG1-3'!$B35="","",'KG1-3'!$B35)</f>
        <v/>
      </c>
      <c r="B1725">
        <f>IF(A1725="","",'KG1-3'!$C35)</f>
        <v/>
      </c>
      <c r="C1725">
        <f>IF(A1725="","",'KG1-3'!$B$2)</f>
        <v/>
      </c>
      <c r="D1725" s="126">
        <f t="array" ref="D1725">IF(A1725="","",IFERROR(SMALL(IF((('KG1-3'!$AD35:$IM35="غياب بدون عذر")+('KG1-3'!$AD35:$IM35="غياب بعذر"))*('KG1-3'!$AD$7:$IM$7="✓"),'KG1-3'!$AD$5:$IM$5),4),""))</f>
        <v/>
      </c>
      <c r="E1725">
        <f>IF(D1725="","",INDEX('KG1-3'!$AD35:$IM35,MATCH(D1725,'KG1-3'!$AD$5:$IM$5,0)))</f>
        <v/>
      </c>
      <c r="F1725">
        <f>IF(D1725="","",COUNTIFS('KG1-3'!$AD35:$IM35,"غياب بدون عذر",'KG1-3'!$AD$7:$IM$7,"✓",'KG1-3'!$AD$5:$IM$5,"&lt;="&amp;D1725))</f>
        <v/>
      </c>
      <c r="G1725">
        <f>G1724+IF(D1725="",0,1)</f>
        <v/>
      </c>
    </row>
    <row r="1726">
      <c r="A1726">
        <f>IF('KG1-3'!$B35="","",'KG1-3'!$B35)</f>
        <v/>
      </c>
      <c r="B1726">
        <f>IF(A1726="","",'KG1-3'!$C35)</f>
        <v/>
      </c>
      <c r="C1726">
        <f>IF(A1726="","",'KG1-3'!$B$2)</f>
        <v/>
      </c>
      <c r="D1726" s="126">
        <f t="array" ref="D1726">IF(A1726="","",IFERROR(SMALL(IF((('KG1-3'!$AD35:$IM35="غياب بدون عذر")+('KG1-3'!$AD35:$IM35="غياب بعذر"))*('KG1-3'!$AD$7:$IM$7="✓"),'KG1-3'!$AD$5:$IM$5),5),""))</f>
        <v/>
      </c>
      <c r="E1726">
        <f>IF(D1726="","",INDEX('KG1-3'!$AD35:$IM35,MATCH(D1726,'KG1-3'!$AD$5:$IM$5,0)))</f>
        <v/>
      </c>
      <c r="F1726">
        <f>IF(D1726="","",COUNTIFS('KG1-3'!$AD35:$IM35,"غياب بدون عذر",'KG1-3'!$AD$7:$IM$7,"✓",'KG1-3'!$AD$5:$IM$5,"&lt;="&amp;D1726))</f>
        <v/>
      </c>
      <c r="G1726">
        <f>G1725+IF(D1726="",0,1)</f>
        <v/>
      </c>
    </row>
    <row r="1727">
      <c r="A1727">
        <f>IF('KG1-3'!$B35="","",'KG1-3'!$B35)</f>
        <v/>
      </c>
      <c r="B1727">
        <f>IF(A1727="","",'KG1-3'!$C35)</f>
        <v/>
      </c>
      <c r="C1727">
        <f>IF(A1727="","",'KG1-3'!$B$2)</f>
        <v/>
      </c>
      <c r="D1727" s="126">
        <f t="array" ref="D1727">IF(A1727="","",IFERROR(SMALL(IF((('KG1-3'!$AD35:$IM35="غياب بدون عذر")+('KG1-3'!$AD35:$IM35="غياب بعذر"))*('KG1-3'!$AD$7:$IM$7="✓"),'KG1-3'!$AD$5:$IM$5),6),""))</f>
        <v/>
      </c>
      <c r="E1727">
        <f>IF(D1727="","",INDEX('KG1-3'!$AD35:$IM35,MATCH(D1727,'KG1-3'!$AD$5:$IM$5,0)))</f>
        <v/>
      </c>
      <c r="F1727">
        <f>IF(D1727="","",COUNTIFS('KG1-3'!$AD35:$IM35,"غياب بدون عذر",'KG1-3'!$AD$7:$IM$7,"✓",'KG1-3'!$AD$5:$IM$5,"&lt;="&amp;D1727))</f>
        <v/>
      </c>
      <c r="G1727">
        <f>G1726+IF(D1727="",0,1)</f>
        <v/>
      </c>
    </row>
    <row r="1728">
      <c r="A1728">
        <f>IF('KG1-3'!$B35="","",'KG1-3'!$B35)</f>
        <v/>
      </c>
      <c r="B1728">
        <f>IF(A1728="","",'KG1-3'!$C35)</f>
        <v/>
      </c>
      <c r="C1728">
        <f>IF(A1728="","",'KG1-3'!$B$2)</f>
        <v/>
      </c>
      <c r="D1728" s="126">
        <f t="array" ref="D1728">IF(A1728="","",IFERROR(SMALL(IF((('KG1-3'!$AD35:$IM35="غياب بدون عذر")+('KG1-3'!$AD35:$IM35="غياب بعذر"))*('KG1-3'!$AD$7:$IM$7="✓"),'KG1-3'!$AD$5:$IM$5),7),""))</f>
        <v/>
      </c>
      <c r="E1728">
        <f>IF(D1728="","",INDEX('KG1-3'!$AD35:$IM35,MATCH(D1728,'KG1-3'!$AD$5:$IM$5,0)))</f>
        <v/>
      </c>
      <c r="F1728">
        <f>IF(D1728="","",COUNTIFS('KG1-3'!$AD35:$IM35,"غياب بدون عذر",'KG1-3'!$AD$7:$IM$7,"✓",'KG1-3'!$AD$5:$IM$5,"&lt;="&amp;D1728))</f>
        <v/>
      </c>
      <c r="G1728">
        <f>G1727+IF(D1728="",0,1)</f>
        <v/>
      </c>
    </row>
    <row r="1729">
      <c r="A1729">
        <f>IF('KG1-3'!$B35="","",'KG1-3'!$B35)</f>
        <v/>
      </c>
      <c r="B1729">
        <f>IF(A1729="","",'KG1-3'!$C35)</f>
        <v/>
      </c>
      <c r="C1729">
        <f>IF(A1729="","",'KG1-3'!$B$2)</f>
        <v/>
      </c>
      <c r="D1729" s="126">
        <f t="array" ref="D1729">IF(A1729="","",IFERROR(SMALL(IF((('KG1-3'!$AD35:$IM35="غياب بدون عذر")+('KG1-3'!$AD35:$IM35="غياب بعذر"))*('KG1-3'!$AD$7:$IM$7="✓"),'KG1-3'!$AD$5:$IM$5),8),""))</f>
        <v/>
      </c>
      <c r="E1729">
        <f>IF(D1729="","",INDEX('KG1-3'!$AD35:$IM35,MATCH(D1729,'KG1-3'!$AD$5:$IM$5,0)))</f>
        <v/>
      </c>
      <c r="F1729">
        <f>IF(D1729="","",COUNTIFS('KG1-3'!$AD35:$IM35,"غياب بدون عذر",'KG1-3'!$AD$7:$IM$7,"✓",'KG1-3'!$AD$5:$IM$5,"&lt;="&amp;D1729))</f>
        <v/>
      </c>
      <c r="G1729">
        <f>G1728+IF(D1729="",0,1)</f>
        <v/>
      </c>
    </row>
    <row r="1730">
      <c r="A1730">
        <f>IF('KG1-3'!$B35="","",'KG1-3'!$B35)</f>
        <v/>
      </c>
      <c r="B1730">
        <f>IF(A1730="","",'KG1-3'!$C35)</f>
        <v/>
      </c>
      <c r="C1730">
        <f>IF(A1730="","",'KG1-3'!$B$2)</f>
        <v/>
      </c>
      <c r="D1730" s="126">
        <f t="array" ref="D1730">IF(A1730="","",IFERROR(SMALL(IF((('KG1-3'!$AD35:$IM35="غياب بدون عذر")+('KG1-3'!$AD35:$IM35="غياب بعذر"))*('KG1-3'!$AD$7:$IM$7="✓"),'KG1-3'!$AD$5:$IM$5),9),""))</f>
        <v/>
      </c>
      <c r="E1730">
        <f>IF(D1730="","",INDEX('KG1-3'!$AD35:$IM35,MATCH(D1730,'KG1-3'!$AD$5:$IM$5,0)))</f>
        <v/>
      </c>
      <c r="F1730">
        <f>IF(D1730="","",COUNTIFS('KG1-3'!$AD35:$IM35,"غياب بدون عذر",'KG1-3'!$AD$7:$IM$7,"✓",'KG1-3'!$AD$5:$IM$5,"&lt;="&amp;D1730))</f>
        <v/>
      </c>
      <c r="G1730">
        <f>G1729+IF(D1730="",0,1)</f>
        <v/>
      </c>
    </row>
    <row r="1731">
      <c r="A1731">
        <f>IF('KG1-3'!$B35="","",'KG1-3'!$B35)</f>
        <v/>
      </c>
      <c r="B1731">
        <f>IF(A1731="","",'KG1-3'!$C35)</f>
        <v/>
      </c>
      <c r="C1731">
        <f>IF(A1731="","",'KG1-3'!$B$2)</f>
        <v/>
      </c>
      <c r="D1731" s="126">
        <f t="array" ref="D1731">IF(A1731="","",IFERROR(SMALL(IF((('KG1-3'!$AD35:$IM35="غياب بدون عذر")+('KG1-3'!$AD35:$IM35="غياب بعذر"))*('KG1-3'!$AD$7:$IM$7="✓"),'KG1-3'!$AD$5:$IM$5),10),""))</f>
        <v/>
      </c>
      <c r="E1731">
        <f>IF(D1731="","",INDEX('KG1-3'!$AD35:$IM35,MATCH(D1731,'KG1-3'!$AD$5:$IM$5,0)))</f>
        <v/>
      </c>
      <c r="F1731">
        <f>IF(D1731="","",COUNTIFS('KG1-3'!$AD35:$IM35,"غياب بدون عذر",'KG1-3'!$AD$7:$IM$7,"✓",'KG1-3'!$AD$5:$IM$5,"&lt;="&amp;D1731))</f>
        <v/>
      </c>
      <c r="G1731">
        <f>G1730+IF(D1731="",0,1)</f>
        <v/>
      </c>
    </row>
    <row r="1732">
      <c r="A1732">
        <f>IF('KG1-3'!$B35="","",'KG1-3'!$B35)</f>
        <v/>
      </c>
      <c r="B1732">
        <f>IF(A1732="","",'KG1-3'!$C35)</f>
        <v/>
      </c>
      <c r="C1732">
        <f>IF(A1732="","",'KG1-3'!$B$2)</f>
        <v/>
      </c>
      <c r="D1732" s="126">
        <f t="array" ref="D1732">IF(A1732="","",IFERROR(SMALL(IF((('KG1-3'!$AD35:$IM35="غياب بدون عذر")+('KG1-3'!$AD35:$IM35="غياب بعذر"))*('KG1-3'!$AD$7:$IM$7="✓"),'KG1-3'!$AD$5:$IM$5),11),""))</f>
        <v/>
      </c>
      <c r="E1732">
        <f>IF(D1732="","",INDEX('KG1-3'!$AD35:$IM35,MATCH(D1732,'KG1-3'!$AD$5:$IM$5,0)))</f>
        <v/>
      </c>
      <c r="F1732">
        <f>IF(D1732="","",COUNTIFS('KG1-3'!$AD35:$IM35,"غياب بدون عذر",'KG1-3'!$AD$7:$IM$7,"✓",'KG1-3'!$AD$5:$IM$5,"&lt;="&amp;D1732))</f>
        <v/>
      </c>
      <c r="G1732">
        <f>G1731+IF(D1732="",0,1)</f>
        <v/>
      </c>
    </row>
    <row r="1733">
      <c r="A1733">
        <f>IF('KG1-3'!$B35="","",'KG1-3'!$B35)</f>
        <v/>
      </c>
      <c r="B1733">
        <f>IF(A1733="","",'KG1-3'!$C35)</f>
        <v/>
      </c>
      <c r="C1733">
        <f>IF(A1733="","",'KG1-3'!$B$2)</f>
        <v/>
      </c>
      <c r="D1733" s="126">
        <f t="array" ref="D1733">IF(A1733="","",IFERROR(SMALL(IF((('KG1-3'!$AD35:$IM35="غياب بدون عذر")+('KG1-3'!$AD35:$IM35="غياب بعذر"))*('KG1-3'!$AD$7:$IM$7="✓"),'KG1-3'!$AD$5:$IM$5),12),""))</f>
        <v/>
      </c>
      <c r="E1733">
        <f>IF(D1733="","",INDEX('KG1-3'!$AD35:$IM35,MATCH(D1733,'KG1-3'!$AD$5:$IM$5,0)))</f>
        <v/>
      </c>
      <c r="F1733">
        <f>IF(D1733="","",COUNTIFS('KG1-3'!$AD35:$IM35,"غياب بدون عذر",'KG1-3'!$AD$7:$IM$7,"✓",'KG1-3'!$AD$5:$IM$5,"&lt;="&amp;D1733))</f>
        <v/>
      </c>
      <c r="G1733">
        <f>G1732+IF(D1733="",0,1)</f>
        <v/>
      </c>
    </row>
    <row r="1734">
      <c r="A1734">
        <f>IF('KG1-3'!$B35="","",'KG1-3'!$B35)</f>
        <v/>
      </c>
      <c r="B1734">
        <f>IF(A1734="","",'KG1-3'!$C35)</f>
        <v/>
      </c>
      <c r="C1734">
        <f>IF(A1734="","",'KG1-3'!$B$2)</f>
        <v/>
      </c>
      <c r="D1734" s="126">
        <f t="array" ref="D1734">IF(A1734="","",IFERROR(SMALL(IF((('KG1-3'!$AD35:$IM35="غياب بدون عذر")+('KG1-3'!$AD35:$IM35="غياب بعذر"))*('KG1-3'!$AD$7:$IM$7="✓"),'KG1-3'!$AD$5:$IM$5),13),""))</f>
        <v/>
      </c>
      <c r="E1734">
        <f>IF(D1734="","",INDEX('KG1-3'!$AD35:$IM35,MATCH(D1734,'KG1-3'!$AD$5:$IM$5,0)))</f>
        <v/>
      </c>
      <c r="F1734">
        <f>IF(D1734="","",COUNTIFS('KG1-3'!$AD35:$IM35,"غياب بدون عذر",'KG1-3'!$AD$7:$IM$7,"✓",'KG1-3'!$AD$5:$IM$5,"&lt;="&amp;D1734))</f>
        <v/>
      </c>
      <c r="G1734">
        <f>G1733+IF(D1734="",0,1)</f>
        <v/>
      </c>
    </row>
    <row r="1735">
      <c r="A1735">
        <f>IF('KG1-3'!$B35="","",'KG1-3'!$B35)</f>
        <v/>
      </c>
      <c r="B1735">
        <f>IF(A1735="","",'KG1-3'!$C35)</f>
        <v/>
      </c>
      <c r="C1735">
        <f>IF(A1735="","",'KG1-3'!$B$2)</f>
        <v/>
      </c>
      <c r="D1735" s="126">
        <f t="array" ref="D1735">IF(A1735="","",IFERROR(SMALL(IF((('KG1-3'!$AD35:$IM35="غياب بدون عذر")+('KG1-3'!$AD35:$IM35="غياب بعذر"))*('KG1-3'!$AD$7:$IM$7="✓"),'KG1-3'!$AD$5:$IM$5),14),""))</f>
        <v/>
      </c>
      <c r="E1735">
        <f>IF(D1735="","",INDEX('KG1-3'!$AD35:$IM35,MATCH(D1735,'KG1-3'!$AD$5:$IM$5,0)))</f>
        <v/>
      </c>
      <c r="F1735">
        <f>IF(D1735="","",COUNTIFS('KG1-3'!$AD35:$IM35,"غياب بدون عذر",'KG1-3'!$AD$7:$IM$7,"✓",'KG1-3'!$AD$5:$IM$5,"&lt;="&amp;D1735))</f>
        <v/>
      </c>
      <c r="G1735">
        <f>G1734+IF(D1735="",0,1)</f>
        <v/>
      </c>
    </row>
    <row r="1736">
      <c r="A1736">
        <f>IF('KG1-3'!$B35="","",'KG1-3'!$B35)</f>
        <v/>
      </c>
      <c r="B1736">
        <f>IF(A1736="","",'KG1-3'!$C35)</f>
        <v/>
      </c>
      <c r="C1736">
        <f>IF(A1736="","",'KG1-3'!$B$2)</f>
        <v/>
      </c>
      <c r="D1736" s="126">
        <f t="array" ref="D1736">IF(A1736="","",IFERROR(SMALL(IF((('KG1-3'!$AD35:$IM35="غياب بدون عذر")+('KG1-3'!$AD35:$IM35="غياب بعذر"))*('KG1-3'!$AD$7:$IM$7="✓"),'KG1-3'!$AD$5:$IM$5),15),""))</f>
        <v/>
      </c>
      <c r="E1736">
        <f>IF(D1736="","",INDEX('KG1-3'!$AD35:$IM35,MATCH(D1736,'KG1-3'!$AD$5:$IM$5,0)))</f>
        <v/>
      </c>
      <c r="F1736">
        <f>IF(D1736="","",COUNTIFS('KG1-3'!$AD35:$IM35,"غياب بدون عذر",'KG1-3'!$AD$7:$IM$7,"✓",'KG1-3'!$AD$5:$IM$5,"&lt;="&amp;D1736))</f>
        <v/>
      </c>
      <c r="G1736">
        <f>G1735+IF(D1736="",0,1)</f>
        <v/>
      </c>
    </row>
    <row r="1737">
      <c r="A1737">
        <f>IF('KG1-3'!$B35="","",'KG1-3'!$B35)</f>
        <v/>
      </c>
      <c r="B1737">
        <f>IF(A1737="","",'KG1-3'!$C35)</f>
        <v/>
      </c>
      <c r="C1737">
        <f>IF(A1737="","",'KG1-3'!$B$2)</f>
        <v/>
      </c>
      <c r="D1737" s="126">
        <f t="array" ref="D1737">IF(A1737="","",IFERROR(SMALL(IF((('KG1-3'!$AD35:$IM35="غياب بدون عذر")+('KG1-3'!$AD35:$IM35="غياب بعذر"))*('KG1-3'!$AD$7:$IM$7="✓"),'KG1-3'!$AD$5:$IM$5),16),""))</f>
        <v/>
      </c>
      <c r="E1737">
        <f>IF(D1737="","",INDEX('KG1-3'!$AD35:$IM35,MATCH(D1737,'KG1-3'!$AD$5:$IM$5,0)))</f>
        <v/>
      </c>
      <c r="F1737">
        <f>IF(D1737="","",COUNTIFS('KG1-3'!$AD35:$IM35,"غياب بدون عذر",'KG1-3'!$AD$7:$IM$7,"✓",'KG1-3'!$AD$5:$IM$5,"&lt;="&amp;D1737))</f>
        <v/>
      </c>
      <c r="G1737">
        <f>G1736+IF(D1737="",0,1)</f>
        <v/>
      </c>
    </row>
    <row r="1738">
      <c r="A1738">
        <f>IF('KG1-3'!$B35="","",'KG1-3'!$B35)</f>
        <v/>
      </c>
      <c r="B1738">
        <f>IF(A1738="","",'KG1-3'!$C35)</f>
        <v/>
      </c>
      <c r="C1738">
        <f>IF(A1738="","",'KG1-3'!$B$2)</f>
        <v/>
      </c>
      <c r="D1738" s="126">
        <f t="array" ref="D1738">IF(A1738="","",IFERROR(SMALL(IF((('KG1-3'!$AD35:$IM35="غياب بدون عذر")+('KG1-3'!$AD35:$IM35="غياب بعذر"))*('KG1-3'!$AD$7:$IM$7="✓"),'KG1-3'!$AD$5:$IM$5),17),""))</f>
        <v/>
      </c>
      <c r="E1738">
        <f>IF(D1738="","",INDEX('KG1-3'!$AD35:$IM35,MATCH(D1738,'KG1-3'!$AD$5:$IM$5,0)))</f>
        <v/>
      </c>
      <c r="F1738">
        <f>IF(D1738="","",COUNTIFS('KG1-3'!$AD35:$IM35,"غياب بدون عذر",'KG1-3'!$AD$7:$IM$7,"✓",'KG1-3'!$AD$5:$IM$5,"&lt;="&amp;D1738))</f>
        <v/>
      </c>
      <c r="G1738">
        <f>G1737+IF(D1738="",0,1)</f>
        <v/>
      </c>
    </row>
    <row r="1739">
      <c r="A1739">
        <f>IF('KG1-3'!$B35="","",'KG1-3'!$B35)</f>
        <v/>
      </c>
      <c r="B1739">
        <f>IF(A1739="","",'KG1-3'!$C35)</f>
        <v/>
      </c>
      <c r="C1739">
        <f>IF(A1739="","",'KG1-3'!$B$2)</f>
        <v/>
      </c>
      <c r="D1739" s="126">
        <f t="array" ref="D1739">IF(A1739="","",IFERROR(SMALL(IF((('KG1-3'!$AD35:$IM35="غياب بدون عذر")+('KG1-3'!$AD35:$IM35="غياب بعذر"))*('KG1-3'!$AD$7:$IM$7="✓"),'KG1-3'!$AD$5:$IM$5),18),""))</f>
        <v/>
      </c>
      <c r="E1739">
        <f>IF(D1739="","",INDEX('KG1-3'!$AD35:$IM35,MATCH(D1739,'KG1-3'!$AD$5:$IM$5,0)))</f>
        <v/>
      </c>
      <c r="F1739">
        <f>IF(D1739="","",COUNTIFS('KG1-3'!$AD35:$IM35,"غياب بدون عذر",'KG1-3'!$AD$7:$IM$7,"✓",'KG1-3'!$AD$5:$IM$5,"&lt;="&amp;D1739))</f>
        <v/>
      </c>
      <c r="G1739">
        <f>G1738+IF(D1739="",0,1)</f>
        <v/>
      </c>
    </row>
    <row r="1740">
      <c r="A1740">
        <f>IF('KG1-3'!$B35="","",'KG1-3'!$B35)</f>
        <v/>
      </c>
      <c r="B1740">
        <f>IF(A1740="","",'KG1-3'!$C35)</f>
        <v/>
      </c>
      <c r="C1740">
        <f>IF(A1740="","",'KG1-3'!$B$2)</f>
        <v/>
      </c>
      <c r="D1740" s="126">
        <f t="array" ref="D1740">IF(A1740="","",IFERROR(SMALL(IF((('KG1-3'!$AD35:$IM35="غياب بدون عذر")+('KG1-3'!$AD35:$IM35="غياب بعذر"))*('KG1-3'!$AD$7:$IM$7="✓"),'KG1-3'!$AD$5:$IM$5),19),""))</f>
        <v/>
      </c>
      <c r="E1740">
        <f>IF(D1740="","",INDEX('KG1-3'!$AD35:$IM35,MATCH(D1740,'KG1-3'!$AD$5:$IM$5,0)))</f>
        <v/>
      </c>
      <c r="F1740">
        <f>IF(D1740="","",COUNTIFS('KG1-3'!$AD35:$IM35,"غياب بدون عذر",'KG1-3'!$AD$7:$IM$7,"✓",'KG1-3'!$AD$5:$IM$5,"&lt;="&amp;D1740))</f>
        <v/>
      </c>
      <c r="G1740">
        <f>G1739+IF(D1740="",0,1)</f>
        <v/>
      </c>
    </row>
    <row r="1741">
      <c r="A1741">
        <f>IF('KG1-3'!$B35="","",'KG1-3'!$B35)</f>
        <v/>
      </c>
      <c r="B1741">
        <f>IF(A1741="","",'KG1-3'!$C35)</f>
        <v/>
      </c>
      <c r="C1741">
        <f>IF(A1741="","",'KG1-3'!$B$2)</f>
        <v/>
      </c>
      <c r="D1741" s="126">
        <f t="array" ref="D1741">IF(A1741="","",IFERROR(SMALL(IF((('KG1-3'!$AD35:$IM35="غياب بدون عذر")+('KG1-3'!$AD35:$IM35="غياب بعذر"))*('KG1-3'!$AD$7:$IM$7="✓"),'KG1-3'!$AD$5:$IM$5),20),""))</f>
        <v/>
      </c>
      <c r="E1741">
        <f>IF(D1741="","",INDEX('KG1-3'!$AD35:$IM35,MATCH(D1741,'KG1-3'!$AD$5:$IM$5,0)))</f>
        <v/>
      </c>
      <c r="F1741">
        <f>IF(D1741="","",COUNTIFS('KG1-3'!$AD35:$IM35,"غياب بدون عذر",'KG1-3'!$AD$7:$IM$7,"✓",'KG1-3'!$AD$5:$IM$5,"&lt;="&amp;D1741))</f>
        <v/>
      </c>
      <c r="G1741">
        <f>G1740+IF(D1741="",0,1)</f>
        <v/>
      </c>
    </row>
    <row r="1742">
      <c r="A1742">
        <f>IF('KG1-3'!$B36="","",'KG1-3'!$B36)</f>
        <v/>
      </c>
      <c r="B1742">
        <f>IF(A1742="","",'KG1-3'!$C36)</f>
        <v/>
      </c>
      <c r="C1742">
        <f>IF(A1742="","",'KG1-3'!$B$2)</f>
        <v/>
      </c>
      <c r="D1742" s="126">
        <f t="array" ref="D1742">IF(A1742="","",IFERROR(SMALL(IF((('KG1-3'!$AD36:$IM36="غياب بدون عذر")+('KG1-3'!$AD36:$IM36="غياب بعذر"))*('KG1-3'!$AD$7:$IM$7="✓"),'KG1-3'!$AD$5:$IM$5),1),""))</f>
        <v/>
      </c>
      <c r="E1742">
        <f>IF(D1742="","",INDEX('KG1-3'!$AD36:$IM36,MATCH(D1742,'KG1-3'!$AD$5:$IM$5,0)))</f>
        <v/>
      </c>
      <c r="F1742">
        <f>IF(D1742="","",COUNTIFS('KG1-3'!$AD36:$IM36,"غياب بدون عذر",'KG1-3'!$AD$7:$IM$7,"✓",'KG1-3'!$AD$5:$IM$5,"&lt;="&amp;D1742))</f>
        <v/>
      </c>
      <c r="G1742">
        <f>G1741+IF(D1742="",0,1)</f>
        <v/>
      </c>
    </row>
    <row r="1743">
      <c r="A1743">
        <f>IF('KG1-3'!$B36="","",'KG1-3'!$B36)</f>
        <v/>
      </c>
      <c r="B1743">
        <f>IF(A1743="","",'KG1-3'!$C36)</f>
        <v/>
      </c>
      <c r="C1743">
        <f>IF(A1743="","",'KG1-3'!$B$2)</f>
        <v/>
      </c>
      <c r="D1743" s="126">
        <f t="array" ref="D1743">IF(A1743="","",IFERROR(SMALL(IF((('KG1-3'!$AD36:$IM36="غياب بدون عذر")+('KG1-3'!$AD36:$IM36="غياب بعذر"))*('KG1-3'!$AD$7:$IM$7="✓"),'KG1-3'!$AD$5:$IM$5),2),""))</f>
        <v/>
      </c>
      <c r="E1743">
        <f>IF(D1743="","",INDEX('KG1-3'!$AD36:$IM36,MATCH(D1743,'KG1-3'!$AD$5:$IM$5,0)))</f>
        <v/>
      </c>
      <c r="F1743">
        <f>IF(D1743="","",COUNTIFS('KG1-3'!$AD36:$IM36,"غياب بدون عذر",'KG1-3'!$AD$7:$IM$7,"✓",'KG1-3'!$AD$5:$IM$5,"&lt;="&amp;D1743))</f>
        <v/>
      </c>
      <c r="G1743">
        <f>G1742+IF(D1743="",0,1)</f>
        <v/>
      </c>
    </row>
    <row r="1744">
      <c r="A1744">
        <f>IF('KG1-3'!$B36="","",'KG1-3'!$B36)</f>
        <v/>
      </c>
      <c r="B1744">
        <f>IF(A1744="","",'KG1-3'!$C36)</f>
        <v/>
      </c>
      <c r="C1744">
        <f>IF(A1744="","",'KG1-3'!$B$2)</f>
        <v/>
      </c>
      <c r="D1744" s="126">
        <f t="array" ref="D1744">IF(A1744="","",IFERROR(SMALL(IF((('KG1-3'!$AD36:$IM36="غياب بدون عذر")+('KG1-3'!$AD36:$IM36="غياب بعذر"))*('KG1-3'!$AD$7:$IM$7="✓"),'KG1-3'!$AD$5:$IM$5),3),""))</f>
        <v/>
      </c>
      <c r="E1744">
        <f>IF(D1744="","",INDEX('KG1-3'!$AD36:$IM36,MATCH(D1744,'KG1-3'!$AD$5:$IM$5,0)))</f>
        <v/>
      </c>
      <c r="F1744">
        <f>IF(D1744="","",COUNTIFS('KG1-3'!$AD36:$IM36,"غياب بدون عذر",'KG1-3'!$AD$7:$IM$7,"✓",'KG1-3'!$AD$5:$IM$5,"&lt;="&amp;D1744))</f>
        <v/>
      </c>
      <c r="G1744">
        <f>G1743+IF(D1744="",0,1)</f>
        <v/>
      </c>
    </row>
    <row r="1745">
      <c r="A1745">
        <f>IF('KG1-3'!$B36="","",'KG1-3'!$B36)</f>
        <v/>
      </c>
      <c r="B1745">
        <f>IF(A1745="","",'KG1-3'!$C36)</f>
        <v/>
      </c>
      <c r="C1745">
        <f>IF(A1745="","",'KG1-3'!$B$2)</f>
        <v/>
      </c>
      <c r="D1745" s="126">
        <f t="array" ref="D1745">IF(A1745="","",IFERROR(SMALL(IF((('KG1-3'!$AD36:$IM36="غياب بدون عذر")+('KG1-3'!$AD36:$IM36="غياب بعذر"))*('KG1-3'!$AD$7:$IM$7="✓"),'KG1-3'!$AD$5:$IM$5),4),""))</f>
        <v/>
      </c>
      <c r="E1745">
        <f>IF(D1745="","",INDEX('KG1-3'!$AD36:$IM36,MATCH(D1745,'KG1-3'!$AD$5:$IM$5,0)))</f>
        <v/>
      </c>
      <c r="F1745">
        <f>IF(D1745="","",COUNTIFS('KG1-3'!$AD36:$IM36,"غياب بدون عذر",'KG1-3'!$AD$7:$IM$7,"✓",'KG1-3'!$AD$5:$IM$5,"&lt;="&amp;D1745))</f>
        <v/>
      </c>
      <c r="G1745">
        <f>G1744+IF(D1745="",0,1)</f>
        <v/>
      </c>
    </row>
    <row r="1746">
      <c r="A1746">
        <f>IF('KG1-3'!$B36="","",'KG1-3'!$B36)</f>
        <v/>
      </c>
      <c r="B1746">
        <f>IF(A1746="","",'KG1-3'!$C36)</f>
        <v/>
      </c>
      <c r="C1746">
        <f>IF(A1746="","",'KG1-3'!$B$2)</f>
        <v/>
      </c>
      <c r="D1746" s="126">
        <f t="array" ref="D1746">IF(A1746="","",IFERROR(SMALL(IF((('KG1-3'!$AD36:$IM36="غياب بدون عذر")+('KG1-3'!$AD36:$IM36="غياب بعذر"))*('KG1-3'!$AD$7:$IM$7="✓"),'KG1-3'!$AD$5:$IM$5),5),""))</f>
        <v/>
      </c>
      <c r="E1746">
        <f>IF(D1746="","",INDEX('KG1-3'!$AD36:$IM36,MATCH(D1746,'KG1-3'!$AD$5:$IM$5,0)))</f>
        <v/>
      </c>
      <c r="F1746">
        <f>IF(D1746="","",COUNTIFS('KG1-3'!$AD36:$IM36,"غياب بدون عذر",'KG1-3'!$AD$7:$IM$7,"✓",'KG1-3'!$AD$5:$IM$5,"&lt;="&amp;D1746))</f>
        <v/>
      </c>
      <c r="G1746">
        <f>G1745+IF(D1746="",0,1)</f>
        <v/>
      </c>
    </row>
    <row r="1747">
      <c r="A1747">
        <f>IF('KG1-3'!$B36="","",'KG1-3'!$B36)</f>
        <v/>
      </c>
      <c r="B1747">
        <f>IF(A1747="","",'KG1-3'!$C36)</f>
        <v/>
      </c>
      <c r="C1747">
        <f>IF(A1747="","",'KG1-3'!$B$2)</f>
        <v/>
      </c>
      <c r="D1747" s="126">
        <f t="array" ref="D1747">IF(A1747="","",IFERROR(SMALL(IF((('KG1-3'!$AD36:$IM36="غياب بدون عذر")+('KG1-3'!$AD36:$IM36="غياب بعذر"))*('KG1-3'!$AD$7:$IM$7="✓"),'KG1-3'!$AD$5:$IM$5),6),""))</f>
        <v/>
      </c>
      <c r="E1747">
        <f>IF(D1747="","",INDEX('KG1-3'!$AD36:$IM36,MATCH(D1747,'KG1-3'!$AD$5:$IM$5,0)))</f>
        <v/>
      </c>
      <c r="F1747">
        <f>IF(D1747="","",COUNTIFS('KG1-3'!$AD36:$IM36,"غياب بدون عذر",'KG1-3'!$AD$7:$IM$7,"✓",'KG1-3'!$AD$5:$IM$5,"&lt;="&amp;D1747))</f>
        <v/>
      </c>
      <c r="G1747">
        <f>G1746+IF(D1747="",0,1)</f>
        <v/>
      </c>
    </row>
    <row r="1748">
      <c r="A1748">
        <f>IF('KG1-3'!$B36="","",'KG1-3'!$B36)</f>
        <v/>
      </c>
      <c r="B1748">
        <f>IF(A1748="","",'KG1-3'!$C36)</f>
        <v/>
      </c>
      <c r="C1748">
        <f>IF(A1748="","",'KG1-3'!$B$2)</f>
        <v/>
      </c>
      <c r="D1748" s="126">
        <f t="array" ref="D1748">IF(A1748="","",IFERROR(SMALL(IF((('KG1-3'!$AD36:$IM36="غياب بدون عذر")+('KG1-3'!$AD36:$IM36="غياب بعذر"))*('KG1-3'!$AD$7:$IM$7="✓"),'KG1-3'!$AD$5:$IM$5),7),""))</f>
        <v/>
      </c>
      <c r="E1748">
        <f>IF(D1748="","",INDEX('KG1-3'!$AD36:$IM36,MATCH(D1748,'KG1-3'!$AD$5:$IM$5,0)))</f>
        <v/>
      </c>
      <c r="F1748">
        <f>IF(D1748="","",COUNTIFS('KG1-3'!$AD36:$IM36,"غياب بدون عذر",'KG1-3'!$AD$7:$IM$7,"✓",'KG1-3'!$AD$5:$IM$5,"&lt;="&amp;D1748))</f>
        <v/>
      </c>
      <c r="G1748">
        <f>G1747+IF(D1748="",0,1)</f>
        <v/>
      </c>
    </row>
    <row r="1749">
      <c r="A1749">
        <f>IF('KG1-3'!$B36="","",'KG1-3'!$B36)</f>
        <v/>
      </c>
      <c r="B1749">
        <f>IF(A1749="","",'KG1-3'!$C36)</f>
        <v/>
      </c>
      <c r="C1749">
        <f>IF(A1749="","",'KG1-3'!$B$2)</f>
        <v/>
      </c>
      <c r="D1749" s="126">
        <f t="array" ref="D1749">IF(A1749="","",IFERROR(SMALL(IF((('KG1-3'!$AD36:$IM36="غياب بدون عذر")+('KG1-3'!$AD36:$IM36="غياب بعذر"))*('KG1-3'!$AD$7:$IM$7="✓"),'KG1-3'!$AD$5:$IM$5),8),""))</f>
        <v/>
      </c>
      <c r="E1749">
        <f>IF(D1749="","",INDEX('KG1-3'!$AD36:$IM36,MATCH(D1749,'KG1-3'!$AD$5:$IM$5,0)))</f>
        <v/>
      </c>
      <c r="F1749">
        <f>IF(D1749="","",COUNTIFS('KG1-3'!$AD36:$IM36,"غياب بدون عذر",'KG1-3'!$AD$7:$IM$7,"✓",'KG1-3'!$AD$5:$IM$5,"&lt;="&amp;D1749))</f>
        <v/>
      </c>
      <c r="G1749">
        <f>G1748+IF(D1749="",0,1)</f>
        <v/>
      </c>
    </row>
    <row r="1750">
      <c r="A1750">
        <f>IF('KG1-3'!$B36="","",'KG1-3'!$B36)</f>
        <v/>
      </c>
      <c r="B1750">
        <f>IF(A1750="","",'KG1-3'!$C36)</f>
        <v/>
      </c>
      <c r="C1750">
        <f>IF(A1750="","",'KG1-3'!$B$2)</f>
        <v/>
      </c>
      <c r="D1750" s="126">
        <f t="array" ref="D1750">IF(A1750="","",IFERROR(SMALL(IF((('KG1-3'!$AD36:$IM36="غياب بدون عذر")+('KG1-3'!$AD36:$IM36="غياب بعذر"))*('KG1-3'!$AD$7:$IM$7="✓"),'KG1-3'!$AD$5:$IM$5),9),""))</f>
        <v/>
      </c>
      <c r="E1750">
        <f>IF(D1750="","",INDEX('KG1-3'!$AD36:$IM36,MATCH(D1750,'KG1-3'!$AD$5:$IM$5,0)))</f>
        <v/>
      </c>
      <c r="F1750">
        <f>IF(D1750="","",COUNTIFS('KG1-3'!$AD36:$IM36,"غياب بدون عذر",'KG1-3'!$AD$7:$IM$7,"✓",'KG1-3'!$AD$5:$IM$5,"&lt;="&amp;D1750))</f>
        <v/>
      </c>
      <c r="G1750">
        <f>G1749+IF(D1750="",0,1)</f>
        <v/>
      </c>
    </row>
    <row r="1751">
      <c r="A1751">
        <f>IF('KG1-3'!$B36="","",'KG1-3'!$B36)</f>
        <v/>
      </c>
      <c r="B1751">
        <f>IF(A1751="","",'KG1-3'!$C36)</f>
        <v/>
      </c>
      <c r="C1751">
        <f>IF(A1751="","",'KG1-3'!$B$2)</f>
        <v/>
      </c>
      <c r="D1751" s="126">
        <f t="array" ref="D1751">IF(A1751="","",IFERROR(SMALL(IF((('KG1-3'!$AD36:$IM36="غياب بدون عذر")+('KG1-3'!$AD36:$IM36="غياب بعذر"))*('KG1-3'!$AD$7:$IM$7="✓"),'KG1-3'!$AD$5:$IM$5),10),""))</f>
        <v/>
      </c>
      <c r="E1751">
        <f>IF(D1751="","",INDEX('KG1-3'!$AD36:$IM36,MATCH(D1751,'KG1-3'!$AD$5:$IM$5,0)))</f>
        <v/>
      </c>
      <c r="F1751">
        <f>IF(D1751="","",COUNTIFS('KG1-3'!$AD36:$IM36,"غياب بدون عذر",'KG1-3'!$AD$7:$IM$7,"✓",'KG1-3'!$AD$5:$IM$5,"&lt;="&amp;D1751))</f>
        <v/>
      </c>
      <c r="G1751">
        <f>G1750+IF(D1751="",0,1)</f>
        <v/>
      </c>
    </row>
    <row r="1752">
      <c r="A1752">
        <f>IF('KG1-3'!$B36="","",'KG1-3'!$B36)</f>
        <v/>
      </c>
      <c r="B1752">
        <f>IF(A1752="","",'KG1-3'!$C36)</f>
        <v/>
      </c>
      <c r="C1752">
        <f>IF(A1752="","",'KG1-3'!$B$2)</f>
        <v/>
      </c>
      <c r="D1752" s="126">
        <f t="array" ref="D1752">IF(A1752="","",IFERROR(SMALL(IF((('KG1-3'!$AD36:$IM36="غياب بدون عذر")+('KG1-3'!$AD36:$IM36="غياب بعذر"))*('KG1-3'!$AD$7:$IM$7="✓"),'KG1-3'!$AD$5:$IM$5),11),""))</f>
        <v/>
      </c>
      <c r="E1752">
        <f>IF(D1752="","",INDEX('KG1-3'!$AD36:$IM36,MATCH(D1752,'KG1-3'!$AD$5:$IM$5,0)))</f>
        <v/>
      </c>
      <c r="F1752">
        <f>IF(D1752="","",COUNTIFS('KG1-3'!$AD36:$IM36,"غياب بدون عذر",'KG1-3'!$AD$7:$IM$7,"✓",'KG1-3'!$AD$5:$IM$5,"&lt;="&amp;D1752))</f>
        <v/>
      </c>
      <c r="G1752">
        <f>G1751+IF(D1752="",0,1)</f>
        <v/>
      </c>
    </row>
    <row r="1753">
      <c r="A1753">
        <f>IF('KG1-3'!$B36="","",'KG1-3'!$B36)</f>
        <v/>
      </c>
      <c r="B1753">
        <f>IF(A1753="","",'KG1-3'!$C36)</f>
        <v/>
      </c>
      <c r="C1753">
        <f>IF(A1753="","",'KG1-3'!$B$2)</f>
        <v/>
      </c>
      <c r="D1753" s="126">
        <f t="array" ref="D1753">IF(A1753="","",IFERROR(SMALL(IF((('KG1-3'!$AD36:$IM36="غياب بدون عذر")+('KG1-3'!$AD36:$IM36="غياب بعذر"))*('KG1-3'!$AD$7:$IM$7="✓"),'KG1-3'!$AD$5:$IM$5),12),""))</f>
        <v/>
      </c>
      <c r="E1753">
        <f>IF(D1753="","",INDEX('KG1-3'!$AD36:$IM36,MATCH(D1753,'KG1-3'!$AD$5:$IM$5,0)))</f>
        <v/>
      </c>
      <c r="F1753">
        <f>IF(D1753="","",COUNTIFS('KG1-3'!$AD36:$IM36,"غياب بدون عذر",'KG1-3'!$AD$7:$IM$7,"✓",'KG1-3'!$AD$5:$IM$5,"&lt;="&amp;D1753))</f>
        <v/>
      </c>
      <c r="G1753">
        <f>G1752+IF(D1753="",0,1)</f>
        <v/>
      </c>
    </row>
    <row r="1754">
      <c r="A1754">
        <f>IF('KG1-3'!$B36="","",'KG1-3'!$B36)</f>
        <v/>
      </c>
      <c r="B1754">
        <f>IF(A1754="","",'KG1-3'!$C36)</f>
        <v/>
      </c>
      <c r="C1754">
        <f>IF(A1754="","",'KG1-3'!$B$2)</f>
        <v/>
      </c>
      <c r="D1754" s="126">
        <f t="array" ref="D1754">IF(A1754="","",IFERROR(SMALL(IF((('KG1-3'!$AD36:$IM36="غياب بدون عذر")+('KG1-3'!$AD36:$IM36="غياب بعذر"))*('KG1-3'!$AD$7:$IM$7="✓"),'KG1-3'!$AD$5:$IM$5),13),""))</f>
        <v/>
      </c>
      <c r="E1754">
        <f>IF(D1754="","",INDEX('KG1-3'!$AD36:$IM36,MATCH(D1754,'KG1-3'!$AD$5:$IM$5,0)))</f>
        <v/>
      </c>
      <c r="F1754">
        <f>IF(D1754="","",COUNTIFS('KG1-3'!$AD36:$IM36,"غياب بدون عذر",'KG1-3'!$AD$7:$IM$7,"✓",'KG1-3'!$AD$5:$IM$5,"&lt;="&amp;D1754))</f>
        <v/>
      </c>
      <c r="G1754">
        <f>G1753+IF(D1754="",0,1)</f>
        <v/>
      </c>
    </row>
    <row r="1755">
      <c r="A1755">
        <f>IF('KG1-3'!$B36="","",'KG1-3'!$B36)</f>
        <v/>
      </c>
      <c r="B1755">
        <f>IF(A1755="","",'KG1-3'!$C36)</f>
        <v/>
      </c>
      <c r="C1755">
        <f>IF(A1755="","",'KG1-3'!$B$2)</f>
        <v/>
      </c>
      <c r="D1755" s="126">
        <f t="array" ref="D1755">IF(A1755="","",IFERROR(SMALL(IF((('KG1-3'!$AD36:$IM36="غياب بدون عذر")+('KG1-3'!$AD36:$IM36="غياب بعذر"))*('KG1-3'!$AD$7:$IM$7="✓"),'KG1-3'!$AD$5:$IM$5),14),""))</f>
        <v/>
      </c>
      <c r="E1755">
        <f>IF(D1755="","",INDEX('KG1-3'!$AD36:$IM36,MATCH(D1755,'KG1-3'!$AD$5:$IM$5,0)))</f>
        <v/>
      </c>
      <c r="F1755">
        <f>IF(D1755="","",COUNTIFS('KG1-3'!$AD36:$IM36,"غياب بدون عذر",'KG1-3'!$AD$7:$IM$7,"✓",'KG1-3'!$AD$5:$IM$5,"&lt;="&amp;D1755))</f>
        <v/>
      </c>
      <c r="G1755">
        <f>G1754+IF(D1755="",0,1)</f>
        <v/>
      </c>
    </row>
    <row r="1756">
      <c r="A1756">
        <f>IF('KG1-3'!$B36="","",'KG1-3'!$B36)</f>
        <v/>
      </c>
      <c r="B1756">
        <f>IF(A1756="","",'KG1-3'!$C36)</f>
        <v/>
      </c>
      <c r="C1756">
        <f>IF(A1756="","",'KG1-3'!$B$2)</f>
        <v/>
      </c>
      <c r="D1756" s="126">
        <f t="array" ref="D1756">IF(A1756="","",IFERROR(SMALL(IF((('KG1-3'!$AD36:$IM36="غياب بدون عذر")+('KG1-3'!$AD36:$IM36="غياب بعذر"))*('KG1-3'!$AD$7:$IM$7="✓"),'KG1-3'!$AD$5:$IM$5),15),""))</f>
        <v/>
      </c>
      <c r="E1756">
        <f>IF(D1756="","",INDEX('KG1-3'!$AD36:$IM36,MATCH(D1756,'KG1-3'!$AD$5:$IM$5,0)))</f>
        <v/>
      </c>
      <c r="F1756">
        <f>IF(D1756="","",COUNTIFS('KG1-3'!$AD36:$IM36,"غياب بدون عذر",'KG1-3'!$AD$7:$IM$7,"✓",'KG1-3'!$AD$5:$IM$5,"&lt;="&amp;D1756))</f>
        <v/>
      </c>
      <c r="G1756">
        <f>G1755+IF(D1756="",0,1)</f>
        <v/>
      </c>
    </row>
    <row r="1757">
      <c r="A1757">
        <f>IF('KG1-3'!$B36="","",'KG1-3'!$B36)</f>
        <v/>
      </c>
      <c r="B1757">
        <f>IF(A1757="","",'KG1-3'!$C36)</f>
        <v/>
      </c>
      <c r="C1757">
        <f>IF(A1757="","",'KG1-3'!$B$2)</f>
        <v/>
      </c>
      <c r="D1757" s="126">
        <f t="array" ref="D1757">IF(A1757="","",IFERROR(SMALL(IF((('KG1-3'!$AD36:$IM36="غياب بدون عذر")+('KG1-3'!$AD36:$IM36="غياب بعذر"))*('KG1-3'!$AD$7:$IM$7="✓"),'KG1-3'!$AD$5:$IM$5),16),""))</f>
        <v/>
      </c>
      <c r="E1757">
        <f>IF(D1757="","",INDEX('KG1-3'!$AD36:$IM36,MATCH(D1757,'KG1-3'!$AD$5:$IM$5,0)))</f>
        <v/>
      </c>
      <c r="F1757">
        <f>IF(D1757="","",COUNTIFS('KG1-3'!$AD36:$IM36,"غياب بدون عذر",'KG1-3'!$AD$7:$IM$7,"✓",'KG1-3'!$AD$5:$IM$5,"&lt;="&amp;D1757))</f>
        <v/>
      </c>
      <c r="G1757">
        <f>G1756+IF(D1757="",0,1)</f>
        <v/>
      </c>
    </row>
    <row r="1758">
      <c r="A1758">
        <f>IF('KG1-3'!$B36="","",'KG1-3'!$B36)</f>
        <v/>
      </c>
      <c r="B1758">
        <f>IF(A1758="","",'KG1-3'!$C36)</f>
        <v/>
      </c>
      <c r="C1758">
        <f>IF(A1758="","",'KG1-3'!$B$2)</f>
        <v/>
      </c>
      <c r="D1758" s="126">
        <f t="array" ref="D1758">IF(A1758="","",IFERROR(SMALL(IF((('KG1-3'!$AD36:$IM36="غياب بدون عذر")+('KG1-3'!$AD36:$IM36="غياب بعذر"))*('KG1-3'!$AD$7:$IM$7="✓"),'KG1-3'!$AD$5:$IM$5),17),""))</f>
        <v/>
      </c>
      <c r="E1758">
        <f>IF(D1758="","",INDEX('KG1-3'!$AD36:$IM36,MATCH(D1758,'KG1-3'!$AD$5:$IM$5,0)))</f>
        <v/>
      </c>
      <c r="F1758">
        <f>IF(D1758="","",COUNTIFS('KG1-3'!$AD36:$IM36,"غياب بدون عذر",'KG1-3'!$AD$7:$IM$7,"✓",'KG1-3'!$AD$5:$IM$5,"&lt;="&amp;D1758))</f>
        <v/>
      </c>
      <c r="G1758">
        <f>G1757+IF(D1758="",0,1)</f>
        <v/>
      </c>
    </row>
    <row r="1759">
      <c r="A1759">
        <f>IF('KG1-3'!$B36="","",'KG1-3'!$B36)</f>
        <v/>
      </c>
      <c r="B1759">
        <f>IF(A1759="","",'KG1-3'!$C36)</f>
        <v/>
      </c>
      <c r="C1759">
        <f>IF(A1759="","",'KG1-3'!$B$2)</f>
        <v/>
      </c>
      <c r="D1759" s="126">
        <f t="array" ref="D1759">IF(A1759="","",IFERROR(SMALL(IF((('KG1-3'!$AD36:$IM36="غياب بدون عذر")+('KG1-3'!$AD36:$IM36="غياب بعذر"))*('KG1-3'!$AD$7:$IM$7="✓"),'KG1-3'!$AD$5:$IM$5),18),""))</f>
        <v/>
      </c>
      <c r="E1759">
        <f>IF(D1759="","",INDEX('KG1-3'!$AD36:$IM36,MATCH(D1759,'KG1-3'!$AD$5:$IM$5,0)))</f>
        <v/>
      </c>
      <c r="F1759">
        <f>IF(D1759="","",COUNTIFS('KG1-3'!$AD36:$IM36,"غياب بدون عذر",'KG1-3'!$AD$7:$IM$7,"✓",'KG1-3'!$AD$5:$IM$5,"&lt;="&amp;D1759))</f>
        <v/>
      </c>
      <c r="G1759">
        <f>G1758+IF(D1759="",0,1)</f>
        <v/>
      </c>
    </row>
    <row r="1760">
      <c r="A1760">
        <f>IF('KG1-3'!$B36="","",'KG1-3'!$B36)</f>
        <v/>
      </c>
      <c r="B1760">
        <f>IF(A1760="","",'KG1-3'!$C36)</f>
        <v/>
      </c>
      <c r="C1760">
        <f>IF(A1760="","",'KG1-3'!$B$2)</f>
        <v/>
      </c>
      <c r="D1760" s="126">
        <f t="array" ref="D1760">IF(A1760="","",IFERROR(SMALL(IF((('KG1-3'!$AD36:$IM36="غياب بدون عذر")+('KG1-3'!$AD36:$IM36="غياب بعذر"))*('KG1-3'!$AD$7:$IM$7="✓"),'KG1-3'!$AD$5:$IM$5),19),""))</f>
        <v/>
      </c>
      <c r="E1760">
        <f>IF(D1760="","",INDEX('KG1-3'!$AD36:$IM36,MATCH(D1760,'KG1-3'!$AD$5:$IM$5,0)))</f>
        <v/>
      </c>
      <c r="F1760">
        <f>IF(D1760="","",COUNTIFS('KG1-3'!$AD36:$IM36,"غياب بدون عذر",'KG1-3'!$AD$7:$IM$7,"✓",'KG1-3'!$AD$5:$IM$5,"&lt;="&amp;D1760))</f>
        <v/>
      </c>
      <c r="G1760">
        <f>G1759+IF(D1760="",0,1)</f>
        <v/>
      </c>
    </row>
    <row r="1761">
      <c r="A1761">
        <f>IF('KG1-3'!$B36="","",'KG1-3'!$B36)</f>
        <v/>
      </c>
      <c r="B1761">
        <f>IF(A1761="","",'KG1-3'!$C36)</f>
        <v/>
      </c>
      <c r="C1761">
        <f>IF(A1761="","",'KG1-3'!$B$2)</f>
        <v/>
      </c>
      <c r="D1761" s="126">
        <f t="array" ref="D1761">IF(A1761="","",IFERROR(SMALL(IF((('KG1-3'!$AD36:$IM36="غياب بدون عذر")+('KG1-3'!$AD36:$IM36="غياب بعذر"))*('KG1-3'!$AD$7:$IM$7="✓"),'KG1-3'!$AD$5:$IM$5),20),""))</f>
        <v/>
      </c>
      <c r="E1761">
        <f>IF(D1761="","",INDEX('KG1-3'!$AD36:$IM36,MATCH(D1761,'KG1-3'!$AD$5:$IM$5,0)))</f>
        <v/>
      </c>
      <c r="F1761">
        <f>IF(D1761="","",COUNTIFS('KG1-3'!$AD36:$IM36,"غياب بدون عذر",'KG1-3'!$AD$7:$IM$7,"✓",'KG1-3'!$AD$5:$IM$5,"&lt;="&amp;D1761))</f>
        <v/>
      </c>
      <c r="G1761">
        <f>G1760+IF(D1761="",0,1)</f>
        <v/>
      </c>
    </row>
    <row r="1762">
      <c r="A1762">
        <f>IF('KG1-3'!$B37="","",'KG1-3'!$B37)</f>
        <v/>
      </c>
      <c r="B1762">
        <f>IF(A1762="","",'KG1-3'!$C37)</f>
        <v/>
      </c>
      <c r="C1762">
        <f>IF(A1762="","",'KG1-3'!$B$2)</f>
        <v/>
      </c>
      <c r="D1762" s="126">
        <f t="array" ref="D1762">IF(A1762="","",IFERROR(SMALL(IF((('KG1-3'!$AD37:$IM37="غياب بدون عذر")+('KG1-3'!$AD37:$IM37="غياب بعذر"))*('KG1-3'!$AD$7:$IM$7="✓"),'KG1-3'!$AD$5:$IM$5),1),""))</f>
        <v/>
      </c>
      <c r="E1762">
        <f>IF(D1762="","",INDEX('KG1-3'!$AD37:$IM37,MATCH(D1762,'KG1-3'!$AD$5:$IM$5,0)))</f>
        <v/>
      </c>
      <c r="F1762">
        <f>IF(D1762="","",COUNTIFS('KG1-3'!$AD37:$IM37,"غياب بدون عذر",'KG1-3'!$AD$7:$IM$7,"✓",'KG1-3'!$AD$5:$IM$5,"&lt;="&amp;D1762))</f>
        <v/>
      </c>
      <c r="G1762">
        <f>G1761+IF(D1762="",0,1)</f>
        <v/>
      </c>
    </row>
    <row r="1763">
      <c r="A1763">
        <f>IF('KG1-3'!$B37="","",'KG1-3'!$B37)</f>
        <v/>
      </c>
      <c r="B1763">
        <f>IF(A1763="","",'KG1-3'!$C37)</f>
        <v/>
      </c>
      <c r="C1763">
        <f>IF(A1763="","",'KG1-3'!$B$2)</f>
        <v/>
      </c>
      <c r="D1763" s="126">
        <f t="array" ref="D1763">IF(A1763="","",IFERROR(SMALL(IF((('KG1-3'!$AD37:$IM37="غياب بدون عذر")+('KG1-3'!$AD37:$IM37="غياب بعذر"))*('KG1-3'!$AD$7:$IM$7="✓"),'KG1-3'!$AD$5:$IM$5),2),""))</f>
        <v/>
      </c>
      <c r="E1763">
        <f>IF(D1763="","",INDEX('KG1-3'!$AD37:$IM37,MATCH(D1763,'KG1-3'!$AD$5:$IM$5,0)))</f>
        <v/>
      </c>
      <c r="F1763">
        <f>IF(D1763="","",COUNTIFS('KG1-3'!$AD37:$IM37,"غياب بدون عذر",'KG1-3'!$AD$7:$IM$7,"✓",'KG1-3'!$AD$5:$IM$5,"&lt;="&amp;D1763))</f>
        <v/>
      </c>
      <c r="G1763">
        <f>G1762+IF(D1763="",0,1)</f>
        <v/>
      </c>
    </row>
    <row r="1764">
      <c r="A1764">
        <f>IF('KG1-3'!$B37="","",'KG1-3'!$B37)</f>
        <v/>
      </c>
      <c r="B1764">
        <f>IF(A1764="","",'KG1-3'!$C37)</f>
        <v/>
      </c>
      <c r="C1764">
        <f>IF(A1764="","",'KG1-3'!$B$2)</f>
        <v/>
      </c>
      <c r="D1764" s="126">
        <f t="array" ref="D1764">IF(A1764="","",IFERROR(SMALL(IF((('KG1-3'!$AD37:$IM37="غياب بدون عذر")+('KG1-3'!$AD37:$IM37="غياب بعذر"))*('KG1-3'!$AD$7:$IM$7="✓"),'KG1-3'!$AD$5:$IM$5),3),""))</f>
        <v/>
      </c>
      <c r="E1764">
        <f>IF(D1764="","",INDEX('KG1-3'!$AD37:$IM37,MATCH(D1764,'KG1-3'!$AD$5:$IM$5,0)))</f>
        <v/>
      </c>
      <c r="F1764">
        <f>IF(D1764="","",COUNTIFS('KG1-3'!$AD37:$IM37,"غياب بدون عذر",'KG1-3'!$AD$7:$IM$7,"✓",'KG1-3'!$AD$5:$IM$5,"&lt;="&amp;D1764))</f>
        <v/>
      </c>
      <c r="G1764">
        <f>G1763+IF(D1764="",0,1)</f>
        <v/>
      </c>
    </row>
    <row r="1765">
      <c r="A1765">
        <f>IF('KG1-3'!$B37="","",'KG1-3'!$B37)</f>
        <v/>
      </c>
      <c r="B1765">
        <f>IF(A1765="","",'KG1-3'!$C37)</f>
        <v/>
      </c>
      <c r="C1765">
        <f>IF(A1765="","",'KG1-3'!$B$2)</f>
        <v/>
      </c>
      <c r="D1765" s="126">
        <f t="array" ref="D1765">IF(A1765="","",IFERROR(SMALL(IF((('KG1-3'!$AD37:$IM37="غياب بدون عذر")+('KG1-3'!$AD37:$IM37="غياب بعذر"))*('KG1-3'!$AD$7:$IM$7="✓"),'KG1-3'!$AD$5:$IM$5),4),""))</f>
        <v/>
      </c>
      <c r="E1765">
        <f>IF(D1765="","",INDEX('KG1-3'!$AD37:$IM37,MATCH(D1765,'KG1-3'!$AD$5:$IM$5,0)))</f>
        <v/>
      </c>
      <c r="F1765">
        <f>IF(D1765="","",COUNTIFS('KG1-3'!$AD37:$IM37,"غياب بدون عذر",'KG1-3'!$AD$7:$IM$7,"✓",'KG1-3'!$AD$5:$IM$5,"&lt;="&amp;D1765))</f>
        <v/>
      </c>
      <c r="G1765">
        <f>G1764+IF(D1765="",0,1)</f>
        <v/>
      </c>
    </row>
    <row r="1766">
      <c r="A1766">
        <f>IF('KG1-3'!$B37="","",'KG1-3'!$B37)</f>
        <v/>
      </c>
      <c r="B1766">
        <f>IF(A1766="","",'KG1-3'!$C37)</f>
        <v/>
      </c>
      <c r="C1766">
        <f>IF(A1766="","",'KG1-3'!$B$2)</f>
        <v/>
      </c>
      <c r="D1766" s="126">
        <f t="array" ref="D1766">IF(A1766="","",IFERROR(SMALL(IF((('KG1-3'!$AD37:$IM37="غياب بدون عذر")+('KG1-3'!$AD37:$IM37="غياب بعذر"))*('KG1-3'!$AD$7:$IM$7="✓"),'KG1-3'!$AD$5:$IM$5),5),""))</f>
        <v/>
      </c>
      <c r="E1766">
        <f>IF(D1766="","",INDEX('KG1-3'!$AD37:$IM37,MATCH(D1766,'KG1-3'!$AD$5:$IM$5,0)))</f>
        <v/>
      </c>
      <c r="F1766">
        <f>IF(D1766="","",COUNTIFS('KG1-3'!$AD37:$IM37,"غياب بدون عذر",'KG1-3'!$AD$7:$IM$7,"✓",'KG1-3'!$AD$5:$IM$5,"&lt;="&amp;D1766))</f>
        <v/>
      </c>
      <c r="G1766">
        <f>G1765+IF(D1766="",0,1)</f>
        <v/>
      </c>
    </row>
    <row r="1767">
      <c r="A1767">
        <f>IF('KG1-3'!$B37="","",'KG1-3'!$B37)</f>
        <v/>
      </c>
      <c r="B1767">
        <f>IF(A1767="","",'KG1-3'!$C37)</f>
        <v/>
      </c>
      <c r="C1767">
        <f>IF(A1767="","",'KG1-3'!$B$2)</f>
        <v/>
      </c>
      <c r="D1767" s="126">
        <f t="array" ref="D1767">IF(A1767="","",IFERROR(SMALL(IF((('KG1-3'!$AD37:$IM37="غياب بدون عذر")+('KG1-3'!$AD37:$IM37="غياب بعذر"))*('KG1-3'!$AD$7:$IM$7="✓"),'KG1-3'!$AD$5:$IM$5),6),""))</f>
        <v/>
      </c>
      <c r="E1767">
        <f>IF(D1767="","",INDEX('KG1-3'!$AD37:$IM37,MATCH(D1767,'KG1-3'!$AD$5:$IM$5,0)))</f>
        <v/>
      </c>
      <c r="F1767">
        <f>IF(D1767="","",COUNTIFS('KG1-3'!$AD37:$IM37,"غياب بدون عذر",'KG1-3'!$AD$7:$IM$7,"✓",'KG1-3'!$AD$5:$IM$5,"&lt;="&amp;D1767))</f>
        <v/>
      </c>
      <c r="G1767">
        <f>G1766+IF(D1767="",0,1)</f>
        <v/>
      </c>
    </row>
    <row r="1768">
      <c r="A1768">
        <f>IF('KG1-3'!$B37="","",'KG1-3'!$B37)</f>
        <v/>
      </c>
      <c r="B1768">
        <f>IF(A1768="","",'KG1-3'!$C37)</f>
        <v/>
      </c>
      <c r="C1768">
        <f>IF(A1768="","",'KG1-3'!$B$2)</f>
        <v/>
      </c>
      <c r="D1768" s="126">
        <f t="array" ref="D1768">IF(A1768="","",IFERROR(SMALL(IF((('KG1-3'!$AD37:$IM37="غياب بدون عذر")+('KG1-3'!$AD37:$IM37="غياب بعذر"))*('KG1-3'!$AD$7:$IM$7="✓"),'KG1-3'!$AD$5:$IM$5),7),""))</f>
        <v/>
      </c>
      <c r="E1768">
        <f>IF(D1768="","",INDEX('KG1-3'!$AD37:$IM37,MATCH(D1768,'KG1-3'!$AD$5:$IM$5,0)))</f>
        <v/>
      </c>
      <c r="F1768">
        <f>IF(D1768="","",COUNTIFS('KG1-3'!$AD37:$IM37,"غياب بدون عذر",'KG1-3'!$AD$7:$IM$7,"✓",'KG1-3'!$AD$5:$IM$5,"&lt;="&amp;D1768))</f>
        <v/>
      </c>
      <c r="G1768">
        <f>G1767+IF(D1768="",0,1)</f>
        <v/>
      </c>
    </row>
    <row r="1769">
      <c r="A1769">
        <f>IF('KG1-3'!$B37="","",'KG1-3'!$B37)</f>
        <v/>
      </c>
      <c r="B1769">
        <f>IF(A1769="","",'KG1-3'!$C37)</f>
        <v/>
      </c>
      <c r="C1769">
        <f>IF(A1769="","",'KG1-3'!$B$2)</f>
        <v/>
      </c>
      <c r="D1769" s="126">
        <f t="array" ref="D1769">IF(A1769="","",IFERROR(SMALL(IF((('KG1-3'!$AD37:$IM37="غياب بدون عذر")+('KG1-3'!$AD37:$IM37="غياب بعذر"))*('KG1-3'!$AD$7:$IM$7="✓"),'KG1-3'!$AD$5:$IM$5),8),""))</f>
        <v/>
      </c>
      <c r="E1769">
        <f>IF(D1769="","",INDEX('KG1-3'!$AD37:$IM37,MATCH(D1769,'KG1-3'!$AD$5:$IM$5,0)))</f>
        <v/>
      </c>
      <c r="F1769">
        <f>IF(D1769="","",COUNTIFS('KG1-3'!$AD37:$IM37,"غياب بدون عذر",'KG1-3'!$AD$7:$IM$7,"✓",'KG1-3'!$AD$5:$IM$5,"&lt;="&amp;D1769))</f>
        <v/>
      </c>
      <c r="G1769">
        <f>G1768+IF(D1769="",0,1)</f>
        <v/>
      </c>
    </row>
    <row r="1770">
      <c r="A1770">
        <f>IF('KG1-3'!$B37="","",'KG1-3'!$B37)</f>
        <v/>
      </c>
      <c r="B1770">
        <f>IF(A1770="","",'KG1-3'!$C37)</f>
        <v/>
      </c>
      <c r="C1770">
        <f>IF(A1770="","",'KG1-3'!$B$2)</f>
        <v/>
      </c>
      <c r="D1770" s="126">
        <f t="array" ref="D1770">IF(A1770="","",IFERROR(SMALL(IF((('KG1-3'!$AD37:$IM37="غياب بدون عذر")+('KG1-3'!$AD37:$IM37="غياب بعذر"))*('KG1-3'!$AD$7:$IM$7="✓"),'KG1-3'!$AD$5:$IM$5),9),""))</f>
        <v/>
      </c>
      <c r="E1770">
        <f>IF(D1770="","",INDEX('KG1-3'!$AD37:$IM37,MATCH(D1770,'KG1-3'!$AD$5:$IM$5,0)))</f>
        <v/>
      </c>
      <c r="F1770">
        <f>IF(D1770="","",COUNTIFS('KG1-3'!$AD37:$IM37,"غياب بدون عذر",'KG1-3'!$AD$7:$IM$7,"✓",'KG1-3'!$AD$5:$IM$5,"&lt;="&amp;D1770))</f>
        <v/>
      </c>
      <c r="G1770">
        <f>G1769+IF(D1770="",0,1)</f>
        <v/>
      </c>
    </row>
    <row r="1771">
      <c r="A1771">
        <f>IF('KG1-3'!$B37="","",'KG1-3'!$B37)</f>
        <v/>
      </c>
      <c r="B1771">
        <f>IF(A1771="","",'KG1-3'!$C37)</f>
        <v/>
      </c>
      <c r="C1771">
        <f>IF(A1771="","",'KG1-3'!$B$2)</f>
        <v/>
      </c>
      <c r="D1771" s="126">
        <f t="array" ref="D1771">IF(A1771="","",IFERROR(SMALL(IF((('KG1-3'!$AD37:$IM37="غياب بدون عذر")+('KG1-3'!$AD37:$IM37="غياب بعذر"))*('KG1-3'!$AD$7:$IM$7="✓"),'KG1-3'!$AD$5:$IM$5),10),""))</f>
        <v/>
      </c>
      <c r="E1771">
        <f>IF(D1771="","",INDEX('KG1-3'!$AD37:$IM37,MATCH(D1771,'KG1-3'!$AD$5:$IM$5,0)))</f>
        <v/>
      </c>
      <c r="F1771">
        <f>IF(D1771="","",COUNTIFS('KG1-3'!$AD37:$IM37,"غياب بدون عذر",'KG1-3'!$AD$7:$IM$7,"✓",'KG1-3'!$AD$5:$IM$5,"&lt;="&amp;D1771))</f>
        <v/>
      </c>
      <c r="G1771">
        <f>G1770+IF(D1771="",0,1)</f>
        <v/>
      </c>
    </row>
    <row r="1772">
      <c r="A1772">
        <f>IF('KG1-3'!$B37="","",'KG1-3'!$B37)</f>
        <v/>
      </c>
      <c r="B1772">
        <f>IF(A1772="","",'KG1-3'!$C37)</f>
        <v/>
      </c>
      <c r="C1772">
        <f>IF(A1772="","",'KG1-3'!$B$2)</f>
        <v/>
      </c>
      <c r="D1772" s="126">
        <f t="array" ref="D1772">IF(A1772="","",IFERROR(SMALL(IF((('KG1-3'!$AD37:$IM37="غياب بدون عذر")+('KG1-3'!$AD37:$IM37="غياب بعذر"))*('KG1-3'!$AD$7:$IM$7="✓"),'KG1-3'!$AD$5:$IM$5),11),""))</f>
        <v/>
      </c>
      <c r="E1772">
        <f>IF(D1772="","",INDEX('KG1-3'!$AD37:$IM37,MATCH(D1772,'KG1-3'!$AD$5:$IM$5,0)))</f>
        <v/>
      </c>
      <c r="F1772">
        <f>IF(D1772="","",COUNTIFS('KG1-3'!$AD37:$IM37,"غياب بدون عذر",'KG1-3'!$AD$7:$IM$7,"✓",'KG1-3'!$AD$5:$IM$5,"&lt;="&amp;D1772))</f>
        <v/>
      </c>
      <c r="G1772">
        <f>G1771+IF(D1772="",0,1)</f>
        <v/>
      </c>
    </row>
    <row r="1773">
      <c r="A1773">
        <f>IF('KG1-3'!$B37="","",'KG1-3'!$B37)</f>
        <v/>
      </c>
      <c r="B1773">
        <f>IF(A1773="","",'KG1-3'!$C37)</f>
        <v/>
      </c>
      <c r="C1773">
        <f>IF(A1773="","",'KG1-3'!$B$2)</f>
        <v/>
      </c>
      <c r="D1773" s="126">
        <f t="array" ref="D1773">IF(A1773="","",IFERROR(SMALL(IF((('KG1-3'!$AD37:$IM37="غياب بدون عذر")+('KG1-3'!$AD37:$IM37="غياب بعذر"))*('KG1-3'!$AD$7:$IM$7="✓"),'KG1-3'!$AD$5:$IM$5),12),""))</f>
        <v/>
      </c>
      <c r="E1773">
        <f>IF(D1773="","",INDEX('KG1-3'!$AD37:$IM37,MATCH(D1773,'KG1-3'!$AD$5:$IM$5,0)))</f>
        <v/>
      </c>
      <c r="F1773">
        <f>IF(D1773="","",COUNTIFS('KG1-3'!$AD37:$IM37,"غياب بدون عذر",'KG1-3'!$AD$7:$IM$7,"✓",'KG1-3'!$AD$5:$IM$5,"&lt;="&amp;D1773))</f>
        <v/>
      </c>
      <c r="G1773">
        <f>G1772+IF(D1773="",0,1)</f>
        <v/>
      </c>
    </row>
    <row r="1774">
      <c r="A1774">
        <f>IF('KG1-3'!$B37="","",'KG1-3'!$B37)</f>
        <v/>
      </c>
      <c r="B1774">
        <f>IF(A1774="","",'KG1-3'!$C37)</f>
        <v/>
      </c>
      <c r="C1774">
        <f>IF(A1774="","",'KG1-3'!$B$2)</f>
        <v/>
      </c>
      <c r="D1774" s="126">
        <f t="array" ref="D1774">IF(A1774="","",IFERROR(SMALL(IF((('KG1-3'!$AD37:$IM37="غياب بدون عذر")+('KG1-3'!$AD37:$IM37="غياب بعذر"))*('KG1-3'!$AD$7:$IM$7="✓"),'KG1-3'!$AD$5:$IM$5),13),""))</f>
        <v/>
      </c>
      <c r="E1774">
        <f>IF(D1774="","",INDEX('KG1-3'!$AD37:$IM37,MATCH(D1774,'KG1-3'!$AD$5:$IM$5,0)))</f>
        <v/>
      </c>
      <c r="F1774">
        <f>IF(D1774="","",COUNTIFS('KG1-3'!$AD37:$IM37,"غياب بدون عذر",'KG1-3'!$AD$7:$IM$7,"✓",'KG1-3'!$AD$5:$IM$5,"&lt;="&amp;D1774))</f>
        <v/>
      </c>
      <c r="G1774">
        <f>G1773+IF(D1774="",0,1)</f>
        <v/>
      </c>
    </row>
    <row r="1775">
      <c r="A1775">
        <f>IF('KG1-3'!$B37="","",'KG1-3'!$B37)</f>
        <v/>
      </c>
      <c r="B1775">
        <f>IF(A1775="","",'KG1-3'!$C37)</f>
        <v/>
      </c>
      <c r="C1775">
        <f>IF(A1775="","",'KG1-3'!$B$2)</f>
        <v/>
      </c>
      <c r="D1775" s="126">
        <f t="array" ref="D1775">IF(A1775="","",IFERROR(SMALL(IF((('KG1-3'!$AD37:$IM37="غياب بدون عذر")+('KG1-3'!$AD37:$IM37="غياب بعذر"))*('KG1-3'!$AD$7:$IM$7="✓"),'KG1-3'!$AD$5:$IM$5),14),""))</f>
        <v/>
      </c>
      <c r="E1775">
        <f>IF(D1775="","",INDEX('KG1-3'!$AD37:$IM37,MATCH(D1775,'KG1-3'!$AD$5:$IM$5,0)))</f>
        <v/>
      </c>
      <c r="F1775">
        <f>IF(D1775="","",COUNTIFS('KG1-3'!$AD37:$IM37,"غياب بدون عذر",'KG1-3'!$AD$7:$IM$7,"✓",'KG1-3'!$AD$5:$IM$5,"&lt;="&amp;D1775))</f>
        <v/>
      </c>
      <c r="G1775">
        <f>G1774+IF(D1775="",0,1)</f>
        <v/>
      </c>
    </row>
    <row r="1776">
      <c r="A1776">
        <f>IF('KG1-3'!$B37="","",'KG1-3'!$B37)</f>
        <v/>
      </c>
      <c r="B1776">
        <f>IF(A1776="","",'KG1-3'!$C37)</f>
        <v/>
      </c>
      <c r="C1776">
        <f>IF(A1776="","",'KG1-3'!$B$2)</f>
        <v/>
      </c>
      <c r="D1776" s="126">
        <f t="array" ref="D1776">IF(A1776="","",IFERROR(SMALL(IF((('KG1-3'!$AD37:$IM37="غياب بدون عذر")+('KG1-3'!$AD37:$IM37="غياب بعذر"))*('KG1-3'!$AD$7:$IM$7="✓"),'KG1-3'!$AD$5:$IM$5),15),""))</f>
        <v/>
      </c>
      <c r="E1776">
        <f>IF(D1776="","",INDEX('KG1-3'!$AD37:$IM37,MATCH(D1776,'KG1-3'!$AD$5:$IM$5,0)))</f>
        <v/>
      </c>
      <c r="F1776">
        <f>IF(D1776="","",COUNTIFS('KG1-3'!$AD37:$IM37,"غياب بدون عذر",'KG1-3'!$AD$7:$IM$7,"✓",'KG1-3'!$AD$5:$IM$5,"&lt;="&amp;D1776))</f>
        <v/>
      </c>
      <c r="G1776">
        <f>G1775+IF(D1776="",0,1)</f>
        <v/>
      </c>
    </row>
    <row r="1777">
      <c r="A1777">
        <f>IF('KG1-3'!$B37="","",'KG1-3'!$B37)</f>
        <v/>
      </c>
      <c r="B1777">
        <f>IF(A1777="","",'KG1-3'!$C37)</f>
        <v/>
      </c>
      <c r="C1777">
        <f>IF(A1777="","",'KG1-3'!$B$2)</f>
        <v/>
      </c>
      <c r="D1777" s="126">
        <f t="array" ref="D1777">IF(A1777="","",IFERROR(SMALL(IF((('KG1-3'!$AD37:$IM37="غياب بدون عذر")+('KG1-3'!$AD37:$IM37="غياب بعذر"))*('KG1-3'!$AD$7:$IM$7="✓"),'KG1-3'!$AD$5:$IM$5),16),""))</f>
        <v/>
      </c>
      <c r="E1777">
        <f>IF(D1777="","",INDEX('KG1-3'!$AD37:$IM37,MATCH(D1777,'KG1-3'!$AD$5:$IM$5,0)))</f>
        <v/>
      </c>
      <c r="F1777">
        <f>IF(D1777="","",COUNTIFS('KG1-3'!$AD37:$IM37,"غياب بدون عذر",'KG1-3'!$AD$7:$IM$7,"✓",'KG1-3'!$AD$5:$IM$5,"&lt;="&amp;D1777))</f>
        <v/>
      </c>
      <c r="G1777">
        <f>G1776+IF(D1777="",0,1)</f>
        <v/>
      </c>
    </row>
    <row r="1778">
      <c r="A1778">
        <f>IF('KG1-3'!$B37="","",'KG1-3'!$B37)</f>
        <v/>
      </c>
      <c r="B1778">
        <f>IF(A1778="","",'KG1-3'!$C37)</f>
        <v/>
      </c>
      <c r="C1778">
        <f>IF(A1778="","",'KG1-3'!$B$2)</f>
        <v/>
      </c>
      <c r="D1778" s="126">
        <f t="array" ref="D1778">IF(A1778="","",IFERROR(SMALL(IF((('KG1-3'!$AD37:$IM37="غياب بدون عذر")+('KG1-3'!$AD37:$IM37="غياب بعذر"))*('KG1-3'!$AD$7:$IM$7="✓"),'KG1-3'!$AD$5:$IM$5),17),""))</f>
        <v/>
      </c>
      <c r="E1778">
        <f>IF(D1778="","",INDEX('KG1-3'!$AD37:$IM37,MATCH(D1778,'KG1-3'!$AD$5:$IM$5,0)))</f>
        <v/>
      </c>
      <c r="F1778">
        <f>IF(D1778="","",COUNTIFS('KG1-3'!$AD37:$IM37,"غياب بدون عذر",'KG1-3'!$AD$7:$IM$7,"✓",'KG1-3'!$AD$5:$IM$5,"&lt;="&amp;D1778))</f>
        <v/>
      </c>
      <c r="G1778">
        <f>G1777+IF(D1778="",0,1)</f>
        <v/>
      </c>
    </row>
    <row r="1779">
      <c r="A1779">
        <f>IF('KG1-3'!$B37="","",'KG1-3'!$B37)</f>
        <v/>
      </c>
      <c r="B1779">
        <f>IF(A1779="","",'KG1-3'!$C37)</f>
        <v/>
      </c>
      <c r="C1779">
        <f>IF(A1779="","",'KG1-3'!$B$2)</f>
        <v/>
      </c>
      <c r="D1779" s="126">
        <f t="array" ref="D1779">IF(A1779="","",IFERROR(SMALL(IF((('KG1-3'!$AD37:$IM37="غياب بدون عذر")+('KG1-3'!$AD37:$IM37="غياب بعذر"))*('KG1-3'!$AD$7:$IM$7="✓"),'KG1-3'!$AD$5:$IM$5),18),""))</f>
        <v/>
      </c>
      <c r="E1779">
        <f>IF(D1779="","",INDEX('KG1-3'!$AD37:$IM37,MATCH(D1779,'KG1-3'!$AD$5:$IM$5,0)))</f>
        <v/>
      </c>
      <c r="F1779">
        <f>IF(D1779="","",COUNTIFS('KG1-3'!$AD37:$IM37,"غياب بدون عذر",'KG1-3'!$AD$7:$IM$7,"✓",'KG1-3'!$AD$5:$IM$5,"&lt;="&amp;D1779))</f>
        <v/>
      </c>
      <c r="G1779">
        <f>G1778+IF(D1779="",0,1)</f>
        <v/>
      </c>
    </row>
    <row r="1780">
      <c r="A1780">
        <f>IF('KG1-3'!$B37="","",'KG1-3'!$B37)</f>
        <v/>
      </c>
      <c r="B1780">
        <f>IF(A1780="","",'KG1-3'!$C37)</f>
        <v/>
      </c>
      <c r="C1780">
        <f>IF(A1780="","",'KG1-3'!$B$2)</f>
        <v/>
      </c>
      <c r="D1780" s="126">
        <f t="array" ref="D1780">IF(A1780="","",IFERROR(SMALL(IF((('KG1-3'!$AD37:$IM37="غياب بدون عذر")+('KG1-3'!$AD37:$IM37="غياب بعذر"))*('KG1-3'!$AD$7:$IM$7="✓"),'KG1-3'!$AD$5:$IM$5),19),""))</f>
        <v/>
      </c>
      <c r="E1780">
        <f>IF(D1780="","",INDEX('KG1-3'!$AD37:$IM37,MATCH(D1780,'KG1-3'!$AD$5:$IM$5,0)))</f>
        <v/>
      </c>
      <c r="F1780">
        <f>IF(D1780="","",COUNTIFS('KG1-3'!$AD37:$IM37,"غياب بدون عذر",'KG1-3'!$AD$7:$IM$7,"✓",'KG1-3'!$AD$5:$IM$5,"&lt;="&amp;D1780))</f>
        <v/>
      </c>
      <c r="G1780">
        <f>G1779+IF(D1780="",0,1)</f>
        <v/>
      </c>
    </row>
    <row r="1781">
      <c r="A1781">
        <f>IF('KG1-3'!$B37="","",'KG1-3'!$B37)</f>
        <v/>
      </c>
      <c r="B1781">
        <f>IF(A1781="","",'KG1-3'!$C37)</f>
        <v/>
      </c>
      <c r="C1781">
        <f>IF(A1781="","",'KG1-3'!$B$2)</f>
        <v/>
      </c>
      <c r="D1781" s="126">
        <f t="array" ref="D1781">IF(A1781="","",IFERROR(SMALL(IF((('KG1-3'!$AD37:$IM37="غياب بدون عذر")+('KG1-3'!$AD37:$IM37="غياب بعذر"))*('KG1-3'!$AD$7:$IM$7="✓"),'KG1-3'!$AD$5:$IM$5),20),""))</f>
        <v/>
      </c>
      <c r="E1781">
        <f>IF(D1781="","",INDEX('KG1-3'!$AD37:$IM37,MATCH(D1781,'KG1-3'!$AD$5:$IM$5,0)))</f>
        <v/>
      </c>
      <c r="F1781">
        <f>IF(D1781="","",COUNTIFS('KG1-3'!$AD37:$IM37,"غياب بدون عذر",'KG1-3'!$AD$7:$IM$7,"✓",'KG1-3'!$AD$5:$IM$5,"&lt;="&amp;D1781))</f>
        <v/>
      </c>
      <c r="G1781">
        <f>G1780+IF(D1781="",0,1)</f>
        <v/>
      </c>
    </row>
    <row r="1782">
      <c r="A1782">
        <f>IF('KG1-3'!$B38="","",'KG1-3'!$B38)</f>
        <v/>
      </c>
      <c r="B1782">
        <f>IF(A1782="","",'KG1-3'!$C38)</f>
        <v/>
      </c>
      <c r="C1782">
        <f>IF(A1782="","",'KG1-3'!$B$2)</f>
        <v/>
      </c>
      <c r="D1782" s="126">
        <f t="array" ref="D1782">IF(A1782="","",IFERROR(SMALL(IF((('KG1-3'!$AD38:$IM38="غياب بدون عذر")+('KG1-3'!$AD38:$IM38="غياب بعذر"))*('KG1-3'!$AD$7:$IM$7="✓"),'KG1-3'!$AD$5:$IM$5),1),""))</f>
        <v/>
      </c>
      <c r="E1782">
        <f>IF(D1782="","",INDEX('KG1-3'!$AD38:$IM38,MATCH(D1782,'KG1-3'!$AD$5:$IM$5,0)))</f>
        <v/>
      </c>
      <c r="F1782">
        <f>IF(D1782="","",COUNTIFS('KG1-3'!$AD38:$IM38,"غياب بدون عذر",'KG1-3'!$AD$7:$IM$7,"✓",'KG1-3'!$AD$5:$IM$5,"&lt;="&amp;D1782))</f>
        <v/>
      </c>
      <c r="G1782">
        <f>G1781+IF(D1782="",0,1)</f>
        <v/>
      </c>
    </row>
    <row r="1783">
      <c r="A1783">
        <f>IF('KG1-3'!$B38="","",'KG1-3'!$B38)</f>
        <v/>
      </c>
      <c r="B1783">
        <f>IF(A1783="","",'KG1-3'!$C38)</f>
        <v/>
      </c>
      <c r="C1783">
        <f>IF(A1783="","",'KG1-3'!$B$2)</f>
        <v/>
      </c>
      <c r="D1783" s="126">
        <f t="array" ref="D1783">IF(A1783="","",IFERROR(SMALL(IF((('KG1-3'!$AD38:$IM38="غياب بدون عذر")+('KG1-3'!$AD38:$IM38="غياب بعذر"))*('KG1-3'!$AD$7:$IM$7="✓"),'KG1-3'!$AD$5:$IM$5),2),""))</f>
        <v/>
      </c>
      <c r="E1783">
        <f>IF(D1783="","",INDEX('KG1-3'!$AD38:$IM38,MATCH(D1783,'KG1-3'!$AD$5:$IM$5,0)))</f>
        <v/>
      </c>
      <c r="F1783">
        <f>IF(D1783="","",COUNTIFS('KG1-3'!$AD38:$IM38,"غياب بدون عذر",'KG1-3'!$AD$7:$IM$7,"✓",'KG1-3'!$AD$5:$IM$5,"&lt;="&amp;D1783))</f>
        <v/>
      </c>
      <c r="G1783">
        <f>G1782+IF(D1783="",0,1)</f>
        <v/>
      </c>
    </row>
    <row r="1784">
      <c r="A1784">
        <f>IF('KG1-3'!$B38="","",'KG1-3'!$B38)</f>
        <v/>
      </c>
      <c r="B1784">
        <f>IF(A1784="","",'KG1-3'!$C38)</f>
        <v/>
      </c>
      <c r="C1784">
        <f>IF(A1784="","",'KG1-3'!$B$2)</f>
        <v/>
      </c>
      <c r="D1784" s="126">
        <f t="array" ref="D1784">IF(A1784="","",IFERROR(SMALL(IF((('KG1-3'!$AD38:$IM38="غياب بدون عذر")+('KG1-3'!$AD38:$IM38="غياب بعذر"))*('KG1-3'!$AD$7:$IM$7="✓"),'KG1-3'!$AD$5:$IM$5),3),""))</f>
        <v/>
      </c>
      <c r="E1784">
        <f>IF(D1784="","",INDEX('KG1-3'!$AD38:$IM38,MATCH(D1784,'KG1-3'!$AD$5:$IM$5,0)))</f>
        <v/>
      </c>
      <c r="F1784">
        <f>IF(D1784="","",COUNTIFS('KG1-3'!$AD38:$IM38,"غياب بدون عذر",'KG1-3'!$AD$7:$IM$7,"✓",'KG1-3'!$AD$5:$IM$5,"&lt;="&amp;D1784))</f>
        <v/>
      </c>
      <c r="G1784">
        <f>G1783+IF(D1784="",0,1)</f>
        <v/>
      </c>
    </row>
    <row r="1785">
      <c r="A1785">
        <f>IF('KG1-3'!$B38="","",'KG1-3'!$B38)</f>
        <v/>
      </c>
      <c r="B1785">
        <f>IF(A1785="","",'KG1-3'!$C38)</f>
        <v/>
      </c>
      <c r="C1785">
        <f>IF(A1785="","",'KG1-3'!$B$2)</f>
        <v/>
      </c>
      <c r="D1785" s="126">
        <f t="array" ref="D1785">IF(A1785="","",IFERROR(SMALL(IF((('KG1-3'!$AD38:$IM38="غياب بدون عذر")+('KG1-3'!$AD38:$IM38="غياب بعذر"))*('KG1-3'!$AD$7:$IM$7="✓"),'KG1-3'!$AD$5:$IM$5),4),""))</f>
        <v/>
      </c>
      <c r="E1785">
        <f>IF(D1785="","",INDEX('KG1-3'!$AD38:$IM38,MATCH(D1785,'KG1-3'!$AD$5:$IM$5,0)))</f>
        <v/>
      </c>
      <c r="F1785">
        <f>IF(D1785="","",COUNTIFS('KG1-3'!$AD38:$IM38,"غياب بدون عذر",'KG1-3'!$AD$7:$IM$7,"✓",'KG1-3'!$AD$5:$IM$5,"&lt;="&amp;D1785))</f>
        <v/>
      </c>
      <c r="G1785">
        <f>G1784+IF(D1785="",0,1)</f>
        <v/>
      </c>
    </row>
    <row r="1786">
      <c r="A1786">
        <f>IF('KG1-3'!$B38="","",'KG1-3'!$B38)</f>
        <v/>
      </c>
      <c r="B1786">
        <f>IF(A1786="","",'KG1-3'!$C38)</f>
        <v/>
      </c>
      <c r="C1786">
        <f>IF(A1786="","",'KG1-3'!$B$2)</f>
        <v/>
      </c>
      <c r="D1786" s="126">
        <f t="array" ref="D1786">IF(A1786="","",IFERROR(SMALL(IF((('KG1-3'!$AD38:$IM38="غياب بدون عذر")+('KG1-3'!$AD38:$IM38="غياب بعذر"))*('KG1-3'!$AD$7:$IM$7="✓"),'KG1-3'!$AD$5:$IM$5),5),""))</f>
        <v/>
      </c>
      <c r="E1786">
        <f>IF(D1786="","",INDEX('KG1-3'!$AD38:$IM38,MATCH(D1786,'KG1-3'!$AD$5:$IM$5,0)))</f>
        <v/>
      </c>
      <c r="F1786">
        <f>IF(D1786="","",COUNTIFS('KG1-3'!$AD38:$IM38,"غياب بدون عذر",'KG1-3'!$AD$7:$IM$7,"✓",'KG1-3'!$AD$5:$IM$5,"&lt;="&amp;D1786))</f>
        <v/>
      </c>
      <c r="G1786">
        <f>G1785+IF(D1786="",0,1)</f>
        <v/>
      </c>
    </row>
    <row r="1787">
      <c r="A1787">
        <f>IF('KG1-3'!$B38="","",'KG1-3'!$B38)</f>
        <v/>
      </c>
      <c r="B1787">
        <f>IF(A1787="","",'KG1-3'!$C38)</f>
        <v/>
      </c>
      <c r="C1787">
        <f>IF(A1787="","",'KG1-3'!$B$2)</f>
        <v/>
      </c>
      <c r="D1787" s="126">
        <f t="array" ref="D1787">IF(A1787="","",IFERROR(SMALL(IF((('KG1-3'!$AD38:$IM38="غياب بدون عذر")+('KG1-3'!$AD38:$IM38="غياب بعذر"))*('KG1-3'!$AD$7:$IM$7="✓"),'KG1-3'!$AD$5:$IM$5),6),""))</f>
        <v/>
      </c>
      <c r="E1787">
        <f>IF(D1787="","",INDEX('KG1-3'!$AD38:$IM38,MATCH(D1787,'KG1-3'!$AD$5:$IM$5,0)))</f>
        <v/>
      </c>
      <c r="F1787">
        <f>IF(D1787="","",COUNTIFS('KG1-3'!$AD38:$IM38,"غياب بدون عذر",'KG1-3'!$AD$7:$IM$7,"✓",'KG1-3'!$AD$5:$IM$5,"&lt;="&amp;D1787))</f>
        <v/>
      </c>
      <c r="G1787">
        <f>G1786+IF(D1787="",0,1)</f>
        <v/>
      </c>
    </row>
    <row r="1788">
      <c r="A1788">
        <f>IF('KG1-3'!$B38="","",'KG1-3'!$B38)</f>
        <v/>
      </c>
      <c r="B1788">
        <f>IF(A1788="","",'KG1-3'!$C38)</f>
        <v/>
      </c>
      <c r="C1788">
        <f>IF(A1788="","",'KG1-3'!$B$2)</f>
        <v/>
      </c>
      <c r="D1788" s="126">
        <f t="array" ref="D1788">IF(A1788="","",IFERROR(SMALL(IF((('KG1-3'!$AD38:$IM38="غياب بدون عذر")+('KG1-3'!$AD38:$IM38="غياب بعذر"))*('KG1-3'!$AD$7:$IM$7="✓"),'KG1-3'!$AD$5:$IM$5),7),""))</f>
        <v/>
      </c>
      <c r="E1788">
        <f>IF(D1788="","",INDEX('KG1-3'!$AD38:$IM38,MATCH(D1788,'KG1-3'!$AD$5:$IM$5,0)))</f>
        <v/>
      </c>
      <c r="F1788">
        <f>IF(D1788="","",COUNTIFS('KG1-3'!$AD38:$IM38,"غياب بدون عذر",'KG1-3'!$AD$7:$IM$7,"✓",'KG1-3'!$AD$5:$IM$5,"&lt;="&amp;D1788))</f>
        <v/>
      </c>
      <c r="G1788">
        <f>G1787+IF(D1788="",0,1)</f>
        <v/>
      </c>
    </row>
    <row r="1789">
      <c r="A1789">
        <f>IF('KG1-3'!$B38="","",'KG1-3'!$B38)</f>
        <v/>
      </c>
      <c r="B1789">
        <f>IF(A1789="","",'KG1-3'!$C38)</f>
        <v/>
      </c>
      <c r="C1789">
        <f>IF(A1789="","",'KG1-3'!$B$2)</f>
        <v/>
      </c>
      <c r="D1789" s="126">
        <f t="array" ref="D1789">IF(A1789="","",IFERROR(SMALL(IF((('KG1-3'!$AD38:$IM38="غياب بدون عذر")+('KG1-3'!$AD38:$IM38="غياب بعذر"))*('KG1-3'!$AD$7:$IM$7="✓"),'KG1-3'!$AD$5:$IM$5),8),""))</f>
        <v/>
      </c>
      <c r="E1789">
        <f>IF(D1789="","",INDEX('KG1-3'!$AD38:$IM38,MATCH(D1789,'KG1-3'!$AD$5:$IM$5,0)))</f>
        <v/>
      </c>
      <c r="F1789">
        <f>IF(D1789="","",COUNTIFS('KG1-3'!$AD38:$IM38,"غياب بدون عذر",'KG1-3'!$AD$7:$IM$7,"✓",'KG1-3'!$AD$5:$IM$5,"&lt;="&amp;D1789))</f>
        <v/>
      </c>
      <c r="G1789">
        <f>G1788+IF(D1789="",0,1)</f>
        <v/>
      </c>
    </row>
    <row r="1790">
      <c r="A1790">
        <f>IF('KG1-3'!$B38="","",'KG1-3'!$B38)</f>
        <v/>
      </c>
      <c r="B1790">
        <f>IF(A1790="","",'KG1-3'!$C38)</f>
        <v/>
      </c>
      <c r="C1790">
        <f>IF(A1790="","",'KG1-3'!$B$2)</f>
        <v/>
      </c>
      <c r="D1790" s="126">
        <f t="array" ref="D1790">IF(A1790="","",IFERROR(SMALL(IF((('KG1-3'!$AD38:$IM38="غياب بدون عذر")+('KG1-3'!$AD38:$IM38="غياب بعذر"))*('KG1-3'!$AD$7:$IM$7="✓"),'KG1-3'!$AD$5:$IM$5),9),""))</f>
        <v/>
      </c>
      <c r="E1790">
        <f>IF(D1790="","",INDEX('KG1-3'!$AD38:$IM38,MATCH(D1790,'KG1-3'!$AD$5:$IM$5,0)))</f>
        <v/>
      </c>
      <c r="F1790">
        <f>IF(D1790="","",COUNTIFS('KG1-3'!$AD38:$IM38,"غياب بدون عذر",'KG1-3'!$AD$7:$IM$7,"✓",'KG1-3'!$AD$5:$IM$5,"&lt;="&amp;D1790))</f>
        <v/>
      </c>
      <c r="G1790">
        <f>G1789+IF(D1790="",0,1)</f>
        <v/>
      </c>
    </row>
    <row r="1791">
      <c r="A1791">
        <f>IF('KG1-3'!$B38="","",'KG1-3'!$B38)</f>
        <v/>
      </c>
      <c r="B1791">
        <f>IF(A1791="","",'KG1-3'!$C38)</f>
        <v/>
      </c>
      <c r="C1791">
        <f>IF(A1791="","",'KG1-3'!$B$2)</f>
        <v/>
      </c>
      <c r="D1791" s="126">
        <f t="array" ref="D1791">IF(A1791="","",IFERROR(SMALL(IF((('KG1-3'!$AD38:$IM38="غياب بدون عذر")+('KG1-3'!$AD38:$IM38="غياب بعذر"))*('KG1-3'!$AD$7:$IM$7="✓"),'KG1-3'!$AD$5:$IM$5),10),""))</f>
        <v/>
      </c>
      <c r="E1791">
        <f>IF(D1791="","",INDEX('KG1-3'!$AD38:$IM38,MATCH(D1791,'KG1-3'!$AD$5:$IM$5,0)))</f>
        <v/>
      </c>
      <c r="F1791">
        <f>IF(D1791="","",COUNTIFS('KG1-3'!$AD38:$IM38,"غياب بدون عذر",'KG1-3'!$AD$7:$IM$7,"✓",'KG1-3'!$AD$5:$IM$5,"&lt;="&amp;D1791))</f>
        <v/>
      </c>
      <c r="G1791">
        <f>G1790+IF(D1791="",0,1)</f>
        <v/>
      </c>
    </row>
    <row r="1792">
      <c r="A1792">
        <f>IF('KG1-3'!$B38="","",'KG1-3'!$B38)</f>
        <v/>
      </c>
      <c r="B1792">
        <f>IF(A1792="","",'KG1-3'!$C38)</f>
        <v/>
      </c>
      <c r="C1792">
        <f>IF(A1792="","",'KG1-3'!$B$2)</f>
        <v/>
      </c>
      <c r="D1792" s="126">
        <f t="array" ref="D1792">IF(A1792="","",IFERROR(SMALL(IF((('KG1-3'!$AD38:$IM38="غياب بدون عذر")+('KG1-3'!$AD38:$IM38="غياب بعذر"))*('KG1-3'!$AD$7:$IM$7="✓"),'KG1-3'!$AD$5:$IM$5),11),""))</f>
        <v/>
      </c>
      <c r="E1792">
        <f>IF(D1792="","",INDEX('KG1-3'!$AD38:$IM38,MATCH(D1792,'KG1-3'!$AD$5:$IM$5,0)))</f>
        <v/>
      </c>
      <c r="F1792">
        <f>IF(D1792="","",COUNTIFS('KG1-3'!$AD38:$IM38,"غياب بدون عذر",'KG1-3'!$AD$7:$IM$7,"✓",'KG1-3'!$AD$5:$IM$5,"&lt;="&amp;D1792))</f>
        <v/>
      </c>
      <c r="G1792">
        <f>G1791+IF(D1792="",0,1)</f>
        <v/>
      </c>
    </row>
    <row r="1793">
      <c r="A1793">
        <f>IF('KG1-3'!$B38="","",'KG1-3'!$B38)</f>
        <v/>
      </c>
      <c r="B1793">
        <f>IF(A1793="","",'KG1-3'!$C38)</f>
        <v/>
      </c>
      <c r="C1793">
        <f>IF(A1793="","",'KG1-3'!$B$2)</f>
        <v/>
      </c>
      <c r="D1793" s="126">
        <f t="array" ref="D1793">IF(A1793="","",IFERROR(SMALL(IF((('KG1-3'!$AD38:$IM38="غياب بدون عذر")+('KG1-3'!$AD38:$IM38="غياب بعذر"))*('KG1-3'!$AD$7:$IM$7="✓"),'KG1-3'!$AD$5:$IM$5),12),""))</f>
        <v/>
      </c>
      <c r="E1793">
        <f>IF(D1793="","",INDEX('KG1-3'!$AD38:$IM38,MATCH(D1793,'KG1-3'!$AD$5:$IM$5,0)))</f>
        <v/>
      </c>
      <c r="F1793">
        <f>IF(D1793="","",COUNTIFS('KG1-3'!$AD38:$IM38,"غياب بدون عذر",'KG1-3'!$AD$7:$IM$7,"✓",'KG1-3'!$AD$5:$IM$5,"&lt;="&amp;D1793))</f>
        <v/>
      </c>
      <c r="G1793">
        <f>G1792+IF(D1793="",0,1)</f>
        <v/>
      </c>
    </row>
    <row r="1794">
      <c r="A1794">
        <f>IF('KG1-3'!$B38="","",'KG1-3'!$B38)</f>
        <v/>
      </c>
      <c r="B1794">
        <f>IF(A1794="","",'KG1-3'!$C38)</f>
        <v/>
      </c>
      <c r="C1794">
        <f>IF(A1794="","",'KG1-3'!$B$2)</f>
        <v/>
      </c>
      <c r="D1794" s="126">
        <f t="array" ref="D1794">IF(A1794="","",IFERROR(SMALL(IF((('KG1-3'!$AD38:$IM38="غياب بدون عذر")+('KG1-3'!$AD38:$IM38="غياب بعذر"))*('KG1-3'!$AD$7:$IM$7="✓"),'KG1-3'!$AD$5:$IM$5),13),""))</f>
        <v/>
      </c>
      <c r="E1794">
        <f>IF(D1794="","",INDEX('KG1-3'!$AD38:$IM38,MATCH(D1794,'KG1-3'!$AD$5:$IM$5,0)))</f>
        <v/>
      </c>
      <c r="F1794">
        <f>IF(D1794="","",COUNTIFS('KG1-3'!$AD38:$IM38,"غياب بدون عذر",'KG1-3'!$AD$7:$IM$7,"✓",'KG1-3'!$AD$5:$IM$5,"&lt;="&amp;D1794))</f>
        <v/>
      </c>
      <c r="G1794">
        <f>G1793+IF(D1794="",0,1)</f>
        <v/>
      </c>
    </row>
    <row r="1795">
      <c r="A1795">
        <f>IF('KG1-3'!$B38="","",'KG1-3'!$B38)</f>
        <v/>
      </c>
      <c r="B1795">
        <f>IF(A1795="","",'KG1-3'!$C38)</f>
        <v/>
      </c>
      <c r="C1795">
        <f>IF(A1795="","",'KG1-3'!$B$2)</f>
        <v/>
      </c>
      <c r="D1795" s="126">
        <f t="array" ref="D1795">IF(A1795="","",IFERROR(SMALL(IF((('KG1-3'!$AD38:$IM38="غياب بدون عذر")+('KG1-3'!$AD38:$IM38="غياب بعذر"))*('KG1-3'!$AD$7:$IM$7="✓"),'KG1-3'!$AD$5:$IM$5),14),""))</f>
        <v/>
      </c>
      <c r="E1795">
        <f>IF(D1795="","",INDEX('KG1-3'!$AD38:$IM38,MATCH(D1795,'KG1-3'!$AD$5:$IM$5,0)))</f>
        <v/>
      </c>
      <c r="F1795">
        <f>IF(D1795="","",COUNTIFS('KG1-3'!$AD38:$IM38,"غياب بدون عذر",'KG1-3'!$AD$7:$IM$7,"✓",'KG1-3'!$AD$5:$IM$5,"&lt;="&amp;D1795))</f>
        <v/>
      </c>
      <c r="G1795">
        <f>G1794+IF(D1795="",0,1)</f>
        <v/>
      </c>
    </row>
    <row r="1796">
      <c r="A1796">
        <f>IF('KG1-3'!$B38="","",'KG1-3'!$B38)</f>
        <v/>
      </c>
      <c r="B1796">
        <f>IF(A1796="","",'KG1-3'!$C38)</f>
        <v/>
      </c>
      <c r="C1796">
        <f>IF(A1796="","",'KG1-3'!$B$2)</f>
        <v/>
      </c>
      <c r="D1796" s="126">
        <f t="array" ref="D1796">IF(A1796="","",IFERROR(SMALL(IF((('KG1-3'!$AD38:$IM38="غياب بدون عذر")+('KG1-3'!$AD38:$IM38="غياب بعذر"))*('KG1-3'!$AD$7:$IM$7="✓"),'KG1-3'!$AD$5:$IM$5),15),""))</f>
        <v/>
      </c>
      <c r="E1796">
        <f>IF(D1796="","",INDEX('KG1-3'!$AD38:$IM38,MATCH(D1796,'KG1-3'!$AD$5:$IM$5,0)))</f>
        <v/>
      </c>
      <c r="F1796">
        <f>IF(D1796="","",COUNTIFS('KG1-3'!$AD38:$IM38,"غياب بدون عذر",'KG1-3'!$AD$7:$IM$7,"✓",'KG1-3'!$AD$5:$IM$5,"&lt;="&amp;D1796))</f>
        <v/>
      </c>
      <c r="G1796">
        <f>G1795+IF(D1796="",0,1)</f>
        <v/>
      </c>
    </row>
    <row r="1797">
      <c r="A1797">
        <f>IF('KG1-3'!$B38="","",'KG1-3'!$B38)</f>
        <v/>
      </c>
      <c r="B1797">
        <f>IF(A1797="","",'KG1-3'!$C38)</f>
        <v/>
      </c>
      <c r="C1797">
        <f>IF(A1797="","",'KG1-3'!$B$2)</f>
        <v/>
      </c>
      <c r="D1797" s="126">
        <f t="array" ref="D1797">IF(A1797="","",IFERROR(SMALL(IF((('KG1-3'!$AD38:$IM38="غياب بدون عذر")+('KG1-3'!$AD38:$IM38="غياب بعذر"))*('KG1-3'!$AD$7:$IM$7="✓"),'KG1-3'!$AD$5:$IM$5),16),""))</f>
        <v/>
      </c>
      <c r="E1797">
        <f>IF(D1797="","",INDEX('KG1-3'!$AD38:$IM38,MATCH(D1797,'KG1-3'!$AD$5:$IM$5,0)))</f>
        <v/>
      </c>
      <c r="F1797">
        <f>IF(D1797="","",COUNTIFS('KG1-3'!$AD38:$IM38,"غياب بدون عذر",'KG1-3'!$AD$7:$IM$7,"✓",'KG1-3'!$AD$5:$IM$5,"&lt;="&amp;D1797))</f>
        <v/>
      </c>
      <c r="G1797">
        <f>G1796+IF(D1797="",0,1)</f>
        <v/>
      </c>
    </row>
    <row r="1798">
      <c r="A1798">
        <f>IF('KG1-3'!$B38="","",'KG1-3'!$B38)</f>
        <v/>
      </c>
      <c r="B1798">
        <f>IF(A1798="","",'KG1-3'!$C38)</f>
        <v/>
      </c>
      <c r="C1798">
        <f>IF(A1798="","",'KG1-3'!$B$2)</f>
        <v/>
      </c>
      <c r="D1798" s="126">
        <f t="array" ref="D1798">IF(A1798="","",IFERROR(SMALL(IF((('KG1-3'!$AD38:$IM38="غياب بدون عذر")+('KG1-3'!$AD38:$IM38="غياب بعذر"))*('KG1-3'!$AD$7:$IM$7="✓"),'KG1-3'!$AD$5:$IM$5),17),""))</f>
        <v/>
      </c>
      <c r="E1798">
        <f>IF(D1798="","",INDEX('KG1-3'!$AD38:$IM38,MATCH(D1798,'KG1-3'!$AD$5:$IM$5,0)))</f>
        <v/>
      </c>
      <c r="F1798">
        <f>IF(D1798="","",COUNTIFS('KG1-3'!$AD38:$IM38,"غياب بدون عذر",'KG1-3'!$AD$7:$IM$7,"✓",'KG1-3'!$AD$5:$IM$5,"&lt;="&amp;D1798))</f>
        <v/>
      </c>
      <c r="G1798">
        <f>G1797+IF(D1798="",0,1)</f>
        <v/>
      </c>
    </row>
    <row r="1799">
      <c r="A1799">
        <f>IF('KG1-3'!$B38="","",'KG1-3'!$B38)</f>
        <v/>
      </c>
      <c r="B1799">
        <f>IF(A1799="","",'KG1-3'!$C38)</f>
        <v/>
      </c>
      <c r="C1799">
        <f>IF(A1799="","",'KG1-3'!$B$2)</f>
        <v/>
      </c>
      <c r="D1799" s="126">
        <f t="array" ref="D1799">IF(A1799="","",IFERROR(SMALL(IF((('KG1-3'!$AD38:$IM38="غياب بدون عذر")+('KG1-3'!$AD38:$IM38="غياب بعذر"))*('KG1-3'!$AD$7:$IM$7="✓"),'KG1-3'!$AD$5:$IM$5),18),""))</f>
        <v/>
      </c>
      <c r="E1799">
        <f>IF(D1799="","",INDEX('KG1-3'!$AD38:$IM38,MATCH(D1799,'KG1-3'!$AD$5:$IM$5,0)))</f>
        <v/>
      </c>
      <c r="F1799">
        <f>IF(D1799="","",COUNTIFS('KG1-3'!$AD38:$IM38,"غياب بدون عذر",'KG1-3'!$AD$7:$IM$7,"✓",'KG1-3'!$AD$5:$IM$5,"&lt;="&amp;D1799))</f>
        <v/>
      </c>
      <c r="G1799">
        <f>G1798+IF(D1799="",0,1)</f>
        <v/>
      </c>
    </row>
    <row r="1800">
      <c r="A1800">
        <f>IF('KG1-3'!$B38="","",'KG1-3'!$B38)</f>
        <v/>
      </c>
      <c r="B1800">
        <f>IF(A1800="","",'KG1-3'!$C38)</f>
        <v/>
      </c>
      <c r="C1800">
        <f>IF(A1800="","",'KG1-3'!$B$2)</f>
        <v/>
      </c>
      <c r="D1800" s="126">
        <f t="array" ref="D1800">IF(A1800="","",IFERROR(SMALL(IF((('KG1-3'!$AD38:$IM38="غياب بدون عذر")+('KG1-3'!$AD38:$IM38="غياب بعذر"))*('KG1-3'!$AD$7:$IM$7="✓"),'KG1-3'!$AD$5:$IM$5),19),""))</f>
        <v/>
      </c>
      <c r="E1800">
        <f>IF(D1800="","",INDEX('KG1-3'!$AD38:$IM38,MATCH(D1800,'KG1-3'!$AD$5:$IM$5,0)))</f>
        <v/>
      </c>
      <c r="F1800">
        <f>IF(D1800="","",COUNTIFS('KG1-3'!$AD38:$IM38,"غياب بدون عذر",'KG1-3'!$AD$7:$IM$7,"✓",'KG1-3'!$AD$5:$IM$5,"&lt;="&amp;D1800))</f>
        <v/>
      </c>
      <c r="G1800">
        <f>G1799+IF(D1800="",0,1)</f>
        <v/>
      </c>
    </row>
    <row r="1801">
      <c r="A1801">
        <f>IF('KG1-3'!$B38="","",'KG1-3'!$B38)</f>
        <v/>
      </c>
      <c r="B1801">
        <f>IF(A1801="","",'KG1-3'!$C38)</f>
        <v/>
      </c>
      <c r="C1801">
        <f>IF(A1801="","",'KG1-3'!$B$2)</f>
        <v/>
      </c>
      <c r="D1801" s="126">
        <f t="array" ref="D1801">IF(A1801="","",IFERROR(SMALL(IF((('KG1-3'!$AD38:$IM38="غياب بدون عذر")+('KG1-3'!$AD38:$IM38="غياب بعذر"))*('KG1-3'!$AD$7:$IM$7="✓"),'KG1-3'!$AD$5:$IM$5),20),""))</f>
        <v/>
      </c>
      <c r="E1801">
        <f>IF(D1801="","",INDEX('KG1-3'!$AD38:$IM38,MATCH(D1801,'KG1-3'!$AD$5:$IM$5,0)))</f>
        <v/>
      </c>
      <c r="F1801">
        <f>IF(D1801="","",COUNTIFS('KG1-3'!$AD38:$IM38,"غياب بدون عذر",'KG1-3'!$AD$7:$IM$7,"✓",'KG1-3'!$AD$5:$IM$5,"&lt;="&amp;D1801))</f>
        <v/>
      </c>
      <c r="G1801">
        <f>G1800+IF(D1801="",0,1)</f>
        <v/>
      </c>
    </row>
    <row r="1802">
      <c r="A1802">
        <f>IF('KG1-4'!$B9="","",'KG1-4'!$B9)</f>
        <v/>
      </c>
      <c r="B1802">
        <f>IF(A1802="","",'KG1-4'!$C9)</f>
        <v/>
      </c>
      <c r="C1802">
        <f>IF(A1802="","",'KG1-4'!$B$2)</f>
        <v/>
      </c>
      <c r="D1802" s="126">
        <f t="array" ref="D1802">IF(A1802="","",IFERROR(SMALL(IF((('KG1-4'!$AD9:$IM9="غياب بدون عذر")+('KG1-4'!$AD9:$IM9="غياب بعذر"))*('KG1-4'!$AD$7:$IM$7="✓"),'KG1-4'!$AD$5:$IM$5),1),""))</f>
        <v/>
      </c>
      <c r="E1802">
        <f>IF(D1802="","",INDEX('KG1-4'!$AD9:$IM9,MATCH(D1802,'KG1-4'!$AD$5:$IM$5,0)))</f>
        <v/>
      </c>
      <c r="F1802">
        <f>IF(D1802="","",COUNTIFS('KG1-4'!$AD9:$IM9,"غياب بدون عذر",'KG1-4'!$AD$7:$IM$7,"✓",'KG1-4'!$AD$5:$IM$5,"&lt;="&amp;D1802))</f>
        <v/>
      </c>
      <c r="G1802">
        <f>G1801+IF(D1802="",0,1)</f>
        <v/>
      </c>
    </row>
    <row r="1803">
      <c r="A1803">
        <f>IF('KG1-4'!$B9="","",'KG1-4'!$B9)</f>
        <v/>
      </c>
      <c r="B1803">
        <f>IF(A1803="","",'KG1-4'!$C9)</f>
        <v/>
      </c>
      <c r="C1803">
        <f>IF(A1803="","",'KG1-4'!$B$2)</f>
        <v/>
      </c>
      <c r="D1803" s="126">
        <f t="array" ref="D1803">IF(A1803="","",IFERROR(SMALL(IF((('KG1-4'!$AD9:$IM9="غياب بدون عذر")+('KG1-4'!$AD9:$IM9="غياب بعذر"))*('KG1-4'!$AD$7:$IM$7="✓"),'KG1-4'!$AD$5:$IM$5),2),""))</f>
        <v/>
      </c>
      <c r="E1803">
        <f>IF(D1803="","",INDEX('KG1-4'!$AD9:$IM9,MATCH(D1803,'KG1-4'!$AD$5:$IM$5,0)))</f>
        <v/>
      </c>
      <c r="F1803">
        <f>IF(D1803="","",COUNTIFS('KG1-4'!$AD9:$IM9,"غياب بدون عذر",'KG1-4'!$AD$7:$IM$7,"✓",'KG1-4'!$AD$5:$IM$5,"&lt;="&amp;D1803))</f>
        <v/>
      </c>
      <c r="G1803">
        <f>G1802+IF(D1803="",0,1)</f>
        <v/>
      </c>
    </row>
    <row r="1804">
      <c r="A1804">
        <f>IF('KG1-4'!$B9="","",'KG1-4'!$B9)</f>
        <v/>
      </c>
      <c r="B1804">
        <f>IF(A1804="","",'KG1-4'!$C9)</f>
        <v/>
      </c>
      <c r="C1804">
        <f>IF(A1804="","",'KG1-4'!$B$2)</f>
        <v/>
      </c>
      <c r="D1804" s="126">
        <f t="array" ref="D1804">IF(A1804="","",IFERROR(SMALL(IF((('KG1-4'!$AD9:$IM9="غياب بدون عذر")+('KG1-4'!$AD9:$IM9="غياب بعذر"))*('KG1-4'!$AD$7:$IM$7="✓"),'KG1-4'!$AD$5:$IM$5),3),""))</f>
        <v/>
      </c>
      <c r="E1804">
        <f>IF(D1804="","",INDEX('KG1-4'!$AD9:$IM9,MATCH(D1804,'KG1-4'!$AD$5:$IM$5,0)))</f>
        <v/>
      </c>
      <c r="F1804">
        <f>IF(D1804="","",COUNTIFS('KG1-4'!$AD9:$IM9,"غياب بدون عذر",'KG1-4'!$AD$7:$IM$7,"✓",'KG1-4'!$AD$5:$IM$5,"&lt;="&amp;D1804))</f>
        <v/>
      </c>
      <c r="G1804">
        <f>G1803+IF(D1804="",0,1)</f>
        <v/>
      </c>
    </row>
    <row r="1805">
      <c r="A1805">
        <f>IF('KG1-4'!$B9="","",'KG1-4'!$B9)</f>
        <v/>
      </c>
      <c r="B1805">
        <f>IF(A1805="","",'KG1-4'!$C9)</f>
        <v/>
      </c>
      <c r="C1805">
        <f>IF(A1805="","",'KG1-4'!$B$2)</f>
        <v/>
      </c>
      <c r="D1805" s="126">
        <f t="array" ref="D1805">IF(A1805="","",IFERROR(SMALL(IF((('KG1-4'!$AD9:$IM9="غياب بدون عذر")+('KG1-4'!$AD9:$IM9="غياب بعذر"))*('KG1-4'!$AD$7:$IM$7="✓"),'KG1-4'!$AD$5:$IM$5),4),""))</f>
        <v/>
      </c>
      <c r="E1805">
        <f>IF(D1805="","",INDEX('KG1-4'!$AD9:$IM9,MATCH(D1805,'KG1-4'!$AD$5:$IM$5,0)))</f>
        <v/>
      </c>
      <c r="F1805">
        <f>IF(D1805="","",COUNTIFS('KG1-4'!$AD9:$IM9,"غياب بدون عذر",'KG1-4'!$AD$7:$IM$7,"✓",'KG1-4'!$AD$5:$IM$5,"&lt;="&amp;D1805))</f>
        <v/>
      </c>
      <c r="G1805">
        <f>G1804+IF(D1805="",0,1)</f>
        <v/>
      </c>
    </row>
    <row r="1806">
      <c r="A1806">
        <f>IF('KG1-4'!$B9="","",'KG1-4'!$B9)</f>
        <v/>
      </c>
      <c r="B1806">
        <f>IF(A1806="","",'KG1-4'!$C9)</f>
        <v/>
      </c>
      <c r="C1806">
        <f>IF(A1806="","",'KG1-4'!$B$2)</f>
        <v/>
      </c>
      <c r="D1806" s="126">
        <f t="array" ref="D1806">IF(A1806="","",IFERROR(SMALL(IF((('KG1-4'!$AD9:$IM9="غياب بدون عذر")+('KG1-4'!$AD9:$IM9="غياب بعذر"))*('KG1-4'!$AD$7:$IM$7="✓"),'KG1-4'!$AD$5:$IM$5),5),""))</f>
        <v/>
      </c>
      <c r="E1806">
        <f>IF(D1806="","",INDEX('KG1-4'!$AD9:$IM9,MATCH(D1806,'KG1-4'!$AD$5:$IM$5,0)))</f>
        <v/>
      </c>
      <c r="F1806">
        <f>IF(D1806="","",COUNTIFS('KG1-4'!$AD9:$IM9,"غياب بدون عذر",'KG1-4'!$AD$7:$IM$7,"✓",'KG1-4'!$AD$5:$IM$5,"&lt;="&amp;D1806))</f>
        <v/>
      </c>
      <c r="G1806">
        <f>G1805+IF(D1806="",0,1)</f>
        <v/>
      </c>
    </row>
    <row r="1807">
      <c r="A1807">
        <f>IF('KG1-4'!$B9="","",'KG1-4'!$B9)</f>
        <v/>
      </c>
      <c r="B1807">
        <f>IF(A1807="","",'KG1-4'!$C9)</f>
        <v/>
      </c>
      <c r="C1807">
        <f>IF(A1807="","",'KG1-4'!$B$2)</f>
        <v/>
      </c>
      <c r="D1807" s="126">
        <f t="array" ref="D1807">IF(A1807="","",IFERROR(SMALL(IF((('KG1-4'!$AD9:$IM9="غياب بدون عذر")+('KG1-4'!$AD9:$IM9="غياب بعذر"))*('KG1-4'!$AD$7:$IM$7="✓"),'KG1-4'!$AD$5:$IM$5),6),""))</f>
        <v/>
      </c>
      <c r="E1807">
        <f>IF(D1807="","",INDEX('KG1-4'!$AD9:$IM9,MATCH(D1807,'KG1-4'!$AD$5:$IM$5,0)))</f>
        <v/>
      </c>
      <c r="F1807">
        <f>IF(D1807="","",COUNTIFS('KG1-4'!$AD9:$IM9,"غياب بدون عذر",'KG1-4'!$AD$7:$IM$7,"✓",'KG1-4'!$AD$5:$IM$5,"&lt;="&amp;D1807))</f>
        <v/>
      </c>
      <c r="G1807">
        <f>G1806+IF(D1807="",0,1)</f>
        <v/>
      </c>
    </row>
    <row r="1808">
      <c r="A1808">
        <f>IF('KG1-4'!$B9="","",'KG1-4'!$B9)</f>
        <v/>
      </c>
      <c r="B1808">
        <f>IF(A1808="","",'KG1-4'!$C9)</f>
        <v/>
      </c>
      <c r="C1808">
        <f>IF(A1808="","",'KG1-4'!$B$2)</f>
        <v/>
      </c>
      <c r="D1808" s="126">
        <f t="array" ref="D1808">IF(A1808="","",IFERROR(SMALL(IF((('KG1-4'!$AD9:$IM9="غياب بدون عذر")+('KG1-4'!$AD9:$IM9="غياب بعذر"))*('KG1-4'!$AD$7:$IM$7="✓"),'KG1-4'!$AD$5:$IM$5),7),""))</f>
        <v/>
      </c>
      <c r="E1808">
        <f>IF(D1808="","",INDEX('KG1-4'!$AD9:$IM9,MATCH(D1808,'KG1-4'!$AD$5:$IM$5,0)))</f>
        <v/>
      </c>
      <c r="F1808">
        <f>IF(D1808="","",COUNTIFS('KG1-4'!$AD9:$IM9,"غياب بدون عذر",'KG1-4'!$AD$7:$IM$7,"✓",'KG1-4'!$AD$5:$IM$5,"&lt;="&amp;D1808))</f>
        <v/>
      </c>
      <c r="G1808">
        <f>G1807+IF(D1808="",0,1)</f>
        <v/>
      </c>
    </row>
    <row r="1809">
      <c r="A1809">
        <f>IF('KG1-4'!$B9="","",'KG1-4'!$B9)</f>
        <v/>
      </c>
      <c r="B1809">
        <f>IF(A1809="","",'KG1-4'!$C9)</f>
        <v/>
      </c>
      <c r="C1809">
        <f>IF(A1809="","",'KG1-4'!$B$2)</f>
        <v/>
      </c>
      <c r="D1809" s="126">
        <f t="array" ref="D1809">IF(A1809="","",IFERROR(SMALL(IF((('KG1-4'!$AD9:$IM9="غياب بدون عذر")+('KG1-4'!$AD9:$IM9="غياب بعذر"))*('KG1-4'!$AD$7:$IM$7="✓"),'KG1-4'!$AD$5:$IM$5),8),""))</f>
        <v/>
      </c>
      <c r="E1809">
        <f>IF(D1809="","",INDEX('KG1-4'!$AD9:$IM9,MATCH(D1809,'KG1-4'!$AD$5:$IM$5,0)))</f>
        <v/>
      </c>
      <c r="F1809">
        <f>IF(D1809="","",COUNTIFS('KG1-4'!$AD9:$IM9,"غياب بدون عذر",'KG1-4'!$AD$7:$IM$7,"✓",'KG1-4'!$AD$5:$IM$5,"&lt;="&amp;D1809))</f>
        <v/>
      </c>
      <c r="G1809">
        <f>G1808+IF(D1809="",0,1)</f>
        <v/>
      </c>
    </row>
    <row r="1810">
      <c r="A1810">
        <f>IF('KG1-4'!$B9="","",'KG1-4'!$B9)</f>
        <v/>
      </c>
      <c r="B1810">
        <f>IF(A1810="","",'KG1-4'!$C9)</f>
        <v/>
      </c>
      <c r="C1810">
        <f>IF(A1810="","",'KG1-4'!$B$2)</f>
        <v/>
      </c>
      <c r="D1810" s="126">
        <f t="array" ref="D1810">IF(A1810="","",IFERROR(SMALL(IF((('KG1-4'!$AD9:$IM9="غياب بدون عذر")+('KG1-4'!$AD9:$IM9="غياب بعذر"))*('KG1-4'!$AD$7:$IM$7="✓"),'KG1-4'!$AD$5:$IM$5),9),""))</f>
        <v/>
      </c>
      <c r="E1810">
        <f>IF(D1810="","",INDEX('KG1-4'!$AD9:$IM9,MATCH(D1810,'KG1-4'!$AD$5:$IM$5,0)))</f>
        <v/>
      </c>
      <c r="F1810">
        <f>IF(D1810="","",COUNTIFS('KG1-4'!$AD9:$IM9,"غياب بدون عذر",'KG1-4'!$AD$7:$IM$7,"✓",'KG1-4'!$AD$5:$IM$5,"&lt;="&amp;D1810))</f>
        <v/>
      </c>
      <c r="G1810">
        <f>G1809+IF(D1810="",0,1)</f>
        <v/>
      </c>
    </row>
    <row r="1811">
      <c r="A1811">
        <f>IF('KG1-4'!$B9="","",'KG1-4'!$B9)</f>
        <v/>
      </c>
      <c r="B1811">
        <f>IF(A1811="","",'KG1-4'!$C9)</f>
        <v/>
      </c>
      <c r="C1811">
        <f>IF(A1811="","",'KG1-4'!$B$2)</f>
        <v/>
      </c>
      <c r="D1811" s="126">
        <f t="array" ref="D1811">IF(A1811="","",IFERROR(SMALL(IF((('KG1-4'!$AD9:$IM9="غياب بدون عذر")+('KG1-4'!$AD9:$IM9="غياب بعذر"))*('KG1-4'!$AD$7:$IM$7="✓"),'KG1-4'!$AD$5:$IM$5),10),""))</f>
        <v/>
      </c>
      <c r="E1811">
        <f>IF(D1811="","",INDEX('KG1-4'!$AD9:$IM9,MATCH(D1811,'KG1-4'!$AD$5:$IM$5,0)))</f>
        <v/>
      </c>
      <c r="F1811">
        <f>IF(D1811="","",COUNTIFS('KG1-4'!$AD9:$IM9,"غياب بدون عذر",'KG1-4'!$AD$7:$IM$7,"✓",'KG1-4'!$AD$5:$IM$5,"&lt;="&amp;D1811))</f>
        <v/>
      </c>
      <c r="G1811">
        <f>G1810+IF(D1811="",0,1)</f>
        <v/>
      </c>
    </row>
    <row r="1812">
      <c r="A1812">
        <f>IF('KG1-4'!$B9="","",'KG1-4'!$B9)</f>
        <v/>
      </c>
      <c r="B1812">
        <f>IF(A1812="","",'KG1-4'!$C9)</f>
        <v/>
      </c>
      <c r="C1812">
        <f>IF(A1812="","",'KG1-4'!$B$2)</f>
        <v/>
      </c>
      <c r="D1812" s="126">
        <f t="array" ref="D1812">IF(A1812="","",IFERROR(SMALL(IF((('KG1-4'!$AD9:$IM9="غياب بدون عذر")+('KG1-4'!$AD9:$IM9="غياب بعذر"))*('KG1-4'!$AD$7:$IM$7="✓"),'KG1-4'!$AD$5:$IM$5),11),""))</f>
        <v/>
      </c>
      <c r="E1812">
        <f>IF(D1812="","",INDEX('KG1-4'!$AD9:$IM9,MATCH(D1812,'KG1-4'!$AD$5:$IM$5,0)))</f>
        <v/>
      </c>
      <c r="F1812">
        <f>IF(D1812="","",COUNTIFS('KG1-4'!$AD9:$IM9,"غياب بدون عذر",'KG1-4'!$AD$7:$IM$7,"✓",'KG1-4'!$AD$5:$IM$5,"&lt;="&amp;D1812))</f>
        <v/>
      </c>
      <c r="G1812">
        <f>G1811+IF(D1812="",0,1)</f>
        <v/>
      </c>
    </row>
    <row r="1813">
      <c r="A1813">
        <f>IF('KG1-4'!$B9="","",'KG1-4'!$B9)</f>
        <v/>
      </c>
      <c r="B1813">
        <f>IF(A1813="","",'KG1-4'!$C9)</f>
        <v/>
      </c>
      <c r="C1813">
        <f>IF(A1813="","",'KG1-4'!$B$2)</f>
        <v/>
      </c>
      <c r="D1813" s="126">
        <f t="array" ref="D1813">IF(A1813="","",IFERROR(SMALL(IF((('KG1-4'!$AD9:$IM9="غياب بدون عذر")+('KG1-4'!$AD9:$IM9="غياب بعذر"))*('KG1-4'!$AD$7:$IM$7="✓"),'KG1-4'!$AD$5:$IM$5),12),""))</f>
        <v/>
      </c>
      <c r="E1813">
        <f>IF(D1813="","",INDEX('KG1-4'!$AD9:$IM9,MATCH(D1813,'KG1-4'!$AD$5:$IM$5,0)))</f>
        <v/>
      </c>
      <c r="F1813">
        <f>IF(D1813="","",COUNTIFS('KG1-4'!$AD9:$IM9,"غياب بدون عذر",'KG1-4'!$AD$7:$IM$7,"✓",'KG1-4'!$AD$5:$IM$5,"&lt;="&amp;D1813))</f>
        <v/>
      </c>
      <c r="G1813">
        <f>G1812+IF(D1813="",0,1)</f>
        <v/>
      </c>
    </row>
    <row r="1814">
      <c r="A1814">
        <f>IF('KG1-4'!$B9="","",'KG1-4'!$B9)</f>
        <v/>
      </c>
      <c r="B1814">
        <f>IF(A1814="","",'KG1-4'!$C9)</f>
        <v/>
      </c>
      <c r="C1814">
        <f>IF(A1814="","",'KG1-4'!$B$2)</f>
        <v/>
      </c>
      <c r="D1814" s="126">
        <f t="array" ref="D1814">IF(A1814="","",IFERROR(SMALL(IF((('KG1-4'!$AD9:$IM9="غياب بدون عذر")+('KG1-4'!$AD9:$IM9="غياب بعذر"))*('KG1-4'!$AD$7:$IM$7="✓"),'KG1-4'!$AD$5:$IM$5),13),""))</f>
        <v/>
      </c>
      <c r="E1814">
        <f>IF(D1814="","",INDEX('KG1-4'!$AD9:$IM9,MATCH(D1814,'KG1-4'!$AD$5:$IM$5,0)))</f>
        <v/>
      </c>
      <c r="F1814">
        <f>IF(D1814="","",COUNTIFS('KG1-4'!$AD9:$IM9,"غياب بدون عذر",'KG1-4'!$AD$7:$IM$7,"✓",'KG1-4'!$AD$5:$IM$5,"&lt;="&amp;D1814))</f>
        <v/>
      </c>
      <c r="G1814">
        <f>G1813+IF(D1814="",0,1)</f>
        <v/>
      </c>
    </row>
    <row r="1815">
      <c r="A1815">
        <f>IF('KG1-4'!$B9="","",'KG1-4'!$B9)</f>
        <v/>
      </c>
      <c r="B1815">
        <f>IF(A1815="","",'KG1-4'!$C9)</f>
        <v/>
      </c>
      <c r="C1815">
        <f>IF(A1815="","",'KG1-4'!$B$2)</f>
        <v/>
      </c>
      <c r="D1815" s="126">
        <f t="array" ref="D1815">IF(A1815="","",IFERROR(SMALL(IF((('KG1-4'!$AD9:$IM9="غياب بدون عذر")+('KG1-4'!$AD9:$IM9="غياب بعذر"))*('KG1-4'!$AD$7:$IM$7="✓"),'KG1-4'!$AD$5:$IM$5),14),""))</f>
        <v/>
      </c>
      <c r="E1815">
        <f>IF(D1815="","",INDEX('KG1-4'!$AD9:$IM9,MATCH(D1815,'KG1-4'!$AD$5:$IM$5,0)))</f>
        <v/>
      </c>
      <c r="F1815">
        <f>IF(D1815="","",COUNTIFS('KG1-4'!$AD9:$IM9,"غياب بدون عذر",'KG1-4'!$AD$7:$IM$7,"✓",'KG1-4'!$AD$5:$IM$5,"&lt;="&amp;D1815))</f>
        <v/>
      </c>
      <c r="G1815">
        <f>G1814+IF(D1815="",0,1)</f>
        <v/>
      </c>
    </row>
    <row r="1816">
      <c r="A1816">
        <f>IF('KG1-4'!$B9="","",'KG1-4'!$B9)</f>
        <v/>
      </c>
      <c r="B1816">
        <f>IF(A1816="","",'KG1-4'!$C9)</f>
        <v/>
      </c>
      <c r="C1816">
        <f>IF(A1816="","",'KG1-4'!$B$2)</f>
        <v/>
      </c>
      <c r="D1816" s="126">
        <f t="array" ref="D1816">IF(A1816="","",IFERROR(SMALL(IF((('KG1-4'!$AD9:$IM9="غياب بدون عذر")+('KG1-4'!$AD9:$IM9="غياب بعذر"))*('KG1-4'!$AD$7:$IM$7="✓"),'KG1-4'!$AD$5:$IM$5),15),""))</f>
        <v/>
      </c>
      <c r="E1816">
        <f>IF(D1816="","",INDEX('KG1-4'!$AD9:$IM9,MATCH(D1816,'KG1-4'!$AD$5:$IM$5,0)))</f>
        <v/>
      </c>
      <c r="F1816">
        <f>IF(D1816="","",COUNTIFS('KG1-4'!$AD9:$IM9,"غياب بدون عذر",'KG1-4'!$AD$7:$IM$7,"✓",'KG1-4'!$AD$5:$IM$5,"&lt;="&amp;D1816))</f>
        <v/>
      </c>
      <c r="G1816">
        <f>G1815+IF(D1816="",0,1)</f>
        <v/>
      </c>
    </row>
    <row r="1817">
      <c r="A1817">
        <f>IF('KG1-4'!$B9="","",'KG1-4'!$B9)</f>
        <v/>
      </c>
      <c r="B1817">
        <f>IF(A1817="","",'KG1-4'!$C9)</f>
        <v/>
      </c>
      <c r="C1817">
        <f>IF(A1817="","",'KG1-4'!$B$2)</f>
        <v/>
      </c>
      <c r="D1817" s="126">
        <f t="array" ref="D1817">IF(A1817="","",IFERROR(SMALL(IF((('KG1-4'!$AD9:$IM9="غياب بدون عذر")+('KG1-4'!$AD9:$IM9="غياب بعذر"))*('KG1-4'!$AD$7:$IM$7="✓"),'KG1-4'!$AD$5:$IM$5),16),""))</f>
        <v/>
      </c>
      <c r="E1817">
        <f>IF(D1817="","",INDEX('KG1-4'!$AD9:$IM9,MATCH(D1817,'KG1-4'!$AD$5:$IM$5,0)))</f>
        <v/>
      </c>
      <c r="F1817">
        <f>IF(D1817="","",COUNTIFS('KG1-4'!$AD9:$IM9,"غياب بدون عذر",'KG1-4'!$AD$7:$IM$7,"✓",'KG1-4'!$AD$5:$IM$5,"&lt;="&amp;D1817))</f>
        <v/>
      </c>
      <c r="G1817">
        <f>G1816+IF(D1817="",0,1)</f>
        <v/>
      </c>
    </row>
    <row r="1818">
      <c r="A1818">
        <f>IF('KG1-4'!$B9="","",'KG1-4'!$B9)</f>
        <v/>
      </c>
      <c r="B1818">
        <f>IF(A1818="","",'KG1-4'!$C9)</f>
        <v/>
      </c>
      <c r="C1818">
        <f>IF(A1818="","",'KG1-4'!$B$2)</f>
        <v/>
      </c>
      <c r="D1818" s="126">
        <f t="array" ref="D1818">IF(A1818="","",IFERROR(SMALL(IF((('KG1-4'!$AD9:$IM9="غياب بدون عذر")+('KG1-4'!$AD9:$IM9="غياب بعذر"))*('KG1-4'!$AD$7:$IM$7="✓"),'KG1-4'!$AD$5:$IM$5),17),""))</f>
        <v/>
      </c>
      <c r="E1818">
        <f>IF(D1818="","",INDEX('KG1-4'!$AD9:$IM9,MATCH(D1818,'KG1-4'!$AD$5:$IM$5,0)))</f>
        <v/>
      </c>
      <c r="F1818">
        <f>IF(D1818="","",COUNTIFS('KG1-4'!$AD9:$IM9,"غياب بدون عذر",'KG1-4'!$AD$7:$IM$7,"✓",'KG1-4'!$AD$5:$IM$5,"&lt;="&amp;D1818))</f>
        <v/>
      </c>
      <c r="G1818">
        <f>G1817+IF(D1818="",0,1)</f>
        <v/>
      </c>
    </row>
    <row r="1819">
      <c r="A1819">
        <f>IF('KG1-4'!$B9="","",'KG1-4'!$B9)</f>
        <v/>
      </c>
      <c r="B1819">
        <f>IF(A1819="","",'KG1-4'!$C9)</f>
        <v/>
      </c>
      <c r="C1819">
        <f>IF(A1819="","",'KG1-4'!$B$2)</f>
        <v/>
      </c>
      <c r="D1819" s="126">
        <f t="array" ref="D1819">IF(A1819="","",IFERROR(SMALL(IF((('KG1-4'!$AD9:$IM9="غياب بدون عذر")+('KG1-4'!$AD9:$IM9="غياب بعذر"))*('KG1-4'!$AD$7:$IM$7="✓"),'KG1-4'!$AD$5:$IM$5),18),""))</f>
        <v/>
      </c>
      <c r="E1819">
        <f>IF(D1819="","",INDEX('KG1-4'!$AD9:$IM9,MATCH(D1819,'KG1-4'!$AD$5:$IM$5,0)))</f>
        <v/>
      </c>
      <c r="F1819">
        <f>IF(D1819="","",COUNTIFS('KG1-4'!$AD9:$IM9,"غياب بدون عذر",'KG1-4'!$AD$7:$IM$7,"✓",'KG1-4'!$AD$5:$IM$5,"&lt;="&amp;D1819))</f>
        <v/>
      </c>
      <c r="G1819">
        <f>G1818+IF(D1819="",0,1)</f>
        <v/>
      </c>
    </row>
    <row r="1820">
      <c r="A1820">
        <f>IF('KG1-4'!$B9="","",'KG1-4'!$B9)</f>
        <v/>
      </c>
      <c r="B1820">
        <f>IF(A1820="","",'KG1-4'!$C9)</f>
        <v/>
      </c>
      <c r="C1820">
        <f>IF(A1820="","",'KG1-4'!$B$2)</f>
        <v/>
      </c>
      <c r="D1820" s="126">
        <f t="array" ref="D1820">IF(A1820="","",IFERROR(SMALL(IF((('KG1-4'!$AD9:$IM9="غياب بدون عذر")+('KG1-4'!$AD9:$IM9="غياب بعذر"))*('KG1-4'!$AD$7:$IM$7="✓"),'KG1-4'!$AD$5:$IM$5),19),""))</f>
        <v/>
      </c>
      <c r="E1820">
        <f>IF(D1820="","",INDEX('KG1-4'!$AD9:$IM9,MATCH(D1820,'KG1-4'!$AD$5:$IM$5,0)))</f>
        <v/>
      </c>
      <c r="F1820">
        <f>IF(D1820="","",COUNTIFS('KG1-4'!$AD9:$IM9,"غياب بدون عذر",'KG1-4'!$AD$7:$IM$7,"✓",'KG1-4'!$AD$5:$IM$5,"&lt;="&amp;D1820))</f>
        <v/>
      </c>
      <c r="G1820">
        <f>G1819+IF(D1820="",0,1)</f>
        <v/>
      </c>
    </row>
    <row r="1821">
      <c r="A1821">
        <f>IF('KG1-4'!$B9="","",'KG1-4'!$B9)</f>
        <v/>
      </c>
      <c r="B1821">
        <f>IF(A1821="","",'KG1-4'!$C9)</f>
        <v/>
      </c>
      <c r="C1821">
        <f>IF(A1821="","",'KG1-4'!$B$2)</f>
        <v/>
      </c>
      <c r="D1821" s="126">
        <f t="array" ref="D1821">IF(A1821="","",IFERROR(SMALL(IF((('KG1-4'!$AD9:$IM9="غياب بدون عذر")+('KG1-4'!$AD9:$IM9="غياب بعذر"))*('KG1-4'!$AD$7:$IM$7="✓"),'KG1-4'!$AD$5:$IM$5),20),""))</f>
        <v/>
      </c>
      <c r="E1821">
        <f>IF(D1821="","",INDEX('KG1-4'!$AD9:$IM9,MATCH(D1821,'KG1-4'!$AD$5:$IM$5,0)))</f>
        <v/>
      </c>
      <c r="F1821">
        <f>IF(D1821="","",COUNTIFS('KG1-4'!$AD9:$IM9,"غياب بدون عذر",'KG1-4'!$AD$7:$IM$7,"✓",'KG1-4'!$AD$5:$IM$5,"&lt;="&amp;D1821))</f>
        <v/>
      </c>
      <c r="G1821">
        <f>G1820+IF(D1821="",0,1)</f>
        <v/>
      </c>
    </row>
    <row r="1822">
      <c r="A1822">
        <f>IF('KG1-4'!$B10="","",'KG1-4'!$B10)</f>
        <v/>
      </c>
      <c r="B1822">
        <f>IF(A1822="","",'KG1-4'!$C10)</f>
        <v/>
      </c>
      <c r="C1822">
        <f>IF(A1822="","",'KG1-4'!$B$2)</f>
        <v/>
      </c>
      <c r="D1822" s="126">
        <f t="array" ref="D1822">IF(A1822="","",IFERROR(SMALL(IF((('KG1-4'!$AD10:$IM10="غياب بدون عذر")+('KG1-4'!$AD10:$IM10="غياب بعذر"))*('KG1-4'!$AD$7:$IM$7="✓"),'KG1-4'!$AD$5:$IM$5),1),""))</f>
        <v/>
      </c>
      <c r="E1822">
        <f>IF(D1822="","",INDEX('KG1-4'!$AD10:$IM10,MATCH(D1822,'KG1-4'!$AD$5:$IM$5,0)))</f>
        <v/>
      </c>
      <c r="F1822">
        <f>IF(D1822="","",COUNTIFS('KG1-4'!$AD10:$IM10,"غياب بدون عذر",'KG1-4'!$AD$7:$IM$7,"✓",'KG1-4'!$AD$5:$IM$5,"&lt;="&amp;D1822))</f>
        <v/>
      </c>
      <c r="G1822">
        <f>G1821+IF(D1822="",0,1)</f>
        <v/>
      </c>
    </row>
    <row r="1823">
      <c r="A1823">
        <f>IF('KG1-4'!$B10="","",'KG1-4'!$B10)</f>
        <v/>
      </c>
      <c r="B1823">
        <f>IF(A1823="","",'KG1-4'!$C10)</f>
        <v/>
      </c>
      <c r="C1823">
        <f>IF(A1823="","",'KG1-4'!$B$2)</f>
        <v/>
      </c>
      <c r="D1823" s="126">
        <f t="array" ref="D1823">IF(A1823="","",IFERROR(SMALL(IF((('KG1-4'!$AD10:$IM10="غياب بدون عذر")+('KG1-4'!$AD10:$IM10="غياب بعذر"))*('KG1-4'!$AD$7:$IM$7="✓"),'KG1-4'!$AD$5:$IM$5),2),""))</f>
        <v/>
      </c>
      <c r="E1823">
        <f>IF(D1823="","",INDEX('KG1-4'!$AD10:$IM10,MATCH(D1823,'KG1-4'!$AD$5:$IM$5,0)))</f>
        <v/>
      </c>
      <c r="F1823">
        <f>IF(D1823="","",COUNTIFS('KG1-4'!$AD10:$IM10,"غياب بدون عذر",'KG1-4'!$AD$7:$IM$7,"✓",'KG1-4'!$AD$5:$IM$5,"&lt;="&amp;D1823))</f>
        <v/>
      </c>
      <c r="G1823">
        <f>G1822+IF(D1823="",0,1)</f>
        <v/>
      </c>
    </row>
    <row r="1824">
      <c r="A1824">
        <f>IF('KG1-4'!$B10="","",'KG1-4'!$B10)</f>
        <v/>
      </c>
      <c r="B1824">
        <f>IF(A1824="","",'KG1-4'!$C10)</f>
        <v/>
      </c>
      <c r="C1824">
        <f>IF(A1824="","",'KG1-4'!$B$2)</f>
        <v/>
      </c>
      <c r="D1824" s="126">
        <f t="array" ref="D1824">IF(A1824="","",IFERROR(SMALL(IF((('KG1-4'!$AD10:$IM10="غياب بدون عذر")+('KG1-4'!$AD10:$IM10="غياب بعذر"))*('KG1-4'!$AD$7:$IM$7="✓"),'KG1-4'!$AD$5:$IM$5),3),""))</f>
        <v/>
      </c>
      <c r="E1824">
        <f>IF(D1824="","",INDEX('KG1-4'!$AD10:$IM10,MATCH(D1824,'KG1-4'!$AD$5:$IM$5,0)))</f>
        <v/>
      </c>
      <c r="F1824">
        <f>IF(D1824="","",COUNTIFS('KG1-4'!$AD10:$IM10,"غياب بدون عذر",'KG1-4'!$AD$7:$IM$7,"✓",'KG1-4'!$AD$5:$IM$5,"&lt;="&amp;D1824))</f>
        <v/>
      </c>
      <c r="G1824">
        <f>G1823+IF(D1824="",0,1)</f>
        <v/>
      </c>
    </row>
    <row r="1825">
      <c r="A1825">
        <f>IF('KG1-4'!$B10="","",'KG1-4'!$B10)</f>
        <v/>
      </c>
      <c r="B1825">
        <f>IF(A1825="","",'KG1-4'!$C10)</f>
        <v/>
      </c>
      <c r="C1825">
        <f>IF(A1825="","",'KG1-4'!$B$2)</f>
        <v/>
      </c>
      <c r="D1825" s="126">
        <f t="array" ref="D1825">IF(A1825="","",IFERROR(SMALL(IF((('KG1-4'!$AD10:$IM10="غياب بدون عذر")+('KG1-4'!$AD10:$IM10="غياب بعذر"))*('KG1-4'!$AD$7:$IM$7="✓"),'KG1-4'!$AD$5:$IM$5),4),""))</f>
        <v/>
      </c>
      <c r="E1825">
        <f>IF(D1825="","",INDEX('KG1-4'!$AD10:$IM10,MATCH(D1825,'KG1-4'!$AD$5:$IM$5,0)))</f>
        <v/>
      </c>
      <c r="F1825">
        <f>IF(D1825="","",COUNTIFS('KG1-4'!$AD10:$IM10,"غياب بدون عذر",'KG1-4'!$AD$7:$IM$7,"✓",'KG1-4'!$AD$5:$IM$5,"&lt;="&amp;D1825))</f>
        <v/>
      </c>
      <c r="G1825">
        <f>G1824+IF(D1825="",0,1)</f>
        <v/>
      </c>
    </row>
    <row r="1826">
      <c r="A1826">
        <f>IF('KG1-4'!$B10="","",'KG1-4'!$B10)</f>
        <v/>
      </c>
      <c r="B1826">
        <f>IF(A1826="","",'KG1-4'!$C10)</f>
        <v/>
      </c>
      <c r="C1826">
        <f>IF(A1826="","",'KG1-4'!$B$2)</f>
        <v/>
      </c>
      <c r="D1826" s="126">
        <f t="array" ref="D1826">IF(A1826="","",IFERROR(SMALL(IF((('KG1-4'!$AD10:$IM10="غياب بدون عذر")+('KG1-4'!$AD10:$IM10="غياب بعذر"))*('KG1-4'!$AD$7:$IM$7="✓"),'KG1-4'!$AD$5:$IM$5),5),""))</f>
        <v/>
      </c>
      <c r="E1826">
        <f>IF(D1826="","",INDEX('KG1-4'!$AD10:$IM10,MATCH(D1826,'KG1-4'!$AD$5:$IM$5,0)))</f>
        <v/>
      </c>
      <c r="F1826">
        <f>IF(D1826="","",COUNTIFS('KG1-4'!$AD10:$IM10,"غياب بدون عذر",'KG1-4'!$AD$7:$IM$7,"✓",'KG1-4'!$AD$5:$IM$5,"&lt;="&amp;D1826))</f>
        <v/>
      </c>
      <c r="G1826">
        <f>G1825+IF(D1826="",0,1)</f>
        <v/>
      </c>
    </row>
    <row r="1827">
      <c r="A1827">
        <f>IF('KG1-4'!$B10="","",'KG1-4'!$B10)</f>
        <v/>
      </c>
      <c r="B1827">
        <f>IF(A1827="","",'KG1-4'!$C10)</f>
        <v/>
      </c>
      <c r="C1827">
        <f>IF(A1827="","",'KG1-4'!$B$2)</f>
        <v/>
      </c>
      <c r="D1827" s="126">
        <f t="array" ref="D1827">IF(A1827="","",IFERROR(SMALL(IF((('KG1-4'!$AD10:$IM10="غياب بدون عذر")+('KG1-4'!$AD10:$IM10="غياب بعذر"))*('KG1-4'!$AD$7:$IM$7="✓"),'KG1-4'!$AD$5:$IM$5),6),""))</f>
        <v/>
      </c>
      <c r="E1827">
        <f>IF(D1827="","",INDEX('KG1-4'!$AD10:$IM10,MATCH(D1827,'KG1-4'!$AD$5:$IM$5,0)))</f>
        <v/>
      </c>
      <c r="F1827">
        <f>IF(D1827="","",COUNTIFS('KG1-4'!$AD10:$IM10,"غياب بدون عذر",'KG1-4'!$AD$7:$IM$7,"✓",'KG1-4'!$AD$5:$IM$5,"&lt;="&amp;D1827))</f>
        <v/>
      </c>
      <c r="G1827">
        <f>G1826+IF(D1827="",0,1)</f>
        <v/>
      </c>
    </row>
    <row r="1828">
      <c r="A1828">
        <f>IF('KG1-4'!$B10="","",'KG1-4'!$B10)</f>
        <v/>
      </c>
      <c r="B1828">
        <f>IF(A1828="","",'KG1-4'!$C10)</f>
        <v/>
      </c>
      <c r="C1828">
        <f>IF(A1828="","",'KG1-4'!$B$2)</f>
        <v/>
      </c>
      <c r="D1828" s="126">
        <f t="array" ref="D1828">IF(A1828="","",IFERROR(SMALL(IF((('KG1-4'!$AD10:$IM10="غياب بدون عذر")+('KG1-4'!$AD10:$IM10="غياب بعذر"))*('KG1-4'!$AD$7:$IM$7="✓"),'KG1-4'!$AD$5:$IM$5),7),""))</f>
        <v/>
      </c>
      <c r="E1828">
        <f>IF(D1828="","",INDEX('KG1-4'!$AD10:$IM10,MATCH(D1828,'KG1-4'!$AD$5:$IM$5,0)))</f>
        <v/>
      </c>
      <c r="F1828">
        <f>IF(D1828="","",COUNTIFS('KG1-4'!$AD10:$IM10,"غياب بدون عذر",'KG1-4'!$AD$7:$IM$7,"✓",'KG1-4'!$AD$5:$IM$5,"&lt;="&amp;D1828))</f>
        <v/>
      </c>
      <c r="G1828">
        <f>G1827+IF(D1828="",0,1)</f>
        <v/>
      </c>
    </row>
    <row r="1829">
      <c r="A1829">
        <f>IF('KG1-4'!$B10="","",'KG1-4'!$B10)</f>
        <v/>
      </c>
      <c r="B1829">
        <f>IF(A1829="","",'KG1-4'!$C10)</f>
        <v/>
      </c>
      <c r="C1829">
        <f>IF(A1829="","",'KG1-4'!$B$2)</f>
        <v/>
      </c>
      <c r="D1829" s="126">
        <f t="array" ref="D1829">IF(A1829="","",IFERROR(SMALL(IF((('KG1-4'!$AD10:$IM10="غياب بدون عذر")+('KG1-4'!$AD10:$IM10="غياب بعذر"))*('KG1-4'!$AD$7:$IM$7="✓"),'KG1-4'!$AD$5:$IM$5),8),""))</f>
        <v/>
      </c>
      <c r="E1829">
        <f>IF(D1829="","",INDEX('KG1-4'!$AD10:$IM10,MATCH(D1829,'KG1-4'!$AD$5:$IM$5,0)))</f>
        <v/>
      </c>
      <c r="F1829">
        <f>IF(D1829="","",COUNTIFS('KG1-4'!$AD10:$IM10,"غياب بدون عذر",'KG1-4'!$AD$7:$IM$7,"✓",'KG1-4'!$AD$5:$IM$5,"&lt;="&amp;D1829))</f>
        <v/>
      </c>
      <c r="G1829">
        <f>G1828+IF(D1829="",0,1)</f>
        <v/>
      </c>
    </row>
    <row r="1830">
      <c r="A1830">
        <f>IF('KG1-4'!$B10="","",'KG1-4'!$B10)</f>
        <v/>
      </c>
      <c r="B1830">
        <f>IF(A1830="","",'KG1-4'!$C10)</f>
        <v/>
      </c>
      <c r="C1830">
        <f>IF(A1830="","",'KG1-4'!$B$2)</f>
        <v/>
      </c>
      <c r="D1830" s="126">
        <f t="array" ref="D1830">IF(A1830="","",IFERROR(SMALL(IF((('KG1-4'!$AD10:$IM10="غياب بدون عذر")+('KG1-4'!$AD10:$IM10="غياب بعذر"))*('KG1-4'!$AD$7:$IM$7="✓"),'KG1-4'!$AD$5:$IM$5),9),""))</f>
        <v/>
      </c>
      <c r="E1830">
        <f>IF(D1830="","",INDEX('KG1-4'!$AD10:$IM10,MATCH(D1830,'KG1-4'!$AD$5:$IM$5,0)))</f>
        <v/>
      </c>
      <c r="F1830">
        <f>IF(D1830="","",COUNTIFS('KG1-4'!$AD10:$IM10,"غياب بدون عذر",'KG1-4'!$AD$7:$IM$7,"✓",'KG1-4'!$AD$5:$IM$5,"&lt;="&amp;D1830))</f>
        <v/>
      </c>
      <c r="G1830">
        <f>G1829+IF(D1830="",0,1)</f>
        <v/>
      </c>
    </row>
    <row r="1831">
      <c r="A1831">
        <f>IF('KG1-4'!$B10="","",'KG1-4'!$B10)</f>
        <v/>
      </c>
      <c r="B1831">
        <f>IF(A1831="","",'KG1-4'!$C10)</f>
        <v/>
      </c>
      <c r="C1831">
        <f>IF(A1831="","",'KG1-4'!$B$2)</f>
        <v/>
      </c>
      <c r="D1831" s="126">
        <f t="array" ref="D1831">IF(A1831="","",IFERROR(SMALL(IF((('KG1-4'!$AD10:$IM10="غياب بدون عذر")+('KG1-4'!$AD10:$IM10="غياب بعذر"))*('KG1-4'!$AD$7:$IM$7="✓"),'KG1-4'!$AD$5:$IM$5),10),""))</f>
        <v/>
      </c>
      <c r="E1831">
        <f>IF(D1831="","",INDEX('KG1-4'!$AD10:$IM10,MATCH(D1831,'KG1-4'!$AD$5:$IM$5,0)))</f>
        <v/>
      </c>
      <c r="F1831">
        <f>IF(D1831="","",COUNTIFS('KG1-4'!$AD10:$IM10,"غياب بدون عذر",'KG1-4'!$AD$7:$IM$7,"✓",'KG1-4'!$AD$5:$IM$5,"&lt;="&amp;D1831))</f>
        <v/>
      </c>
      <c r="G1831">
        <f>G1830+IF(D1831="",0,1)</f>
        <v/>
      </c>
    </row>
    <row r="1832">
      <c r="A1832">
        <f>IF('KG1-4'!$B10="","",'KG1-4'!$B10)</f>
        <v/>
      </c>
      <c r="B1832">
        <f>IF(A1832="","",'KG1-4'!$C10)</f>
        <v/>
      </c>
      <c r="C1832">
        <f>IF(A1832="","",'KG1-4'!$B$2)</f>
        <v/>
      </c>
      <c r="D1832" s="126">
        <f t="array" ref="D1832">IF(A1832="","",IFERROR(SMALL(IF((('KG1-4'!$AD10:$IM10="غياب بدون عذر")+('KG1-4'!$AD10:$IM10="غياب بعذر"))*('KG1-4'!$AD$7:$IM$7="✓"),'KG1-4'!$AD$5:$IM$5),11),""))</f>
        <v/>
      </c>
      <c r="E1832">
        <f>IF(D1832="","",INDEX('KG1-4'!$AD10:$IM10,MATCH(D1832,'KG1-4'!$AD$5:$IM$5,0)))</f>
        <v/>
      </c>
      <c r="F1832">
        <f>IF(D1832="","",COUNTIFS('KG1-4'!$AD10:$IM10,"غياب بدون عذر",'KG1-4'!$AD$7:$IM$7,"✓",'KG1-4'!$AD$5:$IM$5,"&lt;="&amp;D1832))</f>
        <v/>
      </c>
      <c r="G1832">
        <f>G1831+IF(D1832="",0,1)</f>
        <v/>
      </c>
    </row>
    <row r="1833">
      <c r="A1833">
        <f>IF('KG1-4'!$B10="","",'KG1-4'!$B10)</f>
        <v/>
      </c>
      <c r="B1833">
        <f>IF(A1833="","",'KG1-4'!$C10)</f>
        <v/>
      </c>
      <c r="C1833">
        <f>IF(A1833="","",'KG1-4'!$B$2)</f>
        <v/>
      </c>
      <c r="D1833" s="126">
        <f t="array" ref="D1833">IF(A1833="","",IFERROR(SMALL(IF((('KG1-4'!$AD10:$IM10="غياب بدون عذر")+('KG1-4'!$AD10:$IM10="غياب بعذر"))*('KG1-4'!$AD$7:$IM$7="✓"),'KG1-4'!$AD$5:$IM$5),12),""))</f>
        <v/>
      </c>
      <c r="E1833">
        <f>IF(D1833="","",INDEX('KG1-4'!$AD10:$IM10,MATCH(D1833,'KG1-4'!$AD$5:$IM$5,0)))</f>
        <v/>
      </c>
      <c r="F1833">
        <f>IF(D1833="","",COUNTIFS('KG1-4'!$AD10:$IM10,"غياب بدون عذر",'KG1-4'!$AD$7:$IM$7,"✓",'KG1-4'!$AD$5:$IM$5,"&lt;="&amp;D1833))</f>
        <v/>
      </c>
      <c r="G1833">
        <f>G1832+IF(D1833="",0,1)</f>
        <v/>
      </c>
    </row>
    <row r="1834">
      <c r="A1834">
        <f>IF('KG1-4'!$B10="","",'KG1-4'!$B10)</f>
        <v/>
      </c>
      <c r="B1834">
        <f>IF(A1834="","",'KG1-4'!$C10)</f>
        <v/>
      </c>
      <c r="C1834">
        <f>IF(A1834="","",'KG1-4'!$B$2)</f>
        <v/>
      </c>
      <c r="D1834" s="126">
        <f t="array" ref="D1834">IF(A1834="","",IFERROR(SMALL(IF((('KG1-4'!$AD10:$IM10="غياب بدون عذر")+('KG1-4'!$AD10:$IM10="غياب بعذر"))*('KG1-4'!$AD$7:$IM$7="✓"),'KG1-4'!$AD$5:$IM$5),13),""))</f>
        <v/>
      </c>
      <c r="E1834">
        <f>IF(D1834="","",INDEX('KG1-4'!$AD10:$IM10,MATCH(D1834,'KG1-4'!$AD$5:$IM$5,0)))</f>
        <v/>
      </c>
      <c r="F1834">
        <f>IF(D1834="","",COUNTIFS('KG1-4'!$AD10:$IM10,"غياب بدون عذر",'KG1-4'!$AD$7:$IM$7,"✓",'KG1-4'!$AD$5:$IM$5,"&lt;="&amp;D1834))</f>
        <v/>
      </c>
      <c r="G1834">
        <f>G1833+IF(D1834="",0,1)</f>
        <v/>
      </c>
    </row>
    <row r="1835">
      <c r="A1835">
        <f>IF('KG1-4'!$B10="","",'KG1-4'!$B10)</f>
        <v/>
      </c>
      <c r="B1835">
        <f>IF(A1835="","",'KG1-4'!$C10)</f>
        <v/>
      </c>
      <c r="C1835">
        <f>IF(A1835="","",'KG1-4'!$B$2)</f>
        <v/>
      </c>
      <c r="D1835" s="126">
        <f t="array" ref="D1835">IF(A1835="","",IFERROR(SMALL(IF((('KG1-4'!$AD10:$IM10="غياب بدون عذر")+('KG1-4'!$AD10:$IM10="غياب بعذر"))*('KG1-4'!$AD$7:$IM$7="✓"),'KG1-4'!$AD$5:$IM$5),14),""))</f>
        <v/>
      </c>
      <c r="E1835">
        <f>IF(D1835="","",INDEX('KG1-4'!$AD10:$IM10,MATCH(D1835,'KG1-4'!$AD$5:$IM$5,0)))</f>
        <v/>
      </c>
      <c r="F1835">
        <f>IF(D1835="","",COUNTIFS('KG1-4'!$AD10:$IM10,"غياب بدون عذر",'KG1-4'!$AD$7:$IM$7,"✓",'KG1-4'!$AD$5:$IM$5,"&lt;="&amp;D1835))</f>
        <v/>
      </c>
      <c r="G1835">
        <f>G1834+IF(D1835="",0,1)</f>
        <v/>
      </c>
    </row>
    <row r="1836">
      <c r="A1836">
        <f>IF('KG1-4'!$B10="","",'KG1-4'!$B10)</f>
        <v/>
      </c>
      <c r="B1836">
        <f>IF(A1836="","",'KG1-4'!$C10)</f>
        <v/>
      </c>
      <c r="C1836">
        <f>IF(A1836="","",'KG1-4'!$B$2)</f>
        <v/>
      </c>
      <c r="D1836" s="126">
        <f t="array" ref="D1836">IF(A1836="","",IFERROR(SMALL(IF((('KG1-4'!$AD10:$IM10="غياب بدون عذر")+('KG1-4'!$AD10:$IM10="غياب بعذر"))*('KG1-4'!$AD$7:$IM$7="✓"),'KG1-4'!$AD$5:$IM$5),15),""))</f>
        <v/>
      </c>
      <c r="E1836">
        <f>IF(D1836="","",INDEX('KG1-4'!$AD10:$IM10,MATCH(D1836,'KG1-4'!$AD$5:$IM$5,0)))</f>
        <v/>
      </c>
      <c r="F1836">
        <f>IF(D1836="","",COUNTIFS('KG1-4'!$AD10:$IM10,"غياب بدون عذر",'KG1-4'!$AD$7:$IM$7,"✓",'KG1-4'!$AD$5:$IM$5,"&lt;="&amp;D1836))</f>
        <v/>
      </c>
      <c r="G1836">
        <f>G1835+IF(D1836="",0,1)</f>
        <v/>
      </c>
    </row>
    <row r="1837">
      <c r="A1837">
        <f>IF('KG1-4'!$B10="","",'KG1-4'!$B10)</f>
        <v/>
      </c>
      <c r="B1837">
        <f>IF(A1837="","",'KG1-4'!$C10)</f>
        <v/>
      </c>
      <c r="C1837">
        <f>IF(A1837="","",'KG1-4'!$B$2)</f>
        <v/>
      </c>
      <c r="D1837" s="126">
        <f t="array" ref="D1837">IF(A1837="","",IFERROR(SMALL(IF((('KG1-4'!$AD10:$IM10="غياب بدون عذر")+('KG1-4'!$AD10:$IM10="غياب بعذر"))*('KG1-4'!$AD$7:$IM$7="✓"),'KG1-4'!$AD$5:$IM$5),16),""))</f>
        <v/>
      </c>
      <c r="E1837">
        <f>IF(D1837="","",INDEX('KG1-4'!$AD10:$IM10,MATCH(D1837,'KG1-4'!$AD$5:$IM$5,0)))</f>
        <v/>
      </c>
      <c r="F1837">
        <f>IF(D1837="","",COUNTIFS('KG1-4'!$AD10:$IM10,"غياب بدون عذر",'KG1-4'!$AD$7:$IM$7,"✓",'KG1-4'!$AD$5:$IM$5,"&lt;="&amp;D1837))</f>
        <v/>
      </c>
      <c r="G1837">
        <f>G1836+IF(D1837="",0,1)</f>
        <v/>
      </c>
    </row>
    <row r="1838">
      <c r="A1838">
        <f>IF('KG1-4'!$B10="","",'KG1-4'!$B10)</f>
        <v/>
      </c>
      <c r="B1838">
        <f>IF(A1838="","",'KG1-4'!$C10)</f>
        <v/>
      </c>
      <c r="C1838">
        <f>IF(A1838="","",'KG1-4'!$B$2)</f>
        <v/>
      </c>
      <c r="D1838" s="126">
        <f t="array" ref="D1838">IF(A1838="","",IFERROR(SMALL(IF((('KG1-4'!$AD10:$IM10="غياب بدون عذر")+('KG1-4'!$AD10:$IM10="غياب بعذر"))*('KG1-4'!$AD$7:$IM$7="✓"),'KG1-4'!$AD$5:$IM$5),17),""))</f>
        <v/>
      </c>
      <c r="E1838">
        <f>IF(D1838="","",INDEX('KG1-4'!$AD10:$IM10,MATCH(D1838,'KG1-4'!$AD$5:$IM$5,0)))</f>
        <v/>
      </c>
      <c r="F1838">
        <f>IF(D1838="","",COUNTIFS('KG1-4'!$AD10:$IM10,"غياب بدون عذر",'KG1-4'!$AD$7:$IM$7,"✓",'KG1-4'!$AD$5:$IM$5,"&lt;="&amp;D1838))</f>
        <v/>
      </c>
      <c r="G1838">
        <f>G1837+IF(D1838="",0,1)</f>
        <v/>
      </c>
    </row>
    <row r="1839">
      <c r="A1839">
        <f>IF('KG1-4'!$B10="","",'KG1-4'!$B10)</f>
        <v/>
      </c>
      <c r="B1839">
        <f>IF(A1839="","",'KG1-4'!$C10)</f>
        <v/>
      </c>
      <c r="C1839">
        <f>IF(A1839="","",'KG1-4'!$B$2)</f>
        <v/>
      </c>
      <c r="D1839" s="126">
        <f t="array" ref="D1839">IF(A1839="","",IFERROR(SMALL(IF((('KG1-4'!$AD10:$IM10="غياب بدون عذر")+('KG1-4'!$AD10:$IM10="غياب بعذر"))*('KG1-4'!$AD$7:$IM$7="✓"),'KG1-4'!$AD$5:$IM$5),18),""))</f>
        <v/>
      </c>
      <c r="E1839">
        <f>IF(D1839="","",INDEX('KG1-4'!$AD10:$IM10,MATCH(D1839,'KG1-4'!$AD$5:$IM$5,0)))</f>
        <v/>
      </c>
      <c r="F1839">
        <f>IF(D1839="","",COUNTIFS('KG1-4'!$AD10:$IM10,"غياب بدون عذر",'KG1-4'!$AD$7:$IM$7,"✓",'KG1-4'!$AD$5:$IM$5,"&lt;="&amp;D1839))</f>
        <v/>
      </c>
      <c r="G1839">
        <f>G1838+IF(D1839="",0,1)</f>
        <v/>
      </c>
    </row>
    <row r="1840">
      <c r="A1840">
        <f>IF('KG1-4'!$B10="","",'KG1-4'!$B10)</f>
        <v/>
      </c>
      <c r="B1840">
        <f>IF(A1840="","",'KG1-4'!$C10)</f>
        <v/>
      </c>
      <c r="C1840">
        <f>IF(A1840="","",'KG1-4'!$B$2)</f>
        <v/>
      </c>
      <c r="D1840" s="126">
        <f t="array" ref="D1840">IF(A1840="","",IFERROR(SMALL(IF((('KG1-4'!$AD10:$IM10="غياب بدون عذر")+('KG1-4'!$AD10:$IM10="غياب بعذر"))*('KG1-4'!$AD$7:$IM$7="✓"),'KG1-4'!$AD$5:$IM$5),19),""))</f>
        <v/>
      </c>
      <c r="E1840">
        <f>IF(D1840="","",INDEX('KG1-4'!$AD10:$IM10,MATCH(D1840,'KG1-4'!$AD$5:$IM$5,0)))</f>
        <v/>
      </c>
      <c r="F1840">
        <f>IF(D1840="","",COUNTIFS('KG1-4'!$AD10:$IM10,"غياب بدون عذر",'KG1-4'!$AD$7:$IM$7,"✓",'KG1-4'!$AD$5:$IM$5,"&lt;="&amp;D1840))</f>
        <v/>
      </c>
      <c r="G1840">
        <f>G1839+IF(D1840="",0,1)</f>
        <v/>
      </c>
    </row>
    <row r="1841">
      <c r="A1841">
        <f>IF('KG1-4'!$B10="","",'KG1-4'!$B10)</f>
        <v/>
      </c>
      <c r="B1841">
        <f>IF(A1841="","",'KG1-4'!$C10)</f>
        <v/>
      </c>
      <c r="C1841">
        <f>IF(A1841="","",'KG1-4'!$B$2)</f>
        <v/>
      </c>
      <c r="D1841" s="126">
        <f t="array" ref="D1841">IF(A1841="","",IFERROR(SMALL(IF((('KG1-4'!$AD10:$IM10="غياب بدون عذر")+('KG1-4'!$AD10:$IM10="غياب بعذر"))*('KG1-4'!$AD$7:$IM$7="✓"),'KG1-4'!$AD$5:$IM$5),20),""))</f>
        <v/>
      </c>
      <c r="E1841">
        <f>IF(D1841="","",INDEX('KG1-4'!$AD10:$IM10,MATCH(D1841,'KG1-4'!$AD$5:$IM$5,0)))</f>
        <v/>
      </c>
      <c r="F1841">
        <f>IF(D1841="","",COUNTIFS('KG1-4'!$AD10:$IM10,"غياب بدون عذر",'KG1-4'!$AD$7:$IM$7,"✓",'KG1-4'!$AD$5:$IM$5,"&lt;="&amp;D1841))</f>
        <v/>
      </c>
      <c r="G1841">
        <f>G1840+IF(D1841="",0,1)</f>
        <v/>
      </c>
    </row>
    <row r="1842">
      <c r="A1842">
        <f>IF('KG1-4'!$B11="","",'KG1-4'!$B11)</f>
        <v/>
      </c>
      <c r="B1842">
        <f>IF(A1842="","",'KG1-4'!$C11)</f>
        <v/>
      </c>
      <c r="C1842">
        <f>IF(A1842="","",'KG1-4'!$B$2)</f>
        <v/>
      </c>
      <c r="D1842" s="126">
        <f t="array" ref="D1842">IF(A1842="","",IFERROR(SMALL(IF((('KG1-4'!$AD11:$IM11="غياب بدون عذر")+('KG1-4'!$AD11:$IM11="غياب بعذر"))*('KG1-4'!$AD$7:$IM$7="✓"),'KG1-4'!$AD$5:$IM$5),1),""))</f>
        <v/>
      </c>
      <c r="E1842">
        <f>IF(D1842="","",INDEX('KG1-4'!$AD11:$IM11,MATCH(D1842,'KG1-4'!$AD$5:$IM$5,0)))</f>
        <v/>
      </c>
      <c r="F1842">
        <f>IF(D1842="","",COUNTIFS('KG1-4'!$AD11:$IM11,"غياب بدون عذر",'KG1-4'!$AD$7:$IM$7,"✓",'KG1-4'!$AD$5:$IM$5,"&lt;="&amp;D1842))</f>
        <v/>
      </c>
      <c r="G1842">
        <f>G1841+IF(D1842="",0,1)</f>
        <v/>
      </c>
    </row>
    <row r="1843">
      <c r="A1843">
        <f>IF('KG1-4'!$B11="","",'KG1-4'!$B11)</f>
        <v/>
      </c>
      <c r="B1843">
        <f>IF(A1843="","",'KG1-4'!$C11)</f>
        <v/>
      </c>
      <c r="C1843">
        <f>IF(A1843="","",'KG1-4'!$B$2)</f>
        <v/>
      </c>
      <c r="D1843" s="126">
        <f t="array" ref="D1843">IF(A1843="","",IFERROR(SMALL(IF((('KG1-4'!$AD11:$IM11="غياب بدون عذر")+('KG1-4'!$AD11:$IM11="غياب بعذر"))*('KG1-4'!$AD$7:$IM$7="✓"),'KG1-4'!$AD$5:$IM$5),2),""))</f>
        <v/>
      </c>
      <c r="E1843">
        <f>IF(D1843="","",INDEX('KG1-4'!$AD11:$IM11,MATCH(D1843,'KG1-4'!$AD$5:$IM$5,0)))</f>
        <v/>
      </c>
      <c r="F1843">
        <f>IF(D1843="","",COUNTIFS('KG1-4'!$AD11:$IM11,"غياب بدون عذر",'KG1-4'!$AD$7:$IM$7,"✓",'KG1-4'!$AD$5:$IM$5,"&lt;="&amp;D1843))</f>
        <v/>
      </c>
      <c r="G1843">
        <f>G1842+IF(D1843="",0,1)</f>
        <v/>
      </c>
    </row>
    <row r="1844">
      <c r="A1844">
        <f>IF('KG1-4'!$B11="","",'KG1-4'!$B11)</f>
        <v/>
      </c>
      <c r="B1844">
        <f>IF(A1844="","",'KG1-4'!$C11)</f>
        <v/>
      </c>
      <c r="C1844">
        <f>IF(A1844="","",'KG1-4'!$B$2)</f>
        <v/>
      </c>
      <c r="D1844" s="126">
        <f t="array" ref="D1844">IF(A1844="","",IFERROR(SMALL(IF((('KG1-4'!$AD11:$IM11="غياب بدون عذر")+('KG1-4'!$AD11:$IM11="غياب بعذر"))*('KG1-4'!$AD$7:$IM$7="✓"),'KG1-4'!$AD$5:$IM$5),3),""))</f>
        <v/>
      </c>
      <c r="E1844">
        <f>IF(D1844="","",INDEX('KG1-4'!$AD11:$IM11,MATCH(D1844,'KG1-4'!$AD$5:$IM$5,0)))</f>
        <v/>
      </c>
      <c r="F1844">
        <f>IF(D1844="","",COUNTIFS('KG1-4'!$AD11:$IM11,"غياب بدون عذر",'KG1-4'!$AD$7:$IM$7,"✓",'KG1-4'!$AD$5:$IM$5,"&lt;="&amp;D1844))</f>
        <v/>
      </c>
      <c r="G1844">
        <f>G1843+IF(D1844="",0,1)</f>
        <v/>
      </c>
    </row>
    <row r="1845">
      <c r="A1845">
        <f>IF('KG1-4'!$B11="","",'KG1-4'!$B11)</f>
        <v/>
      </c>
      <c r="B1845">
        <f>IF(A1845="","",'KG1-4'!$C11)</f>
        <v/>
      </c>
      <c r="C1845">
        <f>IF(A1845="","",'KG1-4'!$B$2)</f>
        <v/>
      </c>
      <c r="D1845" s="126">
        <f t="array" ref="D1845">IF(A1845="","",IFERROR(SMALL(IF((('KG1-4'!$AD11:$IM11="غياب بدون عذر")+('KG1-4'!$AD11:$IM11="غياب بعذر"))*('KG1-4'!$AD$7:$IM$7="✓"),'KG1-4'!$AD$5:$IM$5),4),""))</f>
        <v/>
      </c>
      <c r="E1845">
        <f>IF(D1845="","",INDEX('KG1-4'!$AD11:$IM11,MATCH(D1845,'KG1-4'!$AD$5:$IM$5,0)))</f>
        <v/>
      </c>
      <c r="F1845">
        <f>IF(D1845="","",COUNTIFS('KG1-4'!$AD11:$IM11,"غياب بدون عذر",'KG1-4'!$AD$7:$IM$7,"✓",'KG1-4'!$AD$5:$IM$5,"&lt;="&amp;D1845))</f>
        <v/>
      </c>
      <c r="G1845">
        <f>G1844+IF(D1845="",0,1)</f>
        <v/>
      </c>
    </row>
    <row r="1846">
      <c r="A1846">
        <f>IF('KG1-4'!$B11="","",'KG1-4'!$B11)</f>
        <v/>
      </c>
      <c r="B1846">
        <f>IF(A1846="","",'KG1-4'!$C11)</f>
        <v/>
      </c>
      <c r="C1846">
        <f>IF(A1846="","",'KG1-4'!$B$2)</f>
        <v/>
      </c>
      <c r="D1846" s="126">
        <f t="array" ref="D1846">IF(A1846="","",IFERROR(SMALL(IF((('KG1-4'!$AD11:$IM11="غياب بدون عذر")+('KG1-4'!$AD11:$IM11="غياب بعذر"))*('KG1-4'!$AD$7:$IM$7="✓"),'KG1-4'!$AD$5:$IM$5),5),""))</f>
        <v/>
      </c>
      <c r="E1846">
        <f>IF(D1846="","",INDEX('KG1-4'!$AD11:$IM11,MATCH(D1846,'KG1-4'!$AD$5:$IM$5,0)))</f>
        <v/>
      </c>
      <c r="F1846">
        <f>IF(D1846="","",COUNTIFS('KG1-4'!$AD11:$IM11,"غياب بدون عذر",'KG1-4'!$AD$7:$IM$7,"✓",'KG1-4'!$AD$5:$IM$5,"&lt;="&amp;D1846))</f>
        <v/>
      </c>
      <c r="G1846">
        <f>G1845+IF(D1846="",0,1)</f>
        <v/>
      </c>
    </row>
    <row r="1847">
      <c r="A1847">
        <f>IF('KG1-4'!$B11="","",'KG1-4'!$B11)</f>
        <v/>
      </c>
      <c r="B1847">
        <f>IF(A1847="","",'KG1-4'!$C11)</f>
        <v/>
      </c>
      <c r="C1847">
        <f>IF(A1847="","",'KG1-4'!$B$2)</f>
        <v/>
      </c>
      <c r="D1847" s="126">
        <f t="array" ref="D1847">IF(A1847="","",IFERROR(SMALL(IF((('KG1-4'!$AD11:$IM11="غياب بدون عذر")+('KG1-4'!$AD11:$IM11="غياب بعذر"))*('KG1-4'!$AD$7:$IM$7="✓"),'KG1-4'!$AD$5:$IM$5),6),""))</f>
        <v/>
      </c>
      <c r="E1847">
        <f>IF(D1847="","",INDEX('KG1-4'!$AD11:$IM11,MATCH(D1847,'KG1-4'!$AD$5:$IM$5,0)))</f>
        <v/>
      </c>
      <c r="F1847">
        <f>IF(D1847="","",COUNTIFS('KG1-4'!$AD11:$IM11,"غياب بدون عذر",'KG1-4'!$AD$7:$IM$7,"✓",'KG1-4'!$AD$5:$IM$5,"&lt;="&amp;D1847))</f>
        <v/>
      </c>
      <c r="G1847">
        <f>G1846+IF(D1847="",0,1)</f>
        <v/>
      </c>
    </row>
    <row r="1848">
      <c r="A1848">
        <f>IF('KG1-4'!$B11="","",'KG1-4'!$B11)</f>
        <v/>
      </c>
      <c r="B1848">
        <f>IF(A1848="","",'KG1-4'!$C11)</f>
        <v/>
      </c>
      <c r="C1848">
        <f>IF(A1848="","",'KG1-4'!$B$2)</f>
        <v/>
      </c>
      <c r="D1848" s="126">
        <f t="array" ref="D1848">IF(A1848="","",IFERROR(SMALL(IF((('KG1-4'!$AD11:$IM11="غياب بدون عذر")+('KG1-4'!$AD11:$IM11="غياب بعذر"))*('KG1-4'!$AD$7:$IM$7="✓"),'KG1-4'!$AD$5:$IM$5),7),""))</f>
        <v/>
      </c>
      <c r="E1848">
        <f>IF(D1848="","",INDEX('KG1-4'!$AD11:$IM11,MATCH(D1848,'KG1-4'!$AD$5:$IM$5,0)))</f>
        <v/>
      </c>
      <c r="F1848">
        <f>IF(D1848="","",COUNTIFS('KG1-4'!$AD11:$IM11,"غياب بدون عذر",'KG1-4'!$AD$7:$IM$7,"✓",'KG1-4'!$AD$5:$IM$5,"&lt;="&amp;D1848))</f>
        <v/>
      </c>
      <c r="G1848">
        <f>G1847+IF(D1848="",0,1)</f>
        <v/>
      </c>
    </row>
    <row r="1849">
      <c r="A1849">
        <f>IF('KG1-4'!$B11="","",'KG1-4'!$B11)</f>
        <v/>
      </c>
      <c r="B1849">
        <f>IF(A1849="","",'KG1-4'!$C11)</f>
        <v/>
      </c>
      <c r="C1849">
        <f>IF(A1849="","",'KG1-4'!$B$2)</f>
        <v/>
      </c>
      <c r="D1849" s="126">
        <f t="array" ref="D1849">IF(A1849="","",IFERROR(SMALL(IF((('KG1-4'!$AD11:$IM11="غياب بدون عذر")+('KG1-4'!$AD11:$IM11="غياب بعذر"))*('KG1-4'!$AD$7:$IM$7="✓"),'KG1-4'!$AD$5:$IM$5),8),""))</f>
        <v/>
      </c>
      <c r="E1849">
        <f>IF(D1849="","",INDEX('KG1-4'!$AD11:$IM11,MATCH(D1849,'KG1-4'!$AD$5:$IM$5,0)))</f>
        <v/>
      </c>
      <c r="F1849">
        <f>IF(D1849="","",COUNTIFS('KG1-4'!$AD11:$IM11,"غياب بدون عذر",'KG1-4'!$AD$7:$IM$7,"✓",'KG1-4'!$AD$5:$IM$5,"&lt;="&amp;D1849))</f>
        <v/>
      </c>
      <c r="G1849">
        <f>G1848+IF(D1849="",0,1)</f>
        <v/>
      </c>
    </row>
    <row r="1850">
      <c r="A1850">
        <f>IF('KG1-4'!$B11="","",'KG1-4'!$B11)</f>
        <v/>
      </c>
      <c r="B1850">
        <f>IF(A1850="","",'KG1-4'!$C11)</f>
        <v/>
      </c>
      <c r="C1850">
        <f>IF(A1850="","",'KG1-4'!$B$2)</f>
        <v/>
      </c>
      <c r="D1850" s="126">
        <f t="array" ref="D1850">IF(A1850="","",IFERROR(SMALL(IF((('KG1-4'!$AD11:$IM11="غياب بدون عذر")+('KG1-4'!$AD11:$IM11="غياب بعذر"))*('KG1-4'!$AD$7:$IM$7="✓"),'KG1-4'!$AD$5:$IM$5),9),""))</f>
        <v/>
      </c>
      <c r="E1850">
        <f>IF(D1850="","",INDEX('KG1-4'!$AD11:$IM11,MATCH(D1850,'KG1-4'!$AD$5:$IM$5,0)))</f>
        <v/>
      </c>
      <c r="F1850">
        <f>IF(D1850="","",COUNTIFS('KG1-4'!$AD11:$IM11,"غياب بدون عذر",'KG1-4'!$AD$7:$IM$7,"✓",'KG1-4'!$AD$5:$IM$5,"&lt;="&amp;D1850))</f>
        <v/>
      </c>
      <c r="G1850">
        <f>G1849+IF(D1850="",0,1)</f>
        <v/>
      </c>
    </row>
    <row r="1851">
      <c r="A1851">
        <f>IF('KG1-4'!$B11="","",'KG1-4'!$B11)</f>
        <v/>
      </c>
      <c r="B1851">
        <f>IF(A1851="","",'KG1-4'!$C11)</f>
        <v/>
      </c>
      <c r="C1851">
        <f>IF(A1851="","",'KG1-4'!$B$2)</f>
        <v/>
      </c>
      <c r="D1851" s="126">
        <f t="array" ref="D1851">IF(A1851="","",IFERROR(SMALL(IF((('KG1-4'!$AD11:$IM11="غياب بدون عذر")+('KG1-4'!$AD11:$IM11="غياب بعذر"))*('KG1-4'!$AD$7:$IM$7="✓"),'KG1-4'!$AD$5:$IM$5),10),""))</f>
        <v/>
      </c>
      <c r="E1851">
        <f>IF(D1851="","",INDEX('KG1-4'!$AD11:$IM11,MATCH(D1851,'KG1-4'!$AD$5:$IM$5,0)))</f>
        <v/>
      </c>
      <c r="F1851">
        <f>IF(D1851="","",COUNTIFS('KG1-4'!$AD11:$IM11,"غياب بدون عذر",'KG1-4'!$AD$7:$IM$7,"✓",'KG1-4'!$AD$5:$IM$5,"&lt;="&amp;D1851))</f>
        <v/>
      </c>
      <c r="G1851">
        <f>G1850+IF(D1851="",0,1)</f>
        <v/>
      </c>
    </row>
    <row r="1852">
      <c r="A1852">
        <f>IF('KG1-4'!$B11="","",'KG1-4'!$B11)</f>
        <v/>
      </c>
      <c r="B1852">
        <f>IF(A1852="","",'KG1-4'!$C11)</f>
        <v/>
      </c>
      <c r="C1852">
        <f>IF(A1852="","",'KG1-4'!$B$2)</f>
        <v/>
      </c>
      <c r="D1852" s="126">
        <f t="array" ref="D1852">IF(A1852="","",IFERROR(SMALL(IF((('KG1-4'!$AD11:$IM11="غياب بدون عذر")+('KG1-4'!$AD11:$IM11="غياب بعذر"))*('KG1-4'!$AD$7:$IM$7="✓"),'KG1-4'!$AD$5:$IM$5),11),""))</f>
        <v/>
      </c>
      <c r="E1852">
        <f>IF(D1852="","",INDEX('KG1-4'!$AD11:$IM11,MATCH(D1852,'KG1-4'!$AD$5:$IM$5,0)))</f>
        <v/>
      </c>
      <c r="F1852">
        <f>IF(D1852="","",COUNTIFS('KG1-4'!$AD11:$IM11,"غياب بدون عذر",'KG1-4'!$AD$7:$IM$7,"✓",'KG1-4'!$AD$5:$IM$5,"&lt;="&amp;D1852))</f>
        <v/>
      </c>
      <c r="G1852">
        <f>G1851+IF(D1852="",0,1)</f>
        <v/>
      </c>
    </row>
    <row r="1853">
      <c r="A1853">
        <f>IF('KG1-4'!$B11="","",'KG1-4'!$B11)</f>
        <v/>
      </c>
      <c r="B1853">
        <f>IF(A1853="","",'KG1-4'!$C11)</f>
        <v/>
      </c>
      <c r="C1853">
        <f>IF(A1853="","",'KG1-4'!$B$2)</f>
        <v/>
      </c>
      <c r="D1853" s="126">
        <f t="array" ref="D1853">IF(A1853="","",IFERROR(SMALL(IF((('KG1-4'!$AD11:$IM11="غياب بدون عذر")+('KG1-4'!$AD11:$IM11="غياب بعذر"))*('KG1-4'!$AD$7:$IM$7="✓"),'KG1-4'!$AD$5:$IM$5),12),""))</f>
        <v/>
      </c>
      <c r="E1853">
        <f>IF(D1853="","",INDEX('KG1-4'!$AD11:$IM11,MATCH(D1853,'KG1-4'!$AD$5:$IM$5,0)))</f>
        <v/>
      </c>
      <c r="F1853">
        <f>IF(D1853="","",COUNTIFS('KG1-4'!$AD11:$IM11,"غياب بدون عذر",'KG1-4'!$AD$7:$IM$7,"✓",'KG1-4'!$AD$5:$IM$5,"&lt;="&amp;D1853))</f>
        <v/>
      </c>
      <c r="G1853">
        <f>G1852+IF(D1853="",0,1)</f>
        <v/>
      </c>
    </row>
    <row r="1854">
      <c r="A1854">
        <f>IF('KG1-4'!$B11="","",'KG1-4'!$B11)</f>
        <v/>
      </c>
      <c r="B1854">
        <f>IF(A1854="","",'KG1-4'!$C11)</f>
        <v/>
      </c>
      <c r="C1854">
        <f>IF(A1854="","",'KG1-4'!$B$2)</f>
        <v/>
      </c>
      <c r="D1854" s="126">
        <f t="array" ref="D1854">IF(A1854="","",IFERROR(SMALL(IF((('KG1-4'!$AD11:$IM11="غياب بدون عذر")+('KG1-4'!$AD11:$IM11="غياب بعذر"))*('KG1-4'!$AD$7:$IM$7="✓"),'KG1-4'!$AD$5:$IM$5),13),""))</f>
        <v/>
      </c>
      <c r="E1854">
        <f>IF(D1854="","",INDEX('KG1-4'!$AD11:$IM11,MATCH(D1854,'KG1-4'!$AD$5:$IM$5,0)))</f>
        <v/>
      </c>
      <c r="F1854">
        <f>IF(D1854="","",COUNTIFS('KG1-4'!$AD11:$IM11,"غياب بدون عذر",'KG1-4'!$AD$7:$IM$7,"✓",'KG1-4'!$AD$5:$IM$5,"&lt;="&amp;D1854))</f>
        <v/>
      </c>
      <c r="G1854">
        <f>G1853+IF(D1854="",0,1)</f>
        <v/>
      </c>
    </row>
    <row r="1855">
      <c r="A1855">
        <f>IF('KG1-4'!$B11="","",'KG1-4'!$B11)</f>
        <v/>
      </c>
      <c r="B1855">
        <f>IF(A1855="","",'KG1-4'!$C11)</f>
        <v/>
      </c>
      <c r="C1855">
        <f>IF(A1855="","",'KG1-4'!$B$2)</f>
        <v/>
      </c>
      <c r="D1855" s="126">
        <f t="array" ref="D1855">IF(A1855="","",IFERROR(SMALL(IF((('KG1-4'!$AD11:$IM11="غياب بدون عذر")+('KG1-4'!$AD11:$IM11="غياب بعذر"))*('KG1-4'!$AD$7:$IM$7="✓"),'KG1-4'!$AD$5:$IM$5),14),""))</f>
        <v/>
      </c>
      <c r="E1855">
        <f>IF(D1855="","",INDEX('KG1-4'!$AD11:$IM11,MATCH(D1855,'KG1-4'!$AD$5:$IM$5,0)))</f>
        <v/>
      </c>
      <c r="F1855">
        <f>IF(D1855="","",COUNTIFS('KG1-4'!$AD11:$IM11,"غياب بدون عذر",'KG1-4'!$AD$7:$IM$7,"✓",'KG1-4'!$AD$5:$IM$5,"&lt;="&amp;D1855))</f>
        <v/>
      </c>
      <c r="G1855">
        <f>G1854+IF(D1855="",0,1)</f>
        <v/>
      </c>
    </row>
    <row r="1856">
      <c r="A1856">
        <f>IF('KG1-4'!$B11="","",'KG1-4'!$B11)</f>
        <v/>
      </c>
      <c r="B1856">
        <f>IF(A1856="","",'KG1-4'!$C11)</f>
        <v/>
      </c>
      <c r="C1856">
        <f>IF(A1856="","",'KG1-4'!$B$2)</f>
        <v/>
      </c>
      <c r="D1856" s="126">
        <f t="array" ref="D1856">IF(A1856="","",IFERROR(SMALL(IF((('KG1-4'!$AD11:$IM11="غياب بدون عذر")+('KG1-4'!$AD11:$IM11="غياب بعذر"))*('KG1-4'!$AD$7:$IM$7="✓"),'KG1-4'!$AD$5:$IM$5),15),""))</f>
        <v/>
      </c>
      <c r="E1856">
        <f>IF(D1856="","",INDEX('KG1-4'!$AD11:$IM11,MATCH(D1856,'KG1-4'!$AD$5:$IM$5,0)))</f>
        <v/>
      </c>
      <c r="F1856">
        <f>IF(D1856="","",COUNTIFS('KG1-4'!$AD11:$IM11,"غياب بدون عذر",'KG1-4'!$AD$7:$IM$7,"✓",'KG1-4'!$AD$5:$IM$5,"&lt;="&amp;D1856))</f>
        <v/>
      </c>
      <c r="G1856">
        <f>G1855+IF(D1856="",0,1)</f>
        <v/>
      </c>
    </row>
    <row r="1857">
      <c r="A1857">
        <f>IF('KG1-4'!$B11="","",'KG1-4'!$B11)</f>
        <v/>
      </c>
      <c r="B1857">
        <f>IF(A1857="","",'KG1-4'!$C11)</f>
        <v/>
      </c>
      <c r="C1857">
        <f>IF(A1857="","",'KG1-4'!$B$2)</f>
        <v/>
      </c>
      <c r="D1857" s="126">
        <f t="array" ref="D1857">IF(A1857="","",IFERROR(SMALL(IF((('KG1-4'!$AD11:$IM11="غياب بدون عذر")+('KG1-4'!$AD11:$IM11="غياب بعذر"))*('KG1-4'!$AD$7:$IM$7="✓"),'KG1-4'!$AD$5:$IM$5),16),""))</f>
        <v/>
      </c>
      <c r="E1857">
        <f>IF(D1857="","",INDEX('KG1-4'!$AD11:$IM11,MATCH(D1857,'KG1-4'!$AD$5:$IM$5,0)))</f>
        <v/>
      </c>
      <c r="F1857">
        <f>IF(D1857="","",COUNTIFS('KG1-4'!$AD11:$IM11,"غياب بدون عذر",'KG1-4'!$AD$7:$IM$7,"✓",'KG1-4'!$AD$5:$IM$5,"&lt;="&amp;D1857))</f>
        <v/>
      </c>
      <c r="G1857">
        <f>G1856+IF(D1857="",0,1)</f>
        <v/>
      </c>
    </row>
    <row r="1858">
      <c r="A1858">
        <f>IF('KG1-4'!$B11="","",'KG1-4'!$B11)</f>
        <v/>
      </c>
      <c r="B1858">
        <f>IF(A1858="","",'KG1-4'!$C11)</f>
        <v/>
      </c>
      <c r="C1858">
        <f>IF(A1858="","",'KG1-4'!$B$2)</f>
        <v/>
      </c>
      <c r="D1858" s="126">
        <f t="array" ref="D1858">IF(A1858="","",IFERROR(SMALL(IF((('KG1-4'!$AD11:$IM11="غياب بدون عذر")+('KG1-4'!$AD11:$IM11="غياب بعذر"))*('KG1-4'!$AD$7:$IM$7="✓"),'KG1-4'!$AD$5:$IM$5),17),""))</f>
        <v/>
      </c>
      <c r="E1858">
        <f>IF(D1858="","",INDEX('KG1-4'!$AD11:$IM11,MATCH(D1858,'KG1-4'!$AD$5:$IM$5,0)))</f>
        <v/>
      </c>
      <c r="F1858">
        <f>IF(D1858="","",COUNTIFS('KG1-4'!$AD11:$IM11,"غياب بدون عذر",'KG1-4'!$AD$7:$IM$7,"✓",'KG1-4'!$AD$5:$IM$5,"&lt;="&amp;D1858))</f>
        <v/>
      </c>
      <c r="G1858">
        <f>G1857+IF(D1858="",0,1)</f>
        <v/>
      </c>
    </row>
    <row r="1859">
      <c r="A1859">
        <f>IF('KG1-4'!$B11="","",'KG1-4'!$B11)</f>
        <v/>
      </c>
      <c r="B1859">
        <f>IF(A1859="","",'KG1-4'!$C11)</f>
        <v/>
      </c>
      <c r="C1859">
        <f>IF(A1859="","",'KG1-4'!$B$2)</f>
        <v/>
      </c>
      <c r="D1859" s="126">
        <f t="array" ref="D1859">IF(A1859="","",IFERROR(SMALL(IF((('KG1-4'!$AD11:$IM11="غياب بدون عذر")+('KG1-4'!$AD11:$IM11="غياب بعذر"))*('KG1-4'!$AD$7:$IM$7="✓"),'KG1-4'!$AD$5:$IM$5),18),""))</f>
        <v/>
      </c>
      <c r="E1859">
        <f>IF(D1859="","",INDEX('KG1-4'!$AD11:$IM11,MATCH(D1859,'KG1-4'!$AD$5:$IM$5,0)))</f>
        <v/>
      </c>
      <c r="F1859">
        <f>IF(D1859="","",COUNTIFS('KG1-4'!$AD11:$IM11,"غياب بدون عذر",'KG1-4'!$AD$7:$IM$7,"✓",'KG1-4'!$AD$5:$IM$5,"&lt;="&amp;D1859))</f>
        <v/>
      </c>
      <c r="G1859">
        <f>G1858+IF(D1859="",0,1)</f>
        <v/>
      </c>
    </row>
    <row r="1860">
      <c r="A1860">
        <f>IF('KG1-4'!$B11="","",'KG1-4'!$B11)</f>
        <v/>
      </c>
      <c r="B1860">
        <f>IF(A1860="","",'KG1-4'!$C11)</f>
        <v/>
      </c>
      <c r="C1860">
        <f>IF(A1860="","",'KG1-4'!$B$2)</f>
        <v/>
      </c>
      <c r="D1860" s="126">
        <f t="array" ref="D1860">IF(A1860="","",IFERROR(SMALL(IF((('KG1-4'!$AD11:$IM11="غياب بدون عذر")+('KG1-4'!$AD11:$IM11="غياب بعذر"))*('KG1-4'!$AD$7:$IM$7="✓"),'KG1-4'!$AD$5:$IM$5),19),""))</f>
        <v/>
      </c>
      <c r="E1860">
        <f>IF(D1860="","",INDEX('KG1-4'!$AD11:$IM11,MATCH(D1860,'KG1-4'!$AD$5:$IM$5,0)))</f>
        <v/>
      </c>
      <c r="F1860">
        <f>IF(D1860="","",COUNTIFS('KG1-4'!$AD11:$IM11,"غياب بدون عذر",'KG1-4'!$AD$7:$IM$7,"✓",'KG1-4'!$AD$5:$IM$5,"&lt;="&amp;D1860))</f>
        <v/>
      </c>
      <c r="G1860">
        <f>G1859+IF(D1860="",0,1)</f>
        <v/>
      </c>
    </row>
    <row r="1861">
      <c r="A1861">
        <f>IF('KG1-4'!$B11="","",'KG1-4'!$B11)</f>
        <v/>
      </c>
      <c r="B1861">
        <f>IF(A1861="","",'KG1-4'!$C11)</f>
        <v/>
      </c>
      <c r="C1861">
        <f>IF(A1861="","",'KG1-4'!$B$2)</f>
        <v/>
      </c>
      <c r="D1861" s="126">
        <f t="array" ref="D1861">IF(A1861="","",IFERROR(SMALL(IF((('KG1-4'!$AD11:$IM11="غياب بدون عذر")+('KG1-4'!$AD11:$IM11="غياب بعذر"))*('KG1-4'!$AD$7:$IM$7="✓"),'KG1-4'!$AD$5:$IM$5),20),""))</f>
        <v/>
      </c>
      <c r="E1861">
        <f>IF(D1861="","",INDEX('KG1-4'!$AD11:$IM11,MATCH(D1861,'KG1-4'!$AD$5:$IM$5,0)))</f>
        <v/>
      </c>
      <c r="F1861">
        <f>IF(D1861="","",COUNTIFS('KG1-4'!$AD11:$IM11,"غياب بدون عذر",'KG1-4'!$AD$7:$IM$7,"✓",'KG1-4'!$AD$5:$IM$5,"&lt;="&amp;D1861))</f>
        <v/>
      </c>
      <c r="G1861">
        <f>G1860+IF(D1861="",0,1)</f>
        <v/>
      </c>
    </row>
    <row r="1862">
      <c r="A1862">
        <f>IF('KG1-4'!$B12="","",'KG1-4'!$B12)</f>
        <v/>
      </c>
      <c r="B1862">
        <f>IF(A1862="","",'KG1-4'!$C12)</f>
        <v/>
      </c>
      <c r="C1862">
        <f>IF(A1862="","",'KG1-4'!$B$2)</f>
        <v/>
      </c>
      <c r="D1862" s="126">
        <f t="array" ref="D1862">IF(A1862="","",IFERROR(SMALL(IF((('KG1-4'!$AD12:$IM12="غياب بدون عذر")+('KG1-4'!$AD12:$IM12="غياب بعذر"))*('KG1-4'!$AD$7:$IM$7="✓"),'KG1-4'!$AD$5:$IM$5),1),""))</f>
        <v/>
      </c>
      <c r="E1862">
        <f>IF(D1862="","",INDEX('KG1-4'!$AD12:$IM12,MATCH(D1862,'KG1-4'!$AD$5:$IM$5,0)))</f>
        <v/>
      </c>
      <c r="F1862">
        <f>IF(D1862="","",COUNTIFS('KG1-4'!$AD12:$IM12,"غياب بدون عذر",'KG1-4'!$AD$7:$IM$7,"✓",'KG1-4'!$AD$5:$IM$5,"&lt;="&amp;D1862))</f>
        <v/>
      </c>
      <c r="G1862">
        <f>G1861+IF(D1862="",0,1)</f>
        <v/>
      </c>
    </row>
    <row r="1863">
      <c r="A1863">
        <f>IF('KG1-4'!$B12="","",'KG1-4'!$B12)</f>
        <v/>
      </c>
      <c r="B1863">
        <f>IF(A1863="","",'KG1-4'!$C12)</f>
        <v/>
      </c>
      <c r="C1863">
        <f>IF(A1863="","",'KG1-4'!$B$2)</f>
        <v/>
      </c>
      <c r="D1863" s="126">
        <f t="array" ref="D1863">IF(A1863="","",IFERROR(SMALL(IF((('KG1-4'!$AD12:$IM12="غياب بدون عذر")+('KG1-4'!$AD12:$IM12="غياب بعذر"))*('KG1-4'!$AD$7:$IM$7="✓"),'KG1-4'!$AD$5:$IM$5),2),""))</f>
        <v/>
      </c>
      <c r="E1863">
        <f>IF(D1863="","",INDEX('KG1-4'!$AD12:$IM12,MATCH(D1863,'KG1-4'!$AD$5:$IM$5,0)))</f>
        <v/>
      </c>
      <c r="F1863">
        <f>IF(D1863="","",COUNTIFS('KG1-4'!$AD12:$IM12,"غياب بدون عذر",'KG1-4'!$AD$7:$IM$7,"✓",'KG1-4'!$AD$5:$IM$5,"&lt;="&amp;D1863))</f>
        <v/>
      </c>
      <c r="G1863">
        <f>G1862+IF(D1863="",0,1)</f>
        <v/>
      </c>
    </row>
    <row r="1864">
      <c r="A1864">
        <f>IF('KG1-4'!$B12="","",'KG1-4'!$B12)</f>
        <v/>
      </c>
      <c r="B1864">
        <f>IF(A1864="","",'KG1-4'!$C12)</f>
        <v/>
      </c>
      <c r="C1864">
        <f>IF(A1864="","",'KG1-4'!$B$2)</f>
        <v/>
      </c>
      <c r="D1864" s="126">
        <f t="array" ref="D1864">IF(A1864="","",IFERROR(SMALL(IF((('KG1-4'!$AD12:$IM12="غياب بدون عذر")+('KG1-4'!$AD12:$IM12="غياب بعذر"))*('KG1-4'!$AD$7:$IM$7="✓"),'KG1-4'!$AD$5:$IM$5),3),""))</f>
        <v/>
      </c>
      <c r="E1864">
        <f>IF(D1864="","",INDEX('KG1-4'!$AD12:$IM12,MATCH(D1864,'KG1-4'!$AD$5:$IM$5,0)))</f>
        <v/>
      </c>
      <c r="F1864">
        <f>IF(D1864="","",COUNTIFS('KG1-4'!$AD12:$IM12,"غياب بدون عذر",'KG1-4'!$AD$7:$IM$7,"✓",'KG1-4'!$AD$5:$IM$5,"&lt;="&amp;D1864))</f>
        <v/>
      </c>
      <c r="G1864">
        <f>G1863+IF(D1864="",0,1)</f>
        <v/>
      </c>
    </row>
    <row r="1865">
      <c r="A1865">
        <f>IF('KG1-4'!$B12="","",'KG1-4'!$B12)</f>
        <v/>
      </c>
      <c r="B1865">
        <f>IF(A1865="","",'KG1-4'!$C12)</f>
        <v/>
      </c>
      <c r="C1865">
        <f>IF(A1865="","",'KG1-4'!$B$2)</f>
        <v/>
      </c>
      <c r="D1865" s="126">
        <f t="array" ref="D1865">IF(A1865="","",IFERROR(SMALL(IF((('KG1-4'!$AD12:$IM12="غياب بدون عذر")+('KG1-4'!$AD12:$IM12="غياب بعذر"))*('KG1-4'!$AD$7:$IM$7="✓"),'KG1-4'!$AD$5:$IM$5),4),""))</f>
        <v/>
      </c>
      <c r="E1865">
        <f>IF(D1865="","",INDEX('KG1-4'!$AD12:$IM12,MATCH(D1865,'KG1-4'!$AD$5:$IM$5,0)))</f>
        <v/>
      </c>
      <c r="F1865">
        <f>IF(D1865="","",COUNTIFS('KG1-4'!$AD12:$IM12,"غياب بدون عذر",'KG1-4'!$AD$7:$IM$7,"✓",'KG1-4'!$AD$5:$IM$5,"&lt;="&amp;D1865))</f>
        <v/>
      </c>
      <c r="G1865">
        <f>G1864+IF(D1865="",0,1)</f>
        <v/>
      </c>
    </row>
    <row r="1866">
      <c r="A1866">
        <f>IF('KG1-4'!$B12="","",'KG1-4'!$B12)</f>
        <v/>
      </c>
      <c r="B1866">
        <f>IF(A1866="","",'KG1-4'!$C12)</f>
        <v/>
      </c>
      <c r="C1866">
        <f>IF(A1866="","",'KG1-4'!$B$2)</f>
        <v/>
      </c>
      <c r="D1866" s="126">
        <f t="array" ref="D1866">IF(A1866="","",IFERROR(SMALL(IF((('KG1-4'!$AD12:$IM12="غياب بدون عذر")+('KG1-4'!$AD12:$IM12="غياب بعذر"))*('KG1-4'!$AD$7:$IM$7="✓"),'KG1-4'!$AD$5:$IM$5),5),""))</f>
        <v/>
      </c>
      <c r="E1866">
        <f>IF(D1866="","",INDEX('KG1-4'!$AD12:$IM12,MATCH(D1866,'KG1-4'!$AD$5:$IM$5,0)))</f>
        <v/>
      </c>
      <c r="F1866">
        <f>IF(D1866="","",COUNTIFS('KG1-4'!$AD12:$IM12,"غياب بدون عذر",'KG1-4'!$AD$7:$IM$7,"✓",'KG1-4'!$AD$5:$IM$5,"&lt;="&amp;D1866))</f>
        <v/>
      </c>
      <c r="G1866">
        <f>G1865+IF(D1866="",0,1)</f>
        <v/>
      </c>
    </row>
    <row r="1867">
      <c r="A1867">
        <f>IF('KG1-4'!$B12="","",'KG1-4'!$B12)</f>
        <v/>
      </c>
      <c r="B1867">
        <f>IF(A1867="","",'KG1-4'!$C12)</f>
        <v/>
      </c>
      <c r="C1867">
        <f>IF(A1867="","",'KG1-4'!$B$2)</f>
        <v/>
      </c>
      <c r="D1867" s="126">
        <f t="array" ref="D1867">IF(A1867="","",IFERROR(SMALL(IF((('KG1-4'!$AD12:$IM12="غياب بدون عذر")+('KG1-4'!$AD12:$IM12="غياب بعذر"))*('KG1-4'!$AD$7:$IM$7="✓"),'KG1-4'!$AD$5:$IM$5),6),""))</f>
        <v/>
      </c>
      <c r="E1867">
        <f>IF(D1867="","",INDEX('KG1-4'!$AD12:$IM12,MATCH(D1867,'KG1-4'!$AD$5:$IM$5,0)))</f>
        <v/>
      </c>
      <c r="F1867">
        <f>IF(D1867="","",COUNTIFS('KG1-4'!$AD12:$IM12,"غياب بدون عذر",'KG1-4'!$AD$7:$IM$7,"✓",'KG1-4'!$AD$5:$IM$5,"&lt;="&amp;D1867))</f>
        <v/>
      </c>
      <c r="G1867">
        <f>G1866+IF(D1867="",0,1)</f>
        <v/>
      </c>
    </row>
    <row r="1868">
      <c r="A1868">
        <f>IF('KG1-4'!$B12="","",'KG1-4'!$B12)</f>
        <v/>
      </c>
      <c r="B1868">
        <f>IF(A1868="","",'KG1-4'!$C12)</f>
        <v/>
      </c>
      <c r="C1868">
        <f>IF(A1868="","",'KG1-4'!$B$2)</f>
        <v/>
      </c>
      <c r="D1868" s="126">
        <f t="array" ref="D1868">IF(A1868="","",IFERROR(SMALL(IF((('KG1-4'!$AD12:$IM12="غياب بدون عذر")+('KG1-4'!$AD12:$IM12="غياب بعذر"))*('KG1-4'!$AD$7:$IM$7="✓"),'KG1-4'!$AD$5:$IM$5),7),""))</f>
        <v/>
      </c>
      <c r="E1868">
        <f>IF(D1868="","",INDEX('KG1-4'!$AD12:$IM12,MATCH(D1868,'KG1-4'!$AD$5:$IM$5,0)))</f>
        <v/>
      </c>
      <c r="F1868">
        <f>IF(D1868="","",COUNTIFS('KG1-4'!$AD12:$IM12,"غياب بدون عذر",'KG1-4'!$AD$7:$IM$7,"✓",'KG1-4'!$AD$5:$IM$5,"&lt;="&amp;D1868))</f>
        <v/>
      </c>
      <c r="G1868">
        <f>G1867+IF(D1868="",0,1)</f>
        <v/>
      </c>
    </row>
    <row r="1869">
      <c r="A1869">
        <f>IF('KG1-4'!$B12="","",'KG1-4'!$B12)</f>
        <v/>
      </c>
      <c r="B1869">
        <f>IF(A1869="","",'KG1-4'!$C12)</f>
        <v/>
      </c>
      <c r="C1869">
        <f>IF(A1869="","",'KG1-4'!$B$2)</f>
        <v/>
      </c>
      <c r="D1869" s="126">
        <f t="array" ref="D1869">IF(A1869="","",IFERROR(SMALL(IF((('KG1-4'!$AD12:$IM12="غياب بدون عذر")+('KG1-4'!$AD12:$IM12="غياب بعذر"))*('KG1-4'!$AD$7:$IM$7="✓"),'KG1-4'!$AD$5:$IM$5),8),""))</f>
        <v/>
      </c>
      <c r="E1869">
        <f>IF(D1869="","",INDEX('KG1-4'!$AD12:$IM12,MATCH(D1869,'KG1-4'!$AD$5:$IM$5,0)))</f>
        <v/>
      </c>
      <c r="F1869">
        <f>IF(D1869="","",COUNTIFS('KG1-4'!$AD12:$IM12,"غياب بدون عذر",'KG1-4'!$AD$7:$IM$7,"✓",'KG1-4'!$AD$5:$IM$5,"&lt;="&amp;D1869))</f>
        <v/>
      </c>
      <c r="G1869">
        <f>G1868+IF(D1869="",0,1)</f>
        <v/>
      </c>
    </row>
    <row r="1870">
      <c r="A1870">
        <f>IF('KG1-4'!$B12="","",'KG1-4'!$B12)</f>
        <v/>
      </c>
      <c r="B1870">
        <f>IF(A1870="","",'KG1-4'!$C12)</f>
        <v/>
      </c>
      <c r="C1870">
        <f>IF(A1870="","",'KG1-4'!$B$2)</f>
        <v/>
      </c>
      <c r="D1870" s="126">
        <f t="array" ref="D1870">IF(A1870="","",IFERROR(SMALL(IF((('KG1-4'!$AD12:$IM12="غياب بدون عذر")+('KG1-4'!$AD12:$IM12="غياب بعذر"))*('KG1-4'!$AD$7:$IM$7="✓"),'KG1-4'!$AD$5:$IM$5),9),""))</f>
        <v/>
      </c>
      <c r="E1870">
        <f>IF(D1870="","",INDEX('KG1-4'!$AD12:$IM12,MATCH(D1870,'KG1-4'!$AD$5:$IM$5,0)))</f>
        <v/>
      </c>
      <c r="F1870">
        <f>IF(D1870="","",COUNTIFS('KG1-4'!$AD12:$IM12,"غياب بدون عذر",'KG1-4'!$AD$7:$IM$7,"✓",'KG1-4'!$AD$5:$IM$5,"&lt;="&amp;D1870))</f>
        <v/>
      </c>
      <c r="G1870">
        <f>G1869+IF(D1870="",0,1)</f>
        <v/>
      </c>
    </row>
    <row r="1871">
      <c r="A1871">
        <f>IF('KG1-4'!$B12="","",'KG1-4'!$B12)</f>
        <v/>
      </c>
      <c r="B1871">
        <f>IF(A1871="","",'KG1-4'!$C12)</f>
        <v/>
      </c>
      <c r="C1871">
        <f>IF(A1871="","",'KG1-4'!$B$2)</f>
        <v/>
      </c>
      <c r="D1871" s="126">
        <f t="array" ref="D1871">IF(A1871="","",IFERROR(SMALL(IF((('KG1-4'!$AD12:$IM12="غياب بدون عذر")+('KG1-4'!$AD12:$IM12="غياب بعذر"))*('KG1-4'!$AD$7:$IM$7="✓"),'KG1-4'!$AD$5:$IM$5),10),""))</f>
        <v/>
      </c>
      <c r="E1871">
        <f>IF(D1871="","",INDEX('KG1-4'!$AD12:$IM12,MATCH(D1871,'KG1-4'!$AD$5:$IM$5,0)))</f>
        <v/>
      </c>
      <c r="F1871">
        <f>IF(D1871="","",COUNTIFS('KG1-4'!$AD12:$IM12,"غياب بدون عذر",'KG1-4'!$AD$7:$IM$7,"✓",'KG1-4'!$AD$5:$IM$5,"&lt;="&amp;D1871))</f>
        <v/>
      </c>
      <c r="G1871">
        <f>G1870+IF(D1871="",0,1)</f>
        <v/>
      </c>
    </row>
    <row r="1872">
      <c r="A1872">
        <f>IF('KG1-4'!$B12="","",'KG1-4'!$B12)</f>
        <v/>
      </c>
      <c r="B1872">
        <f>IF(A1872="","",'KG1-4'!$C12)</f>
        <v/>
      </c>
      <c r="C1872">
        <f>IF(A1872="","",'KG1-4'!$B$2)</f>
        <v/>
      </c>
      <c r="D1872" s="126">
        <f t="array" ref="D1872">IF(A1872="","",IFERROR(SMALL(IF((('KG1-4'!$AD12:$IM12="غياب بدون عذر")+('KG1-4'!$AD12:$IM12="غياب بعذر"))*('KG1-4'!$AD$7:$IM$7="✓"),'KG1-4'!$AD$5:$IM$5),11),""))</f>
        <v/>
      </c>
      <c r="E1872">
        <f>IF(D1872="","",INDEX('KG1-4'!$AD12:$IM12,MATCH(D1872,'KG1-4'!$AD$5:$IM$5,0)))</f>
        <v/>
      </c>
      <c r="F1872">
        <f>IF(D1872="","",COUNTIFS('KG1-4'!$AD12:$IM12,"غياب بدون عذر",'KG1-4'!$AD$7:$IM$7,"✓",'KG1-4'!$AD$5:$IM$5,"&lt;="&amp;D1872))</f>
        <v/>
      </c>
      <c r="G1872">
        <f>G1871+IF(D1872="",0,1)</f>
        <v/>
      </c>
    </row>
    <row r="1873">
      <c r="A1873">
        <f>IF('KG1-4'!$B12="","",'KG1-4'!$B12)</f>
        <v/>
      </c>
      <c r="B1873">
        <f>IF(A1873="","",'KG1-4'!$C12)</f>
        <v/>
      </c>
      <c r="C1873">
        <f>IF(A1873="","",'KG1-4'!$B$2)</f>
        <v/>
      </c>
      <c r="D1873" s="126">
        <f t="array" ref="D1873">IF(A1873="","",IFERROR(SMALL(IF((('KG1-4'!$AD12:$IM12="غياب بدون عذر")+('KG1-4'!$AD12:$IM12="غياب بعذر"))*('KG1-4'!$AD$7:$IM$7="✓"),'KG1-4'!$AD$5:$IM$5),12),""))</f>
        <v/>
      </c>
      <c r="E1873">
        <f>IF(D1873="","",INDEX('KG1-4'!$AD12:$IM12,MATCH(D1873,'KG1-4'!$AD$5:$IM$5,0)))</f>
        <v/>
      </c>
      <c r="F1873">
        <f>IF(D1873="","",COUNTIFS('KG1-4'!$AD12:$IM12,"غياب بدون عذر",'KG1-4'!$AD$7:$IM$7,"✓",'KG1-4'!$AD$5:$IM$5,"&lt;="&amp;D1873))</f>
        <v/>
      </c>
      <c r="G1873">
        <f>G1872+IF(D1873="",0,1)</f>
        <v/>
      </c>
    </row>
    <row r="1874">
      <c r="A1874">
        <f>IF('KG1-4'!$B12="","",'KG1-4'!$B12)</f>
        <v/>
      </c>
      <c r="B1874">
        <f>IF(A1874="","",'KG1-4'!$C12)</f>
        <v/>
      </c>
      <c r="C1874">
        <f>IF(A1874="","",'KG1-4'!$B$2)</f>
        <v/>
      </c>
      <c r="D1874" s="126">
        <f t="array" ref="D1874">IF(A1874="","",IFERROR(SMALL(IF((('KG1-4'!$AD12:$IM12="غياب بدون عذر")+('KG1-4'!$AD12:$IM12="غياب بعذر"))*('KG1-4'!$AD$7:$IM$7="✓"),'KG1-4'!$AD$5:$IM$5),13),""))</f>
        <v/>
      </c>
      <c r="E1874">
        <f>IF(D1874="","",INDEX('KG1-4'!$AD12:$IM12,MATCH(D1874,'KG1-4'!$AD$5:$IM$5,0)))</f>
        <v/>
      </c>
      <c r="F1874">
        <f>IF(D1874="","",COUNTIFS('KG1-4'!$AD12:$IM12,"غياب بدون عذر",'KG1-4'!$AD$7:$IM$7,"✓",'KG1-4'!$AD$5:$IM$5,"&lt;="&amp;D1874))</f>
        <v/>
      </c>
      <c r="G1874">
        <f>G1873+IF(D1874="",0,1)</f>
        <v/>
      </c>
    </row>
    <row r="1875">
      <c r="A1875">
        <f>IF('KG1-4'!$B12="","",'KG1-4'!$B12)</f>
        <v/>
      </c>
      <c r="B1875">
        <f>IF(A1875="","",'KG1-4'!$C12)</f>
        <v/>
      </c>
      <c r="C1875">
        <f>IF(A1875="","",'KG1-4'!$B$2)</f>
        <v/>
      </c>
      <c r="D1875" s="126">
        <f t="array" ref="D1875">IF(A1875="","",IFERROR(SMALL(IF((('KG1-4'!$AD12:$IM12="غياب بدون عذر")+('KG1-4'!$AD12:$IM12="غياب بعذر"))*('KG1-4'!$AD$7:$IM$7="✓"),'KG1-4'!$AD$5:$IM$5),14),""))</f>
        <v/>
      </c>
      <c r="E1875">
        <f>IF(D1875="","",INDEX('KG1-4'!$AD12:$IM12,MATCH(D1875,'KG1-4'!$AD$5:$IM$5,0)))</f>
        <v/>
      </c>
      <c r="F1875">
        <f>IF(D1875="","",COUNTIFS('KG1-4'!$AD12:$IM12,"غياب بدون عذر",'KG1-4'!$AD$7:$IM$7,"✓",'KG1-4'!$AD$5:$IM$5,"&lt;="&amp;D1875))</f>
        <v/>
      </c>
      <c r="G1875">
        <f>G1874+IF(D1875="",0,1)</f>
        <v/>
      </c>
    </row>
    <row r="1876">
      <c r="A1876">
        <f>IF('KG1-4'!$B12="","",'KG1-4'!$B12)</f>
        <v/>
      </c>
      <c r="B1876">
        <f>IF(A1876="","",'KG1-4'!$C12)</f>
        <v/>
      </c>
      <c r="C1876">
        <f>IF(A1876="","",'KG1-4'!$B$2)</f>
        <v/>
      </c>
      <c r="D1876" s="126">
        <f t="array" ref="D1876">IF(A1876="","",IFERROR(SMALL(IF((('KG1-4'!$AD12:$IM12="غياب بدون عذر")+('KG1-4'!$AD12:$IM12="غياب بعذر"))*('KG1-4'!$AD$7:$IM$7="✓"),'KG1-4'!$AD$5:$IM$5),15),""))</f>
        <v/>
      </c>
      <c r="E1876">
        <f>IF(D1876="","",INDEX('KG1-4'!$AD12:$IM12,MATCH(D1876,'KG1-4'!$AD$5:$IM$5,0)))</f>
        <v/>
      </c>
      <c r="F1876">
        <f>IF(D1876="","",COUNTIFS('KG1-4'!$AD12:$IM12,"غياب بدون عذر",'KG1-4'!$AD$7:$IM$7,"✓",'KG1-4'!$AD$5:$IM$5,"&lt;="&amp;D1876))</f>
        <v/>
      </c>
      <c r="G1876">
        <f>G1875+IF(D1876="",0,1)</f>
        <v/>
      </c>
    </row>
    <row r="1877">
      <c r="A1877">
        <f>IF('KG1-4'!$B12="","",'KG1-4'!$B12)</f>
        <v/>
      </c>
      <c r="B1877">
        <f>IF(A1877="","",'KG1-4'!$C12)</f>
        <v/>
      </c>
      <c r="C1877">
        <f>IF(A1877="","",'KG1-4'!$B$2)</f>
        <v/>
      </c>
      <c r="D1877" s="126">
        <f t="array" ref="D1877">IF(A1877="","",IFERROR(SMALL(IF((('KG1-4'!$AD12:$IM12="غياب بدون عذر")+('KG1-4'!$AD12:$IM12="غياب بعذر"))*('KG1-4'!$AD$7:$IM$7="✓"),'KG1-4'!$AD$5:$IM$5),16),""))</f>
        <v/>
      </c>
      <c r="E1877">
        <f>IF(D1877="","",INDEX('KG1-4'!$AD12:$IM12,MATCH(D1877,'KG1-4'!$AD$5:$IM$5,0)))</f>
        <v/>
      </c>
      <c r="F1877">
        <f>IF(D1877="","",COUNTIFS('KG1-4'!$AD12:$IM12,"غياب بدون عذر",'KG1-4'!$AD$7:$IM$7,"✓",'KG1-4'!$AD$5:$IM$5,"&lt;="&amp;D1877))</f>
        <v/>
      </c>
      <c r="G1877">
        <f>G1876+IF(D1877="",0,1)</f>
        <v/>
      </c>
    </row>
    <row r="1878">
      <c r="A1878">
        <f>IF('KG1-4'!$B12="","",'KG1-4'!$B12)</f>
        <v/>
      </c>
      <c r="B1878">
        <f>IF(A1878="","",'KG1-4'!$C12)</f>
        <v/>
      </c>
      <c r="C1878">
        <f>IF(A1878="","",'KG1-4'!$B$2)</f>
        <v/>
      </c>
      <c r="D1878" s="126">
        <f t="array" ref="D1878">IF(A1878="","",IFERROR(SMALL(IF((('KG1-4'!$AD12:$IM12="غياب بدون عذر")+('KG1-4'!$AD12:$IM12="غياب بعذر"))*('KG1-4'!$AD$7:$IM$7="✓"),'KG1-4'!$AD$5:$IM$5),17),""))</f>
        <v/>
      </c>
      <c r="E1878">
        <f>IF(D1878="","",INDEX('KG1-4'!$AD12:$IM12,MATCH(D1878,'KG1-4'!$AD$5:$IM$5,0)))</f>
        <v/>
      </c>
      <c r="F1878">
        <f>IF(D1878="","",COUNTIFS('KG1-4'!$AD12:$IM12,"غياب بدون عذر",'KG1-4'!$AD$7:$IM$7,"✓",'KG1-4'!$AD$5:$IM$5,"&lt;="&amp;D1878))</f>
        <v/>
      </c>
      <c r="G1878">
        <f>G1877+IF(D1878="",0,1)</f>
        <v/>
      </c>
    </row>
    <row r="1879">
      <c r="A1879">
        <f>IF('KG1-4'!$B12="","",'KG1-4'!$B12)</f>
        <v/>
      </c>
      <c r="B1879">
        <f>IF(A1879="","",'KG1-4'!$C12)</f>
        <v/>
      </c>
      <c r="C1879">
        <f>IF(A1879="","",'KG1-4'!$B$2)</f>
        <v/>
      </c>
      <c r="D1879" s="126">
        <f t="array" ref="D1879">IF(A1879="","",IFERROR(SMALL(IF((('KG1-4'!$AD12:$IM12="غياب بدون عذر")+('KG1-4'!$AD12:$IM12="غياب بعذر"))*('KG1-4'!$AD$7:$IM$7="✓"),'KG1-4'!$AD$5:$IM$5),18),""))</f>
        <v/>
      </c>
      <c r="E1879">
        <f>IF(D1879="","",INDEX('KG1-4'!$AD12:$IM12,MATCH(D1879,'KG1-4'!$AD$5:$IM$5,0)))</f>
        <v/>
      </c>
      <c r="F1879">
        <f>IF(D1879="","",COUNTIFS('KG1-4'!$AD12:$IM12,"غياب بدون عذر",'KG1-4'!$AD$7:$IM$7,"✓",'KG1-4'!$AD$5:$IM$5,"&lt;="&amp;D1879))</f>
        <v/>
      </c>
      <c r="G1879">
        <f>G1878+IF(D1879="",0,1)</f>
        <v/>
      </c>
    </row>
    <row r="1880">
      <c r="A1880">
        <f>IF('KG1-4'!$B12="","",'KG1-4'!$B12)</f>
        <v/>
      </c>
      <c r="B1880">
        <f>IF(A1880="","",'KG1-4'!$C12)</f>
        <v/>
      </c>
      <c r="C1880">
        <f>IF(A1880="","",'KG1-4'!$B$2)</f>
        <v/>
      </c>
      <c r="D1880" s="126">
        <f t="array" ref="D1880">IF(A1880="","",IFERROR(SMALL(IF((('KG1-4'!$AD12:$IM12="غياب بدون عذر")+('KG1-4'!$AD12:$IM12="غياب بعذر"))*('KG1-4'!$AD$7:$IM$7="✓"),'KG1-4'!$AD$5:$IM$5),19),""))</f>
        <v/>
      </c>
      <c r="E1880">
        <f>IF(D1880="","",INDEX('KG1-4'!$AD12:$IM12,MATCH(D1880,'KG1-4'!$AD$5:$IM$5,0)))</f>
        <v/>
      </c>
      <c r="F1880">
        <f>IF(D1880="","",COUNTIFS('KG1-4'!$AD12:$IM12,"غياب بدون عذر",'KG1-4'!$AD$7:$IM$7,"✓",'KG1-4'!$AD$5:$IM$5,"&lt;="&amp;D1880))</f>
        <v/>
      </c>
      <c r="G1880">
        <f>G1879+IF(D1880="",0,1)</f>
        <v/>
      </c>
    </row>
    <row r="1881">
      <c r="A1881">
        <f>IF('KG1-4'!$B12="","",'KG1-4'!$B12)</f>
        <v/>
      </c>
      <c r="B1881">
        <f>IF(A1881="","",'KG1-4'!$C12)</f>
        <v/>
      </c>
      <c r="C1881">
        <f>IF(A1881="","",'KG1-4'!$B$2)</f>
        <v/>
      </c>
      <c r="D1881" s="126">
        <f t="array" ref="D1881">IF(A1881="","",IFERROR(SMALL(IF((('KG1-4'!$AD12:$IM12="غياب بدون عذر")+('KG1-4'!$AD12:$IM12="غياب بعذر"))*('KG1-4'!$AD$7:$IM$7="✓"),'KG1-4'!$AD$5:$IM$5),20),""))</f>
        <v/>
      </c>
      <c r="E1881">
        <f>IF(D1881="","",INDEX('KG1-4'!$AD12:$IM12,MATCH(D1881,'KG1-4'!$AD$5:$IM$5,0)))</f>
        <v/>
      </c>
      <c r="F1881">
        <f>IF(D1881="","",COUNTIFS('KG1-4'!$AD12:$IM12,"غياب بدون عذر",'KG1-4'!$AD$7:$IM$7,"✓",'KG1-4'!$AD$5:$IM$5,"&lt;="&amp;D1881))</f>
        <v/>
      </c>
      <c r="G1881">
        <f>G1880+IF(D1881="",0,1)</f>
        <v/>
      </c>
    </row>
    <row r="1882">
      <c r="A1882">
        <f>IF('KG1-4'!$B13="","",'KG1-4'!$B13)</f>
        <v/>
      </c>
      <c r="B1882">
        <f>IF(A1882="","",'KG1-4'!$C13)</f>
        <v/>
      </c>
      <c r="C1882">
        <f>IF(A1882="","",'KG1-4'!$B$2)</f>
        <v/>
      </c>
      <c r="D1882" s="126">
        <f t="array" ref="D1882">IF(A1882="","",IFERROR(SMALL(IF((('KG1-4'!$AD13:$IM13="غياب بدون عذر")+('KG1-4'!$AD13:$IM13="غياب بعذر"))*('KG1-4'!$AD$7:$IM$7="✓"),'KG1-4'!$AD$5:$IM$5),1),""))</f>
        <v/>
      </c>
      <c r="E1882">
        <f>IF(D1882="","",INDEX('KG1-4'!$AD13:$IM13,MATCH(D1882,'KG1-4'!$AD$5:$IM$5,0)))</f>
        <v/>
      </c>
      <c r="F1882">
        <f>IF(D1882="","",COUNTIFS('KG1-4'!$AD13:$IM13,"غياب بدون عذر",'KG1-4'!$AD$7:$IM$7,"✓",'KG1-4'!$AD$5:$IM$5,"&lt;="&amp;D1882))</f>
        <v/>
      </c>
      <c r="G1882">
        <f>G1881+IF(D1882="",0,1)</f>
        <v/>
      </c>
    </row>
    <row r="1883">
      <c r="A1883">
        <f>IF('KG1-4'!$B13="","",'KG1-4'!$B13)</f>
        <v/>
      </c>
      <c r="B1883">
        <f>IF(A1883="","",'KG1-4'!$C13)</f>
        <v/>
      </c>
      <c r="C1883">
        <f>IF(A1883="","",'KG1-4'!$B$2)</f>
        <v/>
      </c>
      <c r="D1883" s="126">
        <f t="array" ref="D1883">IF(A1883="","",IFERROR(SMALL(IF((('KG1-4'!$AD13:$IM13="غياب بدون عذر")+('KG1-4'!$AD13:$IM13="غياب بعذر"))*('KG1-4'!$AD$7:$IM$7="✓"),'KG1-4'!$AD$5:$IM$5),2),""))</f>
        <v/>
      </c>
      <c r="E1883">
        <f>IF(D1883="","",INDEX('KG1-4'!$AD13:$IM13,MATCH(D1883,'KG1-4'!$AD$5:$IM$5,0)))</f>
        <v/>
      </c>
      <c r="F1883">
        <f>IF(D1883="","",COUNTIFS('KG1-4'!$AD13:$IM13,"غياب بدون عذر",'KG1-4'!$AD$7:$IM$7,"✓",'KG1-4'!$AD$5:$IM$5,"&lt;="&amp;D1883))</f>
        <v/>
      </c>
      <c r="G1883">
        <f>G1882+IF(D1883="",0,1)</f>
        <v/>
      </c>
    </row>
    <row r="1884">
      <c r="A1884">
        <f>IF('KG1-4'!$B13="","",'KG1-4'!$B13)</f>
        <v/>
      </c>
      <c r="B1884">
        <f>IF(A1884="","",'KG1-4'!$C13)</f>
        <v/>
      </c>
      <c r="C1884">
        <f>IF(A1884="","",'KG1-4'!$B$2)</f>
        <v/>
      </c>
      <c r="D1884" s="126">
        <f t="array" ref="D1884">IF(A1884="","",IFERROR(SMALL(IF((('KG1-4'!$AD13:$IM13="غياب بدون عذر")+('KG1-4'!$AD13:$IM13="غياب بعذر"))*('KG1-4'!$AD$7:$IM$7="✓"),'KG1-4'!$AD$5:$IM$5),3),""))</f>
        <v/>
      </c>
      <c r="E1884">
        <f>IF(D1884="","",INDEX('KG1-4'!$AD13:$IM13,MATCH(D1884,'KG1-4'!$AD$5:$IM$5,0)))</f>
        <v/>
      </c>
      <c r="F1884">
        <f>IF(D1884="","",COUNTIFS('KG1-4'!$AD13:$IM13,"غياب بدون عذر",'KG1-4'!$AD$7:$IM$7,"✓",'KG1-4'!$AD$5:$IM$5,"&lt;="&amp;D1884))</f>
        <v/>
      </c>
      <c r="G1884">
        <f>G1883+IF(D1884="",0,1)</f>
        <v/>
      </c>
    </row>
    <row r="1885">
      <c r="A1885">
        <f>IF('KG1-4'!$B13="","",'KG1-4'!$B13)</f>
        <v/>
      </c>
      <c r="B1885">
        <f>IF(A1885="","",'KG1-4'!$C13)</f>
        <v/>
      </c>
      <c r="C1885">
        <f>IF(A1885="","",'KG1-4'!$B$2)</f>
        <v/>
      </c>
      <c r="D1885" s="126">
        <f t="array" ref="D1885">IF(A1885="","",IFERROR(SMALL(IF((('KG1-4'!$AD13:$IM13="غياب بدون عذر")+('KG1-4'!$AD13:$IM13="غياب بعذر"))*('KG1-4'!$AD$7:$IM$7="✓"),'KG1-4'!$AD$5:$IM$5),4),""))</f>
        <v/>
      </c>
      <c r="E1885">
        <f>IF(D1885="","",INDEX('KG1-4'!$AD13:$IM13,MATCH(D1885,'KG1-4'!$AD$5:$IM$5,0)))</f>
        <v/>
      </c>
      <c r="F1885">
        <f>IF(D1885="","",COUNTIFS('KG1-4'!$AD13:$IM13,"غياب بدون عذر",'KG1-4'!$AD$7:$IM$7,"✓",'KG1-4'!$AD$5:$IM$5,"&lt;="&amp;D1885))</f>
        <v/>
      </c>
      <c r="G1885">
        <f>G1884+IF(D1885="",0,1)</f>
        <v/>
      </c>
    </row>
    <row r="1886">
      <c r="A1886">
        <f>IF('KG1-4'!$B13="","",'KG1-4'!$B13)</f>
        <v/>
      </c>
      <c r="B1886">
        <f>IF(A1886="","",'KG1-4'!$C13)</f>
        <v/>
      </c>
      <c r="C1886">
        <f>IF(A1886="","",'KG1-4'!$B$2)</f>
        <v/>
      </c>
      <c r="D1886" s="126">
        <f t="array" ref="D1886">IF(A1886="","",IFERROR(SMALL(IF((('KG1-4'!$AD13:$IM13="غياب بدون عذر")+('KG1-4'!$AD13:$IM13="غياب بعذر"))*('KG1-4'!$AD$7:$IM$7="✓"),'KG1-4'!$AD$5:$IM$5),5),""))</f>
        <v/>
      </c>
      <c r="E1886">
        <f>IF(D1886="","",INDEX('KG1-4'!$AD13:$IM13,MATCH(D1886,'KG1-4'!$AD$5:$IM$5,0)))</f>
        <v/>
      </c>
      <c r="F1886">
        <f>IF(D1886="","",COUNTIFS('KG1-4'!$AD13:$IM13,"غياب بدون عذر",'KG1-4'!$AD$7:$IM$7,"✓",'KG1-4'!$AD$5:$IM$5,"&lt;="&amp;D1886))</f>
        <v/>
      </c>
      <c r="G1886">
        <f>G1885+IF(D1886="",0,1)</f>
        <v/>
      </c>
    </row>
    <row r="1887">
      <c r="A1887">
        <f>IF('KG1-4'!$B13="","",'KG1-4'!$B13)</f>
        <v/>
      </c>
      <c r="B1887">
        <f>IF(A1887="","",'KG1-4'!$C13)</f>
        <v/>
      </c>
      <c r="C1887">
        <f>IF(A1887="","",'KG1-4'!$B$2)</f>
        <v/>
      </c>
      <c r="D1887" s="126">
        <f t="array" ref="D1887">IF(A1887="","",IFERROR(SMALL(IF((('KG1-4'!$AD13:$IM13="غياب بدون عذر")+('KG1-4'!$AD13:$IM13="غياب بعذر"))*('KG1-4'!$AD$7:$IM$7="✓"),'KG1-4'!$AD$5:$IM$5),6),""))</f>
        <v/>
      </c>
      <c r="E1887">
        <f>IF(D1887="","",INDEX('KG1-4'!$AD13:$IM13,MATCH(D1887,'KG1-4'!$AD$5:$IM$5,0)))</f>
        <v/>
      </c>
      <c r="F1887">
        <f>IF(D1887="","",COUNTIFS('KG1-4'!$AD13:$IM13,"غياب بدون عذر",'KG1-4'!$AD$7:$IM$7,"✓",'KG1-4'!$AD$5:$IM$5,"&lt;="&amp;D1887))</f>
        <v/>
      </c>
      <c r="G1887">
        <f>G1886+IF(D1887="",0,1)</f>
        <v/>
      </c>
    </row>
    <row r="1888">
      <c r="A1888">
        <f>IF('KG1-4'!$B13="","",'KG1-4'!$B13)</f>
        <v/>
      </c>
      <c r="B1888">
        <f>IF(A1888="","",'KG1-4'!$C13)</f>
        <v/>
      </c>
      <c r="C1888">
        <f>IF(A1888="","",'KG1-4'!$B$2)</f>
        <v/>
      </c>
      <c r="D1888" s="126">
        <f t="array" ref="D1888">IF(A1888="","",IFERROR(SMALL(IF((('KG1-4'!$AD13:$IM13="غياب بدون عذر")+('KG1-4'!$AD13:$IM13="غياب بعذر"))*('KG1-4'!$AD$7:$IM$7="✓"),'KG1-4'!$AD$5:$IM$5),7),""))</f>
        <v/>
      </c>
      <c r="E1888">
        <f>IF(D1888="","",INDEX('KG1-4'!$AD13:$IM13,MATCH(D1888,'KG1-4'!$AD$5:$IM$5,0)))</f>
        <v/>
      </c>
      <c r="F1888">
        <f>IF(D1888="","",COUNTIFS('KG1-4'!$AD13:$IM13,"غياب بدون عذر",'KG1-4'!$AD$7:$IM$7,"✓",'KG1-4'!$AD$5:$IM$5,"&lt;="&amp;D1888))</f>
        <v/>
      </c>
      <c r="G1888">
        <f>G1887+IF(D1888="",0,1)</f>
        <v/>
      </c>
    </row>
    <row r="1889">
      <c r="A1889">
        <f>IF('KG1-4'!$B13="","",'KG1-4'!$B13)</f>
        <v/>
      </c>
      <c r="B1889">
        <f>IF(A1889="","",'KG1-4'!$C13)</f>
        <v/>
      </c>
      <c r="C1889">
        <f>IF(A1889="","",'KG1-4'!$B$2)</f>
        <v/>
      </c>
      <c r="D1889" s="126">
        <f t="array" ref="D1889">IF(A1889="","",IFERROR(SMALL(IF((('KG1-4'!$AD13:$IM13="غياب بدون عذر")+('KG1-4'!$AD13:$IM13="غياب بعذر"))*('KG1-4'!$AD$7:$IM$7="✓"),'KG1-4'!$AD$5:$IM$5),8),""))</f>
        <v/>
      </c>
      <c r="E1889">
        <f>IF(D1889="","",INDEX('KG1-4'!$AD13:$IM13,MATCH(D1889,'KG1-4'!$AD$5:$IM$5,0)))</f>
        <v/>
      </c>
      <c r="F1889">
        <f>IF(D1889="","",COUNTIFS('KG1-4'!$AD13:$IM13,"غياب بدون عذر",'KG1-4'!$AD$7:$IM$7,"✓",'KG1-4'!$AD$5:$IM$5,"&lt;="&amp;D1889))</f>
        <v/>
      </c>
      <c r="G1889">
        <f>G1888+IF(D1889="",0,1)</f>
        <v/>
      </c>
    </row>
    <row r="1890">
      <c r="A1890">
        <f>IF('KG1-4'!$B13="","",'KG1-4'!$B13)</f>
        <v/>
      </c>
      <c r="B1890">
        <f>IF(A1890="","",'KG1-4'!$C13)</f>
        <v/>
      </c>
      <c r="C1890">
        <f>IF(A1890="","",'KG1-4'!$B$2)</f>
        <v/>
      </c>
      <c r="D1890" s="126">
        <f t="array" ref="D1890">IF(A1890="","",IFERROR(SMALL(IF((('KG1-4'!$AD13:$IM13="غياب بدون عذر")+('KG1-4'!$AD13:$IM13="غياب بعذر"))*('KG1-4'!$AD$7:$IM$7="✓"),'KG1-4'!$AD$5:$IM$5),9),""))</f>
        <v/>
      </c>
      <c r="E1890">
        <f>IF(D1890="","",INDEX('KG1-4'!$AD13:$IM13,MATCH(D1890,'KG1-4'!$AD$5:$IM$5,0)))</f>
        <v/>
      </c>
      <c r="F1890">
        <f>IF(D1890="","",COUNTIFS('KG1-4'!$AD13:$IM13,"غياب بدون عذر",'KG1-4'!$AD$7:$IM$7,"✓",'KG1-4'!$AD$5:$IM$5,"&lt;="&amp;D1890))</f>
        <v/>
      </c>
      <c r="G1890">
        <f>G1889+IF(D1890="",0,1)</f>
        <v/>
      </c>
    </row>
    <row r="1891">
      <c r="A1891">
        <f>IF('KG1-4'!$B13="","",'KG1-4'!$B13)</f>
        <v/>
      </c>
      <c r="B1891">
        <f>IF(A1891="","",'KG1-4'!$C13)</f>
        <v/>
      </c>
      <c r="C1891">
        <f>IF(A1891="","",'KG1-4'!$B$2)</f>
        <v/>
      </c>
      <c r="D1891" s="126">
        <f t="array" ref="D1891">IF(A1891="","",IFERROR(SMALL(IF((('KG1-4'!$AD13:$IM13="غياب بدون عذر")+('KG1-4'!$AD13:$IM13="غياب بعذر"))*('KG1-4'!$AD$7:$IM$7="✓"),'KG1-4'!$AD$5:$IM$5),10),""))</f>
        <v/>
      </c>
      <c r="E1891">
        <f>IF(D1891="","",INDEX('KG1-4'!$AD13:$IM13,MATCH(D1891,'KG1-4'!$AD$5:$IM$5,0)))</f>
        <v/>
      </c>
      <c r="F1891">
        <f>IF(D1891="","",COUNTIFS('KG1-4'!$AD13:$IM13,"غياب بدون عذر",'KG1-4'!$AD$7:$IM$7,"✓",'KG1-4'!$AD$5:$IM$5,"&lt;="&amp;D1891))</f>
        <v/>
      </c>
      <c r="G1891">
        <f>G1890+IF(D1891="",0,1)</f>
        <v/>
      </c>
    </row>
    <row r="1892">
      <c r="A1892">
        <f>IF('KG1-4'!$B13="","",'KG1-4'!$B13)</f>
        <v/>
      </c>
      <c r="B1892">
        <f>IF(A1892="","",'KG1-4'!$C13)</f>
        <v/>
      </c>
      <c r="C1892">
        <f>IF(A1892="","",'KG1-4'!$B$2)</f>
        <v/>
      </c>
      <c r="D1892" s="126">
        <f t="array" ref="D1892">IF(A1892="","",IFERROR(SMALL(IF((('KG1-4'!$AD13:$IM13="غياب بدون عذر")+('KG1-4'!$AD13:$IM13="غياب بعذر"))*('KG1-4'!$AD$7:$IM$7="✓"),'KG1-4'!$AD$5:$IM$5),11),""))</f>
        <v/>
      </c>
      <c r="E1892">
        <f>IF(D1892="","",INDEX('KG1-4'!$AD13:$IM13,MATCH(D1892,'KG1-4'!$AD$5:$IM$5,0)))</f>
        <v/>
      </c>
      <c r="F1892">
        <f>IF(D1892="","",COUNTIFS('KG1-4'!$AD13:$IM13,"غياب بدون عذر",'KG1-4'!$AD$7:$IM$7,"✓",'KG1-4'!$AD$5:$IM$5,"&lt;="&amp;D1892))</f>
        <v/>
      </c>
      <c r="G1892">
        <f>G1891+IF(D1892="",0,1)</f>
        <v/>
      </c>
    </row>
    <row r="1893">
      <c r="A1893">
        <f>IF('KG1-4'!$B13="","",'KG1-4'!$B13)</f>
        <v/>
      </c>
      <c r="B1893">
        <f>IF(A1893="","",'KG1-4'!$C13)</f>
        <v/>
      </c>
      <c r="C1893">
        <f>IF(A1893="","",'KG1-4'!$B$2)</f>
        <v/>
      </c>
      <c r="D1893" s="126">
        <f t="array" ref="D1893">IF(A1893="","",IFERROR(SMALL(IF((('KG1-4'!$AD13:$IM13="غياب بدون عذر")+('KG1-4'!$AD13:$IM13="غياب بعذر"))*('KG1-4'!$AD$7:$IM$7="✓"),'KG1-4'!$AD$5:$IM$5),12),""))</f>
        <v/>
      </c>
      <c r="E1893">
        <f>IF(D1893="","",INDEX('KG1-4'!$AD13:$IM13,MATCH(D1893,'KG1-4'!$AD$5:$IM$5,0)))</f>
        <v/>
      </c>
      <c r="F1893">
        <f>IF(D1893="","",COUNTIFS('KG1-4'!$AD13:$IM13,"غياب بدون عذر",'KG1-4'!$AD$7:$IM$7,"✓",'KG1-4'!$AD$5:$IM$5,"&lt;="&amp;D1893))</f>
        <v/>
      </c>
      <c r="G1893">
        <f>G1892+IF(D1893="",0,1)</f>
        <v/>
      </c>
    </row>
    <row r="1894">
      <c r="A1894">
        <f>IF('KG1-4'!$B13="","",'KG1-4'!$B13)</f>
        <v/>
      </c>
      <c r="B1894">
        <f>IF(A1894="","",'KG1-4'!$C13)</f>
        <v/>
      </c>
      <c r="C1894">
        <f>IF(A1894="","",'KG1-4'!$B$2)</f>
        <v/>
      </c>
      <c r="D1894" s="126">
        <f t="array" ref="D1894">IF(A1894="","",IFERROR(SMALL(IF((('KG1-4'!$AD13:$IM13="غياب بدون عذر")+('KG1-4'!$AD13:$IM13="غياب بعذر"))*('KG1-4'!$AD$7:$IM$7="✓"),'KG1-4'!$AD$5:$IM$5),13),""))</f>
        <v/>
      </c>
      <c r="E1894">
        <f>IF(D1894="","",INDEX('KG1-4'!$AD13:$IM13,MATCH(D1894,'KG1-4'!$AD$5:$IM$5,0)))</f>
        <v/>
      </c>
      <c r="F1894">
        <f>IF(D1894="","",COUNTIFS('KG1-4'!$AD13:$IM13,"غياب بدون عذر",'KG1-4'!$AD$7:$IM$7,"✓",'KG1-4'!$AD$5:$IM$5,"&lt;="&amp;D1894))</f>
        <v/>
      </c>
      <c r="G1894">
        <f>G1893+IF(D1894="",0,1)</f>
        <v/>
      </c>
    </row>
    <row r="1895">
      <c r="A1895">
        <f>IF('KG1-4'!$B13="","",'KG1-4'!$B13)</f>
        <v/>
      </c>
      <c r="B1895">
        <f>IF(A1895="","",'KG1-4'!$C13)</f>
        <v/>
      </c>
      <c r="C1895">
        <f>IF(A1895="","",'KG1-4'!$B$2)</f>
        <v/>
      </c>
      <c r="D1895" s="126">
        <f t="array" ref="D1895">IF(A1895="","",IFERROR(SMALL(IF((('KG1-4'!$AD13:$IM13="غياب بدون عذر")+('KG1-4'!$AD13:$IM13="غياب بعذر"))*('KG1-4'!$AD$7:$IM$7="✓"),'KG1-4'!$AD$5:$IM$5),14),""))</f>
        <v/>
      </c>
      <c r="E1895">
        <f>IF(D1895="","",INDEX('KG1-4'!$AD13:$IM13,MATCH(D1895,'KG1-4'!$AD$5:$IM$5,0)))</f>
        <v/>
      </c>
      <c r="F1895">
        <f>IF(D1895="","",COUNTIFS('KG1-4'!$AD13:$IM13,"غياب بدون عذر",'KG1-4'!$AD$7:$IM$7,"✓",'KG1-4'!$AD$5:$IM$5,"&lt;="&amp;D1895))</f>
        <v/>
      </c>
      <c r="G1895">
        <f>G1894+IF(D1895="",0,1)</f>
        <v/>
      </c>
    </row>
    <row r="1896">
      <c r="A1896">
        <f>IF('KG1-4'!$B13="","",'KG1-4'!$B13)</f>
        <v/>
      </c>
      <c r="B1896">
        <f>IF(A1896="","",'KG1-4'!$C13)</f>
        <v/>
      </c>
      <c r="C1896">
        <f>IF(A1896="","",'KG1-4'!$B$2)</f>
        <v/>
      </c>
      <c r="D1896" s="126">
        <f t="array" ref="D1896">IF(A1896="","",IFERROR(SMALL(IF((('KG1-4'!$AD13:$IM13="غياب بدون عذر")+('KG1-4'!$AD13:$IM13="غياب بعذر"))*('KG1-4'!$AD$7:$IM$7="✓"),'KG1-4'!$AD$5:$IM$5),15),""))</f>
        <v/>
      </c>
      <c r="E1896">
        <f>IF(D1896="","",INDEX('KG1-4'!$AD13:$IM13,MATCH(D1896,'KG1-4'!$AD$5:$IM$5,0)))</f>
        <v/>
      </c>
      <c r="F1896">
        <f>IF(D1896="","",COUNTIFS('KG1-4'!$AD13:$IM13,"غياب بدون عذر",'KG1-4'!$AD$7:$IM$7,"✓",'KG1-4'!$AD$5:$IM$5,"&lt;="&amp;D1896))</f>
        <v/>
      </c>
      <c r="G1896">
        <f>G1895+IF(D1896="",0,1)</f>
        <v/>
      </c>
    </row>
    <row r="1897">
      <c r="A1897">
        <f>IF('KG1-4'!$B13="","",'KG1-4'!$B13)</f>
        <v/>
      </c>
      <c r="B1897">
        <f>IF(A1897="","",'KG1-4'!$C13)</f>
        <v/>
      </c>
      <c r="C1897">
        <f>IF(A1897="","",'KG1-4'!$B$2)</f>
        <v/>
      </c>
      <c r="D1897" s="126">
        <f t="array" ref="D1897">IF(A1897="","",IFERROR(SMALL(IF((('KG1-4'!$AD13:$IM13="غياب بدون عذر")+('KG1-4'!$AD13:$IM13="غياب بعذر"))*('KG1-4'!$AD$7:$IM$7="✓"),'KG1-4'!$AD$5:$IM$5),16),""))</f>
        <v/>
      </c>
      <c r="E1897">
        <f>IF(D1897="","",INDEX('KG1-4'!$AD13:$IM13,MATCH(D1897,'KG1-4'!$AD$5:$IM$5,0)))</f>
        <v/>
      </c>
      <c r="F1897">
        <f>IF(D1897="","",COUNTIFS('KG1-4'!$AD13:$IM13,"غياب بدون عذر",'KG1-4'!$AD$7:$IM$7,"✓",'KG1-4'!$AD$5:$IM$5,"&lt;="&amp;D1897))</f>
        <v/>
      </c>
      <c r="G1897">
        <f>G1896+IF(D1897="",0,1)</f>
        <v/>
      </c>
    </row>
    <row r="1898">
      <c r="A1898">
        <f>IF('KG1-4'!$B13="","",'KG1-4'!$B13)</f>
        <v/>
      </c>
      <c r="B1898">
        <f>IF(A1898="","",'KG1-4'!$C13)</f>
        <v/>
      </c>
      <c r="C1898">
        <f>IF(A1898="","",'KG1-4'!$B$2)</f>
        <v/>
      </c>
      <c r="D1898" s="126">
        <f t="array" ref="D1898">IF(A1898="","",IFERROR(SMALL(IF((('KG1-4'!$AD13:$IM13="غياب بدون عذر")+('KG1-4'!$AD13:$IM13="غياب بعذر"))*('KG1-4'!$AD$7:$IM$7="✓"),'KG1-4'!$AD$5:$IM$5),17),""))</f>
        <v/>
      </c>
      <c r="E1898">
        <f>IF(D1898="","",INDEX('KG1-4'!$AD13:$IM13,MATCH(D1898,'KG1-4'!$AD$5:$IM$5,0)))</f>
        <v/>
      </c>
      <c r="F1898">
        <f>IF(D1898="","",COUNTIFS('KG1-4'!$AD13:$IM13,"غياب بدون عذر",'KG1-4'!$AD$7:$IM$7,"✓",'KG1-4'!$AD$5:$IM$5,"&lt;="&amp;D1898))</f>
        <v/>
      </c>
      <c r="G1898">
        <f>G1897+IF(D1898="",0,1)</f>
        <v/>
      </c>
    </row>
    <row r="1899">
      <c r="A1899">
        <f>IF('KG1-4'!$B13="","",'KG1-4'!$B13)</f>
        <v/>
      </c>
      <c r="B1899">
        <f>IF(A1899="","",'KG1-4'!$C13)</f>
        <v/>
      </c>
      <c r="C1899">
        <f>IF(A1899="","",'KG1-4'!$B$2)</f>
        <v/>
      </c>
      <c r="D1899" s="126">
        <f t="array" ref="D1899">IF(A1899="","",IFERROR(SMALL(IF((('KG1-4'!$AD13:$IM13="غياب بدون عذر")+('KG1-4'!$AD13:$IM13="غياب بعذر"))*('KG1-4'!$AD$7:$IM$7="✓"),'KG1-4'!$AD$5:$IM$5),18),""))</f>
        <v/>
      </c>
      <c r="E1899">
        <f>IF(D1899="","",INDEX('KG1-4'!$AD13:$IM13,MATCH(D1899,'KG1-4'!$AD$5:$IM$5,0)))</f>
        <v/>
      </c>
      <c r="F1899">
        <f>IF(D1899="","",COUNTIFS('KG1-4'!$AD13:$IM13,"غياب بدون عذر",'KG1-4'!$AD$7:$IM$7,"✓",'KG1-4'!$AD$5:$IM$5,"&lt;="&amp;D1899))</f>
        <v/>
      </c>
      <c r="G1899">
        <f>G1898+IF(D1899="",0,1)</f>
        <v/>
      </c>
    </row>
    <row r="1900">
      <c r="A1900">
        <f>IF('KG1-4'!$B13="","",'KG1-4'!$B13)</f>
        <v/>
      </c>
      <c r="B1900">
        <f>IF(A1900="","",'KG1-4'!$C13)</f>
        <v/>
      </c>
      <c r="C1900">
        <f>IF(A1900="","",'KG1-4'!$B$2)</f>
        <v/>
      </c>
      <c r="D1900" s="126">
        <f t="array" ref="D1900">IF(A1900="","",IFERROR(SMALL(IF((('KG1-4'!$AD13:$IM13="غياب بدون عذر")+('KG1-4'!$AD13:$IM13="غياب بعذر"))*('KG1-4'!$AD$7:$IM$7="✓"),'KG1-4'!$AD$5:$IM$5),19),""))</f>
        <v/>
      </c>
      <c r="E1900">
        <f>IF(D1900="","",INDEX('KG1-4'!$AD13:$IM13,MATCH(D1900,'KG1-4'!$AD$5:$IM$5,0)))</f>
        <v/>
      </c>
      <c r="F1900">
        <f>IF(D1900="","",COUNTIFS('KG1-4'!$AD13:$IM13,"غياب بدون عذر",'KG1-4'!$AD$7:$IM$7,"✓",'KG1-4'!$AD$5:$IM$5,"&lt;="&amp;D1900))</f>
        <v/>
      </c>
      <c r="G1900">
        <f>G1899+IF(D1900="",0,1)</f>
        <v/>
      </c>
    </row>
    <row r="1901">
      <c r="A1901">
        <f>IF('KG1-4'!$B13="","",'KG1-4'!$B13)</f>
        <v/>
      </c>
      <c r="B1901">
        <f>IF(A1901="","",'KG1-4'!$C13)</f>
        <v/>
      </c>
      <c r="C1901">
        <f>IF(A1901="","",'KG1-4'!$B$2)</f>
        <v/>
      </c>
      <c r="D1901" s="126">
        <f t="array" ref="D1901">IF(A1901="","",IFERROR(SMALL(IF((('KG1-4'!$AD13:$IM13="غياب بدون عذر")+('KG1-4'!$AD13:$IM13="غياب بعذر"))*('KG1-4'!$AD$7:$IM$7="✓"),'KG1-4'!$AD$5:$IM$5),20),""))</f>
        <v/>
      </c>
      <c r="E1901">
        <f>IF(D1901="","",INDEX('KG1-4'!$AD13:$IM13,MATCH(D1901,'KG1-4'!$AD$5:$IM$5,0)))</f>
        <v/>
      </c>
      <c r="F1901">
        <f>IF(D1901="","",COUNTIFS('KG1-4'!$AD13:$IM13,"غياب بدون عذر",'KG1-4'!$AD$7:$IM$7,"✓",'KG1-4'!$AD$5:$IM$5,"&lt;="&amp;D1901))</f>
        <v/>
      </c>
      <c r="G1901">
        <f>G1900+IF(D1901="",0,1)</f>
        <v/>
      </c>
    </row>
    <row r="1902">
      <c r="A1902">
        <f>IF('KG1-4'!$B14="","",'KG1-4'!$B14)</f>
        <v/>
      </c>
      <c r="B1902">
        <f>IF(A1902="","",'KG1-4'!$C14)</f>
        <v/>
      </c>
      <c r="C1902">
        <f>IF(A1902="","",'KG1-4'!$B$2)</f>
        <v/>
      </c>
      <c r="D1902" s="126">
        <f t="array" ref="D1902">IF(A1902="","",IFERROR(SMALL(IF((('KG1-4'!$AD14:$IM14="غياب بدون عذر")+('KG1-4'!$AD14:$IM14="غياب بعذر"))*('KG1-4'!$AD$7:$IM$7="✓"),'KG1-4'!$AD$5:$IM$5),1),""))</f>
        <v/>
      </c>
      <c r="E1902">
        <f>IF(D1902="","",INDEX('KG1-4'!$AD14:$IM14,MATCH(D1902,'KG1-4'!$AD$5:$IM$5,0)))</f>
        <v/>
      </c>
      <c r="F1902">
        <f>IF(D1902="","",COUNTIFS('KG1-4'!$AD14:$IM14,"غياب بدون عذر",'KG1-4'!$AD$7:$IM$7,"✓",'KG1-4'!$AD$5:$IM$5,"&lt;="&amp;D1902))</f>
        <v/>
      </c>
      <c r="G1902">
        <f>G1901+IF(D1902="",0,1)</f>
        <v/>
      </c>
    </row>
    <row r="1903">
      <c r="A1903">
        <f>IF('KG1-4'!$B14="","",'KG1-4'!$B14)</f>
        <v/>
      </c>
      <c r="B1903">
        <f>IF(A1903="","",'KG1-4'!$C14)</f>
        <v/>
      </c>
      <c r="C1903">
        <f>IF(A1903="","",'KG1-4'!$B$2)</f>
        <v/>
      </c>
      <c r="D1903" s="126">
        <f t="array" ref="D1903">IF(A1903="","",IFERROR(SMALL(IF((('KG1-4'!$AD14:$IM14="غياب بدون عذر")+('KG1-4'!$AD14:$IM14="غياب بعذر"))*('KG1-4'!$AD$7:$IM$7="✓"),'KG1-4'!$AD$5:$IM$5),2),""))</f>
        <v/>
      </c>
      <c r="E1903">
        <f>IF(D1903="","",INDEX('KG1-4'!$AD14:$IM14,MATCH(D1903,'KG1-4'!$AD$5:$IM$5,0)))</f>
        <v/>
      </c>
      <c r="F1903">
        <f>IF(D1903="","",COUNTIFS('KG1-4'!$AD14:$IM14,"غياب بدون عذر",'KG1-4'!$AD$7:$IM$7,"✓",'KG1-4'!$AD$5:$IM$5,"&lt;="&amp;D1903))</f>
        <v/>
      </c>
      <c r="G1903">
        <f>G1902+IF(D1903="",0,1)</f>
        <v/>
      </c>
    </row>
    <row r="1904">
      <c r="A1904">
        <f>IF('KG1-4'!$B14="","",'KG1-4'!$B14)</f>
        <v/>
      </c>
      <c r="B1904">
        <f>IF(A1904="","",'KG1-4'!$C14)</f>
        <v/>
      </c>
      <c r="C1904">
        <f>IF(A1904="","",'KG1-4'!$B$2)</f>
        <v/>
      </c>
      <c r="D1904" s="126">
        <f t="array" ref="D1904">IF(A1904="","",IFERROR(SMALL(IF((('KG1-4'!$AD14:$IM14="غياب بدون عذر")+('KG1-4'!$AD14:$IM14="غياب بعذر"))*('KG1-4'!$AD$7:$IM$7="✓"),'KG1-4'!$AD$5:$IM$5),3),""))</f>
        <v/>
      </c>
      <c r="E1904">
        <f>IF(D1904="","",INDEX('KG1-4'!$AD14:$IM14,MATCH(D1904,'KG1-4'!$AD$5:$IM$5,0)))</f>
        <v/>
      </c>
      <c r="F1904">
        <f>IF(D1904="","",COUNTIFS('KG1-4'!$AD14:$IM14,"غياب بدون عذر",'KG1-4'!$AD$7:$IM$7,"✓",'KG1-4'!$AD$5:$IM$5,"&lt;="&amp;D1904))</f>
        <v/>
      </c>
      <c r="G1904">
        <f>G1903+IF(D1904="",0,1)</f>
        <v/>
      </c>
    </row>
    <row r="1905">
      <c r="A1905">
        <f>IF('KG1-4'!$B14="","",'KG1-4'!$B14)</f>
        <v/>
      </c>
      <c r="B1905">
        <f>IF(A1905="","",'KG1-4'!$C14)</f>
        <v/>
      </c>
      <c r="C1905">
        <f>IF(A1905="","",'KG1-4'!$B$2)</f>
        <v/>
      </c>
      <c r="D1905" s="126">
        <f t="array" ref="D1905">IF(A1905="","",IFERROR(SMALL(IF((('KG1-4'!$AD14:$IM14="غياب بدون عذر")+('KG1-4'!$AD14:$IM14="غياب بعذر"))*('KG1-4'!$AD$7:$IM$7="✓"),'KG1-4'!$AD$5:$IM$5),4),""))</f>
        <v/>
      </c>
      <c r="E1905">
        <f>IF(D1905="","",INDEX('KG1-4'!$AD14:$IM14,MATCH(D1905,'KG1-4'!$AD$5:$IM$5,0)))</f>
        <v/>
      </c>
      <c r="F1905">
        <f>IF(D1905="","",COUNTIFS('KG1-4'!$AD14:$IM14,"غياب بدون عذر",'KG1-4'!$AD$7:$IM$7,"✓",'KG1-4'!$AD$5:$IM$5,"&lt;="&amp;D1905))</f>
        <v/>
      </c>
      <c r="G1905">
        <f>G1904+IF(D1905="",0,1)</f>
        <v/>
      </c>
    </row>
    <row r="1906">
      <c r="A1906">
        <f>IF('KG1-4'!$B14="","",'KG1-4'!$B14)</f>
        <v/>
      </c>
      <c r="B1906">
        <f>IF(A1906="","",'KG1-4'!$C14)</f>
        <v/>
      </c>
      <c r="C1906">
        <f>IF(A1906="","",'KG1-4'!$B$2)</f>
        <v/>
      </c>
      <c r="D1906" s="126">
        <f t="array" ref="D1906">IF(A1906="","",IFERROR(SMALL(IF((('KG1-4'!$AD14:$IM14="غياب بدون عذر")+('KG1-4'!$AD14:$IM14="غياب بعذر"))*('KG1-4'!$AD$7:$IM$7="✓"),'KG1-4'!$AD$5:$IM$5),5),""))</f>
        <v/>
      </c>
      <c r="E1906">
        <f>IF(D1906="","",INDEX('KG1-4'!$AD14:$IM14,MATCH(D1906,'KG1-4'!$AD$5:$IM$5,0)))</f>
        <v/>
      </c>
      <c r="F1906">
        <f>IF(D1906="","",COUNTIFS('KG1-4'!$AD14:$IM14,"غياب بدون عذر",'KG1-4'!$AD$7:$IM$7,"✓",'KG1-4'!$AD$5:$IM$5,"&lt;="&amp;D1906))</f>
        <v/>
      </c>
      <c r="G1906">
        <f>G1905+IF(D1906="",0,1)</f>
        <v/>
      </c>
    </row>
    <row r="1907">
      <c r="A1907">
        <f>IF('KG1-4'!$B14="","",'KG1-4'!$B14)</f>
        <v/>
      </c>
      <c r="B1907">
        <f>IF(A1907="","",'KG1-4'!$C14)</f>
        <v/>
      </c>
      <c r="C1907">
        <f>IF(A1907="","",'KG1-4'!$B$2)</f>
        <v/>
      </c>
      <c r="D1907" s="126">
        <f t="array" ref="D1907">IF(A1907="","",IFERROR(SMALL(IF((('KG1-4'!$AD14:$IM14="غياب بدون عذر")+('KG1-4'!$AD14:$IM14="غياب بعذر"))*('KG1-4'!$AD$7:$IM$7="✓"),'KG1-4'!$AD$5:$IM$5),6),""))</f>
        <v/>
      </c>
      <c r="E1907">
        <f>IF(D1907="","",INDEX('KG1-4'!$AD14:$IM14,MATCH(D1907,'KG1-4'!$AD$5:$IM$5,0)))</f>
        <v/>
      </c>
      <c r="F1907">
        <f>IF(D1907="","",COUNTIFS('KG1-4'!$AD14:$IM14,"غياب بدون عذر",'KG1-4'!$AD$7:$IM$7,"✓",'KG1-4'!$AD$5:$IM$5,"&lt;="&amp;D1907))</f>
        <v/>
      </c>
      <c r="G1907">
        <f>G1906+IF(D1907="",0,1)</f>
        <v/>
      </c>
    </row>
    <row r="1908">
      <c r="A1908">
        <f>IF('KG1-4'!$B14="","",'KG1-4'!$B14)</f>
        <v/>
      </c>
      <c r="B1908">
        <f>IF(A1908="","",'KG1-4'!$C14)</f>
        <v/>
      </c>
      <c r="C1908">
        <f>IF(A1908="","",'KG1-4'!$B$2)</f>
        <v/>
      </c>
      <c r="D1908" s="126">
        <f t="array" ref="D1908">IF(A1908="","",IFERROR(SMALL(IF((('KG1-4'!$AD14:$IM14="غياب بدون عذر")+('KG1-4'!$AD14:$IM14="غياب بعذر"))*('KG1-4'!$AD$7:$IM$7="✓"),'KG1-4'!$AD$5:$IM$5),7),""))</f>
        <v/>
      </c>
      <c r="E1908">
        <f>IF(D1908="","",INDEX('KG1-4'!$AD14:$IM14,MATCH(D1908,'KG1-4'!$AD$5:$IM$5,0)))</f>
        <v/>
      </c>
      <c r="F1908">
        <f>IF(D1908="","",COUNTIFS('KG1-4'!$AD14:$IM14,"غياب بدون عذر",'KG1-4'!$AD$7:$IM$7,"✓",'KG1-4'!$AD$5:$IM$5,"&lt;="&amp;D1908))</f>
        <v/>
      </c>
      <c r="G1908">
        <f>G1907+IF(D1908="",0,1)</f>
        <v/>
      </c>
    </row>
    <row r="1909">
      <c r="A1909">
        <f>IF('KG1-4'!$B14="","",'KG1-4'!$B14)</f>
        <v/>
      </c>
      <c r="B1909">
        <f>IF(A1909="","",'KG1-4'!$C14)</f>
        <v/>
      </c>
      <c r="C1909">
        <f>IF(A1909="","",'KG1-4'!$B$2)</f>
        <v/>
      </c>
      <c r="D1909" s="126">
        <f t="array" ref="D1909">IF(A1909="","",IFERROR(SMALL(IF((('KG1-4'!$AD14:$IM14="غياب بدون عذر")+('KG1-4'!$AD14:$IM14="غياب بعذر"))*('KG1-4'!$AD$7:$IM$7="✓"),'KG1-4'!$AD$5:$IM$5),8),""))</f>
        <v/>
      </c>
      <c r="E1909">
        <f>IF(D1909="","",INDEX('KG1-4'!$AD14:$IM14,MATCH(D1909,'KG1-4'!$AD$5:$IM$5,0)))</f>
        <v/>
      </c>
      <c r="F1909">
        <f>IF(D1909="","",COUNTIFS('KG1-4'!$AD14:$IM14,"غياب بدون عذر",'KG1-4'!$AD$7:$IM$7,"✓",'KG1-4'!$AD$5:$IM$5,"&lt;="&amp;D1909))</f>
        <v/>
      </c>
      <c r="G1909">
        <f>G1908+IF(D1909="",0,1)</f>
        <v/>
      </c>
    </row>
    <row r="1910">
      <c r="A1910">
        <f>IF('KG1-4'!$B14="","",'KG1-4'!$B14)</f>
        <v/>
      </c>
      <c r="B1910">
        <f>IF(A1910="","",'KG1-4'!$C14)</f>
        <v/>
      </c>
      <c r="C1910">
        <f>IF(A1910="","",'KG1-4'!$B$2)</f>
        <v/>
      </c>
      <c r="D1910" s="126">
        <f t="array" ref="D1910">IF(A1910="","",IFERROR(SMALL(IF((('KG1-4'!$AD14:$IM14="غياب بدون عذر")+('KG1-4'!$AD14:$IM14="غياب بعذر"))*('KG1-4'!$AD$7:$IM$7="✓"),'KG1-4'!$AD$5:$IM$5),9),""))</f>
        <v/>
      </c>
      <c r="E1910">
        <f>IF(D1910="","",INDEX('KG1-4'!$AD14:$IM14,MATCH(D1910,'KG1-4'!$AD$5:$IM$5,0)))</f>
        <v/>
      </c>
      <c r="F1910">
        <f>IF(D1910="","",COUNTIFS('KG1-4'!$AD14:$IM14,"غياب بدون عذر",'KG1-4'!$AD$7:$IM$7,"✓",'KG1-4'!$AD$5:$IM$5,"&lt;="&amp;D1910))</f>
        <v/>
      </c>
      <c r="G1910">
        <f>G1909+IF(D1910="",0,1)</f>
        <v/>
      </c>
    </row>
    <row r="1911">
      <c r="A1911">
        <f>IF('KG1-4'!$B14="","",'KG1-4'!$B14)</f>
        <v/>
      </c>
      <c r="B1911">
        <f>IF(A1911="","",'KG1-4'!$C14)</f>
        <v/>
      </c>
      <c r="C1911">
        <f>IF(A1911="","",'KG1-4'!$B$2)</f>
        <v/>
      </c>
      <c r="D1911" s="126">
        <f t="array" ref="D1911">IF(A1911="","",IFERROR(SMALL(IF((('KG1-4'!$AD14:$IM14="غياب بدون عذر")+('KG1-4'!$AD14:$IM14="غياب بعذر"))*('KG1-4'!$AD$7:$IM$7="✓"),'KG1-4'!$AD$5:$IM$5),10),""))</f>
        <v/>
      </c>
      <c r="E1911">
        <f>IF(D1911="","",INDEX('KG1-4'!$AD14:$IM14,MATCH(D1911,'KG1-4'!$AD$5:$IM$5,0)))</f>
        <v/>
      </c>
      <c r="F1911">
        <f>IF(D1911="","",COUNTIFS('KG1-4'!$AD14:$IM14,"غياب بدون عذر",'KG1-4'!$AD$7:$IM$7,"✓",'KG1-4'!$AD$5:$IM$5,"&lt;="&amp;D1911))</f>
        <v/>
      </c>
      <c r="G1911">
        <f>G1910+IF(D1911="",0,1)</f>
        <v/>
      </c>
    </row>
    <row r="1912">
      <c r="A1912">
        <f>IF('KG1-4'!$B14="","",'KG1-4'!$B14)</f>
        <v/>
      </c>
      <c r="B1912">
        <f>IF(A1912="","",'KG1-4'!$C14)</f>
        <v/>
      </c>
      <c r="C1912">
        <f>IF(A1912="","",'KG1-4'!$B$2)</f>
        <v/>
      </c>
      <c r="D1912" s="126">
        <f t="array" ref="D1912">IF(A1912="","",IFERROR(SMALL(IF((('KG1-4'!$AD14:$IM14="غياب بدون عذر")+('KG1-4'!$AD14:$IM14="غياب بعذر"))*('KG1-4'!$AD$7:$IM$7="✓"),'KG1-4'!$AD$5:$IM$5),11),""))</f>
        <v/>
      </c>
      <c r="E1912">
        <f>IF(D1912="","",INDEX('KG1-4'!$AD14:$IM14,MATCH(D1912,'KG1-4'!$AD$5:$IM$5,0)))</f>
        <v/>
      </c>
      <c r="F1912">
        <f>IF(D1912="","",COUNTIFS('KG1-4'!$AD14:$IM14,"غياب بدون عذر",'KG1-4'!$AD$7:$IM$7,"✓",'KG1-4'!$AD$5:$IM$5,"&lt;="&amp;D1912))</f>
        <v/>
      </c>
      <c r="G1912">
        <f>G1911+IF(D1912="",0,1)</f>
        <v/>
      </c>
    </row>
    <row r="1913">
      <c r="A1913">
        <f>IF('KG1-4'!$B14="","",'KG1-4'!$B14)</f>
        <v/>
      </c>
      <c r="B1913">
        <f>IF(A1913="","",'KG1-4'!$C14)</f>
        <v/>
      </c>
      <c r="C1913">
        <f>IF(A1913="","",'KG1-4'!$B$2)</f>
        <v/>
      </c>
      <c r="D1913" s="126">
        <f t="array" ref="D1913">IF(A1913="","",IFERROR(SMALL(IF((('KG1-4'!$AD14:$IM14="غياب بدون عذر")+('KG1-4'!$AD14:$IM14="غياب بعذر"))*('KG1-4'!$AD$7:$IM$7="✓"),'KG1-4'!$AD$5:$IM$5),12),""))</f>
        <v/>
      </c>
      <c r="E1913">
        <f>IF(D1913="","",INDEX('KG1-4'!$AD14:$IM14,MATCH(D1913,'KG1-4'!$AD$5:$IM$5,0)))</f>
        <v/>
      </c>
      <c r="F1913">
        <f>IF(D1913="","",COUNTIFS('KG1-4'!$AD14:$IM14,"غياب بدون عذر",'KG1-4'!$AD$7:$IM$7,"✓",'KG1-4'!$AD$5:$IM$5,"&lt;="&amp;D1913))</f>
        <v/>
      </c>
      <c r="G1913">
        <f>G1912+IF(D1913="",0,1)</f>
        <v/>
      </c>
    </row>
    <row r="1914">
      <c r="A1914">
        <f>IF('KG1-4'!$B14="","",'KG1-4'!$B14)</f>
        <v/>
      </c>
      <c r="B1914">
        <f>IF(A1914="","",'KG1-4'!$C14)</f>
        <v/>
      </c>
      <c r="C1914">
        <f>IF(A1914="","",'KG1-4'!$B$2)</f>
        <v/>
      </c>
      <c r="D1914" s="126">
        <f t="array" ref="D1914">IF(A1914="","",IFERROR(SMALL(IF((('KG1-4'!$AD14:$IM14="غياب بدون عذر")+('KG1-4'!$AD14:$IM14="غياب بعذر"))*('KG1-4'!$AD$7:$IM$7="✓"),'KG1-4'!$AD$5:$IM$5),13),""))</f>
        <v/>
      </c>
      <c r="E1914">
        <f>IF(D1914="","",INDEX('KG1-4'!$AD14:$IM14,MATCH(D1914,'KG1-4'!$AD$5:$IM$5,0)))</f>
        <v/>
      </c>
      <c r="F1914">
        <f>IF(D1914="","",COUNTIFS('KG1-4'!$AD14:$IM14,"غياب بدون عذر",'KG1-4'!$AD$7:$IM$7,"✓",'KG1-4'!$AD$5:$IM$5,"&lt;="&amp;D1914))</f>
        <v/>
      </c>
      <c r="G1914">
        <f>G1913+IF(D1914="",0,1)</f>
        <v/>
      </c>
    </row>
    <row r="1915">
      <c r="A1915">
        <f>IF('KG1-4'!$B14="","",'KG1-4'!$B14)</f>
        <v/>
      </c>
      <c r="B1915">
        <f>IF(A1915="","",'KG1-4'!$C14)</f>
        <v/>
      </c>
      <c r="C1915">
        <f>IF(A1915="","",'KG1-4'!$B$2)</f>
        <v/>
      </c>
      <c r="D1915" s="126">
        <f t="array" ref="D1915">IF(A1915="","",IFERROR(SMALL(IF((('KG1-4'!$AD14:$IM14="غياب بدون عذر")+('KG1-4'!$AD14:$IM14="غياب بعذر"))*('KG1-4'!$AD$7:$IM$7="✓"),'KG1-4'!$AD$5:$IM$5),14),""))</f>
        <v/>
      </c>
      <c r="E1915">
        <f>IF(D1915="","",INDEX('KG1-4'!$AD14:$IM14,MATCH(D1915,'KG1-4'!$AD$5:$IM$5,0)))</f>
        <v/>
      </c>
      <c r="F1915">
        <f>IF(D1915="","",COUNTIFS('KG1-4'!$AD14:$IM14,"غياب بدون عذر",'KG1-4'!$AD$7:$IM$7,"✓",'KG1-4'!$AD$5:$IM$5,"&lt;="&amp;D1915))</f>
        <v/>
      </c>
      <c r="G1915">
        <f>G1914+IF(D1915="",0,1)</f>
        <v/>
      </c>
    </row>
    <row r="1916">
      <c r="A1916">
        <f>IF('KG1-4'!$B14="","",'KG1-4'!$B14)</f>
        <v/>
      </c>
      <c r="B1916">
        <f>IF(A1916="","",'KG1-4'!$C14)</f>
        <v/>
      </c>
      <c r="C1916">
        <f>IF(A1916="","",'KG1-4'!$B$2)</f>
        <v/>
      </c>
      <c r="D1916" s="126">
        <f t="array" ref="D1916">IF(A1916="","",IFERROR(SMALL(IF((('KG1-4'!$AD14:$IM14="غياب بدون عذر")+('KG1-4'!$AD14:$IM14="غياب بعذر"))*('KG1-4'!$AD$7:$IM$7="✓"),'KG1-4'!$AD$5:$IM$5),15),""))</f>
        <v/>
      </c>
      <c r="E1916">
        <f>IF(D1916="","",INDEX('KG1-4'!$AD14:$IM14,MATCH(D1916,'KG1-4'!$AD$5:$IM$5,0)))</f>
        <v/>
      </c>
      <c r="F1916">
        <f>IF(D1916="","",COUNTIFS('KG1-4'!$AD14:$IM14,"غياب بدون عذر",'KG1-4'!$AD$7:$IM$7,"✓",'KG1-4'!$AD$5:$IM$5,"&lt;="&amp;D1916))</f>
        <v/>
      </c>
      <c r="G1916">
        <f>G1915+IF(D1916="",0,1)</f>
        <v/>
      </c>
    </row>
    <row r="1917">
      <c r="A1917">
        <f>IF('KG1-4'!$B14="","",'KG1-4'!$B14)</f>
        <v/>
      </c>
      <c r="B1917">
        <f>IF(A1917="","",'KG1-4'!$C14)</f>
        <v/>
      </c>
      <c r="C1917">
        <f>IF(A1917="","",'KG1-4'!$B$2)</f>
        <v/>
      </c>
      <c r="D1917" s="126">
        <f t="array" ref="D1917">IF(A1917="","",IFERROR(SMALL(IF((('KG1-4'!$AD14:$IM14="غياب بدون عذر")+('KG1-4'!$AD14:$IM14="غياب بعذر"))*('KG1-4'!$AD$7:$IM$7="✓"),'KG1-4'!$AD$5:$IM$5),16),""))</f>
        <v/>
      </c>
      <c r="E1917">
        <f>IF(D1917="","",INDEX('KG1-4'!$AD14:$IM14,MATCH(D1917,'KG1-4'!$AD$5:$IM$5,0)))</f>
        <v/>
      </c>
      <c r="F1917">
        <f>IF(D1917="","",COUNTIFS('KG1-4'!$AD14:$IM14,"غياب بدون عذر",'KG1-4'!$AD$7:$IM$7,"✓",'KG1-4'!$AD$5:$IM$5,"&lt;="&amp;D1917))</f>
        <v/>
      </c>
      <c r="G1917">
        <f>G1916+IF(D1917="",0,1)</f>
        <v/>
      </c>
    </row>
    <row r="1918">
      <c r="A1918">
        <f>IF('KG1-4'!$B14="","",'KG1-4'!$B14)</f>
        <v/>
      </c>
      <c r="B1918">
        <f>IF(A1918="","",'KG1-4'!$C14)</f>
        <v/>
      </c>
      <c r="C1918">
        <f>IF(A1918="","",'KG1-4'!$B$2)</f>
        <v/>
      </c>
      <c r="D1918" s="126">
        <f t="array" ref="D1918">IF(A1918="","",IFERROR(SMALL(IF((('KG1-4'!$AD14:$IM14="غياب بدون عذر")+('KG1-4'!$AD14:$IM14="غياب بعذر"))*('KG1-4'!$AD$7:$IM$7="✓"),'KG1-4'!$AD$5:$IM$5),17),""))</f>
        <v/>
      </c>
      <c r="E1918">
        <f>IF(D1918="","",INDEX('KG1-4'!$AD14:$IM14,MATCH(D1918,'KG1-4'!$AD$5:$IM$5,0)))</f>
        <v/>
      </c>
      <c r="F1918">
        <f>IF(D1918="","",COUNTIFS('KG1-4'!$AD14:$IM14,"غياب بدون عذر",'KG1-4'!$AD$7:$IM$7,"✓",'KG1-4'!$AD$5:$IM$5,"&lt;="&amp;D1918))</f>
        <v/>
      </c>
      <c r="G1918">
        <f>G1917+IF(D1918="",0,1)</f>
        <v/>
      </c>
    </row>
    <row r="1919">
      <c r="A1919">
        <f>IF('KG1-4'!$B14="","",'KG1-4'!$B14)</f>
        <v/>
      </c>
      <c r="B1919">
        <f>IF(A1919="","",'KG1-4'!$C14)</f>
        <v/>
      </c>
      <c r="C1919">
        <f>IF(A1919="","",'KG1-4'!$B$2)</f>
        <v/>
      </c>
      <c r="D1919" s="126">
        <f t="array" ref="D1919">IF(A1919="","",IFERROR(SMALL(IF((('KG1-4'!$AD14:$IM14="غياب بدون عذر")+('KG1-4'!$AD14:$IM14="غياب بعذر"))*('KG1-4'!$AD$7:$IM$7="✓"),'KG1-4'!$AD$5:$IM$5),18),""))</f>
        <v/>
      </c>
      <c r="E1919">
        <f>IF(D1919="","",INDEX('KG1-4'!$AD14:$IM14,MATCH(D1919,'KG1-4'!$AD$5:$IM$5,0)))</f>
        <v/>
      </c>
      <c r="F1919">
        <f>IF(D1919="","",COUNTIFS('KG1-4'!$AD14:$IM14,"غياب بدون عذر",'KG1-4'!$AD$7:$IM$7,"✓",'KG1-4'!$AD$5:$IM$5,"&lt;="&amp;D1919))</f>
        <v/>
      </c>
      <c r="G1919">
        <f>G1918+IF(D1919="",0,1)</f>
        <v/>
      </c>
    </row>
    <row r="1920">
      <c r="A1920">
        <f>IF('KG1-4'!$B14="","",'KG1-4'!$B14)</f>
        <v/>
      </c>
      <c r="B1920">
        <f>IF(A1920="","",'KG1-4'!$C14)</f>
        <v/>
      </c>
      <c r="C1920">
        <f>IF(A1920="","",'KG1-4'!$B$2)</f>
        <v/>
      </c>
      <c r="D1920" s="126">
        <f t="array" ref="D1920">IF(A1920="","",IFERROR(SMALL(IF((('KG1-4'!$AD14:$IM14="غياب بدون عذر")+('KG1-4'!$AD14:$IM14="غياب بعذر"))*('KG1-4'!$AD$7:$IM$7="✓"),'KG1-4'!$AD$5:$IM$5),19),""))</f>
        <v/>
      </c>
      <c r="E1920">
        <f>IF(D1920="","",INDEX('KG1-4'!$AD14:$IM14,MATCH(D1920,'KG1-4'!$AD$5:$IM$5,0)))</f>
        <v/>
      </c>
      <c r="F1920">
        <f>IF(D1920="","",COUNTIFS('KG1-4'!$AD14:$IM14,"غياب بدون عذر",'KG1-4'!$AD$7:$IM$7,"✓",'KG1-4'!$AD$5:$IM$5,"&lt;="&amp;D1920))</f>
        <v/>
      </c>
      <c r="G1920">
        <f>G1919+IF(D1920="",0,1)</f>
        <v/>
      </c>
    </row>
    <row r="1921">
      <c r="A1921">
        <f>IF('KG1-4'!$B14="","",'KG1-4'!$B14)</f>
        <v/>
      </c>
      <c r="B1921">
        <f>IF(A1921="","",'KG1-4'!$C14)</f>
        <v/>
      </c>
      <c r="C1921">
        <f>IF(A1921="","",'KG1-4'!$B$2)</f>
        <v/>
      </c>
      <c r="D1921" s="126">
        <f t="array" ref="D1921">IF(A1921="","",IFERROR(SMALL(IF((('KG1-4'!$AD14:$IM14="غياب بدون عذر")+('KG1-4'!$AD14:$IM14="غياب بعذر"))*('KG1-4'!$AD$7:$IM$7="✓"),'KG1-4'!$AD$5:$IM$5),20),""))</f>
        <v/>
      </c>
      <c r="E1921">
        <f>IF(D1921="","",INDEX('KG1-4'!$AD14:$IM14,MATCH(D1921,'KG1-4'!$AD$5:$IM$5,0)))</f>
        <v/>
      </c>
      <c r="F1921">
        <f>IF(D1921="","",COUNTIFS('KG1-4'!$AD14:$IM14,"غياب بدون عذر",'KG1-4'!$AD$7:$IM$7,"✓",'KG1-4'!$AD$5:$IM$5,"&lt;="&amp;D1921))</f>
        <v/>
      </c>
      <c r="G1921">
        <f>G1920+IF(D1921="",0,1)</f>
        <v/>
      </c>
    </row>
    <row r="1922">
      <c r="A1922">
        <f>IF('KG1-4'!$B15="","",'KG1-4'!$B15)</f>
        <v/>
      </c>
      <c r="B1922">
        <f>IF(A1922="","",'KG1-4'!$C15)</f>
        <v/>
      </c>
      <c r="C1922">
        <f>IF(A1922="","",'KG1-4'!$B$2)</f>
        <v/>
      </c>
      <c r="D1922" s="126">
        <f t="array" ref="D1922">IF(A1922="","",IFERROR(SMALL(IF((('KG1-4'!$AD15:$IM15="غياب بدون عذر")+('KG1-4'!$AD15:$IM15="غياب بعذر"))*('KG1-4'!$AD$7:$IM$7="✓"),'KG1-4'!$AD$5:$IM$5),1),""))</f>
        <v/>
      </c>
      <c r="E1922">
        <f>IF(D1922="","",INDEX('KG1-4'!$AD15:$IM15,MATCH(D1922,'KG1-4'!$AD$5:$IM$5,0)))</f>
        <v/>
      </c>
      <c r="F1922">
        <f>IF(D1922="","",COUNTIFS('KG1-4'!$AD15:$IM15,"غياب بدون عذر",'KG1-4'!$AD$7:$IM$7,"✓",'KG1-4'!$AD$5:$IM$5,"&lt;="&amp;D1922))</f>
        <v/>
      </c>
      <c r="G1922">
        <f>G1921+IF(D1922="",0,1)</f>
        <v/>
      </c>
    </row>
    <row r="1923">
      <c r="A1923">
        <f>IF('KG1-4'!$B15="","",'KG1-4'!$B15)</f>
        <v/>
      </c>
      <c r="B1923">
        <f>IF(A1923="","",'KG1-4'!$C15)</f>
        <v/>
      </c>
      <c r="C1923">
        <f>IF(A1923="","",'KG1-4'!$B$2)</f>
        <v/>
      </c>
      <c r="D1923" s="126">
        <f t="array" ref="D1923">IF(A1923="","",IFERROR(SMALL(IF((('KG1-4'!$AD15:$IM15="غياب بدون عذر")+('KG1-4'!$AD15:$IM15="غياب بعذر"))*('KG1-4'!$AD$7:$IM$7="✓"),'KG1-4'!$AD$5:$IM$5),2),""))</f>
        <v/>
      </c>
      <c r="E1923">
        <f>IF(D1923="","",INDEX('KG1-4'!$AD15:$IM15,MATCH(D1923,'KG1-4'!$AD$5:$IM$5,0)))</f>
        <v/>
      </c>
      <c r="F1923">
        <f>IF(D1923="","",COUNTIFS('KG1-4'!$AD15:$IM15,"غياب بدون عذر",'KG1-4'!$AD$7:$IM$7,"✓",'KG1-4'!$AD$5:$IM$5,"&lt;="&amp;D1923))</f>
        <v/>
      </c>
      <c r="G1923">
        <f>G1922+IF(D1923="",0,1)</f>
        <v/>
      </c>
    </row>
    <row r="1924">
      <c r="A1924">
        <f>IF('KG1-4'!$B15="","",'KG1-4'!$B15)</f>
        <v/>
      </c>
      <c r="B1924">
        <f>IF(A1924="","",'KG1-4'!$C15)</f>
        <v/>
      </c>
      <c r="C1924">
        <f>IF(A1924="","",'KG1-4'!$B$2)</f>
        <v/>
      </c>
      <c r="D1924" s="126">
        <f t="array" ref="D1924">IF(A1924="","",IFERROR(SMALL(IF((('KG1-4'!$AD15:$IM15="غياب بدون عذر")+('KG1-4'!$AD15:$IM15="غياب بعذر"))*('KG1-4'!$AD$7:$IM$7="✓"),'KG1-4'!$AD$5:$IM$5),3),""))</f>
        <v/>
      </c>
      <c r="E1924">
        <f>IF(D1924="","",INDEX('KG1-4'!$AD15:$IM15,MATCH(D1924,'KG1-4'!$AD$5:$IM$5,0)))</f>
        <v/>
      </c>
      <c r="F1924">
        <f>IF(D1924="","",COUNTIFS('KG1-4'!$AD15:$IM15,"غياب بدون عذر",'KG1-4'!$AD$7:$IM$7,"✓",'KG1-4'!$AD$5:$IM$5,"&lt;="&amp;D1924))</f>
        <v/>
      </c>
      <c r="G1924">
        <f>G1923+IF(D1924="",0,1)</f>
        <v/>
      </c>
    </row>
    <row r="1925">
      <c r="A1925">
        <f>IF('KG1-4'!$B15="","",'KG1-4'!$B15)</f>
        <v/>
      </c>
      <c r="B1925">
        <f>IF(A1925="","",'KG1-4'!$C15)</f>
        <v/>
      </c>
      <c r="C1925">
        <f>IF(A1925="","",'KG1-4'!$B$2)</f>
        <v/>
      </c>
      <c r="D1925" s="126">
        <f t="array" ref="D1925">IF(A1925="","",IFERROR(SMALL(IF((('KG1-4'!$AD15:$IM15="غياب بدون عذر")+('KG1-4'!$AD15:$IM15="غياب بعذر"))*('KG1-4'!$AD$7:$IM$7="✓"),'KG1-4'!$AD$5:$IM$5),4),""))</f>
        <v/>
      </c>
      <c r="E1925">
        <f>IF(D1925="","",INDEX('KG1-4'!$AD15:$IM15,MATCH(D1925,'KG1-4'!$AD$5:$IM$5,0)))</f>
        <v/>
      </c>
      <c r="F1925">
        <f>IF(D1925="","",COUNTIFS('KG1-4'!$AD15:$IM15,"غياب بدون عذر",'KG1-4'!$AD$7:$IM$7,"✓",'KG1-4'!$AD$5:$IM$5,"&lt;="&amp;D1925))</f>
        <v/>
      </c>
      <c r="G1925">
        <f>G1924+IF(D1925="",0,1)</f>
        <v/>
      </c>
    </row>
    <row r="1926">
      <c r="A1926">
        <f>IF('KG1-4'!$B15="","",'KG1-4'!$B15)</f>
        <v/>
      </c>
      <c r="B1926">
        <f>IF(A1926="","",'KG1-4'!$C15)</f>
        <v/>
      </c>
      <c r="C1926">
        <f>IF(A1926="","",'KG1-4'!$B$2)</f>
        <v/>
      </c>
      <c r="D1926" s="126">
        <f t="array" ref="D1926">IF(A1926="","",IFERROR(SMALL(IF((('KG1-4'!$AD15:$IM15="غياب بدون عذر")+('KG1-4'!$AD15:$IM15="غياب بعذر"))*('KG1-4'!$AD$7:$IM$7="✓"),'KG1-4'!$AD$5:$IM$5),5),""))</f>
        <v/>
      </c>
      <c r="E1926">
        <f>IF(D1926="","",INDEX('KG1-4'!$AD15:$IM15,MATCH(D1926,'KG1-4'!$AD$5:$IM$5,0)))</f>
        <v/>
      </c>
      <c r="F1926">
        <f>IF(D1926="","",COUNTIFS('KG1-4'!$AD15:$IM15,"غياب بدون عذر",'KG1-4'!$AD$7:$IM$7,"✓",'KG1-4'!$AD$5:$IM$5,"&lt;="&amp;D1926))</f>
        <v/>
      </c>
      <c r="G1926">
        <f>G1925+IF(D1926="",0,1)</f>
        <v/>
      </c>
    </row>
    <row r="1927">
      <c r="A1927">
        <f>IF('KG1-4'!$B15="","",'KG1-4'!$B15)</f>
        <v/>
      </c>
      <c r="B1927">
        <f>IF(A1927="","",'KG1-4'!$C15)</f>
        <v/>
      </c>
      <c r="C1927">
        <f>IF(A1927="","",'KG1-4'!$B$2)</f>
        <v/>
      </c>
      <c r="D1927" s="126">
        <f t="array" ref="D1927">IF(A1927="","",IFERROR(SMALL(IF((('KG1-4'!$AD15:$IM15="غياب بدون عذر")+('KG1-4'!$AD15:$IM15="غياب بعذر"))*('KG1-4'!$AD$7:$IM$7="✓"),'KG1-4'!$AD$5:$IM$5),6),""))</f>
        <v/>
      </c>
      <c r="E1927">
        <f>IF(D1927="","",INDEX('KG1-4'!$AD15:$IM15,MATCH(D1927,'KG1-4'!$AD$5:$IM$5,0)))</f>
        <v/>
      </c>
      <c r="F1927">
        <f>IF(D1927="","",COUNTIFS('KG1-4'!$AD15:$IM15,"غياب بدون عذر",'KG1-4'!$AD$7:$IM$7,"✓",'KG1-4'!$AD$5:$IM$5,"&lt;="&amp;D1927))</f>
        <v/>
      </c>
      <c r="G1927">
        <f>G1926+IF(D1927="",0,1)</f>
        <v/>
      </c>
    </row>
    <row r="1928">
      <c r="A1928">
        <f>IF('KG1-4'!$B15="","",'KG1-4'!$B15)</f>
        <v/>
      </c>
      <c r="B1928">
        <f>IF(A1928="","",'KG1-4'!$C15)</f>
        <v/>
      </c>
      <c r="C1928">
        <f>IF(A1928="","",'KG1-4'!$B$2)</f>
        <v/>
      </c>
      <c r="D1928" s="126">
        <f t="array" ref="D1928">IF(A1928="","",IFERROR(SMALL(IF((('KG1-4'!$AD15:$IM15="غياب بدون عذر")+('KG1-4'!$AD15:$IM15="غياب بعذر"))*('KG1-4'!$AD$7:$IM$7="✓"),'KG1-4'!$AD$5:$IM$5),7),""))</f>
        <v/>
      </c>
      <c r="E1928">
        <f>IF(D1928="","",INDEX('KG1-4'!$AD15:$IM15,MATCH(D1928,'KG1-4'!$AD$5:$IM$5,0)))</f>
        <v/>
      </c>
      <c r="F1928">
        <f>IF(D1928="","",COUNTIFS('KG1-4'!$AD15:$IM15,"غياب بدون عذر",'KG1-4'!$AD$7:$IM$7,"✓",'KG1-4'!$AD$5:$IM$5,"&lt;="&amp;D1928))</f>
        <v/>
      </c>
      <c r="G1928">
        <f>G1927+IF(D1928="",0,1)</f>
        <v/>
      </c>
    </row>
    <row r="1929">
      <c r="A1929">
        <f>IF('KG1-4'!$B15="","",'KG1-4'!$B15)</f>
        <v/>
      </c>
      <c r="B1929">
        <f>IF(A1929="","",'KG1-4'!$C15)</f>
        <v/>
      </c>
      <c r="C1929">
        <f>IF(A1929="","",'KG1-4'!$B$2)</f>
        <v/>
      </c>
      <c r="D1929" s="126">
        <f t="array" ref="D1929">IF(A1929="","",IFERROR(SMALL(IF((('KG1-4'!$AD15:$IM15="غياب بدون عذر")+('KG1-4'!$AD15:$IM15="غياب بعذر"))*('KG1-4'!$AD$7:$IM$7="✓"),'KG1-4'!$AD$5:$IM$5),8),""))</f>
        <v/>
      </c>
      <c r="E1929">
        <f>IF(D1929="","",INDEX('KG1-4'!$AD15:$IM15,MATCH(D1929,'KG1-4'!$AD$5:$IM$5,0)))</f>
        <v/>
      </c>
      <c r="F1929">
        <f>IF(D1929="","",COUNTIFS('KG1-4'!$AD15:$IM15,"غياب بدون عذر",'KG1-4'!$AD$7:$IM$7,"✓",'KG1-4'!$AD$5:$IM$5,"&lt;="&amp;D1929))</f>
        <v/>
      </c>
      <c r="G1929">
        <f>G1928+IF(D1929="",0,1)</f>
        <v/>
      </c>
    </row>
    <row r="1930">
      <c r="A1930">
        <f>IF('KG1-4'!$B15="","",'KG1-4'!$B15)</f>
        <v/>
      </c>
      <c r="B1930">
        <f>IF(A1930="","",'KG1-4'!$C15)</f>
        <v/>
      </c>
      <c r="C1930">
        <f>IF(A1930="","",'KG1-4'!$B$2)</f>
        <v/>
      </c>
      <c r="D1930" s="126">
        <f t="array" ref="D1930">IF(A1930="","",IFERROR(SMALL(IF((('KG1-4'!$AD15:$IM15="غياب بدون عذر")+('KG1-4'!$AD15:$IM15="غياب بعذر"))*('KG1-4'!$AD$7:$IM$7="✓"),'KG1-4'!$AD$5:$IM$5),9),""))</f>
        <v/>
      </c>
      <c r="E1930">
        <f>IF(D1930="","",INDEX('KG1-4'!$AD15:$IM15,MATCH(D1930,'KG1-4'!$AD$5:$IM$5,0)))</f>
        <v/>
      </c>
      <c r="F1930">
        <f>IF(D1930="","",COUNTIFS('KG1-4'!$AD15:$IM15,"غياب بدون عذر",'KG1-4'!$AD$7:$IM$7,"✓",'KG1-4'!$AD$5:$IM$5,"&lt;="&amp;D1930))</f>
        <v/>
      </c>
      <c r="G1930">
        <f>G1929+IF(D1930="",0,1)</f>
        <v/>
      </c>
    </row>
    <row r="1931">
      <c r="A1931">
        <f>IF('KG1-4'!$B15="","",'KG1-4'!$B15)</f>
        <v/>
      </c>
      <c r="B1931">
        <f>IF(A1931="","",'KG1-4'!$C15)</f>
        <v/>
      </c>
      <c r="C1931">
        <f>IF(A1931="","",'KG1-4'!$B$2)</f>
        <v/>
      </c>
      <c r="D1931" s="126">
        <f t="array" ref="D1931">IF(A1931="","",IFERROR(SMALL(IF((('KG1-4'!$AD15:$IM15="غياب بدون عذر")+('KG1-4'!$AD15:$IM15="غياب بعذر"))*('KG1-4'!$AD$7:$IM$7="✓"),'KG1-4'!$AD$5:$IM$5),10),""))</f>
        <v/>
      </c>
      <c r="E1931">
        <f>IF(D1931="","",INDEX('KG1-4'!$AD15:$IM15,MATCH(D1931,'KG1-4'!$AD$5:$IM$5,0)))</f>
        <v/>
      </c>
      <c r="F1931">
        <f>IF(D1931="","",COUNTIFS('KG1-4'!$AD15:$IM15,"غياب بدون عذر",'KG1-4'!$AD$7:$IM$7,"✓",'KG1-4'!$AD$5:$IM$5,"&lt;="&amp;D1931))</f>
        <v/>
      </c>
      <c r="G1931">
        <f>G1930+IF(D1931="",0,1)</f>
        <v/>
      </c>
    </row>
    <row r="1932">
      <c r="A1932">
        <f>IF('KG1-4'!$B15="","",'KG1-4'!$B15)</f>
        <v/>
      </c>
      <c r="B1932">
        <f>IF(A1932="","",'KG1-4'!$C15)</f>
        <v/>
      </c>
      <c r="C1932">
        <f>IF(A1932="","",'KG1-4'!$B$2)</f>
        <v/>
      </c>
      <c r="D1932" s="126">
        <f t="array" ref="D1932">IF(A1932="","",IFERROR(SMALL(IF((('KG1-4'!$AD15:$IM15="غياب بدون عذر")+('KG1-4'!$AD15:$IM15="غياب بعذر"))*('KG1-4'!$AD$7:$IM$7="✓"),'KG1-4'!$AD$5:$IM$5),11),""))</f>
        <v/>
      </c>
      <c r="E1932">
        <f>IF(D1932="","",INDEX('KG1-4'!$AD15:$IM15,MATCH(D1932,'KG1-4'!$AD$5:$IM$5,0)))</f>
        <v/>
      </c>
      <c r="F1932">
        <f>IF(D1932="","",COUNTIFS('KG1-4'!$AD15:$IM15,"غياب بدون عذر",'KG1-4'!$AD$7:$IM$7,"✓",'KG1-4'!$AD$5:$IM$5,"&lt;="&amp;D1932))</f>
        <v/>
      </c>
      <c r="G1932">
        <f>G1931+IF(D1932="",0,1)</f>
        <v/>
      </c>
    </row>
    <row r="1933">
      <c r="A1933">
        <f>IF('KG1-4'!$B15="","",'KG1-4'!$B15)</f>
        <v/>
      </c>
      <c r="B1933">
        <f>IF(A1933="","",'KG1-4'!$C15)</f>
        <v/>
      </c>
      <c r="C1933">
        <f>IF(A1933="","",'KG1-4'!$B$2)</f>
        <v/>
      </c>
      <c r="D1933" s="126">
        <f t="array" ref="D1933">IF(A1933="","",IFERROR(SMALL(IF((('KG1-4'!$AD15:$IM15="غياب بدون عذر")+('KG1-4'!$AD15:$IM15="غياب بعذر"))*('KG1-4'!$AD$7:$IM$7="✓"),'KG1-4'!$AD$5:$IM$5),12),""))</f>
        <v/>
      </c>
      <c r="E1933">
        <f>IF(D1933="","",INDEX('KG1-4'!$AD15:$IM15,MATCH(D1933,'KG1-4'!$AD$5:$IM$5,0)))</f>
        <v/>
      </c>
      <c r="F1933">
        <f>IF(D1933="","",COUNTIFS('KG1-4'!$AD15:$IM15,"غياب بدون عذر",'KG1-4'!$AD$7:$IM$7,"✓",'KG1-4'!$AD$5:$IM$5,"&lt;="&amp;D1933))</f>
        <v/>
      </c>
      <c r="G1933">
        <f>G1932+IF(D1933="",0,1)</f>
        <v/>
      </c>
    </row>
    <row r="1934">
      <c r="A1934">
        <f>IF('KG1-4'!$B15="","",'KG1-4'!$B15)</f>
        <v/>
      </c>
      <c r="B1934">
        <f>IF(A1934="","",'KG1-4'!$C15)</f>
        <v/>
      </c>
      <c r="C1934">
        <f>IF(A1934="","",'KG1-4'!$B$2)</f>
        <v/>
      </c>
      <c r="D1934" s="126">
        <f t="array" ref="D1934">IF(A1934="","",IFERROR(SMALL(IF((('KG1-4'!$AD15:$IM15="غياب بدون عذر")+('KG1-4'!$AD15:$IM15="غياب بعذر"))*('KG1-4'!$AD$7:$IM$7="✓"),'KG1-4'!$AD$5:$IM$5),13),""))</f>
        <v/>
      </c>
      <c r="E1934">
        <f>IF(D1934="","",INDEX('KG1-4'!$AD15:$IM15,MATCH(D1934,'KG1-4'!$AD$5:$IM$5,0)))</f>
        <v/>
      </c>
      <c r="F1934">
        <f>IF(D1934="","",COUNTIFS('KG1-4'!$AD15:$IM15,"غياب بدون عذر",'KG1-4'!$AD$7:$IM$7,"✓",'KG1-4'!$AD$5:$IM$5,"&lt;="&amp;D1934))</f>
        <v/>
      </c>
      <c r="G1934">
        <f>G1933+IF(D1934="",0,1)</f>
        <v/>
      </c>
    </row>
    <row r="1935">
      <c r="A1935">
        <f>IF('KG1-4'!$B15="","",'KG1-4'!$B15)</f>
        <v/>
      </c>
      <c r="B1935">
        <f>IF(A1935="","",'KG1-4'!$C15)</f>
        <v/>
      </c>
      <c r="C1935">
        <f>IF(A1935="","",'KG1-4'!$B$2)</f>
        <v/>
      </c>
      <c r="D1935" s="126">
        <f t="array" ref="D1935">IF(A1935="","",IFERROR(SMALL(IF((('KG1-4'!$AD15:$IM15="غياب بدون عذر")+('KG1-4'!$AD15:$IM15="غياب بعذر"))*('KG1-4'!$AD$7:$IM$7="✓"),'KG1-4'!$AD$5:$IM$5),14),""))</f>
        <v/>
      </c>
      <c r="E1935">
        <f>IF(D1935="","",INDEX('KG1-4'!$AD15:$IM15,MATCH(D1935,'KG1-4'!$AD$5:$IM$5,0)))</f>
        <v/>
      </c>
      <c r="F1935">
        <f>IF(D1935="","",COUNTIFS('KG1-4'!$AD15:$IM15,"غياب بدون عذر",'KG1-4'!$AD$7:$IM$7,"✓",'KG1-4'!$AD$5:$IM$5,"&lt;="&amp;D1935))</f>
        <v/>
      </c>
      <c r="G1935">
        <f>G1934+IF(D1935="",0,1)</f>
        <v/>
      </c>
    </row>
    <row r="1936">
      <c r="A1936">
        <f>IF('KG1-4'!$B15="","",'KG1-4'!$B15)</f>
        <v/>
      </c>
      <c r="B1936">
        <f>IF(A1936="","",'KG1-4'!$C15)</f>
        <v/>
      </c>
      <c r="C1936">
        <f>IF(A1936="","",'KG1-4'!$B$2)</f>
        <v/>
      </c>
      <c r="D1936" s="126">
        <f t="array" ref="D1936">IF(A1936="","",IFERROR(SMALL(IF((('KG1-4'!$AD15:$IM15="غياب بدون عذر")+('KG1-4'!$AD15:$IM15="غياب بعذر"))*('KG1-4'!$AD$7:$IM$7="✓"),'KG1-4'!$AD$5:$IM$5),15),""))</f>
        <v/>
      </c>
      <c r="E1936">
        <f>IF(D1936="","",INDEX('KG1-4'!$AD15:$IM15,MATCH(D1936,'KG1-4'!$AD$5:$IM$5,0)))</f>
        <v/>
      </c>
      <c r="F1936">
        <f>IF(D1936="","",COUNTIFS('KG1-4'!$AD15:$IM15,"غياب بدون عذر",'KG1-4'!$AD$7:$IM$7,"✓",'KG1-4'!$AD$5:$IM$5,"&lt;="&amp;D1936))</f>
        <v/>
      </c>
      <c r="G1936">
        <f>G1935+IF(D1936="",0,1)</f>
        <v/>
      </c>
    </row>
    <row r="1937">
      <c r="A1937">
        <f>IF('KG1-4'!$B15="","",'KG1-4'!$B15)</f>
        <v/>
      </c>
      <c r="B1937">
        <f>IF(A1937="","",'KG1-4'!$C15)</f>
        <v/>
      </c>
      <c r="C1937">
        <f>IF(A1937="","",'KG1-4'!$B$2)</f>
        <v/>
      </c>
      <c r="D1937" s="126">
        <f t="array" ref="D1937">IF(A1937="","",IFERROR(SMALL(IF((('KG1-4'!$AD15:$IM15="غياب بدون عذر")+('KG1-4'!$AD15:$IM15="غياب بعذر"))*('KG1-4'!$AD$7:$IM$7="✓"),'KG1-4'!$AD$5:$IM$5),16),""))</f>
        <v/>
      </c>
      <c r="E1937">
        <f>IF(D1937="","",INDEX('KG1-4'!$AD15:$IM15,MATCH(D1937,'KG1-4'!$AD$5:$IM$5,0)))</f>
        <v/>
      </c>
      <c r="F1937">
        <f>IF(D1937="","",COUNTIFS('KG1-4'!$AD15:$IM15,"غياب بدون عذر",'KG1-4'!$AD$7:$IM$7,"✓",'KG1-4'!$AD$5:$IM$5,"&lt;="&amp;D1937))</f>
        <v/>
      </c>
      <c r="G1937">
        <f>G1936+IF(D1937="",0,1)</f>
        <v/>
      </c>
    </row>
    <row r="1938">
      <c r="A1938">
        <f>IF('KG1-4'!$B15="","",'KG1-4'!$B15)</f>
        <v/>
      </c>
      <c r="B1938">
        <f>IF(A1938="","",'KG1-4'!$C15)</f>
        <v/>
      </c>
      <c r="C1938">
        <f>IF(A1938="","",'KG1-4'!$B$2)</f>
        <v/>
      </c>
      <c r="D1938" s="126">
        <f t="array" ref="D1938">IF(A1938="","",IFERROR(SMALL(IF((('KG1-4'!$AD15:$IM15="غياب بدون عذر")+('KG1-4'!$AD15:$IM15="غياب بعذر"))*('KG1-4'!$AD$7:$IM$7="✓"),'KG1-4'!$AD$5:$IM$5),17),""))</f>
        <v/>
      </c>
      <c r="E1938">
        <f>IF(D1938="","",INDEX('KG1-4'!$AD15:$IM15,MATCH(D1938,'KG1-4'!$AD$5:$IM$5,0)))</f>
        <v/>
      </c>
      <c r="F1938">
        <f>IF(D1938="","",COUNTIFS('KG1-4'!$AD15:$IM15,"غياب بدون عذر",'KG1-4'!$AD$7:$IM$7,"✓",'KG1-4'!$AD$5:$IM$5,"&lt;="&amp;D1938))</f>
        <v/>
      </c>
      <c r="G1938">
        <f>G1937+IF(D1938="",0,1)</f>
        <v/>
      </c>
    </row>
    <row r="1939">
      <c r="A1939">
        <f>IF('KG1-4'!$B15="","",'KG1-4'!$B15)</f>
        <v/>
      </c>
      <c r="B1939">
        <f>IF(A1939="","",'KG1-4'!$C15)</f>
        <v/>
      </c>
      <c r="C1939">
        <f>IF(A1939="","",'KG1-4'!$B$2)</f>
        <v/>
      </c>
      <c r="D1939" s="126">
        <f t="array" ref="D1939">IF(A1939="","",IFERROR(SMALL(IF((('KG1-4'!$AD15:$IM15="غياب بدون عذر")+('KG1-4'!$AD15:$IM15="غياب بعذر"))*('KG1-4'!$AD$7:$IM$7="✓"),'KG1-4'!$AD$5:$IM$5),18),""))</f>
        <v/>
      </c>
      <c r="E1939">
        <f>IF(D1939="","",INDEX('KG1-4'!$AD15:$IM15,MATCH(D1939,'KG1-4'!$AD$5:$IM$5,0)))</f>
        <v/>
      </c>
      <c r="F1939">
        <f>IF(D1939="","",COUNTIFS('KG1-4'!$AD15:$IM15,"غياب بدون عذر",'KG1-4'!$AD$7:$IM$7,"✓",'KG1-4'!$AD$5:$IM$5,"&lt;="&amp;D1939))</f>
        <v/>
      </c>
      <c r="G1939">
        <f>G1938+IF(D1939="",0,1)</f>
        <v/>
      </c>
    </row>
    <row r="1940">
      <c r="A1940">
        <f>IF('KG1-4'!$B15="","",'KG1-4'!$B15)</f>
        <v/>
      </c>
      <c r="B1940">
        <f>IF(A1940="","",'KG1-4'!$C15)</f>
        <v/>
      </c>
      <c r="C1940">
        <f>IF(A1940="","",'KG1-4'!$B$2)</f>
        <v/>
      </c>
      <c r="D1940" s="126">
        <f t="array" ref="D1940">IF(A1940="","",IFERROR(SMALL(IF((('KG1-4'!$AD15:$IM15="غياب بدون عذر")+('KG1-4'!$AD15:$IM15="غياب بعذر"))*('KG1-4'!$AD$7:$IM$7="✓"),'KG1-4'!$AD$5:$IM$5),19),""))</f>
        <v/>
      </c>
      <c r="E1940">
        <f>IF(D1940="","",INDEX('KG1-4'!$AD15:$IM15,MATCH(D1940,'KG1-4'!$AD$5:$IM$5,0)))</f>
        <v/>
      </c>
      <c r="F1940">
        <f>IF(D1940="","",COUNTIFS('KG1-4'!$AD15:$IM15,"غياب بدون عذر",'KG1-4'!$AD$7:$IM$7,"✓",'KG1-4'!$AD$5:$IM$5,"&lt;="&amp;D1940))</f>
        <v/>
      </c>
      <c r="G1940">
        <f>G1939+IF(D1940="",0,1)</f>
        <v/>
      </c>
    </row>
    <row r="1941">
      <c r="A1941">
        <f>IF('KG1-4'!$B15="","",'KG1-4'!$B15)</f>
        <v/>
      </c>
      <c r="B1941">
        <f>IF(A1941="","",'KG1-4'!$C15)</f>
        <v/>
      </c>
      <c r="C1941">
        <f>IF(A1941="","",'KG1-4'!$B$2)</f>
        <v/>
      </c>
      <c r="D1941" s="126">
        <f t="array" ref="D1941">IF(A1941="","",IFERROR(SMALL(IF((('KG1-4'!$AD15:$IM15="غياب بدون عذر")+('KG1-4'!$AD15:$IM15="غياب بعذر"))*('KG1-4'!$AD$7:$IM$7="✓"),'KG1-4'!$AD$5:$IM$5),20),""))</f>
        <v/>
      </c>
      <c r="E1941">
        <f>IF(D1941="","",INDEX('KG1-4'!$AD15:$IM15,MATCH(D1941,'KG1-4'!$AD$5:$IM$5,0)))</f>
        <v/>
      </c>
      <c r="F1941">
        <f>IF(D1941="","",COUNTIFS('KG1-4'!$AD15:$IM15,"غياب بدون عذر",'KG1-4'!$AD$7:$IM$7,"✓",'KG1-4'!$AD$5:$IM$5,"&lt;="&amp;D1941))</f>
        <v/>
      </c>
      <c r="G1941">
        <f>G1940+IF(D1941="",0,1)</f>
        <v/>
      </c>
    </row>
    <row r="1942">
      <c r="A1942">
        <f>IF('KG1-4'!$B16="","",'KG1-4'!$B16)</f>
        <v/>
      </c>
      <c r="B1942">
        <f>IF(A1942="","",'KG1-4'!$C16)</f>
        <v/>
      </c>
      <c r="C1942">
        <f>IF(A1942="","",'KG1-4'!$B$2)</f>
        <v/>
      </c>
      <c r="D1942" s="126">
        <f t="array" ref="D1942">IF(A1942="","",IFERROR(SMALL(IF((('KG1-4'!$AD16:$IM16="غياب بدون عذر")+('KG1-4'!$AD16:$IM16="غياب بعذر"))*('KG1-4'!$AD$7:$IM$7="✓"),'KG1-4'!$AD$5:$IM$5),1),""))</f>
        <v/>
      </c>
      <c r="E1942">
        <f>IF(D1942="","",INDEX('KG1-4'!$AD16:$IM16,MATCH(D1942,'KG1-4'!$AD$5:$IM$5,0)))</f>
        <v/>
      </c>
      <c r="F1942">
        <f>IF(D1942="","",COUNTIFS('KG1-4'!$AD16:$IM16,"غياب بدون عذر",'KG1-4'!$AD$7:$IM$7,"✓",'KG1-4'!$AD$5:$IM$5,"&lt;="&amp;D1942))</f>
        <v/>
      </c>
      <c r="G1942">
        <f>G1941+IF(D1942="",0,1)</f>
        <v/>
      </c>
    </row>
    <row r="1943">
      <c r="A1943">
        <f>IF('KG1-4'!$B16="","",'KG1-4'!$B16)</f>
        <v/>
      </c>
      <c r="B1943">
        <f>IF(A1943="","",'KG1-4'!$C16)</f>
        <v/>
      </c>
      <c r="C1943">
        <f>IF(A1943="","",'KG1-4'!$B$2)</f>
        <v/>
      </c>
      <c r="D1943" s="126">
        <f t="array" ref="D1943">IF(A1943="","",IFERROR(SMALL(IF((('KG1-4'!$AD16:$IM16="غياب بدون عذر")+('KG1-4'!$AD16:$IM16="غياب بعذر"))*('KG1-4'!$AD$7:$IM$7="✓"),'KG1-4'!$AD$5:$IM$5),2),""))</f>
        <v/>
      </c>
      <c r="E1943">
        <f>IF(D1943="","",INDEX('KG1-4'!$AD16:$IM16,MATCH(D1943,'KG1-4'!$AD$5:$IM$5,0)))</f>
        <v/>
      </c>
      <c r="F1943">
        <f>IF(D1943="","",COUNTIFS('KG1-4'!$AD16:$IM16,"غياب بدون عذر",'KG1-4'!$AD$7:$IM$7,"✓",'KG1-4'!$AD$5:$IM$5,"&lt;="&amp;D1943))</f>
        <v/>
      </c>
      <c r="G1943">
        <f>G1942+IF(D1943="",0,1)</f>
        <v/>
      </c>
    </row>
    <row r="1944">
      <c r="A1944">
        <f>IF('KG1-4'!$B16="","",'KG1-4'!$B16)</f>
        <v/>
      </c>
      <c r="B1944">
        <f>IF(A1944="","",'KG1-4'!$C16)</f>
        <v/>
      </c>
      <c r="C1944">
        <f>IF(A1944="","",'KG1-4'!$B$2)</f>
        <v/>
      </c>
      <c r="D1944" s="126">
        <f t="array" ref="D1944">IF(A1944="","",IFERROR(SMALL(IF((('KG1-4'!$AD16:$IM16="غياب بدون عذر")+('KG1-4'!$AD16:$IM16="غياب بعذر"))*('KG1-4'!$AD$7:$IM$7="✓"),'KG1-4'!$AD$5:$IM$5),3),""))</f>
        <v/>
      </c>
      <c r="E1944">
        <f>IF(D1944="","",INDEX('KG1-4'!$AD16:$IM16,MATCH(D1944,'KG1-4'!$AD$5:$IM$5,0)))</f>
        <v/>
      </c>
      <c r="F1944">
        <f>IF(D1944="","",COUNTIFS('KG1-4'!$AD16:$IM16,"غياب بدون عذر",'KG1-4'!$AD$7:$IM$7,"✓",'KG1-4'!$AD$5:$IM$5,"&lt;="&amp;D1944))</f>
        <v/>
      </c>
      <c r="G1944">
        <f>G1943+IF(D1944="",0,1)</f>
        <v/>
      </c>
    </row>
    <row r="1945">
      <c r="A1945">
        <f>IF('KG1-4'!$B16="","",'KG1-4'!$B16)</f>
        <v/>
      </c>
      <c r="B1945">
        <f>IF(A1945="","",'KG1-4'!$C16)</f>
        <v/>
      </c>
      <c r="C1945">
        <f>IF(A1945="","",'KG1-4'!$B$2)</f>
        <v/>
      </c>
      <c r="D1945" s="126">
        <f t="array" ref="D1945">IF(A1945="","",IFERROR(SMALL(IF((('KG1-4'!$AD16:$IM16="غياب بدون عذر")+('KG1-4'!$AD16:$IM16="غياب بعذر"))*('KG1-4'!$AD$7:$IM$7="✓"),'KG1-4'!$AD$5:$IM$5),4),""))</f>
        <v/>
      </c>
      <c r="E1945">
        <f>IF(D1945="","",INDEX('KG1-4'!$AD16:$IM16,MATCH(D1945,'KG1-4'!$AD$5:$IM$5,0)))</f>
        <v/>
      </c>
      <c r="F1945">
        <f>IF(D1945="","",COUNTIFS('KG1-4'!$AD16:$IM16,"غياب بدون عذر",'KG1-4'!$AD$7:$IM$7,"✓",'KG1-4'!$AD$5:$IM$5,"&lt;="&amp;D1945))</f>
        <v/>
      </c>
      <c r="G1945">
        <f>G1944+IF(D1945="",0,1)</f>
        <v/>
      </c>
    </row>
    <row r="1946">
      <c r="A1946">
        <f>IF('KG1-4'!$B16="","",'KG1-4'!$B16)</f>
        <v/>
      </c>
      <c r="B1946">
        <f>IF(A1946="","",'KG1-4'!$C16)</f>
        <v/>
      </c>
      <c r="C1946">
        <f>IF(A1946="","",'KG1-4'!$B$2)</f>
        <v/>
      </c>
      <c r="D1946" s="126">
        <f t="array" ref="D1946">IF(A1946="","",IFERROR(SMALL(IF((('KG1-4'!$AD16:$IM16="غياب بدون عذر")+('KG1-4'!$AD16:$IM16="غياب بعذر"))*('KG1-4'!$AD$7:$IM$7="✓"),'KG1-4'!$AD$5:$IM$5),5),""))</f>
        <v/>
      </c>
      <c r="E1946">
        <f>IF(D1946="","",INDEX('KG1-4'!$AD16:$IM16,MATCH(D1946,'KG1-4'!$AD$5:$IM$5,0)))</f>
        <v/>
      </c>
      <c r="F1946">
        <f>IF(D1946="","",COUNTIFS('KG1-4'!$AD16:$IM16,"غياب بدون عذر",'KG1-4'!$AD$7:$IM$7,"✓",'KG1-4'!$AD$5:$IM$5,"&lt;="&amp;D1946))</f>
        <v/>
      </c>
      <c r="G1946">
        <f>G1945+IF(D1946="",0,1)</f>
        <v/>
      </c>
    </row>
    <row r="1947">
      <c r="A1947">
        <f>IF('KG1-4'!$B16="","",'KG1-4'!$B16)</f>
        <v/>
      </c>
      <c r="B1947">
        <f>IF(A1947="","",'KG1-4'!$C16)</f>
        <v/>
      </c>
      <c r="C1947">
        <f>IF(A1947="","",'KG1-4'!$B$2)</f>
        <v/>
      </c>
      <c r="D1947" s="126">
        <f t="array" ref="D1947">IF(A1947="","",IFERROR(SMALL(IF((('KG1-4'!$AD16:$IM16="غياب بدون عذر")+('KG1-4'!$AD16:$IM16="غياب بعذر"))*('KG1-4'!$AD$7:$IM$7="✓"),'KG1-4'!$AD$5:$IM$5),6),""))</f>
        <v/>
      </c>
      <c r="E1947">
        <f>IF(D1947="","",INDEX('KG1-4'!$AD16:$IM16,MATCH(D1947,'KG1-4'!$AD$5:$IM$5,0)))</f>
        <v/>
      </c>
      <c r="F1947">
        <f>IF(D1947="","",COUNTIFS('KG1-4'!$AD16:$IM16,"غياب بدون عذر",'KG1-4'!$AD$7:$IM$7,"✓",'KG1-4'!$AD$5:$IM$5,"&lt;="&amp;D1947))</f>
        <v/>
      </c>
      <c r="G1947">
        <f>G1946+IF(D1947="",0,1)</f>
        <v/>
      </c>
    </row>
    <row r="1948">
      <c r="A1948">
        <f>IF('KG1-4'!$B16="","",'KG1-4'!$B16)</f>
        <v/>
      </c>
      <c r="B1948">
        <f>IF(A1948="","",'KG1-4'!$C16)</f>
        <v/>
      </c>
      <c r="C1948">
        <f>IF(A1948="","",'KG1-4'!$B$2)</f>
        <v/>
      </c>
      <c r="D1948" s="126">
        <f t="array" ref="D1948">IF(A1948="","",IFERROR(SMALL(IF((('KG1-4'!$AD16:$IM16="غياب بدون عذر")+('KG1-4'!$AD16:$IM16="غياب بعذر"))*('KG1-4'!$AD$7:$IM$7="✓"),'KG1-4'!$AD$5:$IM$5),7),""))</f>
        <v/>
      </c>
      <c r="E1948">
        <f>IF(D1948="","",INDEX('KG1-4'!$AD16:$IM16,MATCH(D1948,'KG1-4'!$AD$5:$IM$5,0)))</f>
        <v/>
      </c>
      <c r="F1948">
        <f>IF(D1948="","",COUNTIFS('KG1-4'!$AD16:$IM16,"غياب بدون عذر",'KG1-4'!$AD$7:$IM$7,"✓",'KG1-4'!$AD$5:$IM$5,"&lt;="&amp;D1948))</f>
        <v/>
      </c>
      <c r="G1948">
        <f>G1947+IF(D1948="",0,1)</f>
        <v/>
      </c>
    </row>
    <row r="1949">
      <c r="A1949">
        <f>IF('KG1-4'!$B16="","",'KG1-4'!$B16)</f>
        <v/>
      </c>
      <c r="B1949">
        <f>IF(A1949="","",'KG1-4'!$C16)</f>
        <v/>
      </c>
      <c r="C1949">
        <f>IF(A1949="","",'KG1-4'!$B$2)</f>
        <v/>
      </c>
      <c r="D1949" s="126">
        <f t="array" ref="D1949">IF(A1949="","",IFERROR(SMALL(IF((('KG1-4'!$AD16:$IM16="غياب بدون عذر")+('KG1-4'!$AD16:$IM16="غياب بعذر"))*('KG1-4'!$AD$7:$IM$7="✓"),'KG1-4'!$AD$5:$IM$5),8),""))</f>
        <v/>
      </c>
      <c r="E1949">
        <f>IF(D1949="","",INDEX('KG1-4'!$AD16:$IM16,MATCH(D1949,'KG1-4'!$AD$5:$IM$5,0)))</f>
        <v/>
      </c>
      <c r="F1949">
        <f>IF(D1949="","",COUNTIFS('KG1-4'!$AD16:$IM16,"غياب بدون عذر",'KG1-4'!$AD$7:$IM$7,"✓",'KG1-4'!$AD$5:$IM$5,"&lt;="&amp;D1949))</f>
        <v/>
      </c>
      <c r="G1949">
        <f>G1948+IF(D1949="",0,1)</f>
        <v/>
      </c>
    </row>
    <row r="1950">
      <c r="A1950">
        <f>IF('KG1-4'!$B16="","",'KG1-4'!$B16)</f>
        <v/>
      </c>
      <c r="B1950">
        <f>IF(A1950="","",'KG1-4'!$C16)</f>
        <v/>
      </c>
      <c r="C1950">
        <f>IF(A1950="","",'KG1-4'!$B$2)</f>
        <v/>
      </c>
      <c r="D1950" s="126">
        <f t="array" ref="D1950">IF(A1950="","",IFERROR(SMALL(IF((('KG1-4'!$AD16:$IM16="غياب بدون عذر")+('KG1-4'!$AD16:$IM16="غياب بعذر"))*('KG1-4'!$AD$7:$IM$7="✓"),'KG1-4'!$AD$5:$IM$5),9),""))</f>
        <v/>
      </c>
      <c r="E1950">
        <f>IF(D1950="","",INDEX('KG1-4'!$AD16:$IM16,MATCH(D1950,'KG1-4'!$AD$5:$IM$5,0)))</f>
        <v/>
      </c>
      <c r="F1950">
        <f>IF(D1950="","",COUNTIFS('KG1-4'!$AD16:$IM16,"غياب بدون عذر",'KG1-4'!$AD$7:$IM$7,"✓",'KG1-4'!$AD$5:$IM$5,"&lt;="&amp;D1950))</f>
        <v/>
      </c>
      <c r="G1950">
        <f>G1949+IF(D1950="",0,1)</f>
        <v/>
      </c>
    </row>
    <row r="1951">
      <c r="A1951">
        <f>IF('KG1-4'!$B16="","",'KG1-4'!$B16)</f>
        <v/>
      </c>
      <c r="B1951">
        <f>IF(A1951="","",'KG1-4'!$C16)</f>
        <v/>
      </c>
      <c r="C1951">
        <f>IF(A1951="","",'KG1-4'!$B$2)</f>
        <v/>
      </c>
      <c r="D1951" s="126">
        <f t="array" ref="D1951">IF(A1951="","",IFERROR(SMALL(IF((('KG1-4'!$AD16:$IM16="غياب بدون عذر")+('KG1-4'!$AD16:$IM16="غياب بعذر"))*('KG1-4'!$AD$7:$IM$7="✓"),'KG1-4'!$AD$5:$IM$5),10),""))</f>
        <v/>
      </c>
      <c r="E1951">
        <f>IF(D1951="","",INDEX('KG1-4'!$AD16:$IM16,MATCH(D1951,'KG1-4'!$AD$5:$IM$5,0)))</f>
        <v/>
      </c>
      <c r="F1951">
        <f>IF(D1951="","",COUNTIFS('KG1-4'!$AD16:$IM16,"غياب بدون عذر",'KG1-4'!$AD$7:$IM$7,"✓",'KG1-4'!$AD$5:$IM$5,"&lt;="&amp;D1951))</f>
        <v/>
      </c>
      <c r="G1951">
        <f>G1950+IF(D1951="",0,1)</f>
        <v/>
      </c>
    </row>
    <row r="1952">
      <c r="A1952">
        <f>IF('KG1-4'!$B16="","",'KG1-4'!$B16)</f>
        <v/>
      </c>
      <c r="B1952">
        <f>IF(A1952="","",'KG1-4'!$C16)</f>
        <v/>
      </c>
      <c r="C1952">
        <f>IF(A1952="","",'KG1-4'!$B$2)</f>
        <v/>
      </c>
      <c r="D1952" s="126">
        <f t="array" ref="D1952">IF(A1952="","",IFERROR(SMALL(IF((('KG1-4'!$AD16:$IM16="غياب بدون عذر")+('KG1-4'!$AD16:$IM16="غياب بعذر"))*('KG1-4'!$AD$7:$IM$7="✓"),'KG1-4'!$AD$5:$IM$5),11),""))</f>
        <v/>
      </c>
      <c r="E1952">
        <f>IF(D1952="","",INDEX('KG1-4'!$AD16:$IM16,MATCH(D1952,'KG1-4'!$AD$5:$IM$5,0)))</f>
        <v/>
      </c>
      <c r="F1952">
        <f>IF(D1952="","",COUNTIFS('KG1-4'!$AD16:$IM16,"غياب بدون عذر",'KG1-4'!$AD$7:$IM$7,"✓",'KG1-4'!$AD$5:$IM$5,"&lt;="&amp;D1952))</f>
        <v/>
      </c>
      <c r="G1952">
        <f>G1951+IF(D1952="",0,1)</f>
        <v/>
      </c>
    </row>
    <row r="1953">
      <c r="A1953">
        <f>IF('KG1-4'!$B16="","",'KG1-4'!$B16)</f>
        <v/>
      </c>
      <c r="B1953">
        <f>IF(A1953="","",'KG1-4'!$C16)</f>
        <v/>
      </c>
      <c r="C1953">
        <f>IF(A1953="","",'KG1-4'!$B$2)</f>
        <v/>
      </c>
      <c r="D1953" s="126">
        <f t="array" ref="D1953">IF(A1953="","",IFERROR(SMALL(IF((('KG1-4'!$AD16:$IM16="غياب بدون عذر")+('KG1-4'!$AD16:$IM16="غياب بعذر"))*('KG1-4'!$AD$7:$IM$7="✓"),'KG1-4'!$AD$5:$IM$5),12),""))</f>
        <v/>
      </c>
      <c r="E1953">
        <f>IF(D1953="","",INDEX('KG1-4'!$AD16:$IM16,MATCH(D1953,'KG1-4'!$AD$5:$IM$5,0)))</f>
        <v/>
      </c>
      <c r="F1953">
        <f>IF(D1953="","",COUNTIFS('KG1-4'!$AD16:$IM16,"غياب بدون عذر",'KG1-4'!$AD$7:$IM$7,"✓",'KG1-4'!$AD$5:$IM$5,"&lt;="&amp;D1953))</f>
        <v/>
      </c>
      <c r="G1953">
        <f>G1952+IF(D1953="",0,1)</f>
        <v/>
      </c>
    </row>
    <row r="1954">
      <c r="A1954">
        <f>IF('KG1-4'!$B16="","",'KG1-4'!$B16)</f>
        <v/>
      </c>
      <c r="B1954">
        <f>IF(A1954="","",'KG1-4'!$C16)</f>
        <v/>
      </c>
      <c r="C1954">
        <f>IF(A1954="","",'KG1-4'!$B$2)</f>
        <v/>
      </c>
      <c r="D1954" s="126">
        <f t="array" ref="D1954">IF(A1954="","",IFERROR(SMALL(IF((('KG1-4'!$AD16:$IM16="غياب بدون عذر")+('KG1-4'!$AD16:$IM16="غياب بعذر"))*('KG1-4'!$AD$7:$IM$7="✓"),'KG1-4'!$AD$5:$IM$5),13),""))</f>
        <v/>
      </c>
      <c r="E1954">
        <f>IF(D1954="","",INDEX('KG1-4'!$AD16:$IM16,MATCH(D1954,'KG1-4'!$AD$5:$IM$5,0)))</f>
        <v/>
      </c>
      <c r="F1954">
        <f>IF(D1954="","",COUNTIFS('KG1-4'!$AD16:$IM16,"غياب بدون عذر",'KG1-4'!$AD$7:$IM$7,"✓",'KG1-4'!$AD$5:$IM$5,"&lt;="&amp;D1954))</f>
        <v/>
      </c>
      <c r="G1954">
        <f>G1953+IF(D1954="",0,1)</f>
        <v/>
      </c>
    </row>
    <row r="1955">
      <c r="A1955">
        <f>IF('KG1-4'!$B16="","",'KG1-4'!$B16)</f>
        <v/>
      </c>
      <c r="B1955">
        <f>IF(A1955="","",'KG1-4'!$C16)</f>
        <v/>
      </c>
      <c r="C1955">
        <f>IF(A1955="","",'KG1-4'!$B$2)</f>
        <v/>
      </c>
      <c r="D1955" s="126">
        <f t="array" ref="D1955">IF(A1955="","",IFERROR(SMALL(IF((('KG1-4'!$AD16:$IM16="غياب بدون عذر")+('KG1-4'!$AD16:$IM16="غياب بعذر"))*('KG1-4'!$AD$7:$IM$7="✓"),'KG1-4'!$AD$5:$IM$5),14),""))</f>
        <v/>
      </c>
      <c r="E1955">
        <f>IF(D1955="","",INDEX('KG1-4'!$AD16:$IM16,MATCH(D1955,'KG1-4'!$AD$5:$IM$5,0)))</f>
        <v/>
      </c>
      <c r="F1955">
        <f>IF(D1955="","",COUNTIFS('KG1-4'!$AD16:$IM16,"غياب بدون عذر",'KG1-4'!$AD$7:$IM$7,"✓",'KG1-4'!$AD$5:$IM$5,"&lt;="&amp;D1955))</f>
        <v/>
      </c>
      <c r="G1955">
        <f>G1954+IF(D1955="",0,1)</f>
        <v/>
      </c>
    </row>
    <row r="1956">
      <c r="A1956">
        <f>IF('KG1-4'!$B16="","",'KG1-4'!$B16)</f>
        <v/>
      </c>
      <c r="B1956">
        <f>IF(A1956="","",'KG1-4'!$C16)</f>
        <v/>
      </c>
      <c r="C1956">
        <f>IF(A1956="","",'KG1-4'!$B$2)</f>
        <v/>
      </c>
      <c r="D1956" s="126">
        <f t="array" ref="D1956">IF(A1956="","",IFERROR(SMALL(IF((('KG1-4'!$AD16:$IM16="غياب بدون عذر")+('KG1-4'!$AD16:$IM16="غياب بعذر"))*('KG1-4'!$AD$7:$IM$7="✓"),'KG1-4'!$AD$5:$IM$5),15),""))</f>
        <v/>
      </c>
      <c r="E1956">
        <f>IF(D1956="","",INDEX('KG1-4'!$AD16:$IM16,MATCH(D1956,'KG1-4'!$AD$5:$IM$5,0)))</f>
        <v/>
      </c>
      <c r="F1956">
        <f>IF(D1956="","",COUNTIFS('KG1-4'!$AD16:$IM16,"غياب بدون عذر",'KG1-4'!$AD$7:$IM$7,"✓",'KG1-4'!$AD$5:$IM$5,"&lt;="&amp;D1956))</f>
        <v/>
      </c>
      <c r="G1956">
        <f>G1955+IF(D1956="",0,1)</f>
        <v/>
      </c>
    </row>
    <row r="1957">
      <c r="A1957">
        <f>IF('KG1-4'!$B16="","",'KG1-4'!$B16)</f>
        <v/>
      </c>
      <c r="B1957">
        <f>IF(A1957="","",'KG1-4'!$C16)</f>
        <v/>
      </c>
      <c r="C1957">
        <f>IF(A1957="","",'KG1-4'!$B$2)</f>
        <v/>
      </c>
      <c r="D1957" s="126">
        <f t="array" ref="D1957">IF(A1957="","",IFERROR(SMALL(IF((('KG1-4'!$AD16:$IM16="غياب بدون عذر")+('KG1-4'!$AD16:$IM16="غياب بعذر"))*('KG1-4'!$AD$7:$IM$7="✓"),'KG1-4'!$AD$5:$IM$5),16),""))</f>
        <v/>
      </c>
      <c r="E1957">
        <f>IF(D1957="","",INDEX('KG1-4'!$AD16:$IM16,MATCH(D1957,'KG1-4'!$AD$5:$IM$5,0)))</f>
        <v/>
      </c>
      <c r="F1957">
        <f>IF(D1957="","",COUNTIFS('KG1-4'!$AD16:$IM16,"غياب بدون عذر",'KG1-4'!$AD$7:$IM$7,"✓",'KG1-4'!$AD$5:$IM$5,"&lt;="&amp;D1957))</f>
        <v/>
      </c>
      <c r="G1957">
        <f>G1956+IF(D1957="",0,1)</f>
        <v/>
      </c>
    </row>
    <row r="1958">
      <c r="A1958">
        <f>IF('KG1-4'!$B16="","",'KG1-4'!$B16)</f>
        <v/>
      </c>
      <c r="B1958">
        <f>IF(A1958="","",'KG1-4'!$C16)</f>
        <v/>
      </c>
      <c r="C1958">
        <f>IF(A1958="","",'KG1-4'!$B$2)</f>
        <v/>
      </c>
      <c r="D1958" s="126">
        <f t="array" ref="D1958">IF(A1958="","",IFERROR(SMALL(IF((('KG1-4'!$AD16:$IM16="غياب بدون عذر")+('KG1-4'!$AD16:$IM16="غياب بعذر"))*('KG1-4'!$AD$7:$IM$7="✓"),'KG1-4'!$AD$5:$IM$5),17),""))</f>
        <v/>
      </c>
      <c r="E1958">
        <f>IF(D1958="","",INDEX('KG1-4'!$AD16:$IM16,MATCH(D1958,'KG1-4'!$AD$5:$IM$5,0)))</f>
        <v/>
      </c>
      <c r="F1958">
        <f>IF(D1958="","",COUNTIFS('KG1-4'!$AD16:$IM16,"غياب بدون عذر",'KG1-4'!$AD$7:$IM$7,"✓",'KG1-4'!$AD$5:$IM$5,"&lt;="&amp;D1958))</f>
        <v/>
      </c>
      <c r="G1958">
        <f>G1957+IF(D1958="",0,1)</f>
        <v/>
      </c>
    </row>
    <row r="1959">
      <c r="A1959">
        <f>IF('KG1-4'!$B16="","",'KG1-4'!$B16)</f>
        <v/>
      </c>
      <c r="B1959">
        <f>IF(A1959="","",'KG1-4'!$C16)</f>
        <v/>
      </c>
      <c r="C1959">
        <f>IF(A1959="","",'KG1-4'!$B$2)</f>
        <v/>
      </c>
      <c r="D1959" s="126">
        <f t="array" ref="D1959">IF(A1959="","",IFERROR(SMALL(IF((('KG1-4'!$AD16:$IM16="غياب بدون عذر")+('KG1-4'!$AD16:$IM16="غياب بعذر"))*('KG1-4'!$AD$7:$IM$7="✓"),'KG1-4'!$AD$5:$IM$5),18),""))</f>
        <v/>
      </c>
      <c r="E1959">
        <f>IF(D1959="","",INDEX('KG1-4'!$AD16:$IM16,MATCH(D1959,'KG1-4'!$AD$5:$IM$5,0)))</f>
        <v/>
      </c>
      <c r="F1959">
        <f>IF(D1959="","",COUNTIFS('KG1-4'!$AD16:$IM16,"غياب بدون عذر",'KG1-4'!$AD$7:$IM$7,"✓",'KG1-4'!$AD$5:$IM$5,"&lt;="&amp;D1959))</f>
        <v/>
      </c>
      <c r="G1959">
        <f>G1958+IF(D1959="",0,1)</f>
        <v/>
      </c>
    </row>
    <row r="1960">
      <c r="A1960">
        <f>IF('KG1-4'!$B16="","",'KG1-4'!$B16)</f>
        <v/>
      </c>
      <c r="B1960">
        <f>IF(A1960="","",'KG1-4'!$C16)</f>
        <v/>
      </c>
      <c r="C1960">
        <f>IF(A1960="","",'KG1-4'!$B$2)</f>
        <v/>
      </c>
      <c r="D1960" s="126">
        <f t="array" ref="D1960">IF(A1960="","",IFERROR(SMALL(IF((('KG1-4'!$AD16:$IM16="غياب بدون عذر")+('KG1-4'!$AD16:$IM16="غياب بعذر"))*('KG1-4'!$AD$7:$IM$7="✓"),'KG1-4'!$AD$5:$IM$5),19),""))</f>
        <v/>
      </c>
      <c r="E1960">
        <f>IF(D1960="","",INDEX('KG1-4'!$AD16:$IM16,MATCH(D1960,'KG1-4'!$AD$5:$IM$5,0)))</f>
        <v/>
      </c>
      <c r="F1960">
        <f>IF(D1960="","",COUNTIFS('KG1-4'!$AD16:$IM16,"غياب بدون عذر",'KG1-4'!$AD$7:$IM$7,"✓",'KG1-4'!$AD$5:$IM$5,"&lt;="&amp;D1960))</f>
        <v/>
      </c>
      <c r="G1960">
        <f>G1959+IF(D1960="",0,1)</f>
        <v/>
      </c>
    </row>
    <row r="1961">
      <c r="A1961">
        <f>IF('KG1-4'!$B16="","",'KG1-4'!$B16)</f>
        <v/>
      </c>
      <c r="B1961">
        <f>IF(A1961="","",'KG1-4'!$C16)</f>
        <v/>
      </c>
      <c r="C1961">
        <f>IF(A1961="","",'KG1-4'!$B$2)</f>
        <v/>
      </c>
      <c r="D1961" s="126">
        <f t="array" ref="D1961">IF(A1961="","",IFERROR(SMALL(IF((('KG1-4'!$AD16:$IM16="غياب بدون عذر")+('KG1-4'!$AD16:$IM16="غياب بعذر"))*('KG1-4'!$AD$7:$IM$7="✓"),'KG1-4'!$AD$5:$IM$5),20),""))</f>
        <v/>
      </c>
      <c r="E1961">
        <f>IF(D1961="","",INDEX('KG1-4'!$AD16:$IM16,MATCH(D1961,'KG1-4'!$AD$5:$IM$5,0)))</f>
        <v/>
      </c>
      <c r="F1961">
        <f>IF(D1961="","",COUNTIFS('KG1-4'!$AD16:$IM16,"غياب بدون عذر",'KG1-4'!$AD$7:$IM$7,"✓",'KG1-4'!$AD$5:$IM$5,"&lt;="&amp;D1961))</f>
        <v/>
      </c>
      <c r="G1961">
        <f>G1960+IF(D1961="",0,1)</f>
        <v/>
      </c>
    </row>
    <row r="1962">
      <c r="A1962">
        <f>IF('KG1-4'!$B17="","",'KG1-4'!$B17)</f>
        <v/>
      </c>
      <c r="B1962">
        <f>IF(A1962="","",'KG1-4'!$C17)</f>
        <v/>
      </c>
      <c r="C1962">
        <f>IF(A1962="","",'KG1-4'!$B$2)</f>
        <v/>
      </c>
      <c r="D1962" s="126">
        <f t="array" ref="D1962">IF(A1962="","",IFERROR(SMALL(IF((('KG1-4'!$AD17:$IM17="غياب بدون عذر")+('KG1-4'!$AD17:$IM17="غياب بعذر"))*('KG1-4'!$AD$7:$IM$7="✓"),'KG1-4'!$AD$5:$IM$5),1),""))</f>
        <v/>
      </c>
      <c r="E1962">
        <f>IF(D1962="","",INDEX('KG1-4'!$AD17:$IM17,MATCH(D1962,'KG1-4'!$AD$5:$IM$5,0)))</f>
        <v/>
      </c>
      <c r="F1962">
        <f>IF(D1962="","",COUNTIFS('KG1-4'!$AD17:$IM17,"غياب بدون عذر",'KG1-4'!$AD$7:$IM$7,"✓",'KG1-4'!$AD$5:$IM$5,"&lt;="&amp;D1962))</f>
        <v/>
      </c>
      <c r="G1962">
        <f>G1961+IF(D1962="",0,1)</f>
        <v/>
      </c>
    </row>
    <row r="1963">
      <c r="A1963">
        <f>IF('KG1-4'!$B17="","",'KG1-4'!$B17)</f>
        <v/>
      </c>
      <c r="B1963">
        <f>IF(A1963="","",'KG1-4'!$C17)</f>
        <v/>
      </c>
      <c r="C1963">
        <f>IF(A1963="","",'KG1-4'!$B$2)</f>
        <v/>
      </c>
      <c r="D1963" s="126">
        <f t="array" ref="D1963">IF(A1963="","",IFERROR(SMALL(IF((('KG1-4'!$AD17:$IM17="غياب بدون عذر")+('KG1-4'!$AD17:$IM17="غياب بعذر"))*('KG1-4'!$AD$7:$IM$7="✓"),'KG1-4'!$AD$5:$IM$5),2),""))</f>
        <v/>
      </c>
      <c r="E1963">
        <f>IF(D1963="","",INDEX('KG1-4'!$AD17:$IM17,MATCH(D1963,'KG1-4'!$AD$5:$IM$5,0)))</f>
        <v/>
      </c>
      <c r="F1963">
        <f>IF(D1963="","",COUNTIFS('KG1-4'!$AD17:$IM17,"غياب بدون عذر",'KG1-4'!$AD$7:$IM$7,"✓",'KG1-4'!$AD$5:$IM$5,"&lt;="&amp;D1963))</f>
        <v/>
      </c>
      <c r="G1963">
        <f>G1962+IF(D1963="",0,1)</f>
        <v/>
      </c>
    </row>
    <row r="1964">
      <c r="A1964">
        <f>IF('KG1-4'!$B17="","",'KG1-4'!$B17)</f>
        <v/>
      </c>
      <c r="B1964">
        <f>IF(A1964="","",'KG1-4'!$C17)</f>
        <v/>
      </c>
      <c r="C1964">
        <f>IF(A1964="","",'KG1-4'!$B$2)</f>
        <v/>
      </c>
      <c r="D1964" s="126">
        <f t="array" ref="D1964">IF(A1964="","",IFERROR(SMALL(IF((('KG1-4'!$AD17:$IM17="غياب بدون عذر")+('KG1-4'!$AD17:$IM17="غياب بعذر"))*('KG1-4'!$AD$7:$IM$7="✓"),'KG1-4'!$AD$5:$IM$5),3),""))</f>
        <v/>
      </c>
      <c r="E1964">
        <f>IF(D1964="","",INDEX('KG1-4'!$AD17:$IM17,MATCH(D1964,'KG1-4'!$AD$5:$IM$5,0)))</f>
        <v/>
      </c>
      <c r="F1964">
        <f>IF(D1964="","",COUNTIFS('KG1-4'!$AD17:$IM17,"غياب بدون عذر",'KG1-4'!$AD$7:$IM$7,"✓",'KG1-4'!$AD$5:$IM$5,"&lt;="&amp;D1964))</f>
        <v/>
      </c>
      <c r="G1964">
        <f>G1963+IF(D1964="",0,1)</f>
        <v/>
      </c>
    </row>
    <row r="1965">
      <c r="A1965">
        <f>IF('KG1-4'!$B17="","",'KG1-4'!$B17)</f>
        <v/>
      </c>
      <c r="B1965">
        <f>IF(A1965="","",'KG1-4'!$C17)</f>
        <v/>
      </c>
      <c r="C1965">
        <f>IF(A1965="","",'KG1-4'!$B$2)</f>
        <v/>
      </c>
      <c r="D1965" s="126">
        <f t="array" ref="D1965">IF(A1965="","",IFERROR(SMALL(IF((('KG1-4'!$AD17:$IM17="غياب بدون عذر")+('KG1-4'!$AD17:$IM17="غياب بعذر"))*('KG1-4'!$AD$7:$IM$7="✓"),'KG1-4'!$AD$5:$IM$5),4),""))</f>
        <v/>
      </c>
      <c r="E1965">
        <f>IF(D1965="","",INDEX('KG1-4'!$AD17:$IM17,MATCH(D1965,'KG1-4'!$AD$5:$IM$5,0)))</f>
        <v/>
      </c>
      <c r="F1965">
        <f>IF(D1965="","",COUNTIFS('KG1-4'!$AD17:$IM17,"غياب بدون عذر",'KG1-4'!$AD$7:$IM$7,"✓",'KG1-4'!$AD$5:$IM$5,"&lt;="&amp;D1965))</f>
        <v/>
      </c>
      <c r="G1965">
        <f>G1964+IF(D1965="",0,1)</f>
        <v/>
      </c>
    </row>
    <row r="1966">
      <c r="A1966">
        <f>IF('KG1-4'!$B17="","",'KG1-4'!$B17)</f>
        <v/>
      </c>
      <c r="B1966">
        <f>IF(A1966="","",'KG1-4'!$C17)</f>
        <v/>
      </c>
      <c r="C1966">
        <f>IF(A1966="","",'KG1-4'!$B$2)</f>
        <v/>
      </c>
      <c r="D1966" s="126">
        <f t="array" ref="D1966">IF(A1966="","",IFERROR(SMALL(IF((('KG1-4'!$AD17:$IM17="غياب بدون عذر")+('KG1-4'!$AD17:$IM17="غياب بعذر"))*('KG1-4'!$AD$7:$IM$7="✓"),'KG1-4'!$AD$5:$IM$5),5),""))</f>
        <v/>
      </c>
      <c r="E1966">
        <f>IF(D1966="","",INDEX('KG1-4'!$AD17:$IM17,MATCH(D1966,'KG1-4'!$AD$5:$IM$5,0)))</f>
        <v/>
      </c>
      <c r="F1966">
        <f>IF(D1966="","",COUNTIFS('KG1-4'!$AD17:$IM17,"غياب بدون عذر",'KG1-4'!$AD$7:$IM$7,"✓",'KG1-4'!$AD$5:$IM$5,"&lt;="&amp;D1966))</f>
        <v/>
      </c>
      <c r="G1966">
        <f>G1965+IF(D1966="",0,1)</f>
        <v/>
      </c>
    </row>
    <row r="1967">
      <c r="A1967">
        <f>IF('KG1-4'!$B17="","",'KG1-4'!$B17)</f>
        <v/>
      </c>
      <c r="B1967">
        <f>IF(A1967="","",'KG1-4'!$C17)</f>
        <v/>
      </c>
      <c r="C1967">
        <f>IF(A1967="","",'KG1-4'!$B$2)</f>
        <v/>
      </c>
      <c r="D1967" s="126">
        <f t="array" ref="D1967">IF(A1967="","",IFERROR(SMALL(IF((('KG1-4'!$AD17:$IM17="غياب بدون عذر")+('KG1-4'!$AD17:$IM17="غياب بعذر"))*('KG1-4'!$AD$7:$IM$7="✓"),'KG1-4'!$AD$5:$IM$5),6),""))</f>
        <v/>
      </c>
      <c r="E1967">
        <f>IF(D1967="","",INDEX('KG1-4'!$AD17:$IM17,MATCH(D1967,'KG1-4'!$AD$5:$IM$5,0)))</f>
        <v/>
      </c>
      <c r="F1967">
        <f>IF(D1967="","",COUNTIFS('KG1-4'!$AD17:$IM17,"غياب بدون عذر",'KG1-4'!$AD$7:$IM$7,"✓",'KG1-4'!$AD$5:$IM$5,"&lt;="&amp;D1967))</f>
        <v/>
      </c>
      <c r="G1967">
        <f>G1966+IF(D1967="",0,1)</f>
        <v/>
      </c>
    </row>
    <row r="1968">
      <c r="A1968">
        <f>IF('KG1-4'!$B17="","",'KG1-4'!$B17)</f>
        <v/>
      </c>
      <c r="B1968">
        <f>IF(A1968="","",'KG1-4'!$C17)</f>
        <v/>
      </c>
      <c r="C1968">
        <f>IF(A1968="","",'KG1-4'!$B$2)</f>
        <v/>
      </c>
      <c r="D1968" s="126">
        <f t="array" ref="D1968">IF(A1968="","",IFERROR(SMALL(IF((('KG1-4'!$AD17:$IM17="غياب بدون عذر")+('KG1-4'!$AD17:$IM17="غياب بعذر"))*('KG1-4'!$AD$7:$IM$7="✓"),'KG1-4'!$AD$5:$IM$5),7),""))</f>
        <v/>
      </c>
      <c r="E1968">
        <f>IF(D1968="","",INDEX('KG1-4'!$AD17:$IM17,MATCH(D1968,'KG1-4'!$AD$5:$IM$5,0)))</f>
        <v/>
      </c>
      <c r="F1968">
        <f>IF(D1968="","",COUNTIFS('KG1-4'!$AD17:$IM17,"غياب بدون عذر",'KG1-4'!$AD$7:$IM$7,"✓",'KG1-4'!$AD$5:$IM$5,"&lt;="&amp;D1968))</f>
        <v/>
      </c>
      <c r="G1968">
        <f>G1967+IF(D1968="",0,1)</f>
        <v/>
      </c>
    </row>
    <row r="1969">
      <c r="A1969">
        <f>IF('KG1-4'!$B17="","",'KG1-4'!$B17)</f>
        <v/>
      </c>
      <c r="B1969">
        <f>IF(A1969="","",'KG1-4'!$C17)</f>
        <v/>
      </c>
      <c r="C1969">
        <f>IF(A1969="","",'KG1-4'!$B$2)</f>
        <v/>
      </c>
      <c r="D1969" s="126">
        <f t="array" ref="D1969">IF(A1969="","",IFERROR(SMALL(IF((('KG1-4'!$AD17:$IM17="غياب بدون عذر")+('KG1-4'!$AD17:$IM17="غياب بعذر"))*('KG1-4'!$AD$7:$IM$7="✓"),'KG1-4'!$AD$5:$IM$5),8),""))</f>
        <v/>
      </c>
      <c r="E1969">
        <f>IF(D1969="","",INDEX('KG1-4'!$AD17:$IM17,MATCH(D1969,'KG1-4'!$AD$5:$IM$5,0)))</f>
        <v/>
      </c>
      <c r="F1969">
        <f>IF(D1969="","",COUNTIFS('KG1-4'!$AD17:$IM17,"غياب بدون عذر",'KG1-4'!$AD$7:$IM$7,"✓",'KG1-4'!$AD$5:$IM$5,"&lt;="&amp;D1969))</f>
        <v/>
      </c>
      <c r="G1969">
        <f>G1968+IF(D1969="",0,1)</f>
        <v/>
      </c>
    </row>
    <row r="1970">
      <c r="A1970">
        <f>IF('KG1-4'!$B17="","",'KG1-4'!$B17)</f>
        <v/>
      </c>
      <c r="B1970">
        <f>IF(A1970="","",'KG1-4'!$C17)</f>
        <v/>
      </c>
      <c r="C1970">
        <f>IF(A1970="","",'KG1-4'!$B$2)</f>
        <v/>
      </c>
      <c r="D1970" s="126">
        <f t="array" ref="D1970">IF(A1970="","",IFERROR(SMALL(IF((('KG1-4'!$AD17:$IM17="غياب بدون عذر")+('KG1-4'!$AD17:$IM17="غياب بعذر"))*('KG1-4'!$AD$7:$IM$7="✓"),'KG1-4'!$AD$5:$IM$5),9),""))</f>
        <v/>
      </c>
      <c r="E1970">
        <f>IF(D1970="","",INDEX('KG1-4'!$AD17:$IM17,MATCH(D1970,'KG1-4'!$AD$5:$IM$5,0)))</f>
        <v/>
      </c>
      <c r="F1970">
        <f>IF(D1970="","",COUNTIFS('KG1-4'!$AD17:$IM17,"غياب بدون عذر",'KG1-4'!$AD$7:$IM$7,"✓",'KG1-4'!$AD$5:$IM$5,"&lt;="&amp;D1970))</f>
        <v/>
      </c>
      <c r="G1970">
        <f>G1969+IF(D1970="",0,1)</f>
        <v/>
      </c>
    </row>
    <row r="1971">
      <c r="A1971">
        <f>IF('KG1-4'!$B17="","",'KG1-4'!$B17)</f>
        <v/>
      </c>
      <c r="B1971">
        <f>IF(A1971="","",'KG1-4'!$C17)</f>
        <v/>
      </c>
      <c r="C1971">
        <f>IF(A1971="","",'KG1-4'!$B$2)</f>
        <v/>
      </c>
      <c r="D1971" s="126">
        <f t="array" ref="D1971">IF(A1971="","",IFERROR(SMALL(IF((('KG1-4'!$AD17:$IM17="غياب بدون عذر")+('KG1-4'!$AD17:$IM17="غياب بعذر"))*('KG1-4'!$AD$7:$IM$7="✓"),'KG1-4'!$AD$5:$IM$5),10),""))</f>
        <v/>
      </c>
      <c r="E1971">
        <f>IF(D1971="","",INDEX('KG1-4'!$AD17:$IM17,MATCH(D1971,'KG1-4'!$AD$5:$IM$5,0)))</f>
        <v/>
      </c>
      <c r="F1971">
        <f>IF(D1971="","",COUNTIFS('KG1-4'!$AD17:$IM17,"غياب بدون عذر",'KG1-4'!$AD$7:$IM$7,"✓",'KG1-4'!$AD$5:$IM$5,"&lt;="&amp;D1971))</f>
        <v/>
      </c>
      <c r="G1971">
        <f>G1970+IF(D1971="",0,1)</f>
        <v/>
      </c>
    </row>
    <row r="1972">
      <c r="A1972">
        <f>IF('KG1-4'!$B17="","",'KG1-4'!$B17)</f>
        <v/>
      </c>
      <c r="B1972">
        <f>IF(A1972="","",'KG1-4'!$C17)</f>
        <v/>
      </c>
      <c r="C1972">
        <f>IF(A1972="","",'KG1-4'!$B$2)</f>
        <v/>
      </c>
      <c r="D1972" s="126">
        <f t="array" ref="D1972">IF(A1972="","",IFERROR(SMALL(IF((('KG1-4'!$AD17:$IM17="غياب بدون عذر")+('KG1-4'!$AD17:$IM17="غياب بعذر"))*('KG1-4'!$AD$7:$IM$7="✓"),'KG1-4'!$AD$5:$IM$5),11),""))</f>
        <v/>
      </c>
      <c r="E1972">
        <f>IF(D1972="","",INDEX('KG1-4'!$AD17:$IM17,MATCH(D1972,'KG1-4'!$AD$5:$IM$5,0)))</f>
        <v/>
      </c>
      <c r="F1972">
        <f>IF(D1972="","",COUNTIFS('KG1-4'!$AD17:$IM17,"غياب بدون عذر",'KG1-4'!$AD$7:$IM$7,"✓",'KG1-4'!$AD$5:$IM$5,"&lt;="&amp;D1972))</f>
        <v/>
      </c>
      <c r="G1972">
        <f>G1971+IF(D1972="",0,1)</f>
        <v/>
      </c>
    </row>
    <row r="1973">
      <c r="A1973">
        <f>IF('KG1-4'!$B17="","",'KG1-4'!$B17)</f>
        <v/>
      </c>
      <c r="B1973">
        <f>IF(A1973="","",'KG1-4'!$C17)</f>
        <v/>
      </c>
      <c r="C1973">
        <f>IF(A1973="","",'KG1-4'!$B$2)</f>
        <v/>
      </c>
      <c r="D1973" s="126">
        <f t="array" ref="D1973">IF(A1973="","",IFERROR(SMALL(IF((('KG1-4'!$AD17:$IM17="غياب بدون عذر")+('KG1-4'!$AD17:$IM17="غياب بعذر"))*('KG1-4'!$AD$7:$IM$7="✓"),'KG1-4'!$AD$5:$IM$5),12),""))</f>
        <v/>
      </c>
      <c r="E1973">
        <f>IF(D1973="","",INDEX('KG1-4'!$AD17:$IM17,MATCH(D1973,'KG1-4'!$AD$5:$IM$5,0)))</f>
        <v/>
      </c>
      <c r="F1973">
        <f>IF(D1973="","",COUNTIFS('KG1-4'!$AD17:$IM17,"غياب بدون عذر",'KG1-4'!$AD$7:$IM$7,"✓",'KG1-4'!$AD$5:$IM$5,"&lt;="&amp;D1973))</f>
        <v/>
      </c>
      <c r="G1973">
        <f>G1972+IF(D1973="",0,1)</f>
        <v/>
      </c>
    </row>
    <row r="1974">
      <c r="A1974">
        <f>IF('KG1-4'!$B17="","",'KG1-4'!$B17)</f>
        <v/>
      </c>
      <c r="B1974">
        <f>IF(A1974="","",'KG1-4'!$C17)</f>
        <v/>
      </c>
      <c r="C1974">
        <f>IF(A1974="","",'KG1-4'!$B$2)</f>
        <v/>
      </c>
      <c r="D1974" s="126">
        <f t="array" ref="D1974">IF(A1974="","",IFERROR(SMALL(IF((('KG1-4'!$AD17:$IM17="غياب بدون عذر")+('KG1-4'!$AD17:$IM17="غياب بعذر"))*('KG1-4'!$AD$7:$IM$7="✓"),'KG1-4'!$AD$5:$IM$5),13),""))</f>
        <v/>
      </c>
      <c r="E1974">
        <f>IF(D1974="","",INDEX('KG1-4'!$AD17:$IM17,MATCH(D1974,'KG1-4'!$AD$5:$IM$5,0)))</f>
        <v/>
      </c>
      <c r="F1974">
        <f>IF(D1974="","",COUNTIFS('KG1-4'!$AD17:$IM17,"غياب بدون عذر",'KG1-4'!$AD$7:$IM$7,"✓",'KG1-4'!$AD$5:$IM$5,"&lt;="&amp;D1974))</f>
        <v/>
      </c>
      <c r="G1974">
        <f>G1973+IF(D1974="",0,1)</f>
        <v/>
      </c>
    </row>
    <row r="1975">
      <c r="A1975">
        <f>IF('KG1-4'!$B17="","",'KG1-4'!$B17)</f>
        <v/>
      </c>
      <c r="B1975">
        <f>IF(A1975="","",'KG1-4'!$C17)</f>
        <v/>
      </c>
      <c r="C1975">
        <f>IF(A1975="","",'KG1-4'!$B$2)</f>
        <v/>
      </c>
      <c r="D1975" s="126">
        <f t="array" ref="D1975">IF(A1975="","",IFERROR(SMALL(IF((('KG1-4'!$AD17:$IM17="غياب بدون عذر")+('KG1-4'!$AD17:$IM17="غياب بعذر"))*('KG1-4'!$AD$7:$IM$7="✓"),'KG1-4'!$AD$5:$IM$5),14),""))</f>
        <v/>
      </c>
      <c r="E1975">
        <f>IF(D1975="","",INDEX('KG1-4'!$AD17:$IM17,MATCH(D1975,'KG1-4'!$AD$5:$IM$5,0)))</f>
        <v/>
      </c>
      <c r="F1975">
        <f>IF(D1975="","",COUNTIFS('KG1-4'!$AD17:$IM17,"غياب بدون عذر",'KG1-4'!$AD$7:$IM$7,"✓",'KG1-4'!$AD$5:$IM$5,"&lt;="&amp;D1975))</f>
        <v/>
      </c>
      <c r="G1975">
        <f>G1974+IF(D1975="",0,1)</f>
        <v/>
      </c>
    </row>
    <row r="1976">
      <c r="A1976">
        <f>IF('KG1-4'!$B17="","",'KG1-4'!$B17)</f>
        <v/>
      </c>
      <c r="B1976">
        <f>IF(A1976="","",'KG1-4'!$C17)</f>
        <v/>
      </c>
      <c r="C1976">
        <f>IF(A1976="","",'KG1-4'!$B$2)</f>
        <v/>
      </c>
      <c r="D1976" s="126">
        <f t="array" ref="D1976">IF(A1976="","",IFERROR(SMALL(IF((('KG1-4'!$AD17:$IM17="غياب بدون عذر")+('KG1-4'!$AD17:$IM17="غياب بعذر"))*('KG1-4'!$AD$7:$IM$7="✓"),'KG1-4'!$AD$5:$IM$5),15),""))</f>
        <v/>
      </c>
      <c r="E1976">
        <f>IF(D1976="","",INDEX('KG1-4'!$AD17:$IM17,MATCH(D1976,'KG1-4'!$AD$5:$IM$5,0)))</f>
        <v/>
      </c>
      <c r="F1976">
        <f>IF(D1976="","",COUNTIFS('KG1-4'!$AD17:$IM17,"غياب بدون عذر",'KG1-4'!$AD$7:$IM$7,"✓",'KG1-4'!$AD$5:$IM$5,"&lt;="&amp;D1976))</f>
        <v/>
      </c>
      <c r="G1976">
        <f>G1975+IF(D1976="",0,1)</f>
        <v/>
      </c>
    </row>
    <row r="1977">
      <c r="A1977">
        <f>IF('KG1-4'!$B17="","",'KG1-4'!$B17)</f>
        <v/>
      </c>
      <c r="B1977">
        <f>IF(A1977="","",'KG1-4'!$C17)</f>
        <v/>
      </c>
      <c r="C1977">
        <f>IF(A1977="","",'KG1-4'!$B$2)</f>
        <v/>
      </c>
      <c r="D1977" s="126">
        <f t="array" ref="D1977">IF(A1977="","",IFERROR(SMALL(IF((('KG1-4'!$AD17:$IM17="غياب بدون عذر")+('KG1-4'!$AD17:$IM17="غياب بعذر"))*('KG1-4'!$AD$7:$IM$7="✓"),'KG1-4'!$AD$5:$IM$5),16),""))</f>
        <v/>
      </c>
      <c r="E1977">
        <f>IF(D1977="","",INDEX('KG1-4'!$AD17:$IM17,MATCH(D1977,'KG1-4'!$AD$5:$IM$5,0)))</f>
        <v/>
      </c>
      <c r="F1977">
        <f>IF(D1977="","",COUNTIFS('KG1-4'!$AD17:$IM17,"غياب بدون عذر",'KG1-4'!$AD$7:$IM$7,"✓",'KG1-4'!$AD$5:$IM$5,"&lt;="&amp;D1977))</f>
        <v/>
      </c>
      <c r="G1977">
        <f>G1976+IF(D1977="",0,1)</f>
        <v/>
      </c>
    </row>
    <row r="1978">
      <c r="A1978">
        <f>IF('KG1-4'!$B17="","",'KG1-4'!$B17)</f>
        <v/>
      </c>
      <c r="B1978">
        <f>IF(A1978="","",'KG1-4'!$C17)</f>
        <v/>
      </c>
      <c r="C1978">
        <f>IF(A1978="","",'KG1-4'!$B$2)</f>
        <v/>
      </c>
      <c r="D1978" s="126">
        <f t="array" ref="D1978">IF(A1978="","",IFERROR(SMALL(IF((('KG1-4'!$AD17:$IM17="غياب بدون عذر")+('KG1-4'!$AD17:$IM17="غياب بعذر"))*('KG1-4'!$AD$7:$IM$7="✓"),'KG1-4'!$AD$5:$IM$5),17),""))</f>
        <v/>
      </c>
      <c r="E1978">
        <f>IF(D1978="","",INDEX('KG1-4'!$AD17:$IM17,MATCH(D1978,'KG1-4'!$AD$5:$IM$5,0)))</f>
        <v/>
      </c>
      <c r="F1978">
        <f>IF(D1978="","",COUNTIFS('KG1-4'!$AD17:$IM17,"غياب بدون عذر",'KG1-4'!$AD$7:$IM$7,"✓",'KG1-4'!$AD$5:$IM$5,"&lt;="&amp;D1978))</f>
        <v/>
      </c>
      <c r="G1978">
        <f>G1977+IF(D1978="",0,1)</f>
        <v/>
      </c>
    </row>
    <row r="1979">
      <c r="A1979">
        <f>IF('KG1-4'!$B17="","",'KG1-4'!$B17)</f>
        <v/>
      </c>
      <c r="B1979">
        <f>IF(A1979="","",'KG1-4'!$C17)</f>
        <v/>
      </c>
      <c r="C1979">
        <f>IF(A1979="","",'KG1-4'!$B$2)</f>
        <v/>
      </c>
      <c r="D1979" s="126">
        <f t="array" ref="D1979">IF(A1979="","",IFERROR(SMALL(IF((('KG1-4'!$AD17:$IM17="غياب بدون عذر")+('KG1-4'!$AD17:$IM17="غياب بعذر"))*('KG1-4'!$AD$7:$IM$7="✓"),'KG1-4'!$AD$5:$IM$5),18),""))</f>
        <v/>
      </c>
      <c r="E1979">
        <f>IF(D1979="","",INDEX('KG1-4'!$AD17:$IM17,MATCH(D1979,'KG1-4'!$AD$5:$IM$5,0)))</f>
        <v/>
      </c>
      <c r="F1979">
        <f>IF(D1979="","",COUNTIFS('KG1-4'!$AD17:$IM17,"غياب بدون عذر",'KG1-4'!$AD$7:$IM$7,"✓",'KG1-4'!$AD$5:$IM$5,"&lt;="&amp;D1979))</f>
        <v/>
      </c>
      <c r="G1979">
        <f>G1978+IF(D1979="",0,1)</f>
        <v/>
      </c>
    </row>
    <row r="1980">
      <c r="A1980">
        <f>IF('KG1-4'!$B17="","",'KG1-4'!$B17)</f>
        <v/>
      </c>
      <c r="B1980">
        <f>IF(A1980="","",'KG1-4'!$C17)</f>
        <v/>
      </c>
      <c r="C1980">
        <f>IF(A1980="","",'KG1-4'!$B$2)</f>
        <v/>
      </c>
      <c r="D1980" s="126">
        <f t="array" ref="D1980">IF(A1980="","",IFERROR(SMALL(IF((('KG1-4'!$AD17:$IM17="غياب بدون عذر")+('KG1-4'!$AD17:$IM17="غياب بعذر"))*('KG1-4'!$AD$7:$IM$7="✓"),'KG1-4'!$AD$5:$IM$5),19),""))</f>
        <v/>
      </c>
      <c r="E1980">
        <f>IF(D1980="","",INDEX('KG1-4'!$AD17:$IM17,MATCH(D1980,'KG1-4'!$AD$5:$IM$5,0)))</f>
        <v/>
      </c>
      <c r="F1980">
        <f>IF(D1980="","",COUNTIFS('KG1-4'!$AD17:$IM17,"غياب بدون عذر",'KG1-4'!$AD$7:$IM$7,"✓",'KG1-4'!$AD$5:$IM$5,"&lt;="&amp;D1980))</f>
        <v/>
      </c>
      <c r="G1980">
        <f>G1979+IF(D1980="",0,1)</f>
        <v/>
      </c>
    </row>
    <row r="1981">
      <c r="A1981">
        <f>IF('KG1-4'!$B17="","",'KG1-4'!$B17)</f>
        <v/>
      </c>
      <c r="B1981">
        <f>IF(A1981="","",'KG1-4'!$C17)</f>
        <v/>
      </c>
      <c r="C1981">
        <f>IF(A1981="","",'KG1-4'!$B$2)</f>
        <v/>
      </c>
      <c r="D1981" s="126">
        <f t="array" ref="D1981">IF(A1981="","",IFERROR(SMALL(IF((('KG1-4'!$AD17:$IM17="غياب بدون عذر")+('KG1-4'!$AD17:$IM17="غياب بعذر"))*('KG1-4'!$AD$7:$IM$7="✓"),'KG1-4'!$AD$5:$IM$5),20),""))</f>
        <v/>
      </c>
      <c r="E1981">
        <f>IF(D1981="","",INDEX('KG1-4'!$AD17:$IM17,MATCH(D1981,'KG1-4'!$AD$5:$IM$5,0)))</f>
        <v/>
      </c>
      <c r="F1981">
        <f>IF(D1981="","",COUNTIFS('KG1-4'!$AD17:$IM17,"غياب بدون عذر",'KG1-4'!$AD$7:$IM$7,"✓",'KG1-4'!$AD$5:$IM$5,"&lt;="&amp;D1981))</f>
        <v/>
      </c>
      <c r="G1981">
        <f>G1980+IF(D1981="",0,1)</f>
        <v/>
      </c>
    </row>
    <row r="1982">
      <c r="A1982">
        <f>IF('KG1-4'!$B18="","",'KG1-4'!$B18)</f>
        <v/>
      </c>
      <c r="B1982">
        <f>IF(A1982="","",'KG1-4'!$C18)</f>
        <v/>
      </c>
      <c r="C1982">
        <f>IF(A1982="","",'KG1-4'!$B$2)</f>
        <v/>
      </c>
      <c r="D1982" s="126">
        <f t="array" ref="D1982">IF(A1982="","",IFERROR(SMALL(IF((('KG1-4'!$AD18:$IM18="غياب بدون عذر")+('KG1-4'!$AD18:$IM18="غياب بعذر"))*('KG1-4'!$AD$7:$IM$7="✓"),'KG1-4'!$AD$5:$IM$5),1),""))</f>
        <v/>
      </c>
      <c r="E1982">
        <f>IF(D1982="","",INDEX('KG1-4'!$AD18:$IM18,MATCH(D1982,'KG1-4'!$AD$5:$IM$5,0)))</f>
        <v/>
      </c>
      <c r="F1982">
        <f>IF(D1982="","",COUNTIFS('KG1-4'!$AD18:$IM18,"غياب بدون عذر",'KG1-4'!$AD$7:$IM$7,"✓",'KG1-4'!$AD$5:$IM$5,"&lt;="&amp;D1982))</f>
        <v/>
      </c>
      <c r="G1982">
        <f>G1981+IF(D1982="",0,1)</f>
        <v/>
      </c>
    </row>
    <row r="1983">
      <c r="A1983">
        <f>IF('KG1-4'!$B18="","",'KG1-4'!$B18)</f>
        <v/>
      </c>
      <c r="B1983">
        <f>IF(A1983="","",'KG1-4'!$C18)</f>
        <v/>
      </c>
      <c r="C1983">
        <f>IF(A1983="","",'KG1-4'!$B$2)</f>
        <v/>
      </c>
      <c r="D1983" s="126">
        <f t="array" ref="D1983">IF(A1983="","",IFERROR(SMALL(IF((('KG1-4'!$AD18:$IM18="غياب بدون عذر")+('KG1-4'!$AD18:$IM18="غياب بعذر"))*('KG1-4'!$AD$7:$IM$7="✓"),'KG1-4'!$AD$5:$IM$5),2),""))</f>
        <v/>
      </c>
      <c r="E1983">
        <f>IF(D1983="","",INDEX('KG1-4'!$AD18:$IM18,MATCH(D1983,'KG1-4'!$AD$5:$IM$5,0)))</f>
        <v/>
      </c>
      <c r="F1983">
        <f>IF(D1983="","",COUNTIFS('KG1-4'!$AD18:$IM18,"غياب بدون عذر",'KG1-4'!$AD$7:$IM$7,"✓",'KG1-4'!$AD$5:$IM$5,"&lt;="&amp;D1983))</f>
        <v/>
      </c>
      <c r="G1983">
        <f>G1982+IF(D1983="",0,1)</f>
        <v/>
      </c>
    </row>
    <row r="1984">
      <c r="A1984">
        <f>IF('KG1-4'!$B18="","",'KG1-4'!$B18)</f>
        <v/>
      </c>
      <c r="B1984">
        <f>IF(A1984="","",'KG1-4'!$C18)</f>
        <v/>
      </c>
      <c r="C1984">
        <f>IF(A1984="","",'KG1-4'!$B$2)</f>
        <v/>
      </c>
      <c r="D1984" s="126">
        <f t="array" ref="D1984">IF(A1984="","",IFERROR(SMALL(IF((('KG1-4'!$AD18:$IM18="غياب بدون عذر")+('KG1-4'!$AD18:$IM18="غياب بعذر"))*('KG1-4'!$AD$7:$IM$7="✓"),'KG1-4'!$AD$5:$IM$5),3),""))</f>
        <v/>
      </c>
      <c r="E1984">
        <f>IF(D1984="","",INDEX('KG1-4'!$AD18:$IM18,MATCH(D1984,'KG1-4'!$AD$5:$IM$5,0)))</f>
        <v/>
      </c>
      <c r="F1984">
        <f>IF(D1984="","",COUNTIFS('KG1-4'!$AD18:$IM18,"غياب بدون عذر",'KG1-4'!$AD$7:$IM$7,"✓",'KG1-4'!$AD$5:$IM$5,"&lt;="&amp;D1984))</f>
        <v/>
      </c>
      <c r="G1984">
        <f>G1983+IF(D1984="",0,1)</f>
        <v/>
      </c>
    </row>
    <row r="1985">
      <c r="A1985">
        <f>IF('KG1-4'!$B18="","",'KG1-4'!$B18)</f>
        <v/>
      </c>
      <c r="B1985">
        <f>IF(A1985="","",'KG1-4'!$C18)</f>
        <v/>
      </c>
      <c r="C1985">
        <f>IF(A1985="","",'KG1-4'!$B$2)</f>
        <v/>
      </c>
      <c r="D1985" s="126">
        <f t="array" ref="D1985">IF(A1985="","",IFERROR(SMALL(IF((('KG1-4'!$AD18:$IM18="غياب بدون عذر")+('KG1-4'!$AD18:$IM18="غياب بعذر"))*('KG1-4'!$AD$7:$IM$7="✓"),'KG1-4'!$AD$5:$IM$5),4),""))</f>
        <v/>
      </c>
      <c r="E1985">
        <f>IF(D1985="","",INDEX('KG1-4'!$AD18:$IM18,MATCH(D1985,'KG1-4'!$AD$5:$IM$5,0)))</f>
        <v/>
      </c>
      <c r="F1985">
        <f>IF(D1985="","",COUNTIFS('KG1-4'!$AD18:$IM18,"غياب بدون عذر",'KG1-4'!$AD$7:$IM$7,"✓",'KG1-4'!$AD$5:$IM$5,"&lt;="&amp;D1985))</f>
        <v/>
      </c>
      <c r="G1985">
        <f>G1984+IF(D1985="",0,1)</f>
        <v/>
      </c>
    </row>
    <row r="1986">
      <c r="A1986">
        <f>IF('KG1-4'!$B18="","",'KG1-4'!$B18)</f>
        <v/>
      </c>
      <c r="B1986">
        <f>IF(A1986="","",'KG1-4'!$C18)</f>
        <v/>
      </c>
      <c r="C1986">
        <f>IF(A1986="","",'KG1-4'!$B$2)</f>
        <v/>
      </c>
      <c r="D1986" s="126">
        <f t="array" ref="D1986">IF(A1986="","",IFERROR(SMALL(IF((('KG1-4'!$AD18:$IM18="غياب بدون عذر")+('KG1-4'!$AD18:$IM18="غياب بعذر"))*('KG1-4'!$AD$7:$IM$7="✓"),'KG1-4'!$AD$5:$IM$5),5),""))</f>
        <v/>
      </c>
      <c r="E1986">
        <f>IF(D1986="","",INDEX('KG1-4'!$AD18:$IM18,MATCH(D1986,'KG1-4'!$AD$5:$IM$5,0)))</f>
        <v/>
      </c>
      <c r="F1986">
        <f>IF(D1986="","",COUNTIFS('KG1-4'!$AD18:$IM18,"غياب بدون عذر",'KG1-4'!$AD$7:$IM$7,"✓",'KG1-4'!$AD$5:$IM$5,"&lt;="&amp;D1986))</f>
        <v/>
      </c>
      <c r="G1986">
        <f>G1985+IF(D1986="",0,1)</f>
        <v/>
      </c>
    </row>
    <row r="1987">
      <c r="A1987">
        <f>IF('KG1-4'!$B18="","",'KG1-4'!$B18)</f>
        <v/>
      </c>
      <c r="B1987">
        <f>IF(A1987="","",'KG1-4'!$C18)</f>
        <v/>
      </c>
      <c r="C1987">
        <f>IF(A1987="","",'KG1-4'!$B$2)</f>
        <v/>
      </c>
      <c r="D1987" s="126">
        <f t="array" ref="D1987">IF(A1987="","",IFERROR(SMALL(IF((('KG1-4'!$AD18:$IM18="غياب بدون عذر")+('KG1-4'!$AD18:$IM18="غياب بعذر"))*('KG1-4'!$AD$7:$IM$7="✓"),'KG1-4'!$AD$5:$IM$5),6),""))</f>
        <v/>
      </c>
      <c r="E1987">
        <f>IF(D1987="","",INDEX('KG1-4'!$AD18:$IM18,MATCH(D1987,'KG1-4'!$AD$5:$IM$5,0)))</f>
        <v/>
      </c>
      <c r="F1987">
        <f>IF(D1987="","",COUNTIFS('KG1-4'!$AD18:$IM18,"غياب بدون عذر",'KG1-4'!$AD$7:$IM$7,"✓",'KG1-4'!$AD$5:$IM$5,"&lt;="&amp;D1987))</f>
        <v/>
      </c>
      <c r="G1987">
        <f>G1986+IF(D1987="",0,1)</f>
        <v/>
      </c>
    </row>
    <row r="1988">
      <c r="A1988">
        <f>IF('KG1-4'!$B18="","",'KG1-4'!$B18)</f>
        <v/>
      </c>
      <c r="B1988">
        <f>IF(A1988="","",'KG1-4'!$C18)</f>
        <v/>
      </c>
      <c r="C1988">
        <f>IF(A1988="","",'KG1-4'!$B$2)</f>
        <v/>
      </c>
      <c r="D1988" s="126">
        <f t="array" ref="D1988">IF(A1988="","",IFERROR(SMALL(IF((('KG1-4'!$AD18:$IM18="غياب بدون عذر")+('KG1-4'!$AD18:$IM18="غياب بعذر"))*('KG1-4'!$AD$7:$IM$7="✓"),'KG1-4'!$AD$5:$IM$5),7),""))</f>
        <v/>
      </c>
      <c r="E1988">
        <f>IF(D1988="","",INDEX('KG1-4'!$AD18:$IM18,MATCH(D1988,'KG1-4'!$AD$5:$IM$5,0)))</f>
        <v/>
      </c>
      <c r="F1988">
        <f>IF(D1988="","",COUNTIFS('KG1-4'!$AD18:$IM18,"غياب بدون عذر",'KG1-4'!$AD$7:$IM$7,"✓",'KG1-4'!$AD$5:$IM$5,"&lt;="&amp;D1988))</f>
        <v/>
      </c>
      <c r="G1988">
        <f>G1987+IF(D1988="",0,1)</f>
        <v/>
      </c>
    </row>
    <row r="1989">
      <c r="A1989">
        <f>IF('KG1-4'!$B18="","",'KG1-4'!$B18)</f>
        <v/>
      </c>
      <c r="B1989">
        <f>IF(A1989="","",'KG1-4'!$C18)</f>
        <v/>
      </c>
      <c r="C1989">
        <f>IF(A1989="","",'KG1-4'!$B$2)</f>
        <v/>
      </c>
      <c r="D1989" s="126">
        <f t="array" ref="D1989">IF(A1989="","",IFERROR(SMALL(IF((('KG1-4'!$AD18:$IM18="غياب بدون عذر")+('KG1-4'!$AD18:$IM18="غياب بعذر"))*('KG1-4'!$AD$7:$IM$7="✓"),'KG1-4'!$AD$5:$IM$5),8),""))</f>
        <v/>
      </c>
      <c r="E1989">
        <f>IF(D1989="","",INDEX('KG1-4'!$AD18:$IM18,MATCH(D1989,'KG1-4'!$AD$5:$IM$5,0)))</f>
        <v/>
      </c>
      <c r="F1989">
        <f>IF(D1989="","",COUNTIFS('KG1-4'!$AD18:$IM18,"غياب بدون عذر",'KG1-4'!$AD$7:$IM$7,"✓",'KG1-4'!$AD$5:$IM$5,"&lt;="&amp;D1989))</f>
        <v/>
      </c>
      <c r="G1989">
        <f>G1988+IF(D1989="",0,1)</f>
        <v/>
      </c>
    </row>
    <row r="1990">
      <c r="A1990">
        <f>IF('KG1-4'!$B18="","",'KG1-4'!$B18)</f>
        <v/>
      </c>
      <c r="B1990">
        <f>IF(A1990="","",'KG1-4'!$C18)</f>
        <v/>
      </c>
      <c r="C1990">
        <f>IF(A1990="","",'KG1-4'!$B$2)</f>
        <v/>
      </c>
      <c r="D1990" s="126">
        <f t="array" ref="D1990">IF(A1990="","",IFERROR(SMALL(IF((('KG1-4'!$AD18:$IM18="غياب بدون عذر")+('KG1-4'!$AD18:$IM18="غياب بعذر"))*('KG1-4'!$AD$7:$IM$7="✓"),'KG1-4'!$AD$5:$IM$5),9),""))</f>
        <v/>
      </c>
      <c r="E1990">
        <f>IF(D1990="","",INDEX('KG1-4'!$AD18:$IM18,MATCH(D1990,'KG1-4'!$AD$5:$IM$5,0)))</f>
        <v/>
      </c>
      <c r="F1990">
        <f>IF(D1990="","",COUNTIFS('KG1-4'!$AD18:$IM18,"غياب بدون عذر",'KG1-4'!$AD$7:$IM$7,"✓",'KG1-4'!$AD$5:$IM$5,"&lt;="&amp;D1990))</f>
        <v/>
      </c>
      <c r="G1990">
        <f>G1989+IF(D1990="",0,1)</f>
        <v/>
      </c>
    </row>
    <row r="1991">
      <c r="A1991">
        <f>IF('KG1-4'!$B18="","",'KG1-4'!$B18)</f>
        <v/>
      </c>
      <c r="B1991">
        <f>IF(A1991="","",'KG1-4'!$C18)</f>
        <v/>
      </c>
      <c r="C1991">
        <f>IF(A1991="","",'KG1-4'!$B$2)</f>
        <v/>
      </c>
      <c r="D1991" s="126">
        <f t="array" ref="D1991">IF(A1991="","",IFERROR(SMALL(IF((('KG1-4'!$AD18:$IM18="غياب بدون عذر")+('KG1-4'!$AD18:$IM18="غياب بعذر"))*('KG1-4'!$AD$7:$IM$7="✓"),'KG1-4'!$AD$5:$IM$5),10),""))</f>
        <v/>
      </c>
      <c r="E1991">
        <f>IF(D1991="","",INDEX('KG1-4'!$AD18:$IM18,MATCH(D1991,'KG1-4'!$AD$5:$IM$5,0)))</f>
        <v/>
      </c>
      <c r="F1991">
        <f>IF(D1991="","",COUNTIFS('KG1-4'!$AD18:$IM18,"غياب بدون عذر",'KG1-4'!$AD$7:$IM$7,"✓",'KG1-4'!$AD$5:$IM$5,"&lt;="&amp;D1991))</f>
        <v/>
      </c>
      <c r="G1991">
        <f>G1990+IF(D1991="",0,1)</f>
        <v/>
      </c>
    </row>
    <row r="1992">
      <c r="A1992">
        <f>IF('KG1-4'!$B18="","",'KG1-4'!$B18)</f>
        <v/>
      </c>
      <c r="B1992">
        <f>IF(A1992="","",'KG1-4'!$C18)</f>
        <v/>
      </c>
      <c r="C1992">
        <f>IF(A1992="","",'KG1-4'!$B$2)</f>
        <v/>
      </c>
      <c r="D1992" s="126">
        <f t="array" ref="D1992">IF(A1992="","",IFERROR(SMALL(IF((('KG1-4'!$AD18:$IM18="غياب بدون عذر")+('KG1-4'!$AD18:$IM18="غياب بعذر"))*('KG1-4'!$AD$7:$IM$7="✓"),'KG1-4'!$AD$5:$IM$5),11),""))</f>
        <v/>
      </c>
      <c r="E1992">
        <f>IF(D1992="","",INDEX('KG1-4'!$AD18:$IM18,MATCH(D1992,'KG1-4'!$AD$5:$IM$5,0)))</f>
        <v/>
      </c>
      <c r="F1992">
        <f>IF(D1992="","",COUNTIFS('KG1-4'!$AD18:$IM18,"غياب بدون عذر",'KG1-4'!$AD$7:$IM$7,"✓",'KG1-4'!$AD$5:$IM$5,"&lt;="&amp;D1992))</f>
        <v/>
      </c>
      <c r="G1992">
        <f>G1991+IF(D1992="",0,1)</f>
        <v/>
      </c>
    </row>
    <row r="1993">
      <c r="A1993">
        <f>IF('KG1-4'!$B18="","",'KG1-4'!$B18)</f>
        <v/>
      </c>
      <c r="B1993">
        <f>IF(A1993="","",'KG1-4'!$C18)</f>
        <v/>
      </c>
      <c r="C1993">
        <f>IF(A1993="","",'KG1-4'!$B$2)</f>
        <v/>
      </c>
      <c r="D1993" s="126">
        <f t="array" ref="D1993">IF(A1993="","",IFERROR(SMALL(IF((('KG1-4'!$AD18:$IM18="غياب بدون عذر")+('KG1-4'!$AD18:$IM18="غياب بعذر"))*('KG1-4'!$AD$7:$IM$7="✓"),'KG1-4'!$AD$5:$IM$5),12),""))</f>
        <v/>
      </c>
      <c r="E1993">
        <f>IF(D1993="","",INDEX('KG1-4'!$AD18:$IM18,MATCH(D1993,'KG1-4'!$AD$5:$IM$5,0)))</f>
        <v/>
      </c>
      <c r="F1993">
        <f>IF(D1993="","",COUNTIFS('KG1-4'!$AD18:$IM18,"غياب بدون عذر",'KG1-4'!$AD$7:$IM$7,"✓",'KG1-4'!$AD$5:$IM$5,"&lt;="&amp;D1993))</f>
        <v/>
      </c>
      <c r="G1993">
        <f>G1992+IF(D1993="",0,1)</f>
        <v/>
      </c>
    </row>
    <row r="1994">
      <c r="A1994">
        <f>IF('KG1-4'!$B18="","",'KG1-4'!$B18)</f>
        <v/>
      </c>
      <c r="B1994">
        <f>IF(A1994="","",'KG1-4'!$C18)</f>
        <v/>
      </c>
      <c r="C1994">
        <f>IF(A1994="","",'KG1-4'!$B$2)</f>
        <v/>
      </c>
      <c r="D1994" s="126">
        <f t="array" ref="D1994">IF(A1994="","",IFERROR(SMALL(IF((('KG1-4'!$AD18:$IM18="غياب بدون عذر")+('KG1-4'!$AD18:$IM18="غياب بعذر"))*('KG1-4'!$AD$7:$IM$7="✓"),'KG1-4'!$AD$5:$IM$5),13),""))</f>
        <v/>
      </c>
      <c r="E1994">
        <f>IF(D1994="","",INDEX('KG1-4'!$AD18:$IM18,MATCH(D1994,'KG1-4'!$AD$5:$IM$5,0)))</f>
        <v/>
      </c>
      <c r="F1994">
        <f>IF(D1994="","",COUNTIFS('KG1-4'!$AD18:$IM18,"غياب بدون عذر",'KG1-4'!$AD$7:$IM$7,"✓",'KG1-4'!$AD$5:$IM$5,"&lt;="&amp;D1994))</f>
        <v/>
      </c>
      <c r="G1994">
        <f>G1993+IF(D1994="",0,1)</f>
        <v/>
      </c>
    </row>
    <row r="1995">
      <c r="A1995">
        <f>IF('KG1-4'!$B18="","",'KG1-4'!$B18)</f>
        <v/>
      </c>
      <c r="B1995">
        <f>IF(A1995="","",'KG1-4'!$C18)</f>
        <v/>
      </c>
      <c r="C1995">
        <f>IF(A1995="","",'KG1-4'!$B$2)</f>
        <v/>
      </c>
      <c r="D1995" s="126">
        <f t="array" ref="D1995">IF(A1995="","",IFERROR(SMALL(IF((('KG1-4'!$AD18:$IM18="غياب بدون عذر")+('KG1-4'!$AD18:$IM18="غياب بعذر"))*('KG1-4'!$AD$7:$IM$7="✓"),'KG1-4'!$AD$5:$IM$5),14),""))</f>
        <v/>
      </c>
      <c r="E1995">
        <f>IF(D1995="","",INDEX('KG1-4'!$AD18:$IM18,MATCH(D1995,'KG1-4'!$AD$5:$IM$5,0)))</f>
        <v/>
      </c>
      <c r="F1995">
        <f>IF(D1995="","",COUNTIFS('KG1-4'!$AD18:$IM18,"غياب بدون عذر",'KG1-4'!$AD$7:$IM$7,"✓",'KG1-4'!$AD$5:$IM$5,"&lt;="&amp;D1995))</f>
        <v/>
      </c>
      <c r="G1995">
        <f>G1994+IF(D1995="",0,1)</f>
        <v/>
      </c>
    </row>
    <row r="1996">
      <c r="A1996">
        <f>IF('KG1-4'!$B18="","",'KG1-4'!$B18)</f>
        <v/>
      </c>
      <c r="B1996">
        <f>IF(A1996="","",'KG1-4'!$C18)</f>
        <v/>
      </c>
      <c r="C1996">
        <f>IF(A1996="","",'KG1-4'!$B$2)</f>
        <v/>
      </c>
      <c r="D1996" s="126">
        <f t="array" ref="D1996">IF(A1996="","",IFERROR(SMALL(IF((('KG1-4'!$AD18:$IM18="غياب بدون عذر")+('KG1-4'!$AD18:$IM18="غياب بعذر"))*('KG1-4'!$AD$7:$IM$7="✓"),'KG1-4'!$AD$5:$IM$5),15),""))</f>
        <v/>
      </c>
      <c r="E1996">
        <f>IF(D1996="","",INDEX('KG1-4'!$AD18:$IM18,MATCH(D1996,'KG1-4'!$AD$5:$IM$5,0)))</f>
        <v/>
      </c>
      <c r="F1996">
        <f>IF(D1996="","",COUNTIFS('KG1-4'!$AD18:$IM18,"غياب بدون عذر",'KG1-4'!$AD$7:$IM$7,"✓",'KG1-4'!$AD$5:$IM$5,"&lt;="&amp;D1996))</f>
        <v/>
      </c>
      <c r="G1996">
        <f>G1995+IF(D1996="",0,1)</f>
        <v/>
      </c>
    </row>
    <row r="1997">
      <c r="A1997">
        <f>IF('KG1-4'!$B18="","",'KG1-4'!$B18)</f>
        <v/>
      </c>
      <c r="B1997">
        <f>IF(A1997="","",'KG1-4'!$C18)</f>
        <v/>
      </c>
      <c r="C1997">
        <f>IF(A1997="","",'KG1-4'!$B$2)</f>
        <v/>
      </c>
      <c r="D1997" s="126">
        <f t="array" ref="D1997">IF(A1997="","",IFERROR(SMALL(IF((('KG1-4'!$AD18:$IM18="غياب بدون عذر")+('KG1-4'!$AD18:$IM18="غياب بعذر"))*('KG1-4'!$AD$7:$IM$7="✓"),'KG1-4'!$AD$5:$IM$5),16),""))</f>
        <v/>
      </c>
      <c r="E1997">
        <f>IF(D1997="","",INDEX('KG1-4'!$AD18:$IM18,MATCH(D1997,'KG1-4'!$AD$5:$IM$5,0)))</f>
        <v/>
      </c>
      <c r="F1997">
        <f>IF(D1997="","",COUNTIFS('KG1-4'!$AD18:$IM18,"غياب بدون عذر",'KG1-4'!$AD$7:$IM$7,"✓",'KG1-4'!$AD$5:$IM$5,"&lt;="&amp;D1997))</f>
        <v/>
      </c>
      <c r="G1997">
        <f>G1996+IF(D1997="",0,1)</f>
        <v/>
      </c>
    </row>
    <row r="1998">
      <c r="A1998">
        <f>IF('KG1-4'!$B18="","",'KG1-4'!$B18)</f>
        <v/>
      </c>
      <c r="B1998">
        <f>IF(A1998="","",'KG1-4'!$C18)</f>
        <v/>
      </c>
      <c r="C1998">
        <f>IF(A1998="","",'KG1-4'!$B$2)</f>
        <v/>
      </c>
      <c r="D1998" s="126">
        <f t="array" ref="D1998">IF(A1998="","",IFERROR(SMALL(IF((('KG1-4'!$AD18:$IM18="غياب بدون عذر")+('KG1-4'!$AD18:$IM18="غياب بعذر"))*('KG1-4'!$AD$7:$IM$7="✓"),'KG1-4'!$AD$5:$IM$5),17),""))</f>
        <v/>
      </c>
      <c r="E1998">
        <f>IF(D1998="","",INDEX('KG1-4'!$AD18:$IM18,MATCH(D1998,'KG1-4'!$AD$5:$IM$5,0)))</f>
        <v/>
      </c>
      <c r="F1998">
        <f>IF(D1998="","",COUNTIFS('KG1-4'!$AD18:$IM18,"غياب بدون عذر",'KG1-4'!$AD$7:$IM$7,"✓",'KG1-4'!$AD$5:$IM$5,"&lt;="&amp;D1998))</f>
        <v/>
      </c>
      <c r="G1998">
        <f>G1997+IF(D1998="",0,1)</f>
        <v/>
      </c>
    </row>
    <row r="1999">
      <c r="A1999">
        <f>IF('KG1-4'!$B18="","",'KG1-4'!$B18)</f>
        <v/>
      </c>
      <c r="B1999">
        <f>IF(A1999="","",'KG1-4'!$C18)</f>
        <v/>
      </c>
      <c r="C1999">
        <f>IF(A1999="","",'KG1-4'!$B$2)</f>
        <v/>
      </c>
      <c r="D1999" s="126">
        <f t="array" ref="D1999">IF(A1999="","",IFERROR(SMALL(IF((('KG1-4'!$AD18:$IM18="غياب بدون عذر")+('KG1-4'!$AD18:$IM18="غياب بعذر"))*('KG1-4'!$AD$7:$IM$7="✓"),'KG1-4'!$AD$5:$IM$5),18),""))</f>
        <v/>
      </c>
      <c r="E1999">
        <f>IF(D1999="","",INDEX('KG1-4'!$AD18:$IM18,MATCH(D1999,'KG1-4'!$AD$5:$IM$5,0)))</f>
        <v/>
      </c>
      <c r="F1999">
        <f>IF(D1999="","",COUNTIFS('KG1-4'!$AD18:$IM18,"غياب بدون عذر",'KG1-4'!$AD$7:$IM$7,"✓",'KG1-4'!$AD$5:$IM$5,"&lt;="&amp;D1999))</f>
        <v/>
      </c>
      <c r="G1999">
        <f>G1998+IF(D1999="",0,1)</f>
        <v/>
      </c>
    </row>
    <row r="2000">
      <c r="A2000">
        <f>IF('KG1-4'!$B18="","",'KG1-4'!$B18)</f>
        <v/>
      </c>
      <c r="B2000">
        <f>IF(A2000="","",'KG1-4'!$C18)</f>
        <v/>
      </c>
      <c r="C2000">
        <f>IF(A2000="","",'KG1-4'!$B$2)</f>
        <v/>
      </c>
      <c r="D2000" s="126">
        <f t="array" ref="D2000">IF(A2000="","",IFERROR(SMALL(IF((('KG1-4'!$AD18:$IM18="غياب بدون عذر")+('KG1-4'!$AD18:$IM18="غياب بعذر"))*('KG1-4'!$AD$7:$IM$7="✓"),'KG1-4'!$AD$5:$IM$5),19),""))</f>
        <v/>
      </c>
      <c r="E2000">
        <f>IF(D2000="","",INDEX('KG1-4'!$AD18:$IM18,MATCH(D2000,'KG1-4'!$AD$5:$IM$5,0)))</f>
        <v/>
      </c>
      <c r="F2000">
        <f>IF(D2000="","",COUNTIFS('KG1-4'!$AD18:$IM18,"غياب بدون عذر",'KG1-4'!$AD$7:$IM$7,"✓",'KG1-4'!$AD$5:$IM$5,"&lt;="&amp;D2000))</f>
        <v/>
      </c>
      <c r="G2000">
        <f>G1999+IF(D2000="",0,1)</f>
        <v/>
      </c>
    </row>
    <row r="2001">
      <c r="A2001">
        <f>IF('KG1-4'!$B18="","",'KG1-4'!$B18)</f>
        <v/>
      </c>
      <c r="B2001">
        <f>IF(A2001="","",'KG1-4'!$C18)</f>
        <v/>
      </c>
      <c r="C2001">
        <f>IF(A2001="","",'KG1-4'!$B$2)</f>
        <v/>
      </c>
      <c r="D2001" s="126">
        <f t="array" ref="D2001">IF(A2001="","",IFERROR(SMALL(IF((('KG1-4'!$AD18:$IM18="غياب بدون عذر")+('KG1-4'!$AD18:$IM18="غياب بعذر"))*('KG1-4'!$AD$7:$IM$7="✓"),'KG1-4'!$AD$5:$IM$5),20),""))</f>
        <v/>
      </c>
      <c r="E2001">
        <f>IF(D2001="","",INDEX('KG1-4'!$AD18:$IM18,MATCH(D2001,'KG1-4'!$AD$5:$IM$5,0)))</f>
        <v/>
      </c>
      <c r="F2001">
        <f>IF(D2001="","",COUNTIFS('KG1-4'!$AD18:$IM18,"غياب بدون عذر",'KG1-4'!$AD$7:$IM$7,"✓",'KG1-4'!$AD$5:$IM$5,"&lt;="&amp;D2001))</f>
        <v/>
      </c>
      <c r="G2001">
        <f>G2000+IF(D2001="",0,1)</f>
        <v/>
      </c>
    </row>
    <row r="2002">
      <c r="A2002">
        <f>IF('KG1-4'!$B19="","",'KG1-4'!$B19)</f>
        <v/>
      </c>
      <c r="B2002">
        <f>IF(A2002="","",'KG1-4'!$C19)</f>
        <v/>
      </c>
      <c r="C2002">
        <f>IF(A2002="","",'KG1-4'!$B$2)</f>
        <v/>
      </c>
      <c r="D2002" s="126">
        <f t="array" ref="D2002">IF(A2002="","",IFERROR(SMALL(IF((('KG1-4'!$AD19:$IM19="غياب بدون عذر")+('KG1-4'!$AD19:$IM19="غياب بعذر"))*('KG1-4'!$AD$7:$IM$7="✓"),'KG1-4'!$AD$5:$IM$5),1),""))</f>
        <v/>
      </c>
      <c r="E2002">
        <f>IF(D2002="","",INDEX('KG1-4'!$AD19:$IM19,MATCH(D2002,'KG1-4'!$AD$5:$IM$5,0)))</f>
        <v/>
      </c>
      <c r="F2002">
        <f>IF(D2002="","",COUNTIFS('KG1-4'!$AD19:$IM19,"غياب بدون عذر",'KG1-4'!$AD$7:$IM$7,"✓",'KG1-4'!$AD$5:$IM$5,"&lt;="&amp;D2002))</f>
        <v/>
      </c>
      <c r="G2002">
        <f>G2001+IF(D2002="",0,1)</f>
        <v/>
      </c>
    </row>
    <row r="2003">
      <c r="A2003">
        <f>IF('KG1-4'!$B19="","",'KG1-4'!$B19)</f>
        <v/>
      </c>
      <c r="B2003">
        <f>IF(A2003="","",'KG1-4'!$C19)</f>
        <v/>
      </c>
      <c r="C2003">
        <f>IF(A2003="","",'KG1-4'!$B$2)</f>
        <v/>
      </c>
      <c r="D2003" s="126">
        <f t="array" ref="D2003">IF(A2003="","",IFERROR(SMALL(IF((('KG1-4'!$AD19:$IM19="غياب بدون عذر")+('KG1-4'!$AD19:$IM19="غياب بعذر"))*('KG1-4'!$AD$7:$IM$7="✓"),'KG1-4'!$AD$5:$IM$5),2),""))</f>
        <v/>
      </c>
      <c r="E2003">
        <f>IF(D2003="","",INDEX('KG1-4'!$AD19:$IM19,MATCH(D2003,'KG1-4'!$AD$5:$IM$5,0)))</f>
        <v/>
      </c>
      <c r="F2003">
        <f>IF(D2003="","",COUNTIFS('KG1-4'!$AD19:$IM19,"غياب بدون عذر",'KG1-4'!$AD$7:$IM$7,"✓",'KG1-4'!$AD$5:$IM$5,"&lt;="&amp;D2003))</f>
        <v/>
      </c>
      <c r="G2003">
        <f>G2002+IF(D2003="",0,1)</f>
        <v/>
      </c>
    </row>
    <row r="2004">
      <c r="A2004">
        <f>IF('KG1-4'!$B19="","",'KG1-4'!$B19)</f>
        <v/>
      </c>
      <c r="B2004">
        <f>IF(A2004="","",'KG1-4'!$C19)</f>
        <v/>
      </c>
      <c r="C2004">
        <f>IF(A2004="","",'KG1-4'!$B$2)</f>
        <v/>
      </c>
      <c r="D2004" s="126">
        <f t="array" ref="D2004">IF(A2004="","",IFERROR(SMALL(IF((('KG1-4'!$AD19:$IM19="غياب بدون عذر")+('KG1-4'!$AD19:$IM19="غياب بعذر"))*('KG1-4'!$AD$7:$IM$7="✓"),'KG1-4'!$AD$5:$IM$5),3),""))</f>
        <v/>
      </c>
      <c r="E2004">
        <f>IF(D2004="","",INDEX('KG1-4'!$AD19:$IM19,MATCH(D2004,'KG1-4'!$AD$5:$IM$5,0)))</f>
        <v/>
      </c>
      <c r="F2004">
        <f>IF(D2004="","",COUNTIFS('KG1-4'!$AD19:$IM19,"غياب بدون عذر",'KG1-4'!$AD$7:$IM$7,"✓",'KG1-4'!$AD$5:$IM$5,"&lt;="&amp;D2004))</f>
        <v/>
      </c>
      <c r="G2004">
        <f>G2003+IF(D2004="",0,1)</f>
        <v/>
      </c>
    </row>
    <row r="2005">
      <c r="A2005">
        <f>IF('KG1-4'!$B19="","",'KG1-4'!$B19)</f>
        <v/>
      </c>
      <c r="B2005">
        <f>IF(A2005="","",'KG1-4'!$C19)</f>
        <v/>
      </c>
      <c r="C2005">
        <f>IF(A2005="","",'KG1-4'!$B$2)</f>
        <v/>
      </c>
      <c r="D2005" s="126">
        <f t="array" ref="D2005">IF(A2005="","",IFERROR(SMALL(IF((('KG1-4'!$AD19:$IM19="غياب بدون عذر")+('KG1-4'!$AD19:$IM19="غياب بعذر"))*('KG1-4'!$AD$7:$IM$7="✓"),'KG1-4'!$AD$5:$IM$5),4),""))</f>
        <v/>
      </c>
      <c r="E2005">
        <f>IF(D2005="","",INDEX('KG1-4'!$AD19:$IM19,MATCH(D2005,'KG1-4'!$AD$5:$IM$5,0)))</f>
        <v/>
      </c>
      <c r="F2005">
        <f>IF(D2005="","",COUNTIFS('KG1-4'!$AD19:$IM19,"غياب بدون عذر",'KG1-4'!$AD$7:$IM$7,"✓",'KG1-4'!$AD$5:$IM$5,"&lt;="&amp;D2005))</f>
        <v/>
      </c>
      <c r="G2005">
        <f>G2004+IF(D2005="",0,1)</f>
        <v/>
      </c>
    </row>
    <row r="2006">
      <c r="A2006">
        <f>IF('KG1-4'!$B19="","",'KG1-4'!$B19)</f>
        <v/>
      </c>
      <c r="B2006">
        <f>IF(A2006="","",'KG1-4'!$C19)</f>
        <v/>
      </c>
      <c r="C2006">
        <f>IF(A2006="","",'KG1-4'!$B$2)</f>
        <v/>
      </c>
      <c r="D2006" s="126">
        <f t="array" ref="D2006">IF(A2006="","",IFERROR(SMALL(IF((('KG1-4'!$AD19:$IM19="غياب بدون عذر")+('KG1-4'!$AD19:$IM19="غياب بعذر"))*('KG1-4'!$AD$7:$IM$7="✓"),'KG1-4'!$AD$5:$IM$5),5),""))</f>
        <v/>
      </c>
      <c r="E2006">
        <f>IF(D2006="","",INDEX('KG1-4'!$AD19:$IM19,MATCH(D2006,'KG1-4'!$AD$5:$IM$5,0)))</f>
        <v/>
      </c>
      <c r="F2006">
        <f>IF(D2006="","",COUNTIFS('KG1-4'!$AD19:$IM19,"غياب بدون عذر",'KG1-4'!$AD$7:$IM$7,"✓",'KG1-4'!$AD$5:$IM$5,"&lt;="&amp;D2006))</f>
        <v/>
      </c>
      <c r="G2006">
        <f>G2005+IF(D2006="",0,1)</f>
        <v/>
      </c>
    </row>
    <row r="2007">
      <c r="A2007">
        <f>IF('KG1-4'!$B19="","",'KG1-4'!$B19)</f>
        <v/>
      </c>
      <c r="B2007">
        <f>IF(A2007="","",'KG1-4'!$C19)</f>
        <v/>
      </c>
      <c r="C2007">
        <f>IF(A2007="","",'KG1-4'!$B$2)</f>
        <v/>
      </c>
      <c r="D2007" s="126">
        <f t="array" ref="D2007">IF(A2007="","",IFERROR(SMALL(IF((('KG1-4'!$AD19:$IM19="غياب بدون عذر")+('KG1-4'!$AD19:$IM19="غياب بعذر"))*('KG1-4'!$AD$7:$IM$7="✓"),'KG1-4'!$AD$5:$IM$5),6),""))</f>
        <v/>
      </c>
      <c r="E2007">
        <f>IF(D2007="","",INDEX('KG1-4'!$AD19:$IM19,MATCH(D2007,'KG1-4'!$AD$5:$IM$5,0)))</f>
        <v/>
      </c>
      <c r="F2007">
        <f>IF(D2007="","",COUNTIFS('KG1-4'!$AD19:$IM19,"غياب بدون عذر",'KG1-4'!$AD$7:$IM$7,"✓",'KG1-4'!$AD$5:$IM$5,"&lt;="&amp;D2007))</f>
        <v/>
      </c>
      <c r="G2007">
        <f>G2006+IF(D2007="",0,1)</f>
        <v/>
      </c>
    </row>
    <row r="2008">
      <c r="A2008">
        <f>IF('KG1-4'!$B19="","",'KG1-4'!$B19)</f>
        <v/>
      </c>
      <c r="B2008">
        <f>IF(A2008="","",'KG1-4'!$C19)</f>
        <v/>
      </c>
      <c r="C2008">
        <f>IF(A2008="","",'KG1-4'!$B$2)</f>
        <v/>
      </c>
      <c r="D2008" s="126">
        <f t="array" ref="D2008">IF(A2008="","",IFERROR(SMALL(IF((('KG1-4'!$AD19:$IM19="غياب بدون عذر")+('KG1-4'!$AD19:$IM19="غياب بعذر"))*('KG1-4'!$AD$7:$IM$7="✓"),'KG1-4'!$AD$5:$IM$5),7),""))</f>
        <v/>
      </c>
      <c r="E2008">
        <f>IF(D2008="","",INDEX('KG1-4'!$AD19:$IM19,MATCH(D2008,'KG1-4'!$AD$5:$IM$5,0)))</f>
        <v/>
      </c>
      <c r="F2008">
        <f>IF(D2008="","",COUNTIFS('KG1-4'!$AD19:$IM19,"غياب بدون عذر",'KG1-4'!$AD$7:$IM$7,"✓",'KG1-4'!$AD$5:$IM$5,"&lt;="&amp;D2008))</f>
        <v/>
      </c>
      <c r="G2008">
        <f>G2007+IF(D2008="",0,1)</f>
        <v/>
      </c>
    </row>
    <row r="2009">
      <c r="A2009">
        <f>IF('KG1-4'!$B19="","",'KG1-4'!$B19)</f>
        <v/>
      </c>
      <c r="B2009">
        <f>IF(A2009="","",'KG1-4'!$C19)</f>
        <v/>
      </c>
      <c r="C2009">
        <f>IF(A2009="","",'KG1-4'!$B$2)</f>
        <v/>
      </c>
      <c r="D2009" s="126">
        <f t="array" ref="D2009">IF(A2009="","",IFERROR(SMALL(IF((('KG1-4'!$AD19:$IM19="غياب بدون عذر")+('KG1-4'!$AD19:$IM19="غياب بعذر"))*('KG1-4'!$AD$7:$IM$7="✓"),'KG1-4'!$AD$5:$IM$5),8),""))</f>
        <v/>
      </c>
      <c r="E2009">
        <f>IF(D2009="","",INDEX('KG1-4'!$AD19:$IM19,MATCH(D2009,'KG1-4'!$AD$5:$IM$5,0)))</f>
        <v/>
      </c>
      <c r="F2009">
        <f>IF(D2009="","",COUNTIFS('KG1-4'!$AD19:$IM19,"غياب بدون عذر",'KG1-4'!$AD$7:$IM$7,"✓",'KG1-4'!$AD$5:$IM$5,"&lt;="&amp;D2009))</f>
        <v/>
      </c>
      <c r="G2009">
        <f>G2008+IF(D2009="",0,1)</f>
        <v/>
      </c>
    </row>
    <row r="2010">
      <c r="A2010">
        <f>IF('KG1-4'!$B19="","",'KG1-4'!$B19)</f>
        <v/>
      </c>
      <c r="B2010">
        <f>IF(A2010="","",'KG1-4'!$C19)</f>
        <v/>
      </c>
      <c r="C2010">
        <f>IF(A2010="","",'KG1-4'!$B$2)</f>
        <v/>
      </c>
      <c r="D2010" s="126">
        <f t="array" ref="D2010">IF(A2010="","",IFERROR(SMALL(IF((('KG1-4'!$AD19:$IM19="غياب بدون عذر")+('KG1-4'!$AD19:$IM19="غياب بعذر"))*('KG1-4'!$AD$7:$IM$7="✓"),'KG1-4'!$AD$5:$IM$5),9),""))</f>
        <v/>
      </c>
      <c r="E2010">
        <f>IF(D2010="","",INDEX('KG1-4'!$AD19:$IM19,MATCH(D2010,'KG1-4'!$AD$5:$IM$5,0)))</f>
        <v/>
      </c>
      <c r="F2010">
        <f>IF(D2010="","",COUNTIFS('KG1-4'!$AD19:$IM19,"غياب بدون عذر",'KG1-4'!$AD$7:$IM$7,"✓",'KG1-4'!$AD$5:$IM$5,"&lt;="&amp;D2010))</f>
        <v/>
      </c>
      <c r="G2010">
        <f>G2009+IF(D2010="",0,1)</f>
        <v/>
      </c>
    </row>
    <row r="2011">
      <c r="A2011">
        <f>IF('KG1-4'!$B19="","",'KG1-4'!$B19)</f>
        <v/>
      </c>
      <c r="B2011">
        <f>IF(A2011="","",'KG1-4'!$C19)</f>
        <v/>
      </c>
      <c r="C2011">
        <f>IF(A2011="","",'KG1-4'!$B$2)</f>
        <v/>
      </c>
      <c r="D2011" s="126">
        <f t="array" ref="D2011">IF(A2011="","",IFERROR(SMALL(IF((('KG1-4'!$AD19:$IM19="غياب بدون عذر")+('KG1-4'!$AD19:$IM19="غياب بعذر"))*('KG1-4'!$AD$7:$IM$7="✓"),'KG1-4'!$AD$5:$IM$5),10),""))</f>
        <v/>
      </c>
      <c r="E2011">
        <f>IF(D2011="","",INDEX('KG1-4'!$AD19:$IM19,MATCH(D2011,'KG1-4'!$AD$5:$IM$5,0)))</f>
        <v/>
      </c>
      <c r="F2011">
        <f>IF(D2011="","",COUNTIFS('KG1-4'!$AD19:$IM19,"غياب بدون عذر",'KG1-4'!$AD$7:$IM$7,"✓",'KG1-4'!$AD$5:$IM$5,"&lt;="&amp;D2011))</f>
        <v/>
      </c>
      <c r="G2011">
        <f>G2010+IF(D2011="",0,1)</f>
        <v/>
      </c>
    </row>
    <row r="2012">
      <c r="A2012">
        <f>IF('KG1-4'!$B19="","",'KG1-4'!$B19)</f>
        <v/>
      </c>
      <c r="B2012">
        <f>IF(A2012="","",'KG1-4'!$C19)</f>
        <v/>
      </c>
      <c r="C2012">
        <f>IF(A2012="","",'KG1-4'!$B$2)</f>
        <v/>
      </c>
      <c r="D2012" s="126">
        <f t="array" ref="D2012">IF(A2012="","",IFERROR(SMALL(IF((('KG1-4'!$AD19:$IM19="غياب بدون عذر")+('KG1-4'!$AD19:$IM19="غياب بعذر"))*('KG1-4'!$AD$7:$IM$7="✓"),'KG1-4'!$AD$5:$IM$5),11),""))</f>
        <v/>
      </c>
      <c r="E2012">
        <f>IF(D2012="","",INDEX('KG1-4'!$AD19:$IM19,MATCH(D2012,'KG1-4'!$AD$5:$IM$5,0)))</f>
        <v/>
      </c>
      <c r="F2012">
        <f>IF(D2012="","",COUNTIFS('KG1-4'!$AD19:$IM19,"غياب بدون عذر",'KG1-4'!$AD$7:$IM$7,"✓",'KG1-4'!$AD$5:$IM$5,"&lt;="&amp;D2012))</f>
        <v/>
      </c>
      <c r="G2012">
        <f>G2011+IF(D2012="",0,1)</f>
        <v/>
      </c>
    </row>
    <row r="2013">
      <c r="A2013">
        <f>IF('KG1-4'!$B19="","",'KG1-4'!$B19)</f>
        <v/>
      </c>
      <c r="B2013">
        <f>IF(A2013="","",'KG1-4'!$C19)</f>
        <v/>
      </c>
      <c r="C2013">
        <f>IF(A2013="","",'KG1-4'!$B$2)</f>
        <v/>
      </c>
      <c r="D2013" s="126">
        <f t="array" ref="D2013">IF(A2013="","",IFERROR(SMALL(IF((('KG1-4'!$AD19:$IM19="غياب بدون عذر")+('KG1-4'!$AD19:$IM19="غياب بعذر"))*('KG1-4'!$AD$7:$IM$7="✓"),'KG1-4'!$AD$5:$IM$5),12),""))</f>
        <v/>
      </c>
      <c r="E2013">
        <f>IF(D2013="","",INDEX('KG1-4'!$AD19:$IM19,MATCH(D2013,'KG1-4'!$AD$5:$IM$5,0)))</f>
        <v/>
      </c>
      <c r="F2013">
        <f>IF(D2013="","",COUNTIFS('KG1-4'!$AD19:$IM19,"غياب بدون عذر",'KG1-4'!$AD$7:$IM$7,"✓",'KG1-4'!$AD$5:$IM$5,"&lt;="&amp;D2013))</f>
        <v/>
      </c>
      <c r="G2013">
        <f>G2012+IF(D2013="",0,1)</f>
        <v/>
      </c>
    </row>
    <row r="2014">
      <c r="A2014">
        <f>IF('KG1-4'!$B19="","",'KG1-4'!$B19)</f>
        <v/>
      </c>
      <c r="B2014">
        <f>IF(A2014="","",'KG1-4'!$C19)</f>
        <v/>
      </c>
      <c r="C2014">
        <f>IF(A2014="","",'KG1-4'!$B$2)</f>
        <v/>
      </c>
      <c r="D2014" s="126">
        <f t="array" ref="D2014">IF(A2014="","",IFERROR(SMALL(IF((('KG1-4'!$AD19:$IM19="غياب بدون عذر")+('KG1-4'!$AD19:$IM19="غياب بعذر"))*('KG1-4'!$AD$7:$IM$7="✓"),'KG1-4'!$AD$5:$IM$5),13),""))</f>
        <v/>
      </c>
      <c r="E2014">
        <f>IF(D2014="","",INDEX('KG1-4'!$AD19:$IM19,MATCH(D2014,'KG1-4'!$AD$5:$IM$5,0)))</f>
        <v/>
      </c>
      <c r="F2014">
        <f>IF(D2014="","",COUNTIFS('KG1-4'!$AD19:$IM19,"غياب بدون عذر",'KG1-4'!$AD$7:$IM$7,"✓",'KG1-4'!$AD$5:$IM$5,"&lt;="&amp;D2014))</f>
        <v/>
      </c>
      <c r="G2014">
        <f>G2013+IF(D2014="",0,1)</f>
        <v/>
      </c>
    </row>
    <row r="2015">
      <c r="A2015">
        <f>IF('KG1-4'!$B19="","",'KG1-4'!$B19)</f>
        <v/>
      </c>
      <c r="B2015">
        <f>IF(A2015="","",'KG1-4'!$C19)</f>
        <v/>
      </c>
      <c r="C2015">
        <f>IF(A2015="","",'KG1-4'!$B$2)</f>
        <v/>
      </c>
      <c r="D2015" s="126">
        <f t="array" ref="D2015">IF(A2015="","",IFERROR(SMALL(IF((('KG1-4'!$AD19:$IM19="غياب بدون عذر")+('KG1-4'!$AD19:$IM19="غياب بعذر"))*('KG1-4'!$AD$7:$IM$7="✓"),'KG1-4'!$AD$5:$IM$5),14),""))</f>
        <v/>
      </c>
      <c r="E2015">
        <f>IF(D2015="","",INDEX('KG1-4'!$AD19:$IM19,MATCH(D2015,'KG1-4'!$AD$5:$IM$5,0)))</f>
        <v/>
      </c>
      <c r="F2015">
        <f>IF(D2015="","",COUNTIFS('KG1-4'!$AD19:$IM19,"غياب بدون عذر",'KG1-4'!$AD$7:$IM$7,"✓",'KG1-4'!$AD$5:$IM$5,"&lt;="&amp;D2015))</f>
        <v/>
      </c>
      <c r="G2015">
        <f>G2014+IF(D2015="",0,1)</f>
        <v/>
      </c>
    </row>
    <row r="2016">
      <c r="A2016">
        <f>IF('KG1-4'!$B19="","",'KG1-4'!$B19)</f>
        <v/>
      </c>
      <c r="B2016">
        <f>IF(A2016="","",'KG1-4'!$C19)</f>
        <v/>
      </c>
      <c r="C2016">
        <f>IF(A2016="","",'KG1-4'!$B$2)</f>
        <v/>
      </c>
      <c r="D2016" s="126">
        <f t="array" ref="D2016">IF(A2016="","",IFERROR(SMALL(IF((('KG1-4'!$AD19:$IM19="غياب بدون عذر")+('KG1-4'!$AD19:$IM19="غياب بعذر"))*('KG1-4'!$AD$7:$IM$7="✓"),'KG1-4'!$AD$5:$IM$5),15),""))</f>
        <v/>
      </c>
      <c r="E2016">
        <f>IF(D2016="","",INDEX('KG1-4'!$AD19:$IM19,MATCH(D2016,'KG1-4'!$AD$5:$IM$5,0)))</f>
        <v/>
      </c>
      <c r="F2016">
        <f>IF(D2016="","",COUNTIFS('KG1-4'!$AD19:$IM19,"غياب بدون عذر",'KG1-4'!$AD$7:$IM$7,"✓",'KG1-4'!$AD$5:$IM$5,"&lt;="&amp;D2016))</f>
        <v/>
      </c>
      <c r="G2016">
        <f>G2015+IF(D2016="",0,1)</f>
        <v/>
      </c>
    </row>
    <row r="2017">
      <c r="A2017">
        <f>IF('KG1-4'!$B19="","",'KG1-4'!$B19)</f>
        <v/>
      </c>
      <c r="B2017">
        <f>IF(A2017="","",'KG1-4'!$C19)</f>
        <v/>
      </c>
      <c r="C2017">
        <f>IF(A2017="","",'KG1-4'!$B$2)</f>
        <v/>
      </c>
      <c r="D2017" s="126">
        <f t="array" ref="D2017">IF(A2017="","",IFERROR(SMALL(IF((('KG1-4'!$AD19:$IM19="غياب بدون عذر")+('KG1-4'!$AD19:$IM19="غياب بعذر"))*('KG1-4'!$AD$7:$IM$7="✓"),'KG1-4'!$AD$5:$IM$5),16),""))</f>
        <v/>
      </c>
      <c r="E2017">
        <f>IF(D2017="","",INDEX('KG1-4'!$AD19:$IM19,MATCH(D2017,'KG1-4'!$AD$5:$IM$5,0)))</f>
        <v/>
      </c>
      <c r="F2017">
        <f>IF(D2017="","",COUNTIFS('KG1-4'!$AD19:$IM19,"غياب بدون عذر",'KG1-4'!$AD$7:$IM$7,"✓",'KG1-4'!$AD$5:$IM$5,"&lt;="&amp;D2017))</f>
        <v/>
      </c>
      <c r="G2017">
        <f>G2016+IF(D2017="",0,1)</f>
        <v/>
      </c>
    </row>
    <row r="2018">
      <c r="A2018">
        <f>IF('KG1-4'!$B19="","",'KG1-4'!$B19)</f>
        <v/>
      </c>
      <c r="B2018">
        <f>IF(A2018="","",'KG1-4'!$C19)</f>
        <v/>
      </c>
      <c r="C2018">
        <f>IF(A2018="","",'KG1-4'!$B$2)</f>
        <v/>
      </c>
      <c r="D2018" s="126">
        <f t="array" ref="D2018">IF(A2018="","",IFERROR(SMALL(IF((('KG1-4'!$AD19:$IM19="غياب بدون عذر")+('KG1-4'!$AD19:$IM19="غياب بعذر"))*('KG1-4'!$AD$7:$IM$7="✓"),'KG1-4'!$AD$5:$IM$5),17),""))</f>
        <v/>
      </c>
      <c r="E2018">
        <f>IF(D2018="","",INDEX('KG1-4'!$AD19:$IM19,MATCH(D2018,'KG1-4'!$AD$5:$IM$5,0)))</f>
        <v/>
      </c>
      <c r="F2018">
        <f>IF(D2018="","",COUNTIFS('KG1-4'!$AD19:$IM19,"غياب بدون عذر",'KG1-4'!$AD$7:$IM$7,"✓",'KG1-4'!$AD$5:$IM$5,"&lt;="&amp;D2018))</f>
        <v/>
      </c>
      <c r="G2018">
        <f>G2017+IF(D2018="",0,1)</f>
        <v/>
      </c>
    </row>
    <row r="2019">
      <c r="A2019">
        <f>IF('KG1-4'!$B19="","",'KG1-4'!$B19)</f>
        <v/>
      </c>
      <c r="B2019">
        <f>IF(A2019="","",'KG1-4'!$C19)</f>
        <v/>
      </c>
      <c r="C2019">
        <f>IF(A2019="","",'KG1-4'!$B$2)</f>
        <v/>
      </c>
      <c r="D2019" s="126">
        <f t="array" ref="D2019">IF(A2019="","",IFERROR(SMALL(IF((('KG1-4'!$AD19:$IM19="غياب بدون عذر")+('KG1-4'!$AD19:$IM19="غياب بعذر"))*('KG1-4'!$AD$7:$IM$7="✓"),'KG1-4'!$AD$5:$IM$5),18),""))</f>
        <v/>
      </c>
      <c r="E2019">
        <f>IF(D2019="","",INDEX('KG1-4'!$AD19:$IM19,MATCH(D2019,'KG1-4'!$AD$5:$IM$5,0)))</f>
        <v/>
      </c>
      <c r="F2019">
        <f>IF(D2019="","",COUNTIFS('KG1-4'!$AD19:$IM19,"غياب بدون عذر",'KG1-4'!$AD$7:$IM$7,"✓",'KG1-4'!$AD$5:$IM$5,"&lt;="&amp;D2019))</f>
        <v/>
      </c>
      <c r="G2019">
        <f>G2018+IF(D2019="",0,1)</f>
        <v/>
      </c>
    </row>
    <row r="2020">
      <c r="A2020">
        <f>IF('KG1-4'!$B19="","",'KG1-4'!$B19)</f>
        <v/>
      </c>
      <c r="B2020">
        <f>IF(A2020="","",'KG1-4'!$C19)</f>
        <v/>
      </c>
      <c r="C2020">
        <f>IF(A2020="","",'KG1-4'!$B$2)</f>
        <v/>
      </c>
      <c r="D2020" s="126">
        <f t="array" ref="D2020">IF(A2020="","",IFERROR(SMALL(IF((('KG1-4'!$AD19:$IM19="غياب بدون عذر")+('KG1-4'!$AD19:$IM19="غياب بعذر"))*('KG1-4'!$AD$7:$IM$7="✓"),'KG1-4'!$AD$5:$IM$5),19),""))</f>
        <v/>
      </c>
      <c r="E2020">
        <f>IF(D2020="","",INDEX('KG1-4'!$AD19:$IM19,MATCH(D2020,'KG1-4'!$AD$5:$IM$5,0)))</f>
        <v/>
      </c>
      <c r="F2020">
        <f>IF(D2020="","",COUNTIFS('KG1-4'!$AD19:$IM19,"غياب بدون عذر",'KG1-4'!$AD$7:$IM$7,"✓",'KG1-4'!$AD$5:$IM$5,"&lt;="&amp;D2020))</f>
        <v/>
      </c>
      <c r="G2020">
        <f>G2019+IF(D2020="",0,1)</f>
        <v/>
      </c>
    </row>
    <row r="2021">
      <c r="A2021">
        <f>IF('KG1-4'!$B19="","",'KG1-4'!$B19)</f>
        <v/>
      </c>
      <c r="B2021">
        <f>IF(A2021="","",'KG1-4'!$C19)</f>
        <v/>
      </c>
      <c r="C2021">
        <f>IF(A2021="","",'KG1-4'!$B$2)</f>
        <v/>
      </c>
      <c r="D2021" s="126">
        <f t="array" ref="D2021">IF(A2021="","",IFERROR(SMALL(IF((('KG1-4'!$AD19:$IM19="غياب بدون عذر")+('KG1-4'!$AD19:$IM19="غياب بعذر"))*('KG1-4'!$AD$7:$IM$7="✓"),'KG1-4'!$AD$5:$IM$5),20),""))</f>
        <v/>
      </c>
      <c r="E2021">
        <f>IF(D2021="","",INDEX('KG1-4'!$AD19:$IM19,MATCH(D2021,'KG1-4'!$AD$5:$IM$5,0)))</f>
        <v/>
      </c>
      <c r="F2021">
        <f>IF(D2021="","",COUNTIFS('KG1-4'!$AD19:$IM19,"غياب بدون عذر",'KG1-4'!$AD$7:$IM$7,"✓",'KG1-4'!$AD$5:$IM$5,"&lt;="&amp;D2021))</f>
        <v/>
      </c>
      <c r="G2021">
        <f>G2020+IF(D2021="",0,1)</f>
        <v/>
      </c>
    </row>
    <row r="2022">
      <c r="A2022">
        <f>IF('KG1-4'!$B20="","",'KG1-4'!$B20)</f>
        <v/>
      </c>
      <c r="B2022">
        <f>IF(A2022="","",'KG1-4'!$C20)</f>
        <v/>
      </c>
      <c r="C2022">
        <f>IF(A2022="","",'KG1-4'!$B$2)</f>
        <v/>
      </c>
      <c r="D2022" s="126">
        <f t="array" ref="D2022">IF(A2022="","",IFERROR(SMALL(IF((('KG1-4'!$AD20:$IM20="غياب بدون عذر")+('KG1-4'!$AD20:$IM20="غياب بعذر"))*('KG1-4'!$AD$7:$IM$7="✓"),'KG1-4'!$AD$5:$IM$5),1),""))</f>
        <v/>
      </c>
      <c r="E2022">
        <f>IF(D2022="","",INDEX('KG1-4'!$AD20:$IM20,MATCH(D2022,'KG1-4'!$AD$5:$IM$5,0)))</f>
        <v/>
      </c>
      <c r="F2022">
        <f>IF(D2022="","",COUNTIFS('KG1-4'!$AD20:$IM20,"غياب بدون عذر",'KG1-4'!$AD$7:$IM$7,"✓",'KG1-4'!$AD$5:$IM$5,"&lt;="&amp;D2022))</f>
        <v/>
      </c>
      <c r="G2022">
        <f>G2021+IF(D2022="",0,1)</f>
        <v/>
      </c>
    </row>
    <row r="2023">
      <c r="A2023">
        <f>IF('KG1-4'!$B20="","",'KG1-4'!$B20)</f>
        <v/>
      </c>
      <c r="B2023">
        <f>IF(A2023="","",'KG1-4'!$C20)</f>
        <v/>
      </c>
      <c r="C2023">
        <f>IF(A2023="","",'KG1-4'!$B$2)</f>
        <v/>
      </c>
      <c r="D2023" s="126">
        <f t="array" ref="D2023">IF(A2023="","",IFERROR(SMALL(IF((('KG1-4'!$AD20:$IM20="غياب بدون عذر")+('KG1-4'!$AD20:$IM20="غياب بعذر"))*('KG1-4'!$AD$7:$IM$7="✓"),'KG1-4'!$AD$5:$IM$5),2),""))</f>
        <v/>
      </c>
      <c r="E2023">
        <f>IF(D2023="","",INDEX('KG1-4'!$AD20:$IM20,MATCH(D2023,'KG1-4'!$AD$5:$IM$5,0)))</f>
        <v/>
      </c>
      <c r="F2023">
        <f>IF(D2023="","",COUNTIFS('KG1-4'!$AD20:$IM20,"غياب بدون عذر",'KG1-4'!$AD$7:$IM$7,"✓",'KG1-4'!$AD$5:$IM$5,"&lt;="&amp;D2023))</f>
        <v/>
      </c>
      <c r="G2023">
        <f>G2022+IF(D2023="",0,1)</f>
        <v/>
      </c>
    </row>
    <row r="2024">
      <c r="A2024">
        <f>IF('KG1-4'!$B20="","",'KG1-4'!$B20)</f>
        <v/>
      </c>
      <c r="B2024">
        <f>IF(A2024="","",'KG1-4'!$C20)</f>
        <v/>
      </c>
      <c r="C2024">
        <f>IF(A2024="","",'KG1-4'!$B$2)</f>
        <v/>
      </c>
      <c r="D2024" s="126">
        <f t="array" ref="D2024">IF(A2024="","",IFERROR(SMALL(IF((('KG1-4'!$AD20:$IM20="غياب بدون عذر")+('KG1-4'!$AD20:$IM20="غياب بعذر"))*('KG1-4'!$AD$7:$IM$7="✓"),'KG1-4'!$AD$5:$IM$5),3),""))</f>
        <v/>
      </c>
      <c r="E2024">
        <f>IF(D2024="","",INDEX('KG1-4'!$AD20:$IM20,MATCH(D2024,'KG1-4'!$AD$5:$IM$5,0)))</f>
        <v/>
      </c>
      <c r="F2024">
        <f>IF(D2024="","",COUNTIFS('KG1-4'!$AD20:$IM20,"غياب بدون عذر",'KG1-4'!$AD$7:$IM$7,"✓",'KG1-4'!$AD$5:$IM$5,"&lt;="&amp;D2024))</f>
        <v/>
      </c>
      <c r="G2024">
        <f>G2023+IF(D2024="",0,1)</f>
        <v/>
      </c>
    </row>
    <row r="2025">
      <c r="A2025">
        <f>IF('KG1-4'!$B20="","",'KG1-4'!$B20)</f>
        <v/>
      </c>
      <c r="B2025">
        <f>IF(A2025="","",'KG1-4'!$C20)</f>
        <v/>
      </c>
      <c r="C2025">
        <f>IF(A2025="","",'KG1-4'!$B$2)</f>
        <v/>
      </c>
      <c r="D2025" s="126">
        <f t="array" ref="D2025">IF(A2025="","",IFERROR(SMALL(IF((('KG1-4'!$AD20:$IM20="غياب بدون عذر")+('KG1-4'!$AD20:$IM20="غياب بعذر"))*('KG1-4'!$AD$7:$IM$7="✓"),'KG1-4'!$AD$5:$IM$5),4),""))</f>
        <v/>
      </c>
      <c r="E2025">
        <f>IF(D2025="","",INDEX('KG1-4'!$AD20:$IM20,MATCH(D2025,'KG1-4'!$AD$5:$IM$5,0)))</f>
        <v/>
      </c>
      <c r="F2025">
        <f>IF(D2025="","",COUNTIFS('KG1-4'!$AD20:$IM20,"غياب بدون عذر",'KG1-4'!$AD$7:$IM$7,"✓",'KG1-4'!$AD$5:$IM$5,"&lt;="&amp;D2025))</f>
        <v/>
      </c>
      <c r="G2025">
        <f>G2024+IF(D2025="",0,1)</f>
        <v/>
      </c>
    </row>
    <row r="2026">
      <c r="A2026">
        <f>IF('KG1-4'!$B20="","",'KG1-4'!$B20)</f>
        <v/>
      </c>
      <c r="B2026">
        <f>IF(A2026="","",'KG1-4'!$C20)</f>
        <v/>
      </c>
      <c r="C2026">
        <f>IF(A2026="","",'KG1-4'!$B$2)</f>
        <v/>
      </c>
      <c r="D2026" s="126">
        <f t="array" ref="D2026">IF(A2026="","",IFERROR(SMALL(IF((('KG1-4'!$AD20:$IM20="غياب بدون عذر")+('KG1-4'!$AD20:$IM20="غياب بعذر"))*('KG1-4'!$AD$7:$IM$7="✓"),'KG1-4'!$AD$5:$IM$5),5),""))</f>
        <v/>
      </c>
      <c r="E2026">
        <f>IF(D2026="","",INDEX('KG1-4'!$AD20:$IM20,MATCH(D2026,'KG1-4'!$AD$5:$IM$5,0)))</f>
        <v/>
      </c>
      <c r="F2026">
        <f>IF(D2026="","",COUNTIFS('KG1-4'!$AD20:$IM20,"غياب بدون عذر",'KG1-4'!$AD$7:$IM$7,"✓",'KG1-4'!$AD$5:$IM$5,"&lt;="&amp;D2026))</f>
        <v/>
      </c>
      <c r="G2026">
        <f>G2025+IF(D2026="",0,1)</f>
        <v/>
      </c>
    </row>
    <row r="2027">
      <c r="A2027">
        <f>IF('KG1-4'!$B20="","",'KG1-4'!$B20)</f>
        <v/>
      </c>
      <c r="B2027">
        <f>IF(A2027="","",'KG1-4'!$C20)</f>
        <v/>
      </c>
      <c r="C2027">
        <f>IF(A2027="","",'KG1-4'!$B$2)</f>
        <v/>
      </c>
      <c r="D2027" s="126">
        <f t="array" ref="D2027">IF(A2027="","",IFERROR(SMALL(IF((('KG1-4'!$AD20:$IM20="غياب بدون عذر")+('KG1-4'!$AD20:$IM20="غياب بعذر"))*('KG1-4'!$AD$7:$IM$7="✓"),'KG1-4'!$AD$5:$IM$5),6),""))</f>
        <v/>
      </c>
      <c r="E2027">
        <f>IF(D2027="","",INDEX('KG1-4'!$AD20:$IM20,MATCH(D2027,'KG1-4'!$AD$5:$IM$5,0)))</f>
        <v/>
      </c>
      <c r="F2027">
        <f>IF(D2027="","",COUNTIFS('KG1-4'!$AD20:$IM20,"غياب بدون عذر",'KG1-4'!$AD$7:$IM$7,"✓",'KG1-4'!$AD$5:$IM$5,"&lt;="&amp;D2027))</f>
        <v/>
      </c>
      <c r="G2027">
        <f>G2026+IF(D2027="",0,1)</f>
        <v/>
      </c>
    </row>
    <row r="2028">
      <c r="A2028">
        <f>IF('KG1-4'!$B20="","",'KG1-4'!$B20)</f>
        <v/>
      </c>
      <c r="B2028">
        <f>IF(A2028="","",'KG1-4'!$C20)</f>
        <v/>
      </c>
      <c r="C2028">
        <f>IF(A2028="","",'KG1-4'!$B$2)</f>
        <v/>
      </c>
      <c r="D2028" s="126">
        <f t="array" ref="D2028">IF(A2028="","",IFERROR(SMALL(IF((('KG1-4'!$AD20:$IM20="غياب بدون عذر")+('KG1-4'!$AD20:$IM20="غياب بعذر"))*('KG1-4'!$AD$7:$IM$7="✓"),'KG1-4'!$AD$5:$IM$5),7),""))</f>
        <v/>
      </c>
      <c r="E2028">
        <f>IF(D2028="","",INDEX('KG1-4'!$AD20:$IM20,MATCH(D2028,'KG1-4'!$AD$5:$IM$5,0)))</f>
        <v/>
      </c>
      <c r="F2028">
        <f>IF(D2028="","",COUNTIFS('KG1-4'!$AD20:$IM20,"غياب بدون عذر",'KG1-4'!$AD$7:$IM$7,"✓",'KG1-4'!$AD$5:$IM$5,"&lt;="&amp;D2028))</f>
        <v/>
      </c>
      <c r="G2028">
        <f>G2027+IF(D2028="",0,1)</f>
        <v/>
      </c>
    </row>
    <row r="2029">
      <c r="A2029">
        <f>IF('KG1-4'!$B20="","",'KG1-4'!$B20)</f>
        <v/>
      </c>
      <c r="B2029">
        <f>IF(A2029="","",'KG1-4'!$C20)</f>
        <v/>
      </c>
      <c r="C2029">
        <f>IF(A2029="","",'KG1-4'!$B$2)</f>
        <v/>
      </c>
      <c r="D2029" s="126">
        <f t="array" ref="D2029">IF(A2029="","",IFERROR(SMALL(IF((('KG1-4'!$AD20:$IM20="غياب بدون عذر")+('KG1-4'!$AD20:$IM20="غياب بعذر"))*('KG1-4'!$AD$7:$IM$7="✓"),'KG1-4'!$AD$5:$IM$5),8),""))</f>
        <v/>
      </c>
      <c r="E2029">
        <f>IF(D2029="","",INDEX('KG1-4'!$AD20:$IM20,MATCH(D2029,'KG1-4'!$AD$5:$IM$5,0)))</f>
        <v/>
      </c>
      <c r="F2029">
        <f>IF(D2029="","",COUNTIFS('KG1-4'!$AD20:$IM20,"غياب بدون عذر",'KG1-4'!$AD$7:$IM$7,"✓",'KG1-4'!$AD$5:$IM$5,"&lt;="&amp;D2029))</f>
        <v/>
      </c>
      <c r="G2029">
        <f>G2028+IF(D2029="",0,1)</f>
        <v/>
      </c>
    </row>
    <row r="2030">
      <c r="A2030">
        <f>IF('KG1-4'!$B20="","",'KG1-4'!$B20)</f>
        <v/>
      </c>
      <c r="B2030">
        <f>IF(A2030="","",'KG1-4'!$C20)</f>
        <v/>
      </c>
      <c r="C2030">
        <f>IF(A2030="","",'KG1-4'!$B$2)</f>
        <v/>
      </c>
      <c r="D2030" s="126">
        <f t="array" ref="D2030">IF(A2030="","",IFERROR(SMALL(IF((('KG1-4'!$AD20:$IM20="غياب بدون عذر")+('KG1-4'!$AD20:$IM20="غياب بعذر"))*('KG1-4'!$AD$7:$IM$7="✓"),'KG1-4'!$AD$5:$IM$5),9),""))</f>
        <v/>
      </c>
      <c r="E2030">
        <f>IF(D2030="","",INDEX('KG1-4'!$AD20:$IM20,MATCH(D2030,'KG1-4'!$AD$5:$IM$5,0)))</f>
        <v/>
      </c>
      <c r="F2030">
        <f>IF(D2030="","",COUNTIFS('KG1-4'!$AD20:$IM20,"غياب بدون عذر",'KG1-4'!$AD$7:$IM$7,"✓",'KG1-4'!$AD$5:$IM$5,"&lt;="&amp;D2030))</f>
        <v/>
      </c>
      <c r="G2030">
        <f>G2029+IF(D2030="",0,1)</f>
        <v/>
      </c>
    </row>
    <row r="2031">
      <c r="A2031">
        <f>IF('KG1-4'!$B20="","",'KG1-4'!$B20)</f>
        <v/>
      </c>
      <c r="B2031">
        <f>IF(A2031="","",'KG1-4'!$C20)</f>
        <v/>
      </c>
      <c r="C2031">
        <f>IF(A2031="","",'KG1-4'!$B$2)</f>
        <v/>
      </c>
      <c r="D2031" s="126">
        <f t="array" ref="D2031">IF(A2031="","",IFERROR(SMALL(IF((('KG1-4'!$AD20:$IM20="غياب بدون عذر")+('KG1-4'!$AD20:$IM20="غياب بعذر"))*('KG1-4'!$AD$7:$IM$7="✓"),'KG1-4'!$AD$5:$IM$5),10),""))</f>
        <v/>
      </c>
      <c r="E2031">
        <f>IF(D2031="","",INDEX('KG1-4'!$AD20:$IM20,MATCH(D2031,'KG1-4'!$AD$5:$IM$5,0)))</f>
        <v/>
      </c>
      <c r="F2031">
        <f>IF(D2031="","",COUNTIFS('KG1-4'!$AD20:$IM20,"غياب بدون عذر",'KG1-4'!$AD$7:$IM$7,"✓",'KG1-4'!$AD$5:$IM$5,"&lt;="&amp;D2031))</f>
        <v/>
      </c>
      <c r="G2031">
        <f>G2030+IF(D2031="",0,1)</f>
        <v/>
      </c>
    </row>
    <row r="2032">
      <c r="A2032">
        <f>IF('KG1-4'!$B20="","",'KG1-4'!$B20)</f>
        <v/>
      </c>
      <c r="B2032">
        <f>IF(A2032="","",'KG1-4'!$C20)</f>
        <v/>
      </c>
      <c r="C2032">
        <f>IF(A2032="","",'KG1-4'!$B$2)</f>
        <v/>
      </c>
      <c r="D2032" s="126">
        <f t="array" ref="D2032">IF(A2032="","",IFERROR(SMALL(IF((('KG1-4'!$AD20:$IM20="غياب بدون عذر")+('KG1-4'!$AD20:$IM20="غياب بعذر"))*('KG1-4'!$AD$7:$IM$7="✓"),'KG1-4'!$AD$5:$IM$5),11),""))</f>
        <v/>
      </c>
      <c r="E2032">
        <f>IF(D2032="","",INDEX('KG1-4'!$AD20:$IM20,MATCH(D2032,'KG1-4'!$AD$5:$IM$5,0)))</f>
        <v/>
      </c>
      <c r="F2032">
        <f>IF(D2032="","",COUNTIFS('KG1-4'!$AD20:$IM20,"غياب بدون عذر",'KG1-4'!$AD$7:$IM$7,"✓",'KG1-4'!$AD$5:$IM$5,"&lt;="&amp;D2032))</f>
        <v/>
      </c>
      <c r="G2032">
        <f>G2031+IF(D2032="",0,1)</f>
        <v/>
      </c>
    </row>
    <row r="2033">
      <c r="A2033">
        <f>IF('KG1-4'!$B20="","",'KG1-4'!$B20)</f>
        <v/>
      </c>
      <c r="B2033">
        <f>IF(A2033="","",'KG1-4'!$C20)</f>
        <v/>
      </c>
      <c r="C2033">
        <f>IF(A2033="","",'KG1-4'!$B$2)</f>
        <v/>
      </c>
      <c r="D2033" s="126">
        <f t="array" ref="D2033">IF(A2033="","",IFERROR(SMALL(IF((('KG1-4'!$AD20:$IM20="غياب بدون عذر")+('KG1-4'!$AD20:$IM20="غياب بعذر"))*('KG1-4'!$AD$7:$IM$7="✓"),'KG1-4'!$AD$5:$IM$5),12),""))</f>
        <v/>
      </c>
      <c r="E2033">
        <f>IF(D2033="","",INDEX('KG1-4'!$AD20:$IM20,MATCH(D2033,'KG1-4'!$AD$5:$IM$5,0)))</f>
        <v/>
      </c>
      <c r="F2033">
        <f>IF(D2033="","",COUNTIFS('KG1-4'!$AD20:$IM20,"غياب بدون عذر",'KG1-4'!$AD$7:$IM$7,"✓",'KG1-4'!$AD$5:$IM$5,"&lt;="&amp;D2033))</f>
        <v/>
      </c>
      <c r="G2033">
        <f>G2032+IF(D2033="",0,1)</f>
        <v/>
      </c>
    </row>
    <row r="2034">
      <c r="A2034">
        <f>IF('KG1-4'!$B20="","",'KG1-4'!$B20)</f>
        <v/>
      </c>
      <c r="B2034">
        <f>IF(A2034="","",'KG1-4'!$C20)</f>
        <v/>
      </c>
      <c r="C2034">
        <f>IF(A2034="","",'KG1-4'!$B$2)</f>
        <v/>
      </c>
      <c r="D2034" s="126">
        <f t="array" ref="D2034">IF(A2034="","",IFERROR(SMALL(IF((('KG1-4'!$AD20:$IM20="غياب بدون عذر")+('KG1-4'!$AD20:$IM20="غياب بعذر"))*('KG1-4'!$AD$7:$IM$7="✓"),'KG1-4'!$AD$5:$IM$5),13),""))</f>
        <v/>
      </c>
      <c r="E2034">
        <f>IF(D2034="","",INDEX('KG1-4'!$AD20:$IM20,MATCH(D2034,'KG1-4'!$AD$5:$IM$5,0)))</f>
        <v/>
      </c>
      <c r="F2034">
        <f>IF(D2034="","",COUNTIFS('KG1-4'!$AD20:$IM20,"غياب بدون عذر",'KG1-4'!$AD$7:$IM$7,"✓",'KG1-4'!$AD$5:$IM$5,"&lt;="&amp;D2034))</f>
        <v/>
      </c>
      <c r="G2034">
        <f>G2033+IF(D2034="",0,1)</f>
        <v/>
      </c>
    </row>
    <row r="2035">
      <c r="A2035">
        <f>IF('KG1-4'!$B20="","",'KG1-4'!$B20)</f>
        <v/>
      </c>
      <c r="B2035">
        <f>IF(A2035="","",'KG1-4'!$C20)</f>
        <v/>
      </c>
      <c r="C2035">
        <f>IF(A2035="","",'KG1-4'!$B$2)</f>
        <v/>
      </c>
      <c r="D2035" s="126">
        <f t="array" ref="D2035">IF(A2035="","",IFERROR(SMALL(IF((('KG1-4'!$AD20:$IM20="غياب بدون عذر")+('KG1-4'!$AD20:$IM20="غياب بعذر"))*('KG1-4'!$AD$7:$IM$7="✓"),'KG1-4'!$AD$5:$IM$5),14),""))</f>
        <v/>
      </c>
      <c r="E2035">
        <f>IF(D2035="","",INDEX('KG1-4'!$AD20:$IM20,MATCH(D2035,'KG1-4'!$AD$5:$IM$5,0)))</f>
        <v/>
      </c>
      <c r="F2035">
        <f>IF(D2035="","",COUNTIFS('KG1-4'!$AD20:$IM20,"غياب بدون عذر",'KG1-4'!$AD$7:$IM$7,"✓",'KG1-4'!$AD$5:$IM$5,"&lt;="&amp;D2035))</f>
        <v/>
      </c>
      <c r="G2035">
        <f>G2034+IF(D2035="",0,1)</f>
        <v/>
      </c>
    </row>
    <row r="2036">
      <c r="A2036">
        <f>IF('KG1-4'!$B20="","",'KG1-4'!$B20)</f>
        <v/>
      </c>
      <c r="B2036">
        <f>IF(A2036="","",'KG1-4'!$C20)</f>
        <v/>
      </c>
      <c r="C2036">
        <f>IF(A2036="","",'KG1-4'!$B$2)</f>
        <v/>
      </c>
      <c r="D2036" s="126">
        <f t="array" ref="D2036">IF(A2036="","",IFERROR(SMALL(IF((('KG1-4'!$AD20:$IM20="غياب بدون عذر")+('KG1-4'!$AD20:$IM20="غياب بعذر"))*('KG1-4'!$AD$7:$IM$7="✓"),'KG1-4'!$AD$5:$IM$5),15),""))</f>
        <v/>
      </c>
      <c r="E2036">
        <f>IF(D2036="","",INDEX('KG1-4'!$AD20:$IM20,MATCH(D2036,'KG1-4'!$AD$5:$IM$5,0)))</f>
        <v/>
      </c>
      <c r="F2036">
        <f>IF(D2036="","",COUNTIFS('KG1-4'!$AD20:$IM20,"غياب بدون عذر",'KG1-4'!$AD$7:$IM$7,"✓",'KG1-4'!$AD$5:$IM$5,"&lt;="&amp;D2036))</f>
        <v/>
      </c>
      <c r="G2036">
        <f>G2035+IF(D2036="",0,1)</f>
        <v/>
      </c>
    </row>
    <row r="2037">
      <c r="A2037">
        <f>IF('KG1-4'!$B20="","",'KG1-4'!$B20)</f>
        <v/>
      </c>
      <c r="B2037">
        <f>IF(A2037="","",'KG1-4'!$C20)</f>
        <v/>
      </c>
      <c r="C2037">
        <f>IF(A2037="","",'KG1-4'!$B$2)</f>
        <v/>
      </c>
      <c r="D2037" s="126">
        <f t="array" ref="D2037">IF(A2037="","",IFERROR(SMALL(IF((('KG1-4'!$AD20:$IM20="غياب بدون عذر")+('KG1-4'!$AD20:$IM20="غياب بعذر"))*('KG1-4'!$AD$7:$IM$7="✓"),'KG1-4'!$AD$5:$IM$5),16),""))</f>
        <v/>
      </c>
      <c r="E2037">
        <f>IF(D2037="","",INDEX('KG1-4'!$AD20:$IM20,MATCH(D2037,'KG1-4'!$AD$5:$IM$5,0)))</f>
        <v/>
      </c>
      <c r="F2037">
        <f>IF(D2037="","",COUNTIFS('KG1-4'!$AD20:$IM20,"غياب بدون عذر",'KG1-4'!$AD$7:$IM$7,"✓",'KG1-4'!$AD$5:$IM$5,"&lt;="&amp;D2037))</f>
        <v/>
      </c>
      <c r="G2037">
        <f>G2036+IF(D2037="",0,1)</f>
        <v/>
      </c>
    </row>
    <row r="2038">
      <c r="A2038">
        <f>IF('KG1-4'!$B20="","",'KG1-4'!$B20)</f>
        <v/>
      </c>
      <c r="B2038">
        <f>IF(A2038="","",'KG1-4'!$C20)</f>
        <v/>
      </c>
      <c r="C2038">
        <f>IF(A2038="","",'KG1-4'!$B$2)</f>
        <v/>
      </c>
      <c r="D2038" s="126">
        <f t="array" ref="D2038">IF(A2038="","",IFERROR(SMALL(IF((('KG1-4'!$AD20:$IM20="غياب بدون عذر")+('KG1-4'!$AD20:$IM20="غياب بعذر"))*('KG1-4'!$AD$7:$IM$7="✓"),'KG1-4'!$AD$5:$IM$5),17),""))</f>
        <v/>
      </c>
      <c r="E2038">
        <f>IF(D2038="","",INDEX('KG1-4'!$AD20:$IM20,MATCH(D2038,'KG1-4'!$AD$5:$IM$5,0)))</f>
        <v/>
      </c>
      <c r="F2038">
        <f>IF(D2038="","",COUNTIFS('KG1-4'!$AD20:$IM20,"غياب بدون عذر",'KG1-4'!$AD$7:$IM$7,"✓",'KG1-4'!$AD$5:$IM$5,"&lt;="&amp;D2038))</f>
        <v/>
      </c>
      <c r="G2038">
        <f>G2037+IF(D2038="",0,1)</f>
        <v/>
      </c>
    </row>
    <row r="2039">
      <c r="A2039">
        <f>IF('KG1-4'!$B20="","",'KG1-4'!$B20)</f>
        <v/>
      </c>
      <c r="B2039">
        <f>IF(A2039="","",'KG1-4'!$C20)</f>
        <v/>
      </c>
      <c r="C2039">
        <f>IF(A2039="","",'KG1-4'!$B$2)</f>
        <v/>
      </c>
      <c r="D2039" s="126">
        <f t="array" ref="D2039">IF(A2039="","",IFERROR(SMALL(IF((('KG1-4'!$AD20:$IM20="غياب بدون عذر")+('KG1-4'!$AD20:$IM20="غياب بعذر"))*('KG1-4'!$AD$7:$IM$7="✓"),'KG1-4'!$AD$5:$IM$5),18),""))</f>
        <v/>
      </c>
      <c r="E2039">
        <f>IF(D2039="","",INDEX('KG1-4'!$AD20:$IM20,MATCH(D2039,'KG1-4'!$AD$5:$IM$5,0)))</f>
        <v/>
      </c>
      <c r="F2039">
        <f>IF(D2039="","",COUNTIFS('KG1-4'!$AD20:$IM20,"غياب بدون عذر",'KG1-4'!$AD$7:$IM$7,"✓",'KG1-4'!$AD$5:$IM$5,"&lt;="&amp;D2039))</f>
        <v/>
      </c>
      <c r="G2039">
        <f>G2038+IF(D2039="",0,1)</f>
        <v/>
      </c>
    </row>
    <row r="2040">
      <c r="A2040">
        <f>IF('KG1-4'!$B20="","",'KG1-4'!$B20)</f>
        <v/>
      </c>
      <c r="B2040">
        <f>IF(A2040="","",'KG1-4'!$C20)</f>
        <v/>
      </c>
      <c r="C2040">
        <f>IF(A2040="","",'KG1-4'!$B$2)</f>
        <v/>
      </c>
      <c r="D2040" s="126">
        <f t="array" ref="D2040">IF(A2040="","",IFERROR(SMALL(IF((('KG1-4'!$AD20:$IM20="غياب بدون عذر")+('KG1-4'!$AD20:$IM20="غياب بعذر"))*('KG1-4'!$AD$7:$IM$7="✓"),'KG1-4'!$AD$5:$IM$5),19),""))</f>
        <v/>
      </c>
      <c r="E2040">
        <f>IF(D2040="","",INDEX('KG1-4'!$AD20:$IM20,MATCH(D2040,'KG1-4'!$AD$5:$IM$5,0)))</f>
        <v/>
      </c>
      <c r="F2040">
        <f>IF(D2040="","",COUNTIFS('KG1-4'!$AD20:$IM20,"غياب بدون عذر",'KG1-4'!$AD$7:$IM$7,"✓",'KG1-4'!$AD$5:$IM$5,"&lt;="&amp;D2040))</f>
        <v/>
      </c>
      <c r="G2040">
        <f>G2039+IF(D2040="",0,1)</f>
        <v/>
      </c>
    </row>
    <row r="2041">
      <c r="A2041">
        <f>IF('KG1-4'!$B20="","",'KG1-4'!$B20)</f>
        <v/>
      </c>
      <c r="B2041">
        <f>IF(A2041="","",'KG1-4'!$C20)</f>
        <v/>
      </c>
      <c r="C2041">
        <f>IF(A2041="","",'KG1-4'!$B$2)</f>
        <v/>
      </c>
      <c r="D2041" s="126">
        <f t="array" ref="D2041">IF(A2041="","",IFERROR(SMALL(IF((('KG1-4'!$AD20:$IM20="غياب بدون عذر")+('KG1-4'!$AD20:$IM20="غياب بعذر"))*('KG1-4'!$AD$7:$IM$7="✓"),'KG1-4'!$AD$5:$IM$5),20),""))</f>
        <v/>
      </c>
      <c r="E2041">
        <f>IF(D2041="","",INDEX('KG1-4'!$AD20:$IM20,MATCH(D2041,'KG1-4'!$AD$5:$IM$5,0)))</f>
        <v/>
      </c>
      <c r="F2041">
        <f>IF(D2041="","",COUNTIFS('KG1-4'!$AD20:$IM20,"غياب بدون عذر",'KG1-4'!$AD$7:$IM$7,"✓",'KG1-4'!$AD$5:$IM$5,"&lt;="&amp;D2041))</f>
        <v/>
      </c>
      <c r="G2041">
        <f>G2040+IF(D2041="",0,1)</f>
        <v/>
      </c>
    </row>
    <row r="2042">
      <c r="A2042">
        <f>IF('KG1-4'!$B21="","",'KG1-4'!$B21)</f>
        <v/>
      </c>
      <c r="B2042">
        <f>IF(A2042="","",'KG1-4'!$C21)</f>
        <v/>
      </c>
      <c r="C2042">
        <f>IF(A2042="","",'KG1-4'!$B$2)</f>
        <v/>
      </c>
      <c r="D2042" s="126">
        <f t="array" ref="D2042">IF(A2042="","",IFERROR(SMALL(IF((('KG1-4'!$AD21:$IM21="غياب بدون عذر")+('KG1-4'!$AD21:$IM21="غياب بعذر"))*('KG1-4'!$AD$7:$IM$7="✓"),'KG1-4'!$AD$5:$IM$5),1),""))</f>
        <v/>
      </c>
      <c r="E2042">
        <f>IF(D2042="","",INDEX('KG1-4'!$AD21:$IM21,MATCH(D2042,'KG1-4'!$AD$5:$IM$5,0)))</f>
        <v/>
      </c>
      <c r="F2042">
        <f>IF(D2042="","",COUNTIFS('KG1-4'!$AD21:$IM21,"غياب بدون عذر",'KG1-4'!$AD$7:$IM$7,"✓",'KG1-4'!$AD$5:$IM$5,"&lt;="&amp;D2042))</f>
        <v/>
      </c>
      <c r="G2042">
        <f>G2041+IF(D2042="",0,1)</f>
        <v/>
      </c>
    </row>
    <row r="2043">
      <c r="A2043">
        <f>IF('KG1-4'!$B21="","",'KG1-4'!$B21)</f>
        <v/>
      </c>
      <c r="B2043">
        <f>IF(A2043="","",'KG1-4'!$C21)</f>
        <v/>
      </c>
      <c r="C2043">
        <f>IF(A2043="","",'KG1-4'!$B$2)</f>
        <v/>
      </c>
      <c r="D2043" s="126">
        <f t="array" ref="D2043">IF(A2043="","",IFERROR(SMALL(IF((('KG1-4'!$AD21:$IM21="غياب بدون عذر")+('KG1-4'!$AD21:$IM21="غياب بعذر"))*('KG1-4'!$AD$7:$IM$7="✓"),'KG1-4'!$AD$5:$IM$5),2),""))</f>
        <v/>
      </c>
      <c r="E2043">
        <f>IF(D2043="","",INDEX('KG1-4'!$AD21:$IM21,MATCH(D2043,'KG1-4'!$AD$5:$IM$5,0)))</f>
        <v/>
      </c>
      <c r="F2043">
        <f>IF(D2043="","",COUNTIFS('KG1-4'!$AD21:$IM21,"غياب بدون عذر",'KG1-4'!$AD$7:$IM$7,"✓",'KG1-4'!$AD$5:$IM$5,"&lt;="&amp;D2043))</f>
        <v/>
      </c>
      <c r="G2043">
        <f>G2042+IF(D2043="",0,1)</f>
        <v/>
      </c>
    </row>
    <row r="2044">
      <c r="A2044">
        <f>IF('KG1-4'!$B21="","",'KG1-4'!$B21)</f>
        <v/>
      </c>
      <c r="B2044">
        <f>IF(A2044="","",'KG1-4'!$C21)</f>
        <v/>
      </c>
      <c r="C2044">
        <f>IF(A2044="","",'KG1-4'!$B$2)</f>
        <v/>
      </c>
      <c r="D2044" s="126">
        <f t="array" ref="D2044">IF(A2044="","",IFERROR(SMALL(IF((('KG1-4'!$AD21:$IM21="غياب بدون عذر")+('KG1-4'!$AD21:$IM21="غياب بعذر"))*('KG1-4'!$AD$7:$IM$7="✓"),'KG1-4'!$AD$5:$IM$5),3),""))</f>
        <v/>
      </c>
      <c r="E2044">
        <f>IF(D2044="","",INDEX('KG1-4'!$AD21:$IM21,MATCH(D2044,'KG1-4'!$AD$5:$IM$5,0)))</f>
        <v/>
      </c>
      <c r="F2044">
        <f>IF(D2044="","",COUNTIFS('KG1-4'!$AD21:$IM21,"غياب بدون عذر",'KG1-4'!$AD$7:$IM$7,"✓",'KG1-4'!$AD$5:$IM$5,"&lt;="&amp;D2044))</f>
        <v/>
      </c>
      <c r="G2044">
        <f>G2043+IF(D2044="",0,1)</f>
        <v/>
      </c>
    </row>
    <row r="2045">
      <c r="A2045">
        <f>IF('KG1-4'!$B21="","",'KG1-4'!$B21)</f>
        <v/>
      </c>
      <c r="B2045">
        <f>IF(A2045="","",'KG1-4'!$C21)</f>
        <v/>
      </c>
      <c r="C2045">
        <f>IF(A2045="","",'KG1-4'!$B$2)</f>
        <v/>
      </c>
      <c r="D2045" s="126">
        <f t="array" ref="D2045">IF(A2045="","",IFERROR(SMALL(IF((('KG1-4'!$AD21:$IM21="غياب بدون عذر")+('KG1-4'!$AD21:$IM21="غياب بعذر"))*('KG1-4'!$AD$7:$IM$7="✓"),'KG1-4'!$AD$5:$IM$5),4),""))</f>
        <v/>
      </c>
      <c r="E2045">
        <f>IF(D2045="","",INDEX('KG1-4'!$AD21:$IM21,MATCH(D2045,'KG1-4'!$AD$5:$IM$5,0)))</f>
        <v/>
      </c>
      <c r="F2045">
        <f>IF(D2045="","",COUNTIFS('KG1-4'!$AD21:$IM21,"غياب بدون عذر",'KG1-4'!$AD$7:$IM$7,"✓",'KG1-4'!$AD$5:$IM$5,"&lt;="&amp;D2045))</f>
        <v/>
      </c>
      <c r="G2045">
        <f>G2044+IF(D2045="",0,1)</f>
        <v/>
      </c>
    </row>
    <row r="2046">
      <c r="A2046">
        <f>IF('KG1-4'!$B21="","",'KG1-4'!$B21)</f>
        <v/>
      </c>
      <c r="B2046">
        <f>IF(A2046="","",'KG1-4'!$C21)</f>
        <v/>
      </c>
      <c r="C2046">
        <f>IF(A2046="","",'KG1-4'!$B$2)</f>
        <v/>
      </c>
      <c r="D2046" s="126">
        <f t="array" ref="D2046">IF(A2046="","",IFERROR(SMALL(IF((('KG1-4'!$AD21:$IM21="غياب بدون عذر")+('KG1-4'!$AD21:$IM21="غياب بعذر"))*('KG1-4'!$AD$7:$IM$7="✓"),'KG1-4'!$AD$5:$IM$5),5),""))</f>
        <v/>
      </c>
      <c r="E2046">
        <f>IF(D2046="","",INDEX('KG1-4'!$AD21:$IM21,MATCH(D2046,'KG1-4'!$AD$5:$IM$5,0)))</f>
        <v/>
      </c>
      <c r="F2046">
        <f>IF(D2046="","",COUNTIFS('KG1-4'!$AD21:$IM21,"غياب بدون عذر",'KG1-4'!$AD$7:$IM$7,"✓",'KG1-4'!$AD$5:$IM$5,"&lt;="&amp;D2046))</f>
        <v/>
      </c>
      <c r="G2046">
        <f>G2045+IF(D2046="",0,1)</f>
        <v/>
      </c>
    </row>
    <row r="2047">
      <c r="A2047">
        <f>IF('KG1-4'!$B21="","",'KG1-4'!$B21)</f>
        <v/>
      </c>
      <c r="B2047">
        <f>IF(A2047="","",'KG1-4'!$C21)</f>
        <v/>
      </c>
      <c r="C2047">
        <f>IF(A2047="","",'KG1-4'!$B$2)</f>
        <v/>
      </c>
      <c r="D2047" s="126">
        <f t="array" ref="D2047">IF(A2047="","",IFERROR(SMALL(IF((('KG1-4'!$AD21:$IM21="غياب بدون عذر")+('KG1-4'!$AD21:$IM21="غياب بعذر"))*('KG1-4'!$AD$7:$IM$7="✓"),'KG1-4'!$AD$5:$IM$5),6),""))</f>
        <v/>
      </c>
      <c r="E2047">
        <f>IF(D2047="","",INDEX('KG1-4'!$AD21:$IM21,MATCH(D2047,'KG1-4'!$AD$5:$IM$5,0)))</f>
        <v/>
      </c>
      <c r="F2047">
        <f>IF(D2047="","",COUNTIFS('KG1-4'!$AD21:$IM21,"غياب بدون عذر",'KG1-4'!$AD$7:$IM$7,"✓",'KG1-4'!$AD$5:$IM$5,"&lt;="&amp;D2047))</f>
        <v/>
      </c>
      <c r="G2047">
        <f>G2046+IF(D2047="",0,1)</f>
        <v/>
      </c>
    </row>
    <row r="2048">
      <c r="A2048">
        <f>IF('KG1-4'!$B21="","",'KG1-4'!$B21)</f>
        <v/>
      </c>
      <c r="B2048">
        <f>IF(A2048="","",'KG1-4'!$C21)</f>
        <v/>
      </c>
      <c r="C2048">
        <f>IF(A2048="","",'KG1-4'!$B$2)</f>
        <v/>
      </c>
      <c r="D2048" s="126">
        <f t="array" ref="D2048">IF(A2048="","",IFERROR(SMALL(IF((('KG1-4'!$AD21:$IM21="غياب بدون عذر")+('KG1-4'!$AD21:$IM21="غياب بعذر"))*('KG1-4'!$AD$7:$IM$7="✓"),'KG1-4'!$AD$5:$IM$5),7),""))</f>
        <v/>
      </c>
      <c r="E2048">
        <f>IF(D2048="","",INDEX('KG1-4'!$AD21:$IM21,MATCH(D2048,'KG1-4'!$AD$5:$IM$5,0)))</f>
        <v/>
      </c>
      <c r="F2048">
        <f>IF(D2048="","",COUNTIFS('KG1-4'!$AD21:$IM21,"غياب بدون عذر",'KG1-4'!$AD$7:$IM$7,"✓",'KG1-4'!$AD$5:$IM$5,"&lt;="&amp;D2048))</f>
        <v/>
      </c>
      <c r="G2048">
        <f>G2047+IF(D2048="",0,1)</f>
        <v/>
      </c>
    </row>
    <row r="2049">
      <c r="A2049">
        <f>IF('KG1-4'!$B21="","",'KG1-4'!$B21)</f>
        <v/>
      </c>
      <c r="B2049">
        <f>IF(A2049="","",'KG1-4'!$C21)</f>
        <v/>
      </c>
      <c r="C2049">
        <f>IF(A2049="","",'KG1-4'!$B$2)</f>
        <v/>
      </c>
      <c r="D2049" s="126">
        <f t="array" ref="D2049">IF(A2049="","",IFERROR(SMALL(IF((('KG1-4'!$AD21:$IM21="غياب بدون عذر")+('KG1-4'!$AD21:$IM21="غياب بعذر"))*('KG1-4'!$AD$7:$IM$7="✓"),'KG1-4'!$AD$5:$IM$5),8),""))</f>
        <v/>
      </c>
      <c r="E2049">
        <f>IF(D2049="","",INDEX('KG1-4'!$AD21:$IM21,MATCH(D2049,'KG1-4'!$AD$5:$IM$5,0)))</f>
        <v/>
      </c>
      <c r="F2049">
        <f>IF(D2049="","",COUNTIFS('KG1-4'!$AD21:$IM21,"غياب بدون عذر",'KG1-4'!$AD$7:$IM$7,"✓",'KG1-4'!$AD$5:$IM$5,"&lt;="&amp;D2049))</f>
        <v/>
      </c>
      <c r="G2049">
        <f>G2048+IF(D2049="",0,1)</f>
        <v/>
      </c>
    </row>
    <row r="2050">
      <c r="A2050">
        <f>IF('KG1-4'!$B21="","",'KG1-4'!$B21)</f>
        <v/>
      </c>
      <c r="B2050">
        <f>IF(A2050="","",'KG1-4'!$C21)</f>
        <v/>
      </c>
      <c r="C2050">
        <f>IF(A2050="","",'KG1-4'!$B$2)</f>
        <v/>
      </c>
      <c r="D2050" s="126">
        <f t="array" ref="D2050">IF(A2050="","",IFERROR(SMALL(IF((('KG1-4'!$AD21:$IM21="غياب بدون عذر")+('KG1-4'!$AD21:$IM21="غياب بعذر"))*('KG1-4'!$AD$7:$IM$7="✓"),'KG1-4'!$AD$5:$IM$5),9),""))</f>
        <v/>
      </c>
      <c r="E2050">
        <f>IF(D2050="","",INDEX('KG1-4'!$AD21:$IM21,MATCH(D2050,'KG1-4'!$AD$5:$IM$5,0)))</f>
        <v/>
      </c>
      <c r="F2050">
        <f>IF(D2050="","",COUNTIFS('KG1-4'!$AD21:$IM21,"غياب بدون عذر",'KG1-4'!$AD$7:$IM$7,"✓",'KG1-4'!$AD$5:$IM$5,"&lt;="&amp;D2050))</f>
        <v/>
      </c>
      <c r="G2050">
        <f>G2049+IF(D2050="",0,1)</f>
        <v/>
      </c>
    </row>
    <row r="2051">
      <c r="A2051">
        <f>IF('KG1-4'!$B21="","",'KG1-4'!$B21)</f>
        <v/>
      </c>
      <c r="B2051">
        <f>IF(A2051="","",'KG1-4'!$C21)</f>
        <v/>
      </c>
      <c r="C2051">
        <f>IF(A2051="","",'KG1-4'!$B$2)</f>
        <v/>
      </c>
      <c r="D2051" s="126">
        <f t="array" ref="D2051">IF(A2051="","",IFERROR(SMALL(IF((('KG1-4'!$AD21:$IM21="غياب بدون عذر")+('KG1-4'!$AD21:$IM21="غياب بعذر"))*('KG1-4'!$AD$7:$IM$7="✓"),'KG1-4'!$AD$5:$IM$5),10),""))</f>
        <v/>
      </c>
      <c r="E2051">
        <f>IF(D2051="","",INDEX('KG1-4'!$AD21:$IM21,MATCH(D2051,'KG1-4'!$AD$5:$IM$5,0)))</f>
        <v/>
      </c>
      <c r="F2051">
        <f>IF(D2051="","",COUNTIFS('KG1-4'!$AD21:$IM21,"غياب بدون عذر",'KG1-4'!$AD$7:$IM$7,"✓",'KG1-4'!$AD$5:$IM$5,"&lt;="&amp;D2051))</f>
        <v/>
      </c>
      <c r="G2051">
        <f>G2050+IF(D2051="",0,1)</f>
        <v/>
      </c>
    </row>
    <row r="2052">
      <c r="A2052">
        <f>IF('KG1-4'!$B21="","",'KG1-4'!$B21)</f>
        <v/>
      </c>
      <c r="B2052">
        <f>IF(A2052="","",'KG1-4'!$C21)</f>
        <v/>
      </c>
      <c r="C2052">
        <f>IF(A2052="","",'KG1-4'!$B$2)</f>
        <v/>
      </c>
      <c r="D2052" s="126">
        <f t="array" ref="D2052">IF(A2052="","",IFERROR(SMALL(IF((('KG1-4'!$AD21:$IM21="غياب بدون عذر")+('KG1-4'!$AD21:$IM21="غياب بعذر"))*('KG1-4'!$AD$7:$IM$7="✓"),'KG1-4'!$AD$5:$IM$5),11),""))</f>
        <v/>
      </c>
      <c r="E2052">
        <f>IF(D2052="","",INDEX('KG1-4'!$AD21:$IM21,MATCH(D2052,'KG1-4'!$AD$5:$IM$5,0)))</f>
        <v/>
      </c>
      <c r="F2052">
        <f>IF(D2052="","",COUNTIFS('KG1-4'!$AD21:$IM21,"غياب بدون عذر",'KG1-4'!$AD$7:$IM$7,"✓",'KG1-4'!$AD$5:$IM$5,"&lt;="&amp;D2052))</f>
        <v/>
      </c>
      <c r="G2052">
        <f>G2051+IF(D2052="",0,1)</f>
        <v/>
      </c>
    </row>
    <row r="2053">
      <c r="A2053">
        <f>IF('KG1-4'!$B21="","",'KG1-4'!$B21)</f>
        <v/>
      </c>
      <c r="B2053">
        <f>IF(A2053="","",'KG1-4'!$C21)</f>
        <v/>
      </c>
      <c r="C2053">
        <f>IF(A2053="","",'KG1-4'!$B$2)</f>
        <v/>
      </c>
      <c r="D2053" s="126">
        <f t="array" ref="D2053">IF(A2053="","",IFERROR(SMALL(IF((('KG1-4'!$AD21:$IM21="غياب بدون عذر")+('KG1-4'!$AD21:$IM21="غياب بعذر"))*('KG1-4'!$AD$7:$IM$7="✓"),'KG1-4'!$AD$5:$IM$5),12),""))</f>
        <v/>
      </c>
      <c r="E2053">
        <f>IF(D2053="","",INDEX('KG1-4'!$AD21:$IM21,MATCH(D2053,'KG1-4'!$AD$5:$IM$5,0)))</f>
        <v/>
      </c>
      <c r="F2053">
        <f>IF(D2053="","",COUNTIFS('KG1-4'!$AD21:$IM21,"غياب بدون عذر",'KG1-4'!$AD$7:$IM$7,"✓",'KG1-4'!$AD$5:$IM$5,"&lt;="&amp;D2053))</f>
        <v/>
      </c>
      <c r="G2053">
        <f>G2052+IF(D2053="",0,1)</f>
        <v/>
      </c>
    </row>
    <row r="2054">
      <c r="A2054">
        <f>IF('KG1-4'!$B21="","",'KG1-4'!$B21)</f>
        <v/>
      </c>
      <c r="B2054">
        <f>IF(A2054="","",'KG1-4'!$C21)</f>
        <v/>
      </c>
      <c r="C2054">
        <f>IF(A2054="","",'KG1-4'!$B$2)</f>
        <v/>
      </c>
      <c r="D2054" s="126">
        <f t="array" ref="D2054">IF(A2054="","",IFERROR(SMALL(IF((('KG1-4'!$AD21:$IM21="غياب بدون عذر")+('KG1-4'!$AD21:$IM21="غياب بعذر"))*('KG1-4'!$AD$7:$IM$7="✓"),'KG1-4'!$AD$5:$IM$5),13),""))</f>
        <v/>
      </c>
      <c r="E2054">
        <f>IF(D2054="","",INDEX('KG1-4'!$AD21:$IM21,MATCH(D2054,'KG1-4'!$AD$5:$IM$5,0)))</f>
        <v/>
      </c>
      <c r="F2054">
        <f>IF(D2054="","",COUNTIFS('KG1-4'!$AD21:$IM21,"غياب بدون عذر",'KG1-4'!$AD$7:$IM$7,"✓",'KG1-4'!$AD$5:$IM$5,"&lt;="&amp;D2054))</f>
        <v/>
      </c>
      <c r="G2054">
        <f>G2053+IF(D2054="",0,1)</f>
        <v/>
      </c>
    </row>
    <row r="2055">
      <c r="A2055">
        <f>IF('KG1-4'!$B21="","",'KG1-4'!$B21)</f>
        <v/>
      </c>
      <c r="B2055">
        <f>IF(A2055="","",'KG1-4'!$C21)</f>
        <v/>
      </c>
      <c r="C2055">
        <f>IF(A2055="","",'KG1-4'!$B$2)</f>
        <v/>
      </c>
      <c r="D2055" s="126">
        <f t="array" ref="D2055">IF(A2055="","",IFERROR(SMALL(IF((('KG1-4'!$AD21:$IM21="غياب بدون عذر")+('KG1-4'!$AD21:$IM21="غياب بعذر"))*('KG1-4'!$AD$7:$IM$7="✓"),'KG1-4'!$AD$5:$IM$5),14),""))</f>
        <v/>
      </c>
      <c r="E2055">
        <f>IF(D2055="","",INDEX('KG1-4'!$AD21:$IM21,MATCH(D2055,'KG1-4'!$AD$5:$IM$5,0)))</f>
        <v/>
      </c>
      <c r="F2055">
        <f>IF(D2055="","",COUNTIFS('KG1-4'!$AD21:$IM21,"غياب بدون عذر",'KG1-4'!$AD$7:$IM$7,"✓",'KG1-4'!$AD$5:$IM$5,"&lt;="&amp;D2055))</f>
        <v/>
      </c>
      <c r="G2055">
        <f>G2054+IF(D2055="",0,1)</f>
        <v/>
      </c>
    </row>
    <row r="2056">
      <c r="A2056">
        <f>IF('KG1-4'!$B21="","",'KG1-4'!$B21)</f>
        <v/>
      </c>
      <c r="B2056">
        <f>IF(A2056="","",'KG1-4'!$C21)</f>
        <v/>
      </c>
      <c r="C2056">
        <f>IF(A2056="","",'KG1-4'!$B$2)</f>
        <v/>
      </c>
      <c r="D2056" s="126">
        <f t="array" ref="D2056">IF(A2056="","",IFERROR(SMALL(IF((('KG1-4'!$AD21:$IM21="غياب بدون عذر")+('KG1-4'!$AD21:$IM21="غياب بعذر"))*('KG1-4'!$AD$7:$IM$7="✓"),'KG1-4'!$AD$5:$IM$5),15),""))</f>
        <v/>
      </c>
      <c r="E2056">
        <f>IF(D2056="","",INDEX('KG1-4'!$AD21:$IM21,MATCH(D2056,'KG1-4'!$AD$5:$IM$5,0)))</f>
        <v/>
      </c>
      <c r="F2056">
        <f>IF(D2056="","",COUNTIFS('KG1-4'!$AD21:$IM21,"غياب بدون عذر",'KG1-4'!$AD$7:$IM$7,"✓",'KG1-4'!$AD$5:$IM$5,"&lt;="&amp;D2056))</f>
        <v/>
      </c>
      <c r="G2056">
        <f>G2055+IF(D2056="",0,1)</f>
        <v/>
      </c>
    </row>
    <row r="2057">
      <c r="A2057">
        <f>IF('KG1-4'!$B21="","",'KG1-4'!$B21)</f>
        <v/>
      </c>
      <c r="B2057">
        <f>IF(A2057="","",'KG1-4'!$C21)</f>
        <v/>
      </c>
      <c r="C2057">
        <f>IF(A2057="","",'KG1-4'!$B$2)</f>
        <v/>
      </c>
      <c r="D2057" s="126">
        <f t="array" ref="D2057">IF(A2057="","",IFERROR(SMALL(IF((('KG1-4'!$AD21:$IM21="غياب بدون عذر")+('KG1-4'!$AD21:$IM21="غياب بعذر"))*('KG1-4'!$AD$7:$IM$7="✓"),'KG1-4'!$AD$5:$IM$5),16),""))</f>
        <v/>
      </c>
      <c r="E2057">
        <f>IF(D2057="","",INDEX('KG1-4'!$AD21:$IM21,MATCH(D2057,'KG1-4'!$AD$5:$IM$5,0)))</f>
        <v/>
      </c>
      <c r="F2057">
        <f>IF(D2057="","",COUNTIFS('KG1-4'!$AD21:$IM21,"غياب بدون عذر",'KG1-4'!$AD$7:$IM$7,"✓",'KG1-4'!$AD$5:$IM$5,"&lt;="&amp;D2057))</f>
        <v/>
      </c>
      <c r="G2057">
        <f>G2056+IF(D2057="",0,1)</f>
        <v/>
      </c>
    </row>
    <row r="2058">
      <c r="A2058">
        <f>IF('KG1-4'!$B21="","",'KG1-4'!$B21)</f>
        <v/>
      </c>
      <c r="B2058">
        <f>IF(A2058="","",'KG1-4'!$C21)</f>
        <v/>
      </c>
      <c r="C2058">
        <f>IF(A2058="","",'KG1-4'!$B$2)</f>
        <v/>
      </c>
      <c r="D2058" s="126">
        <f t="array" ref="D2058">IF(A2058="","",IFERROR(SMALL(IF((('KG1-4'!$AD21:$IM21="غياب بدون عذر")+('KG1-4'!$AD21:$IM21="غياب بعذر"))*('KG1-4'!$AD$7:$IM$7="✓"),'KG1-4'!$AD$5:$IM$5),17),""))</f>
        <v/>
      </c>
      <c r="E2058">
        <f>IF(D2058="","",INDEX('KG1-4'!$AD21:$IM21,MATCH(D2058,'KG1-4'!$AD$5:$IM$5,0)))</f>
        <v/>
      </c>
      <c r="F2058">
        <f>IF(D2058="","",COUNTIFS('KG1-4'!$AD21:$IM21,"غياب بدون عذر",'KG1-4'!$AD$7:$IM$7,"✓",'KG1-4'!$AD$5:$IM$5,"&lt;="&amp;D2058))</f>
        <v/>
      </c>
      <c r="G2058">
        <f>G2057+IF(D2058="",0,1)</f>
        <v/>
      </c>
    </row>
    <row r="2059">
      <c r="A2059">
        <f>IF('KG1-4'!$B21="","",'KG1-4'!$B21)</f>
        <v/>
      </c>
      <c r="B2059">
        <f>IF(A2059="","",'KG1-4'!$C21)</f>
        <v/>
      </c>
      <c r="C2059">
        <f>IF(A2059="","",'KG1-4'!$B$2)</f>
        <v/>
      </c>
      <c r="D2059" s="126">
        <f t="array" ref="D2059">IF(A2059="","",IFERROR(SMALL(IF((('KG1-4'!$AD21:$IM21="غياب بدون عذر")+('KG1-4'!$AD21:$IM21="غياب بعذر"))*('KG1-4'!$AD$7:$IM$7="✓"),'KG1-4'!$AD$5:$IM$5),18),""))</f>
        <v/>
      </c>
      <c r="E2059">
        <f>IF(D2059="","",INDEX('KG1-4'!$AD21:$IM21,MATCH(D2059,'KG1-4'!$AD$5:$IM$5,0)))</f>
        <v/>
      </c>
      <c r="F2059">
        <f>IF(D2059="","",COUNTIFS('KG1-4'!$AD21:$IM21,"غياب بدون عذر",'KG1-4'!$AD$7:$IM$7,"✓",'KG1-4'!$AD$5:$IM$5,"&lt;="&amp;D2059))</f>
        <v/>
      </c>
      <c r="G2059">
        <f>G2058+IF(D2059="",0,1)</f>
        <v/>
      </c>
    </row>
    <row r="2060">
      <c r="A2060">
        <f>IF('KG1-4'!$B21="","",'KG1-4'!$B21)</f>
        <v/>
      </c>
      <c r="B2060">
        <f>IF(A2060="","",'KG1-4'!$C21)</f>
        <v/>
      </c>
      <c r="C2060">
        <f>IF(A2060="","",'KG1-4'!$B$2)</f>
        <v/>
      </c>
      <c r="D2060" s="126">
        <f t="array" ref="D2060">IF(A2060="","",IFERROR(SMALL(IF((('KG1-4'!$AD21:$IM21="غياب بدون عذر")+('KG1-4'!$AD21:$IM21="غياب بعذر"))*('KG1-4'!$AD$7:$IM$7="✓"),'KG1-4'!$AD$5:$IM$5),19),""))</f>
        <v/>
      </c>
      <c r="E2060">
        <f>IF(D2060="","",INDEX('KG1-4'!$AD21:$IM21,MATCH(D2060,'KG1-4'!$AD$5:$IM$5,0)))</f>
        <v/>
      </c>
      <c r="F2060">
        <f>IF(D2060="","",COUNTIFS('KG1-4'!$AD21:$IM21,"غياب بدون عذر",'KG1-4'!$AD$7:$IM$7,"✓",'KG1-4'!$AD$5:$IM$5,"&lt;="&amp;D2060))</f>
        <v/>
      </c>
      <c r="G2060">
        <f>G2059+IF(D2060="",0,1)</f>
        <v/>
      </c>
    </row>
    <row r="2061">
      <c r="A2061">
        <f>IF('KG1-4'!$B21="","",'KG1-4'!$B21)</f>
        <v/>
      </c>
      <c r="B2061">
        <f>IF(A2061="","",'KG1-4'!$C21)</f>
        <v/>
      </c>
      <c r="C2061">
        <f>IF(A2061="","",'KG1-4'!$B$2)</f>
        <v/>
      </c>
      <c r="D2061" s="126">
        <f t="array" ref="D2061">IF(A2061="","",IFERROR(SMALL(IF((('KG1-4'!$AD21:$IM21="غياب بدون عذر")+('KG1-4'!$AD21:$IM21="غياب بعذر"))*('KG1-4'!$AD$7:$IM$7="✓"),'KG1-4'!$AD$5:$IM$5),20),""))</f>
        <v/>
      </c>
      <c r="E2061">
        <f>IF(D2061="","",INDEX('KG1-4'!$AD21:$IM21,MATCH(D2061,'KG1-4'!$AD$5:$IM$5,0)))</f>
        <v/>
      </c>
      <c r="F2061">
        <f>IF(D2061="","",COUNTIFS('KG1-4'!$AD21:$IM21,"غياب بدون عذر",'KG1-4'!$AD$7:$IM$7,"✓",'KG1-4'!$AD$5:$IM$5,"&lt;="&amp;D2061))</f>
        <v/>
      </c>
      <c r="G2061">
        <f>G2060+IF(D2061="",0,1)</f>
        <v/>
      </c>
    </row>
    <row r="2062">
      <c r="A2062">
        <f>IF('KG1-4'!$B22="","",'KG1-4'!$B22)</f>
        <v/>
      </c>
      <c r="B2062">
        <f>IF(A2062="","",'KG1-4'!$C22)</f>
        <v/>
      </c>
      <c r="C2062">
        <f>IF(A2062="","",'KG1-4'!$B$2)</f>
        <v/>
      </c>
      <c r="D2062" s="126">
        <f t="array" ref="D2062">IF(A2062="","",IFERROR(SMALL(IF((('KG1-4'!$AD22:$IM22="غياب بدون عذر")+('KG1-4'!$AD22:$IM22="غياب بعذر"))*('KG1-4'!$AD$7:$IM$7="✓"),'KG1-4'!$AD$5:$IM$5),1),""))</f>
        <v/>
      </c>
      <c r="E2062">
        <f>IF(D2062="","",INDEX('KG1-4'!$AD22:$IM22,MATCH(D2062,'KG1-4'!$AD$5:$IM$5,0)))</f>
        <v/>
      </c>
      <c r="F2062">
        <f>IF(D2062="","",COUNTIFS('KG1-4'!$AD22:$IM22,"غياب بدون عذر",'KG1-4'!$AD$7:$IM$7,"✓",'KG1-4'!$AD$5:$IM$5,"&lt;="&amp;D2062))</f>
        <v/>
      </c>
      <c r="G2062">
        <f>G2061+IF(D2062="",0,1)</f>
        <v/>
      </c>
    </row>
    <row r="2063">
      <c r="A2063">
        <f>IF('KG1-4'!$B22="","",'KG1-4'!$B22)</f>
        <v/>
      </c>
      <c r="B2063">
        <f>IF(A2063="","",'KG1-4'!$C22)</f>
        <v/>
      </c>
      <c r="C2063">
        <f>IF(A2063="","",'KG1-4'!$B$2)</f>
        <v/>
      </c>
      <c r="D2063" s="126">
        <f t="array" ref="D2063">IF(A2063="","",IFERROR(SMALL(IF((('KG1-4'!$AD22:$IM22="غياب بدون عذر")+('KG1-4'!$AD22:$IM22="غياب بعذر"))*('KG1-4'!$AD$7:$IM$7="✓"),'KG1-4'!$AD$5:$IM$5),2),""))</f>
        <v/>
      </c>
      <c r="E2063">
        <f>IF(D2063="","",INDEX('KG1-4'!$AD22:$IM22,MATCH(D2063,'KG1-4'!$AD$5:$IM$5,0)))</f>
        <v/>
      </c>
      <c r="F2063">
        <f>IF(D2063="","",COUNTIFS('KG1-4'!$AD22:$IM22,"غياب بدون عذر",'KG1-4'!$AD$7:$IM$7,"✓",'KG1-4'!$AD$5:$IM$5,"&lt;="&amp;D2063))</f>
        <v/>
      </c>
      <c r="G2063">
        <f>G2062+IF(D2063="",0,1)</f>
        <v/>
      </c>
    </row>
    <row r="2064">
      <c r="A2064">
        <f>IF('KG1-4'!$B22="","",'KG1-4'!$B22)</f>
        <v/>
      </c>
      <c r="B2064">
        <f>IF(A2064="","",'KG1-4'!$C22)</f>
        <v/>
      </c>
      <c r="C2064">
        <f>IF(A2064="","",'KG1-4'!$B$2)</f>
        <v/>
      </c>
      <c r="D2064" s="126">
        <f t="array" ref="D2064">IF(A2064="","",IFERROR(SMALL(IF((('KG1-4'!$AD22:$IM22="غياب بدون عذر")+('KG1-4'!$AD22:$IM22="غياب بعذر"))*('KG1-4'!$AD$7:$IM$7="✓"),'KG1-4'!$AD$5:$IM$5),3),""))</f>
        <v/>
      </c>
      <c r="E2064">
        <f>IF(D2064="","",INDEX('KG1-4'!$AD22:$IM22,MATCH(D2064,'KG1-4'!$AD$5:$IM$5,0)))</f>
        <v/>
      </c>
      <c r="F2064">
        <f>IF(D2064="","",COUNTIFS('KG1-4'!$AD22:$IM22,"غياب بدون عذر",'KG1-4'!$AD$7:$IM$7,"✓",'KG1-4'!$AD$5:$IM$5,"&lt;="&amp;D2064))</f>
        <v/>
      </c>
      <c r="G2064">
        <f>G2063+IF(D2064="",0,1)</f>
        <v/>
      </c>
    </row>
    <row r="2065">
      <c r="A2065">
        <f>IF('KG1-4'!$B22="","",'KG1-4'!$B22)</f>
        <v/>
      </c>
      <c r="B2065">
        <f>IF(A2065="","",'KG1-4'!$C22)</f>
        <v/>
      </c>
      <c r="C2065">
        <f>IF(A2065="","",'KG1-4'!$B$2)</f>
        <v/>
      </c>
      <c r="D2065" s="126">
        <f t="array" ref="D2065">IF(A2065="","",IFERROR(SMALL(IF((('KG1-4'!$AD22:$IM22="غياب بدون عذر")+('KG1-4'!$AD22:$IM22="غياب بعذر"))*('KG1-4'!$AD$7:$IM$7="✓"),'KG1-4'!$AD$5:$IM$5),4),""))</f>
        <v/>
      </c>
      <c r="E2065">
        <f>IF(D2065="","",INDEX('KG1-4'!$AD22:$IM22,MATCH(D2065,'KG1-4'!$AD$5:$IM$5,0)))</f>
        <v/>
      </c>
      <c r="F2065">
        <f>IF(D2065="","",COUNTIFS('KG1-4'!$AD22:$IM22,"غياب بدون عذر",'KG1-4'!$AD$7:$IM$7,"✓",'KG1-4'!$AD$5:$IM$5,"&lt;="&amp;D2065))</f>
        <v/>
      </c>
      <c r="G2065">
        <f>G2064+IF(D2065="",0,1)</f>
        <v/>
      </c>
    </row>
    <row r="2066">
      <c r="A2066">
        <f>IF('KG1-4'!$B22="","",'KG1-4'!$B22)</f>
        <v/>
      </c>
      <c r="B2066">
        <f>IF(A2066="","",'KG1-4'!$C22)</f>
        <v/>
      </c>
      <c r="C2066">
        <f>IF(A2066="","",'KG1-4'!$B$2)</f>
        <v/>
      </c>
      <c r="D2066" s="126">
        <f t="array" ref="D2066">IF(A2066="","",IFERROR(SMALL(IF((('KG1-4'!$AD22:$IM22="غياب بدون عذر")+('KG1-4'!$AD22:$IM22="غياب بعذر"))*('KG1-4'!$AD$7:$IM$7="✓"),'KG1-4'!$AD$5:$IM$5),5),""))</f>
        <v/>
      </c>
      <c r="E2066">
        <f>IF(D2066="","",INDEX('KG1-4'!$AD22:$IM22,MATCH(D2066,'KG1-4'!$AD$5:$IM$5,0)))</f>
        <v/>
      </c>
      <c r="F2066">
        <f>IF(D2066="","",COUNTIFS('KG1-4'!$AD22:$IM22,"غياب بدون عذر",'KG1-4'!$AD$7:$IM$7,"✓",'KG1-4'!$AD$5:$IM$5,"&lt;="&amp;D2066))</f>
        <v/>
      </c>
      <c r="G2066">
        <f>G2065+IF(D2066="",0,1)</f>
        <v/>
      </c>
    </row>
    <row r="2067">
      <c r="A2067">
        <f>IF('KG1-4'!$B22="","",'KG1-4'!$B22)</f>
        <v/>
      </c>
      <c r="B2067">
        <f>IF(A2067="","",'KG1-4'!$C22)</f>
        <v/>
      </c>
      <c r="C2067">
        <f>IF(A2067="","",'KG1-4'!$B$2)</f>
        <v/>
      </c>
      <c r="D2067" s="126">
        <f t="array" ref="D2067">IF(A2067="","",IFERROR(SMALL(IF((('KG1-4'!$AD22:$IM22="غياب بدون عذر")+('KG1-4'!$AD22:$IM22="غياب بعذر"))*('KG1-4'!$AD$7:$IM$7="✓"),'KG1-4'!$AD$5:$IM$5),6),""))</f>
        <v/>
      </c>
      <c r="E2067">
        <f>IF(D2067="","",INDEX('KG1-4'!$AD22:$IM22,MATCH(D2067,'KG1-4'!$AD$5:$IM$5,0)))</f>
        <v/>
      </c>
      <c r="F2067">
        <f>IF(D2067="","",COUNTIFS('KG1-4'!$AD22:$IM22,"غياب بدون عذر",'KG1-4'!$AD$7:$IM$7,"✓",'KG1-4'!$AD$5:$IM$5,"&lt;="&amp;D2067))</f>
        <v/>
      </c>
      <c r="G2067">
        <f>G2066+IF(D2067="",0,1)</f>
        <v/>
      </c>
    </row>
    <row r="2068">
      <c r="A2068">
        <f>IF('KG1-4'!$B22="","",'KG1-4'!$B22)</f>
        <v/>
      </c>
      <c r="B2068">
        <f>IF(A2068="","",'KG1-4'!$C22)</f>
        <v/>
      </c>
      <c r="C2068">
        <f>IF(A2068="","",'KG1-4'!$B$2)</f>
        <v/>
      </c>
      <c r="D2068" s="126">
        <f t="array" ref="D2068">IF(A2068="","",IFERROR(SMALL(IF((('KG1-4'!$AD22:$IM22="غياب بدون عذر")+('KG1-4'!$AD22:$IM22="غياب بعذر"))*('KG1-4'!$AD$7:$IM$7="✓"),'KG1-4'!$AD$5:$IM$5),7),""))</f>
        <v/>
      </c>
      <c r="E2068">
        <f>IF(D2068="","",INDEX('KG1-4'!$AD22:$IM22,MATCH(D2068,'KG1-4'!$AD$5:$IM$5,0)))</f>
        <v/>
      </c>
      <c r="F2068">
        <f>IF(D2068="","",COUNTIFS('KG1-4'!$AD22:$IM22,"غياب بدون عذر",'KG1-4'!$AD$7:$IM$7,"✓",'KG1-4'!$AD$5:$IM$5,"&lt;="&amp;D2068))</f>
        <v/>
      </c>
      <c r="G2068">
        <f>G2067+IF(D2068="",0,1)</f>
        <v/>
      </c>
    </row>
    <row r="2069">
      <c r="A2069">
        <f>IF('KG1-4'!$B22="","",'KG1-4'!$B22)</f>
        <v/>
      </c>
      <c r="B2069">
        <f>IF(A2069="","",'KG1-4'!$C22)</f>
        <v/>
      </c>
      <c r="C2069">
        <f>IF(A2069="","",'KG1-4'!$B$2)</f>
        <v/>
      </c>
      <c r="D2069" s="126">
        <f t="array" ref="D2069">IF(A2069="","",IFERROR(SMALL(IF((('KG1-4'!$AD22:$IM22="غياب بدون عذر")+('KG1-4'!$AD22:$IM22="غياب بعذر"))*('KG1-4'!$AD$7:$IM$7="✓"),'KG1-4'!$AD$5:$IM$5),8),""))</f>
        <v/>
      </c>
      <c r="E2069">
        <f>IF(D2069="","",INDEX('KG1-4'!$AD22:$IM22,MATCH(D2069,'KG1-4'!$AD$5:$IM$5,0)))</f>
        <v/>
      </c>
      <c r="F2069">
        <f>IF(D2069="","",COUNTIFS('KG1-4'!$AD22:$IM22,"غياب بدون عذر",'KG1-4'!$AD$7:$IM$7,"✓",'KG1-4'!$AD$5:$IM$5,"&lt;="&amp;D2069))</f>
        <v/>
      </c>
      <c r="G2069">
        <f>G2068+IF(D2069="",0,1)</f>
        <v/>
      </c>
    </row>
    <row r="2070">
      <c r="A2070">
        <f>IF('KG1-4'!$B22="","",'KG1-4'!$B22)</f>
        <v/>
      </c>
      <c r="B2070">
        <f>IF(A2070="","",'KG1-4'!$C22)</f>
        <v/>
      </c>
      <c r="C2070">
        <f>IF(A2070="","",'KG1-4'!$B$2)</f>
        <v/>
      </c>
      <c r="D2070" s="126">
        <f t="array" ref="D2070">IF(A2070="","",IFERROR(SMALL(IF((('KG1-4'!$AD22:$IM22="غياب بدون عذر")+('KG1-4'!$AD22:$IM22="غياب بعذر"))*('KG1-4'!$AD$7:$IM$7="✓"),'KG1-4'!$AD$5:$IM$5),9),""))</f>
        <v/>
      </c>
      <c r="E2070">
        <f>IF(D2070="","",INDEX('KG1-4'!$AD22:$IM22,MATCH(D2070,'KG1-4'!$AD$5:$IM$5,0)))</f>
        <v/>
      </c>
      <c r="F2070">
        <f>IF(D2070="","",COUNTIFS('KG1-4'!$AD22:$IM22,"غياب بدون عذر",'KG1-4'!$AD$7:$IM$7,"✓",'KG1-4'!$AD$5:$IM$5,"&lt;="&amp;D2070))</f>
        <v/>
      </c>
      <c r="G2070">
        <f>G2069+IF(D2070="",0,1)</f>
        <v/>
      </c>
    </row>
    <row r="2071">
      <c r="A2071">
        <f>IF('KG1-4'!$B22="","",'KG1-4'!$B22)</f>
        <v/>
      </c>
      <c r="B2071">
        <f>IF(A2071="","",'KG1-4'!$C22)</f>
        <v/>
      </c>
      <c r="C2071">
        <f>IF(A2071="","",'KG1-4'!$B$2)</f>
        <v/>
      </c>
      <c r="D2071" s="126">
        <f t="array" ref="D2071">IF(A2071="","",IFERROR(SMALL(IF((('KG1-4'!$AD22:$IM22="غياب بدون عذر")+('KG1-4'!$AD22:$IM22="غياب بعذر"))*('KG1-4'!$AD$7:$IM$7="✓"),'KG1-4'!$AD$5:$IM$5),10),""))</f>
        <v/>
      </c>
      <c r="E2071">
        <f>IF(D2071="","",INDEX('KG1-4'!$AD22:$IM22,MATCH(D2071,'KG1-4'!$AD$5:$IM$5,0)))</f>
        <v/>
      </c>
      <c r="F2071">
        <f>IF(D2071="","",COUNTIFS('KG1-4'!$AD22:$IM22,"غياب بدون عذر",'KG1-4'!$AD$7:$IM$7,"✓",'KG1-4'!$AD$5:$IM$5,"&lt;="&amp;D2071))</f>
        <v/>
      </c>
      <c r="G2071">
        <f>G2070+IF(D2071="",0,1)</f>
        <v/>
      </c>
    </row>
    <row r="2072">
      <c r="A2072">
        <f>IF('KG1-4'!$B22="","",'KG1-4'!$B22)</f>
        <v/>
      </c>
      <c r="B2072">
        <f>IF(A2072="","",'KG1-4'!$C22)</f>
        <v/>
      </c>
      <c r="C2072">
        <f>IF(A2072="","",'KG1-4'!$B$2)</f>
        <v/>
      </c>
      <c r="D2072" s="126">
        <f t="array" ref="D2072">IF(A2072="","",IFERROR(SMALL(IF((('KG1-4'!$AD22:$IM22="غياب بدون عذر")+('KG1-4'!$AD22:$IM22="غياب بعذر"))*('KG1-4'!$AD$7:$IM$7="✓"),'KG1-4'!$AD$5:$IM$5),11),""))</f>
        <v/>
      </c>
      <c r="E2072">
        <f>IF(D2072="","",INDEX('KG1-4'!$AD22:$IM22,MATCH(D2072,'KG1-4'!$AD$5:$IM$5,0)))</f>
        <v/>
      </c>
      <c r="F2072">
        <f>IF(D2072="","",COUNTIFS('KG1-4'!$AD22:$IM22,"غياب بدون عذر",'KG1-4'!$AD$7:$IM$7,"✓",'KG1-4'!$AD$5:$IM$5,"&lt;="&amp;D2072))</f>
        <v/>
      </c>
      <c r="G2072">
        <f>G2071+IF(D2072="",0,1)</f>
        <v/>
      </c>
    </row>
    <row r="2073">
      <c r="A2073">
        <f>IF('KG1-4'!$B22="","",'KG1-4'!$B22)</f>
        <v/>
      </c>
      <c r="B2073">
        <f>IF(A2073="","",'KG1-4'!$C22)</f>
        <v/>
      </c>
      <c r="C2073">
        <f>IF(A2073="","",'KG1-4'!$B$2)</f>
        <v/>
      </c>
      <c r="D2073" s="126">
        <f t="array" ref="D2073">IF(A2073="","",IFERROR(SMALL(IF((('KG1-4'!$AD22:$IM22="غياب بدون عذر")+('KG1-4'!$AD22:$IM22="غياب بعذر"))*('KG1-4'!$AD$7:$IM$7="✓"),'KG1-4'!$AD$5:$IM$5),12),""))</f>
        <v/>
      </c>
      <c r="E2073">
        <f>IF(D2073="","",INDEX('KG1-4'!$AD22:$IM22,MATCH(D2073,'KG1-4'!$AD$5:$IM$5,0)))</f>
        <v/>
      </c>
      <c r="F2073">
        <f>IF(D2073="","",COUNTIFS('KG1-4'!$AD22:$IM22,"غياب بدون عذر",'KG1-4'!$AD$7:$IM$7,"✓",'KG1-4'!$AD$5:$IM$5,"&lt;="&amp;D2073))</f>
        <v/>
      </c>
      <c r="G2073">
        <f>G2072+IF(D2073="",0,1)</f>
        <v/>
      </c>
    </row>
    <row r="2074">
      <c r="A2074">
        <f>IF('KG1-4'!$B22="","",'KG1-4'!$B22)</f>
        <v/>
      </c>
      <c r="B2074">
        <f>IF(A2074="","",'KG1-4'!$C22)</f>
        <v/>
      </c>
      <c r="C2074">
        <f>IF(A2074="","",'KG1-4'!$B$2)</f>
        <v/>
      </c>
      <c r="D2074" s="126">
        <f t="array" ref="D2074">IF(A2074="","",IFERROR(SMALL(IF((('KG1-4'!$AD22:$IM22="غياب بدون عذر")+('KG1-4'!$AD22:$IM22="غياب بعذر"))*('KG1-4'!$AD$7:$IM$7="✓"),'KG1-4'!$AD$5:$IM$5),13),""))</f>
        <v/>
      </c>
      <c r="E2074">
        <f>IF(D2074="","",INDEX('KG1-4'!$AD22:$IM22,MATCH(D2074,'KG1-4'!$AD$5:$IM$5,0)))</f>
        <v/>
      </c>
      <c r="F2074">
        <f>IF(D2074="","",COUNTIFS('KG1-4'!$AD22:$IM22,"غياب بدون عذر",'KG1-4'!$AD$7:$IM$7,"✓",'KG1-4'!$AD$5:$IM$5,"&lt;="&amp;D2074))</f>
        <v/>
      </c>
      <c r="G2074">
        <f>G2073+IF(D2074="",0,1)</f>
        <v/>
      </c>
    </row>
    <row r="2075">
      <c r="A2075">
        <f>IF('KG1-4'!$B22="","",'KG1-4'!$B22)</f>
        <v/>
      </c>
      <c r="B2075">
        <f>IF(A2075="","",'KG1-4'!$C22)</f>
        <v/>
      </c>
      <c r="C2075">
        <f>IF(A2075="","",'KG1-4'!$B$2)</f>
        <v/>
      </c>
      <c r="D2075" s="126">
        <f t="array" ref="D2075">IF(A2075="","",IFERROR(SMALL(IF((('KG1-4'!$AD22:$IM22="غياب بدون عذر")+('KG1-4'!$AD22:$IM22="غياب بعذر"))*('KG1-4'!$AD$7:$IM$7="✓"),'KG1-4'!$AD$5:$IM$5),14),""))</f>
        <v/>
      </c>
      <c r="E2075">
        <f>IF(D2075="","",INDEX('KG1-4'!$AD22:$IM22,MATCH(D2075,'KG1-4'!$AD$5:$IM$5,0)))</f>
        <v/>
      </c>
      <c r="F2075">
        <f>IF(D2075="","",COUNTIFS('KG1-4'!$AD22:$IM22,"غياب بدون عذر",'KG1-4'!$AD$7:$IM$7,"✓",'KG1-4'!$AD$5:$IM$5,"&lt;="&amp;D2075))</f>
        <v/>
      </c>
      <c r="G2075">
        <f>G2074+IF(D2075="",0,1)</f>
        <v/>
      </c>
    </row>
    <row r="2076">
      <c r="A2076">
        <f>IF('KG1-4'!$B22="","",'KG1-4'!$B22)</f>
        <v/>
      </c>
      <c r="B2076">
        <f>IF(A2076="","",'KG1-4'!$C22)</f>
        <v/>
      </c>
      <c r="C2076">
        <f>IF(A2076="","",'KG1-4'!$B$2)</f>
        <v/>
      </c>
      <c r="D2076" s="126">
        <f t="array" ref="D2076">IF(A2076="","",IFERROR(SMALL(IF((('KG1-4'!$AD22:$IM22="غياب بدون عذر")+('KG1-4'!$AD22:$IM22="غياب بعذر"))*('KG1-4'!$AD$7:$IM$7="✓"),'KG1-4'!$AD$5:$IM$5),15),""))</f>
        <v/>
      </c>
      <c r="E2076">
        <f>IF(D2076="","",INDEX('KG1-4'!$AD22:$IM22,MATCH(D2076,'KG1-4'!$AD$5:$IM$5,0)))</f>
        <v/>
      </c>
      <c r="F2076">
        <f>IF(D2076="","",COUNTIFS('KG1-4'!$AD22:$IM22,"غياب بدون عذر",'KG1-4'!$AD$7:$IM$7,"✓",'KG1-4'!$AD$5:$IM$5,"&lt;="&amp;D2076))</f>
        <v/>
      </c>
      <c r="G2076">
        <f>G2075+IF(D2076="",0,1)</f>
        <v/>
      </c>
    </row>
    <row r="2077">
      <c r="A2077">
        <f>IF('KG1-4'!$B22="","",'KG1-4'!$B22)</f>
        <v/>
      </c>
      <c r="B2077">
        <f>IF(A2077="","",'KG1-4'!$C22)</f>
        <v/>
      </c>
      <c r="C2077">
        <f>IF(A2077="","",'KG1-4'!$B$2)</f>
        <v/>
      </c>
      <c r="D2077" s="126">
        <f t="array" ref="D2077">IF(A2077="","",IFERROR(SMALL(IF((('KG1-4'!$AD22:$IM22="غياب بدون عذر")+('KG1-4'!$AD22:$IM22="غياب بعذر"))*('KG1-4'!$AD$7:$IM$7="✓"),'KG1-4'!$AD$5:$IM$5),16),""))</f>
        <v/>
      </c>
      <c r="E2077">
        <f>IF(D2077="","",INDEX('KG1-4'!$AD22:$IM22,MATCH(D2077,'KG1-4'!$AD$5:$IM$5,0)))</f>
        <v/>
      </c>
      <c r="F2077">
        <f>IF(D2077="","",COUNTIFS('KG1-4'!$AD22:$IM22,"غياب بدون عذر",'KG1-4'!$AD$7:$IM$7,"✓",'KG1-4'!$AD$5:$IM$5,"&lt;="&amp;D2077))</f>
        <v/>
      </c>
      <c r="G2077">
        <f>G2076+IF(D2077="",0,1)</f>
        <v/>
      </c>
    </row>
    <row r="2078">
      <c r="A2078">
        <f>IF('KG1-4'!$B22="","",'KG1-4'!$B22)</f>
        <v/>
      </c>
      <c r="B2078">
        <f>IF(A2078="","",'KG1-4'!$C22)</f>
        <v/>
      </c>
      <c r="C2078">
        <f>IF(A2078="","",'KG1-4'!$B$2)</f>
        <v/>
      </c>
      <c r="D2078" s="126">
        <f t="array" ref="D2078">IF(A2078="","",IFERROR(SMALL(IF((('KG1-4'!$AD22:$IM22="غياب بدون عذر")+('KG1-4'!$AD22:$IM22="غياب بعذر"))*('KG1-4'!$AD$7:$IM$7="✓"),'KG1-4'!$AD$5:$IM$5),17),""))</f>
        <v/>
      </c>
      <c r="E2078">
        <f>IF(D2078="","",INDEX('KG1-4'!$AD22:$IM22,MATCH(D2078,'KG1-4'!$AD$5:$IM$5,0)))</f>
        <v/>
      </c>
      <c r="F2078">
        <f>IF(D2078="","",COUNTIFS('KG1-4'!$AD22:$IM22,"غياب بدون عذر",'KG1-4'!$AD$7:$IM$7,"✓",'KG1-4'!$AD$5:$IM$5,"&lt;="&amp;D2078))</f>
        <v/>
      </c>
      <c r="G2078">
        <f>G2077+IF(D2078="",0,1)</f>
        <v/>
      </c>
    </row>
    <row r="2079">
      <c r="A2079">
        <f>IF('KG1-4'!$B22="","",'KG1-4'!$B22)</f>
        <v/>
      </c>
      <c r="B2079">
        <f>IF(A2079="","",'KG1-4'!$C22)</f>
        <v/>
      </c>
      <c r="C2079">
        <f>IF(A2079="","",'KG1-4'!$B$2)</f>
        <v/>
      </c>
      <c r="D2079" s="126">
        <f t="array" ref="D2079">IF(A2079="","",IFERROR(SMALL(IF((('KG1-4'!$AD22:$IM22="غياب بدون عذر")+('KG1-4'!$AD22:$IM22="غياب بعذر"))*('KG1-4'!$AD$7:$IM$7="✓"),'KG1-4'!$AD$5:$IM$5),18),""))</f>
        <v/>
      </c>
      <c r="E2079">
        <f>IF(D2079="","",INDEX('KG1-4'!$AD22:$IM22,MATCH(D2079,'KG1-4'!$AD$5:$IM$5,0)))</f>
        <v/>
      </c>
      <c r="F2079">
        <f>IF(D2079="","",COUNTIFS('KG1-4'!$AD22:$IM22,"غياب بدون عذر",'KG1-4'!$AD$7:$IM$7,"✓",'KG1-4'!$AD$5:$IM$5,"&lt;="&amp;D2079))</f>
        <v/>
      </c>
      <c r="G2079">
        <f>G2078+IF(D2079="",0,1)</f>
        <v/>
      </c>
    </row>
    <row r="2080">
      <c r="A2080">
        <f>IF('KG1-4'!$B22="","",'KG1-4'!$B22)</f>
        <v/>
      </c>
      <c r="B2080">
        <f>IF(A2080="","",'KG1-4'!$C22)</f>
        <v/>
      </c>
      <c r="C2080">
        <f>IF(A2080="","",'KG1-4'!$B$2)</f>
        <v/>
      </c>
      <c r="D2080" s="126">
        <f t="array" ref="D2080">IF(A2080="","",IFERROR(SMALL(IF((('KG1-4'!$AD22:$IM22="غياب بدون عذر")+('KG1-4'!$AD22:$IM22="غياب بعذر"))*('KG1-4'!$AD$7:$IM$7="✓"),'KG1-4'!$AD$5:$IM$5),19),""))</f>
        <v/>
      </c>
      <c r="E2080">
        <f>IF(D2080="","",INDEX('KG1-4'!$AD22:$IM22,MATCH(D2080,'KG1-4'!$AD$5:$IM$5,0)))</f>
        <v/>
      </c>
      <c r="F2080">
        <f>IF(D2080="","",COUNTIFS('KG1-4'!$AD22:$IM22,"غياب بدون عذر",'KG1-4'!$AD$7:$IM$7,"✓",'KG1-4'!$AD$5:$IM$5,"&lt;="&amp;D2080))</f>
        <v/>
      </c>
      <c r="G2080">
        <f>G2079+IF(D2080="",0,1)</f>
        <v/>
      </c>
    </row>
    <row r="2081">
      <c r="A2081">
        <f>IF('KG1-4'!$B22="","",'KG1-4'!$B22)</f>
        <v/>
      </c>
      <c r="B2081">
        <f>IF(A2081="","",'KG1-4'!$C22)</f>
        <v/>
      </c>
      <c r="C2081">
        <f>IF(A2081="","",'KG1-4'!$B$2)</f>
        <v/>
      </c>
      <c r="D2081" s="126">
        <f t="array" ref="D2081">IF(A2081="","",IFERROR(SMALL(IF((('KG1-4'!$AD22:$IM22="غياب بدون عذر")+('KG1-4'!$AD22:$IM22="غياب بعذر"))*('KG1-4'!$AD$7:$IM$7="✓"),'KG1-4'!$AD$5:$IM$5),20),""))</f>
        <v/>
      </c>
      <c r="E2081">
        <f>IF(D2081="","",INDEX('KG1-4'!$AD22:$IM22,MATCH(D2081,'KG1-4'!$AD$5:$IM$5,0)))</f>
        <v/>
      </c>
      <c r="F2081">
        <f>IF(D2081="","",COUNTIFS('KG1-4'!$AD22:$IM22,"غياب بدون عذر",'KG1-4'!$AD$7:$IM$7,"✓",'KG1-4'!$AD$5:$IM$5,"&lt;="&amp;D2081))</f>
        <v/>
      </c>
      <c r="G2081">
        <f>G2080+IF(D2081="",0,1)</f>
        <v/>
      </c>
    </row>
    <row r="2082">
      <c r="A2082">
        <f>IF('KG1-4'!$B23="","",'KG1-4'!$B23)</f>
        <v/>
      </c>
      <c r="B2082">
        <f>IF(A2082="","",'KG1-4'!$C23)</f>
        <v/>
      </c>
      <c r="C2082">
        <f>IF(A2082="","",'KG1-4'!$B$2)</f>
        <v/>
      </c>
      <c r="D2082" s="126">
        <f t="array" ref="D2082">IF(A2082="","",IFERROR(SMALL(IF((('KG1-4'!$AD23:$IM23="غياب بدون عذر")+('KG1-4'!$AD23:$IM23="غياب بعذر"))*('KG1-4'!$AD$7:$IM$7="✓"),'KG1-4'!$AD$5:$IM$5),1),""))</f>
        <v/>
      </c>
      <c r="E2082">
        <f>IF(D2082="","",INDEX('KG1-4'!$AD23:$IM23,MATCH(D2082,'KG1-4'!$AD$5:$IM$5,0)))</f>
        <v/>
      </c>
      <c r="F2082">
        <f>IF(D2082="","",COUNTIFS('KG1-4'!$AD23:$IM23,"غياب بدون عذر",'KG1-4'!$AD$7:$IM$7,"✓",'KG1-4'!$AD$5:$IM$5,"&lt;="&amp;D2082))</f>
        <v/>
      </c>
      <c r="G2082">
        <f>G2081+IF(D2082="",0,1)</f>
        <v/>
      </c>
    </row>
    <row r="2083">
      <c r="A2083">
        <f>IF('KG1-4'!$B23="","",'KG1-4'!$B23)</f>
        <v/>
      </c>
      <c r="B2083">
        <f>IF(A2083="","",'KG1-4'!$C23)</f>
        <v/>
      </c>
      <c r="C2083">
        <f>IF(A2083="","",'KG1-4'!$B$2)</f>
        <v/>
      </c>
      <c r="D2083" s="126">
        <f t="array" ref="D2083">IF(A2083="","",IFERROR(SMALL(IF((('KG1-4'!$AD23:$IM23="غياب بدون عذر")+('KG1-4'!$AD23:$IM23="غياب بعذر"))*('KG1-4'!$AD$7:$IM$7="✓"),'KG1-4'!$AD$5:$IM$5),2),""))</f>
        <v/>
      </c>
      <c r="E2083">
        <f>IF(D2083="","",INDEX('KG1-4'!$AD23:$IM23,MATCH(D2083,'KG1-4'!$AD$5:$IM$5,0)))</f>
        <v/>
      </c>
      <c r="F2083">
        <f>IF(D2083="","",COUNTIFS('KG1-4'!$AD23:$IM23,"غياب بدون عذر",'KG1-4'!$AD$7:$IM$7,"✓",'KG1-4'!$AD$5:$IM$5,"&lt;="&amp;D2083))</f>
        <v/>
      </c>
      <c r="G2083">
        <f>G2082+IF(D2083="",0,1)</f>
        <v/>
      </c>
    </row>
    <row r="2084">
      <c r="A2084">
        <f>IF('KG1-4'!$B23="","",'KG1-4'!$B23)</f>
        <v/>
      </c>
      <c r="B2084">
        <f>IF(A2084="","",'KG1-4'!$C23)</f>
        <v/>
      </c>
      <c r="C2084">
        <f>IF(A2084="","",'KG1-4'!$B$2)</f>
        <v/>
      </c>
      <c r="D2084" s="126">
        <f t="array" ref="D2084">IF(A2084="","",IFERROR(SMALL(IF((('KG1-4'!$AD23:$IM23="غياب بدون عذر")+('KG1-4'!$AD23:$IM23="غياب بعذر"))*('KG1-4'!$AD$7:$IM$7="✓"),'KG1-4'!$AD$5:$IM$5),3),""))</f>
        <v/>
      </c>
      <c r="E2084">
        <f>IF(D2084="","",INDEX('KG1-4'!$AD23:$IM23,MATCH(D2084,'KG1-4'!$AD$5:$IM$5,0)))</f>
        <v/>
      </c>
      <c r="F2084">
        <f>IF(D2084="","",COUNTIFS('KG1-4'!$AD23:$IM23,"غياب بدون عذر",'KG1-4'!$AD$7:$IM$7,"✓",'KG1-4'!$AD$5:$IM$5,"&lt;="&amp;D2084))</f>
        <v/>
      </c>
      <c r="G2084">
        <f>G2083+IF(D2084="",0,1)</f>
        <v/>
      </c>
    </row>
    <row r="2085">
      <c r="A2085">
        <f>IF('KG1-4'!$B23="","",'KG1-4'!$B23)</f>
        <v/>
      </c>
      <c r="B2085">
        <f>IF(A2085="","",'KG1-4'!$C23)</f>
        <v/>
      </c>
      <c r="C2085">
        <f>IF(A2085="","",'KG1-4'!$B$2)</f>
        <v/>
      </c>
      <c r="D2085" s="126">
        <f t="array" ref="D2085">IF(A2085="","",IFERROR(SMALL(IF((('KG1-4'!$AD23:$IM23="غياب بدون عذر")+('KG1-4'!$AD23:$IM23="غياب بعذر"))*('KG1-4'!$AD$7:$IM$7="✓"),'KG1-4'!$AD$5:$IM$5),4),""))</f>
        <v/>
      </c>
      <c r="E2085">
        <f>IF(D2085="","",INDEX('KG1-4'!$AD23:$IM23,MATCH(D2085,'KG1-4'!$AD$5:$IM$5,0)))</f>
        <v/>
      </c>
      <c r="F2085">
        <f>IF(D2085="","",COUNTIFS('KG1-4'!$AD23:$IM23,"غياب بدون عذر",'KG1-4'!$AD$7:$IM$7,"✓",'KG1-4'!$AD$5:$IM$5,"&lt;="&amp;D2085))</f>
        <v/>
      </c>
      <c r="G2085">
        <f>G2084+IF(D2085="",0,1)</f>
        <v/>
      </c>
    </row>
    <row r="2086">
      <c r="A2086">
        <f>IF('KG1-4'!$B23="","",'KG1-4'!$B23)</f>
        <v/>
      </c>
      <c r="B2086">
        <f>IF(A2086="","",'KG1-4'!$C23)</f>
        <v/>
      </c>
      <c r="C2086">
        <f>IF(A2086="","",'KG1-4'!$B$2)</f>
        <v/>
      </c>
      <c r="D2086" s="126">
        <f t="array" ref="D2086">IF(A2086="","",IFERROR(SMALL(IF((('KG1-4'!$AD23:$IM23="غياب بدون عذر")+('KG1-4'!$AD23:$IM23="غياب بعذر"))*('KG1-4'!$AD$7:$IM$7="✓"),'KG1-4'!$AD$5:$IM$5),5),""))</f>
        <v/>
      </c>
      <c r="E2086">
        <f>IF(D2086="","",INDEX('KG1-4'!$AD23:$IM23,MATCH(D2086,'KG1-4'!$AD$5:$IM$5,0)))</f>
        <v/>
      </c>
      <c r="F2086">
        <f>IF(D2086="","",COUNTIFS('KG1-4'!$AD23:$IM23,"غياب بدون عذر",'KG1-4'!$AD$7:$IM$7,"✓",'KG1-4'!$AD$5:$IM$5,"&lt;="&amp;D2086))</f>
        <v/>
      </c>
      <c r="G2086">
        <f>G2085+IF(D2086="",0,1)</f>
        <v/>
      </c>
    </row>
    <row r="2087">
      <c r="A2087">
        <f>IF('KG1-4'!$B23="","",'KG1-4'!$B23)</f>
        <v/>
      </c>
      <c r="B2087">
        <f>IF(A2087="","",'KG1-4'!$C23)</f>
        <v/>
      </c>
      <c r="C2087">
        <f>IF(A2087="","",'KG1-4'!$B$2)</f>
        <v/>
      </c>
      <c r="D2087" s="126">
        <f t="array" ref="D2087">IF(A2087="","",IFERROR(SMALL(IF((('KG1-4'!$AD23:$IM23="غياب بدون عذر")+('KG1-4'!$AD23:$IM23="غياب بعذر"))*('KG1-4'!$AD$7:$IM$7="✓"),'KG1-4'!$AD$5:$IM$5),6),""))</f>
        <v/>
      </c>
      <c r="E2087">
        <f>IF(D2087="","",INDEX('KG1-4'!$AD23:$IM23,MATCH(D2087,'KG1-4'!$AD$5:$IM$5,0)))</f>
        <v/>
      </c>
      <c r="F2087">
        <f>IF(D2087="","",COUNTIFS('KG1-4'!$AD23:$IM23,"غياب بدون عذر",'KG1-4'!$AD$7:$IM$7,"✓",'KG1-4'!$AD$5:$IM$5,"&lt;="&amp;D2087))</f>
        <v/>
      </c>
      <c r="G2087">
        <f>G2086+IF(D2087="",0,1)</f>
        <v/>
      </c>
    </row>
    <row r="2088">
      <c r="A2088">
        <f>IF('KG1-4'!$B23="","",'KG1-4'!$B23)</f>
        <v/>
      </c>
      <c r="B2088">
        <f>IF(A2088="","",'KG1-4'!$C23)</f>
        <v/>
      </c>
      <c r="C2088">
        <f>IF(A2088="","",'KG1-4'!$B$2)</f>
        <v/>
      </c>
      <c r="D2088" s="126">
        <f t="array" ref="D2088">IF(A2088="","",IFERROR(SMALL(IF((('KG1-4'!$AD23:$IM23="غياب بدون عذر")+('KG1-4'!$AD23:$IM23="غياب بعذر"))*('KG1-4'!$AD$7:$IM$7="✓"),'KG1-4'!$AD$5:$IM$5),7),""))</f>
        <v/>
      </c>
      <c r="E2088">
        <f>IF(D2088="","",INDEX('KG1-4'!$AD23:$IM23,MATCH(D2088,'KG1-4'!$AD$5:$IM$5,0)))</f>
        <v/>
      </c>
      <c r="F2088">
        <f>IF(D2088="","",COUNTIFS('KG1-4'!$AD23:$IM23,"غياب بدون عذر",'KG1-4'!$AD$7:$IM$7,"✓",'KG1-4'!$AD$5:$IM$5,"&lt;="&amp;D2088))</f>
        <v/>
      </c>
      <c r="G2088">
        <f>G2087+IF(D2088="",0,1)</f>
        <v/>
      </c>
    </row>
    <row r="2089">
      <c r="A2089">
        <f>IF('KG1-4'!$B23="","",'KG1-4'!$B23)</f>
        <v/>
      </c>
      <c r="B2089">
        <f>IF(A2089="","",'KG1-4'!$C23)</f>
        <v/>
      </c>
      <c r="C2089">
        <f>IF(A2089="","",'KG1-4'!$B$2)</f>
        <v/>
      </c>
      <c r="D2089" s="126">
        <f t="array" ref="D2089">IF(A2089="","",IFERROR(SMALL(IF((('KG1-4'!$AD23:$IM23="غياب بدون عذر")+('KG1-4'!$AD23:$IM23="غياب بعذر"))*('KG1-4'!$AD$7:$IM$7="✓"),'KG1-4'!$AD$5:$IM$5),8),""))</f>
        <v/>
      </c>
      <c r="E2089">
        <f>IF(D2089="","",INDEX('KG1-4'!$AD23:$IM23,MATCH(D2089,'KG1-4'!$AD$5:$IM$5,0)))</f>
        <v/>
      </c>
      <c r="F2089">
        <f>IF(D2089="","",COUNTIFS('KG1-4'!$AD23:$IM23,"غياب بدون عذر",'KG1-4'!$AD$7:$IM$7,"✓",'KG1-4'!$AD$5:$IM$5,"&lt;="&amp;D2089))</f>
        <v/>
      </c>
      <c r="G2089">
        <f>G2088+IF(D2089="",0,1)</f>
        <v/>
      </c>
    </row>
    <row r="2090">
      <c r="A2090">
        <f>IF('KG1-4'!$B23="","",'KG1-4'!$B23)</f>
        <v/>
      </c>
      <c r="B2090">
        <f>IF(A2090="","",'KG1-4'!$C23)</f>
        <v/>
      </c>
      <c r="C2090">
        <f>IF(A2090="","",'KG1-4'!$B$2)</f>
        <v/>
      </c>
      <c r="D2090" s="126">
        <f t="array" ref="D2090">IF(A2090="","",IFERROR(SMALL(IF((('KG1-4'!$AD23:$IM23="غياب بدون عذر")+('KG1-4'!$AD23:$IM23="غياب بعذر"))*('KG1-4'!$AD$7:$IM$7="✓"),'KG1-4'!$AD$5:$IM$5),9),""))</f>
        <v/>
      </c>
      <c r="E2090">
        <f>IF(D2090="","",INDEX('KG1-4'!$AD23:$IM23,MATCH(D2090,'KG1-4'!$AD$5:$IM$5,0)))</f>
        <v/>
      </c>
      <c r="F2090">
        <f>IF(D2090="","",COUNTIFS('KG1-4'!$AD23:$IM23,"غياب بدون عذر",'KG1-4'!$AD$7:$IM$7,"✓",'KG1-4'!$AD$5:$IM$5,"&lt;="&amp;D2090))</f>
        <v/>
      </c>
      <c r="G2090">
        <f>G2089+IF(D2090="",0,1)</f>
        <v/>
      </c>
    </row>
    <row r="2091">
      <c r="A2091">
        <f>IF('KG1-4'!$B23="","",'KG1-4'!$B23)</f>
        <v/>
      </c>
      <c r="B2091">
        <f>IF(A2091="","",'KG1-4'!$C23)</f>
        <v/>
      </c>
      <c r="C2091">
        <f>IF(A2091="","",'KG1-4'!$B$2)</f>
        <v/>
      </c>
      <c r="D2091" s="126">
        <f t="array" ref="D2091">IF(A2091="","",IFERROR(SMALL(IF((('KG1-4'!$AD23:$IM23="غياب بدون عذر")+('KG1-4'!$AD23:$IM23="غياب بعذر"))*('KG1-4'!$AD$7:$IM$7="✓"),'KG1-4'!$AD$5:$IM$5),10),""))</f>
        <v/>
      </c>
      <c r="E2091">
        <f>IF(D2091="","",INDEX('KG1-4'!$AD23:$IM23,MATCH(D2091,'KG1-4'!$AD$5:$IM$5,0)))</f>
        <v/>
      </c>
      <c r="F2091">
        <f>IF(D2091="","",COUNTIFS('KG1-4'!$AD23:$IM23,"غياب بدون عذر",'KG1-4'!$AD$7:$IM$7,"✓",'KG1-4'!$AD$5:$IM$5,"&lt;="&amp;D2091))</f>
        <v/>
      </c>
      <c r="G2091">
        <f>G2090+IF(D2091="",0,1)</f>
        <v/>
      </c>
    </row>
    <row r="2092">
      <c r="A2092">
        <f>IF('KG1-4'!$B23="","",'KG1-4'!$B23)</f>
        <v/>
      </c>
      <c r="B2092">
        <f>IF(A2092="","",'KG1-4'!$C23)</f>
        <v/>
      </c>
      <c r="C2092">
        <f>IF(A2092="","",'KG1-4'!$B$2)</f>
        <v/>
      </c>
      <c r="D2092" s="126">
        <f t="array" ref="D2092">IF(A2092="","",IFERROR(SMALL(IF((('KG1-4'!$AD23:$IM23="غياب بدون عذر")+('KG1-4'!$AD23:$IM23="غياب بعذر"))*('KG1-4'!$AD$7:$IM$7="✓"),'KG1-4'!$AD$5:$IM$5),11),""))</f>
        <v/>
      </c>
      <c r="E2092">
        <f>IF(D2092="","",INDEX('KG1-4'!$AD23:$IM23,MATCH(D2092,'KG1-4'!$AD$5:$IM$5,0)))</f>
        <v/>
      </c>
      <c r="F2092">
        <f>IF(D2092="","",COUNTIFS('KG1-4'!$AD23:$IM23,"غياب بدون عذر",'KG1-4'!$AD$7:$IM$7,"✓",'KG1-4'!$AD$5:$IM$5,"&lt;="&amp;D2092))</f>
        <v/>
      </c>
      <c r="G2092">
        <f>G2091+IF(D2092="",0,1)</f>
        <v/>
      </c>
    </row>
    <row r="2093">
      <c r="A2093">
        <f>IF('KG1-4'!$B23="","",'KG1-4'!$B23)</f>
        <v/>
      </c>
      <c r="B2093">
        <f>IF(A2093="","",'KG1-4'!$C23)</f>
        <v/>
      </c>
      <c r="C2093">
        <f>IF(A2093="","",'KG1-4'!$B$2)</f>
        <v/>
      </c>
      <c r="D2093" s="126">
        <f t="array" ref="D2093">IF(A2093="","",IFERROR(SMALL(IF((('KG1-4'!$AD23:$IM23="غياب بدون عذر")+('KG1-4'!$AD23:$IM23="غياب بعذر"))*('KG1-4'!$AD$7:$IM$7="✓"),'KG1-4'!$AD$5:$IM$5),12),""))</f>
        <v/>
      </c>
      <c r="E2093">
        <f>IF(D2093="","",INDEX('KG1-4'!$AD23:$IM23,MATCH(D2093,'KG1-4'!$AD$5:$IM$5,0)))</f>
        <v/>
      </c>
      <c r="F2093">
        <f>IF(D2093="","",COUNTIFS('KG1-4'!$AD23:$IM23,"غياب بدون عذر",'KG1-4'!$AD$7:$IM$7,"✓",'KG1-4'!$AD$5:$IM$5,"&lt;="&amp;D2093))</f>
        <v/>
      </c>
      <c r="G2093">
        <f>G2092+IF(D2093="",0,1)</f>
        <v/>
      </c>
    </row>
    <row r="2094">
      <c r="A2094">
        <f>IF('KG1-4'!$B23="","",'KG1-4'!$B23)</f>
        <v/>
      </c>
      <c r="B2094">
        <f>IF(A2094="","",'KG1-4'!$C23)</f>
        <v/>
      </c>
      <c r="C2094">
        <f>IF(A2094="","",'KG1-4'!$B$2)</f>
        <v/>
      </c>
      <c r="D2094" s="126">
        <f t="array" ref="D2094">IF(A2094="","",IFERROR(SMALL(IF((('KG1-4'!$AD23:$IM23="غياب بدون عذر")+('KG1-4'!$AD23:$IM23="غياب بعذر"))*('KG1-4'!$AD$7:$IM$7="✓"),'KG1-4'!$AD$5:$IM$5),13),""))</f>
        <v/>
      </c>
      <c r="E2094">
        <f>IF(D2094="","",INDEX('KG1-4'!$AD23:$IM23,MATCH(D2094,'KG1-4'!$AD$5:$IM$5,0)))</f>
        <v/>
      </c>
      <c r="F2094">
        <f>IF(D2094="","",COUNTIFS('KG1-4'!$AD23:$IM23,"غياب بدون عذر",'KG1-4'!$AD$7:$IM$7,"✓",'KG1-4'!$AD$5:$IM$5,"&lt;="&amp;D2094))</f>
        <v/>
      </c>
      <c r="G2094">
        <f>G2093+IF(D2094="",0,1)</f>
        <v/>
      </c>
    </row>
    <row r="2095">
      <c r="A2095">
        <f>IF('KG1-4'!$B23="","",'KG1-4'!$B23)</f>
        <v/>
      </c>
      <c r="B2095">
        <f>IF(A2095="","",'KG1-4'!$C23)</f>
        <v/>
      </c>
      <c r="C2095">
        <f>IF(A2095="","",'KG1-4'!$B$2)</f>
        <v/>
      </c>
      <c r="D2095" s="126">
        <f t="array" ref="D2095">IF(A2095="","",IFERROR(SMALL(IF((('KG1-4'!$AD23:$IM23="غياب بدون عذر")+('KG1-4'!$AD23:$IM23="غياب بعذر"))*('KG1-4'!$AD$7:$IM$7="✓"),'KG1-4'!$AD$5:$IM$5),14),""))</f>
        <v/>
      </c>
      <c r="E2095">
        <f>IF(D2095="","",INDEX('KG1-4'!$AD23:$IM23,MATCH(D2095,'KG1-4'!$AD$5:$IM$5,0)))</f>
        <v/>
      </c>
      <c r="F2095">
        <f>IF(D2095="","",COUNTIFS('KG1-4'!$AD23:$IM23,"غياب بدون عذر",'KG1-4'!$AD$7:$IM$7,"✓",'KG1-4'!$AD$5:$IM$5,"&lt;="&amp;D2095))</f>
        <v/>
      </c>
      <c r="G2095">
        <f>G2094+IF(D2095="",0,1)</f>
        <v/>
      </c>
    </row>
    <row r="2096">
      <c r="A2096">
        <f>IF('KG1-4'!$B23="","",'KG1-4'!$B23)</f>
        <v/>
      </c>
      <c r="B2096">
        <f>IF(A2096="","",'KG1-4'!$C23)</f>
        <v/>
      </c>
      <c r="C2096">
        <f>IF(A2096="","",'KG1-4'!$B$2)</f>
        <v/>
      </c>
      <c r="D2096" s="126">
        <f t="array" ref="D2096">IF(A2096="","",IFERROR(SMALL(IF((('KG1-4'!$AD23:$IM23="غياب بدون عذر")+('KG1-4'!$AD23:$IM23="غياب بعذر"))*('KG1-4'!$AD$7:$IM$7="✓"),'KG1-4'!$AD$5:$IM$5),15),""))</f>
        <v/>
      </c>
      <c r="E2096">
        <f>IF(D2096="","",INDEX('KG1-4'!$AD23:$IM23,MATCH(D2096,'KG1-4'!$AD$5:$IM$5,0)))</f>
        <v/>
      </c>
      <c r="F2096">
        <f>IF(D2096="","",COUNTIFS('KG1-4'!$AD23:$IM23,"غياب بدون عذر",'KG1-4'!$AD$7:$IM$7,"✓",'KG1-4'!$AD$5:$IM$5,"&lt;="&amp;D2096))</f>
        <v/>
      </c>
      <c r="G2096">
        <f>G2095+IF(D2096="",0,1)</f>
        <v/>
      </c>
    </row>
    <row r="2097">
      <c r="A2097">
        <f>IF('KG1-4'!$B23="","",'KG1-4'!$B23)</f>
        <v/>
      </c>
      <c r="B2097">
        <f>IF(A2097="","",'KG1-4'!$C23)</f>
        <v/>
      </c>
      <c r="C2097">
        <f>IF(A2097="","",'KG1-4'!$B$2)</f>
        <v/>
      </c>
      <c r="D2097" s="126">
        <f t="array" ref="D2097">IF(A2097="","",IFERROR(SMALL(IF((('KG1-4'!$AD23:$IM23="غياب بدون عذر")+('KG1-4'!$AD23:$IM23="غياب بعذر"))*('KG1-4'!$AD$7:$IM$7="✓"),'KG1-4'!$AD$5:$IM$5),16),""))</f>
        <v/>
      </c>
      <c r="E2097">
        <f>IF(D2097="","",INDEX('KG1-4'!$AD23:$IM23,MATCH(D2097,'KG1-4'!$AD$5:$IM$5,0)))</f>
        <v/>
      </c>
      <c r="F2097">
        <f>IF(D2097="","",COUNTIFS('KG1-4'!$AD23:$IM23,"غياب بدون عذر",'KG1-4'!$AD$7:$IM$7,"✓",'KG1-4'!$AD$5:$IM$5,"&lt;="&amp;D2097))</f>
        <v/>
      </c>
      <c r="G2097">
        <f>G2096+IF(D2097="",0,1)</f>
        <v/>
      </c>
    </row>
    <row r="2098">
      <c r="A2098">
        <f>IF('KG1-4'!$B23="","",'KG1-4'!$B23)</f>
        <v/>
      </c>
      <c r="B2098">
        <f>IF(A2098="","",'KG1-4'!$C23)</f>
        <v/>
      </c>
      <c r="C2098">
        <f>IF(A2098="","",'KG1-4'!$B$2)</f>
        <v/>
      </c>
      <c r="D2098" s="126">
        <f t="array" ref="D2098">IF(A2098="","",IFERROR(SMALL(IF((('KG1-4'!$AD23:$IM23="غياب بدون عذر")+('KG1-4'!$AD23:$IM23="غياب بعذر"))*('KG1-4'!$AD$7:$IM$7="✓"),'KG1-4'!$AD$5:$IM$5),17),""))</f>
        <v/>
      </c>
      <c r="E2098">
        <f>IF(D2098="","",INDEX('KG1-4'!$AD23:$IM23,MATCH(D2098,'KG1-4'!$AD$5:$IM$5,0)))</f>
        <v/>
      </c>
      <c r="F2098">
        <f>IF(D2098="","",COUNTIFS('KG1-4'!$AD23:$IM23,"غياب بدون عذر",'KG1-4'!$AD$7:$IM$7,"✓",'KG1-4'!$AD$5:$IM$5,"&lt;="&amp;D2098))</f>
        <v/>
      </c>
      <c r="G2098">
        <f>G2097+IF(D2098="",0,1)</f>
        <v/>
      </c>
    </row>
    <row r="2099">
      <c r="A2099">
        <f>IF('KG1-4'!$B23="","",'KG1-4'!$B23)</f>
        <v/>
      </c>
      <c r="B2099">
        <f>IF(A2099="","",'KG1-4'!$C23)</f>
        <v/>
      </c>
      <c r="C2099">
        <f>IF(A2099="","",'KG1-4'!$B$2)</f>
        <v/>
      </c>
      <c r="D2099" s="126">
        <f t="array" ref="D2099">IF(A2099="","",IFERROR(SMALL(IF((('KG1-4'!$AD23:$IM23="غياب بدون عذر")+('KG1-4'!$AD23:$IM23="غياب بعذر"))*('KG1-4'!$AD$7:$IM$7="✓"),'KG1-4'!$AD$5:$IM$5),18),""))</f>
        <v/>
      </c>
      <c r="E2099">
        <f>IF(D2099="","",INDEX('KG1-4'!$AD23:$IM23,MATCH(D2099,'KG1-4'!$AD$5:$IM$5,0)))</f>
        <v/>
      </c>
      <c r="F2099">
        <f>IF(D2099="","",COUNTIFS('KG1-4'!$AD23:$IM23,"غياب بدون عذر",'KG1-4'!$AD$7:$IM$7,"✓",'KG1-4'!$AD$5:$IM$5,"&lt;="&amp;D2099))</f>
        <v/>
      </c>
      <c r="G2099">
        <f>G2098+IF(D2099="",0,1)</f>
        <v/>
      </c>
    </row>
    <row r="2100">
      <c r="A2100">
        <f>IF('KG1-4'!$B23="","",'KG1-4'!$B23)</f>
        <v/>
      </c>
      <c r="B2100">
        <f>IF(A2100="","",'KG1-4'!$C23)</f>
        <v/>
      </c>
      <c r="C2100">
        <f>IF(A2100="","",'KG1-4'!$B$2)</f>
        <v/>
      </c>
      <c r="D2100" s="126">
        <f t="array" ref="D2100">IF(A2100="","",IFERROR(SMALL(IF((('KG1-4'!$AD23:$IM23="غياب بدون عذر")+('KG1-4'!$AD23:$IM23="غياب بعذر"))*('KG1-4'!$AD$7:$IM$7="✓"),'KG1-4'!$AD$5:$IM$5),19),""))</f>
        <v/>
      </c>
      <c r="E2100">
        <f>IF(D2100="","",INDEX('KG1-4'!$AD23:$IM23,MATCH(D2100,'KG1-4'!$AD$5:$IM$5,0)))</f>
        <v/>
      </c>
      <c r="F2100">
        <f>IF(D2100="","",COUNTIFS('KG1-4'!$AD23:$IM23,"غياب بدون عذر",'KG1-4'!$AD$7:$IM$7,"✓",'KG1-4'!$AD$5:$IM$5,"&lt;="&amp;D2100))</f>
        <v/>
      </c>
      <c r="G2100">
        <f>G2099+IF(D2100="",0,1)</f>
        <v/>
      </c>
    </row>
    <row r="2101">
      <c r="A2101">
        <f>IF('KG1-4'!$B23="","",'KG1-4'!$B23)</f>
        <v/>
      </c>
      <c r="B2101">
        <f>IF(A2101="","",'KG1-4'!$C23)</f>
        <v/>
      </c>
      <c r="C2101">
        <f>IF(A2101="","",'KG1-4'!$B$2)</f>
        <v/>
      </c>
      <c r="D2101" s="126">
        <f t="array" ref="D2101">IF(A2101="","",IFERROR(SMALL(IF((('KG1-4'!$AD23:$IM23="غياب بدون عذر")+('KG1-4'!$AD23:$IM23="غياب بعذر"))*('KG1-4'!$AD$7:$IM$7="✓"),'KG1-4'!$AD$5:$IM$5),20),""))</f>
        <v/>
      </c>
      <c r="E2101">
        <f>IF(D2101="","",INDEX('KG1-4'!$AD23:$IM23,MATCH(D2101,'KG1-4'!$AD$5:$IM$5,0)))</f>
        <v/>
      </c>
      <c r="F2101">
        <f>IF(D2101="","",COUNTIFS('KG1-4'!$AD23:$IM23,"غياب بدون عذر",'KG1-4'!$AD$7:$IM$7,"✓",'KG1-4'!$AD$5:$IM$5,"&lt;="&amp;D2101))</f>
        <v/>
      </c>
      <c r="G2101">
        <f>G2100+IF(D2101="",0,1)</f>
        <v/>
      </c>
    </row>
    <row r="2102">
      <c r="A2102">
        <f>IF('KG1-4'!$B24="","",'KG1-4'!$B24)</f>
        <v/>
      </c>
      <c r="B2102">
        <f>IF(A2102="","",'KG1-4'!$C24)</f>
        <v/>
      </c>
      <c r="C2102">
        <f>IF(A2102="","",'KG1-4'!$B$2)</f>
        <v/>
      </c>
      <c r="D2102" s="126">
        <f t="array" ref="D2102">IF(A2102="","",IFERROR(SMALL(IF((('KG1-4'!$AD24:$IM24="غياب بدون عذر")+('KG1-4'!$AD24:$IM24="غياب بعذر"))*('KG1-4'!$AD$7:$IM$7="✓"),'KG1-4'!$AD$5:$IM$5),1),""))</f>
        <v/>
      </c>
      <c r="E2102">
        <f>IF(D2102="","",INDEX('KG1-4'!$AD24:$IM24,MATCH(D2102,'KG1-4'!$AD$5:$IM$5,0)))</f>
        <v/>
      </c>
      <c r="F2102">
        <f>IF(D2102="","",COUNTIFS('KG1-4'!$AD24:$IM24,"غياب بدون عذر",'KG1-4'!$AD$7:$IM$7,"✓",'KG1-4'!$AD$5:$IM$5,"&lt;="&amp;D2102))</f>
        <v/>
      </c>
      <c r="G2102">
        <f>G2101+IF(D2102="",0,1)</f>
        <v/>
      </c>
    </row>
    <row r="2103">
      <c r="A2103">
        <f>IF('KG1-4'!$B24="","",'KG1-4'!$B24)</f>
        <v/>
      </c>
      <c r="B2103">
        <f>IF(A2103="","",'KG1-4'!$C24)</f>
        <v/>
      </c>
      <c r="C2103">
        <f>IF(A2103="","",'KG1-4'!$B$2)</f>
        <v/>
      </c>
      <c r="D2103" s="126">
        <f t="array" ref="D2103">IF(A2103="","",IFERROR(SMALL(IF((('KG1-4'!$AD24:$IM24="غياب بدون عذر")+('KG1-4'!$AD24:$IM24="غياب بعذر"))*('KG1-4'!$AD$7:$IM$7="✓"),'KG1-4'!$AD$5:$IM$5),2),""))</f>
        <v/>
      </c>
      <c r="E2103">
        <f>IF(D2103="","",INDEX('KG1-4'!$AD24:$IM24,MATCH(D2103,'KG1-4'!$AD$5:$IM$5,0)))</f>
        <v/>
      </c>
      <c r="F2103">
        <f>IF(D2103="","",COUNTIFS('KG1-4'!$AD24:$IM24,"غياب بدون عذر",'KG1-4'!$AD$7:$IM$7,"✓",'KG1-4'!$AD$5:$IM$5,"&lt;="&amp;D2103))</f>
        <v/>
      </c>
      <c r="G2103">
        <f>G2102+IF(D2103="",0,1)</f>
        <v/>
      </c>
    </row>
    <row r="2104">
      <c r="A2104">
        <f>IF('KG1-4'!$B24="","",'KG1-4'!$B24)</f>
        <v/>
      </c>
      <c r="B2104">
        <f>IF(A2104="","",'KG1-4'!$C24)</f>
        <v/>
      </c>
      <c r="C2104">
        <f>IF(A2104="","",'KG1-4'!$B$2)</f>
        <v/>
      </c>
      <c r="D2104" s="126">
        <f t="array" ref="D2104">IF(A2104="","",IFERROR(SMALL(IF((('KG1-4'!$AD24:$IM24="غياب بدون عذر")+('KG1-4'!$AD24:$IM24="غياب بعذر"))*('KG1-4'!$AD$7:$IM$7="✓"),'KG1-4'!$AD$5:$IM$5),3),""))</f>
        <v/>
      </c>
      <c r="E2104">
        <f>IF(D2104="","",INDEX('KG1-4'!$AD24:$IM24,MATCH(D2104,'KG1-4'!$AD$5:$IM$5,0)))</f>
        <v/>
      </c>
      <c r="F2104">
        <f>IF(D2104="","",COUNTIFS('KG1-4'!$AD24:$IM24,"غياب بدون عذر",'KG1-4'!$AD$7:$IM$7,"✓",'KG1-4'!$AD$5:$IM$5,"&lt;="&amp;D2104))</f>
        <v/>
      </c>
      <c r="G2104">
        <f>G2103+IF(D2104="",0,1)</f>
        <v/>
      </c>
    </row>
    <row r="2105">
      <c r="A2105">
        <f>IF('KG1-4'!$B24="","",'KG1-4'!$B24)</f>
        <v/>
      </c>
      <c r="B2105">
        <f>IF(A2105="","",'KG1-4'!$C24)</f>
        <v/>
      </c>
      <c r="C2105">
        <f>IF(A2105="","",'KG1-4'!$B$2)</f>
        <v/>
      </c>
      <c r="D2105" s="126">
        <f t="array" ref="D2105">IF(A2105="","",IFERROR(SMALL(IF((('KG1-4'!$AD24:$IM24="غياب بدون عذر")+('KG1-4'!$AD24:$IM24="غياب بعذر"))*('KG1-4'!$AD$7:$IM$7="✓"),'KG1-4'!$AD$5:$IM$5),4),""))</f>
        <v/>
      </c>
      <c r="E2105">
        <f>IF(D2105="","",INDEX('KG1-4'!$AD24:$IM24,MATCH(D2105,'KG1-4'!$AD$5:$IM$5,0)))</f>
        <v/>
      </c>
      <c r="F2105">
        <f>IF(D2105="","",COUNTIFS('KG1-4'!$AD24:$IM24,"غياب بدون عذر",'KG1-4'!$AD$7:$IM$7,"✓",'KG1-4'!$AD$5:$IM$5,"&lt;="&amp;D2105))</f>
        <v/>
      </c>
      <c r="G2105">
        <f>G2104+IF(D2105="",0,1)</f>
        <v/>
      </c>
    </row>
    <row r="2106">
      <c r="A2106">
        <f>IF('KG1-4'!$B24="","",'KG1-4'!$B24)</f>
        <v/>
      </c>
      <c r="B2106">
        <f>IF(A2106="","",'KG1-4'!$C24)</f>
        <v/>
      </c>
      <c r="C2106">
        <f>IF(A2106="","",'KG1-4'!$B$2)</f>
        <v/>
      </c>
      <c r="D2106" s="126">
        <f t="array" ref="D2106">IF(A2106="","",IFERROR(SMALL(IF((('KG1-4'!$AD24:$IM24="غياب بدون عذر")+('KG1-4'!$AD24:$IM24="غياب بعذر"))*('KG1-4'!$AD$7:$IM$7="✓"),'KG1-4'!$AD$5:$IM$5),5),""))</f>
        <v/>
      </c>
      <c r="E2106">
        <f>IF(D2106="","",INDEX('KG1-4'!$AD24:$IM24,MATCH(D2106,'KG1-4'!$AD$5:$IM$5,0)))</f>
        <v/>
      </c>
      <c r="F2106">
        <f>IF(D2106="","",COUNTIFS('KG1-4'!$AD24:$IM24,"غياب بدون عذر",'KG1-4'!$AD$7:$IM$7,"✓",'KG1-4'!$AD$5:$IM$5,"&lt;="&amp;D2106))</f>
        <v/>
      </c>
      <c r="G2106">
        <f>G2105+IF(D2106="",0,1)</f>
        <v/>
      </c>
    </row>
    <row r="2107">
      <c r="A2107">
        <f>IF('KG1-4'!$B24="","",'KG1-4'!$B24)</f>
        <v/>
      </c>
      <c r="B2107">
        <f>IF(A2107="","",'KG1-4'!$C24)</f>
        <v/>
      </c>
      <c r="C2107">
        <f>IF(A2107="","",'KG1-4'!$B$2)</f>
        <v/>
      </c>
      <c r="D2107" s="126">
        <f t="array" ref="D2107">IF(A2107="","",IFERROR(SMALL(IF((('KG1-4'!$AD24:$IM24="غياب بدون عذر")+('KG1-4'!$AD24:$IM24="غياب بعذر"))*('KG1-4'!$AD$7:$IM$7="✓"),'KG1-4'!$AD$5:$IM$5),6),""))</f>
        <v/>
      </c>
      <c r="E2107">
        <f>IF(D2107="","",INDEX('KG1-4'!$AD24:$IM24,MATCH(D2107,'KG1-4'!$AD$5:$IM$5,0)))</f>
        <v/>
      </c>
      <c r="F2107">
        <f>IF(D2107="","",COUNTIFS('KG1-4'!$AD24:$IM24,"غياب بدون عذر",'KG1-4'!$AD$7:$IM$7,"✓",'KG1-4'!$AD$5:$IM$5,"&lt;="&amp;D2107))</f>
        <v/>
      </c>
      <c r="G2107">
        <f>G2106+IF(D2107="",0,1)</f>
        <v/>
      </c>
    </row>
    <row r="2108">
      <c r="A2108">
        <f>IF('KG1-4'!$B24="","",'KG1-4'!$B24)</f>
        <v/>
      </c>
      <c r="B2108">
        <f>IF(A2108="","",'KG1-4'!$C24)</f>
        <v/>
      </c>
      <c r="C2108">
        <f>IF(A2108="","",'KG1-4'!$B$2)</f>
        <v/>
      </c>
      <c r="D2108" s="126">
        <f t="array" ref="D2108">IF(A2108="","",IFERROR(SMALL(IF((('KG1-4'!$AD24:$IM24="غياب بدون عذر")+('KG1-4'!$AD24:$IM24="غياب بعذر"))*('KG1-4'!$AD$7:$IM$7="✓"),'KG1-4'!$AD$5:$IM$5),7),""))</f>
        <v/>
      </c>
      <c r="E2108">
        <f>IF(D2108="","",INDEX('KG1-4'!$AD24:$IM24,MATCH(D2108,'KG1-4'!$AD$5:$IM$5,0)))</f>
        <v/>
      </c>
      <c r="F2108">
        <f>IF(D2108="","",COUNTIFS('KG1-4'!$AD24:$IM24,"غياب بدون عذر",'KG1-4'!$AD$7:$IM$7,"✓",'KG1-4'!$AD$5:$IM$5,"&lt;="&amp;D2108))</f>
        <v/>
      </c>
      <c r="G2108">
        <f>G2107+IF(D2108="",0,1)</f>
        <v/>
      </c>
    </row>
    <row r="2109">
      <c r="A2109">
        <f>IF('KG1-4'!$B24="","",'KG1-4'!$B24)</f>
        <v/>
      </c>
      <c r="B2109">
        <f>IF(A2109="","",'KG1-4'!$C24)</f>
        <v/>
      </c>
      <c r="C2109">
        <f>IF(A2109="","",'KG1-4'!$B$2)</f>
        <v/>
      </c>
      <c r="D2109" s="126">
        <f t="array" ref="D2109">IF(A2109="","",IFERROR(SMALL(IF((('KG1-4'!$AD24:$IM24="غياب بدون عذر")+('KG1-4'!$AD24:$IM24="غياب بعذر"))*('KG1-4'!$AD$7:$IM$7="✓"),'KG1-4'!$AD$5:$IM$5),8),""))</f>
        <v/>
      </c>
      <c r="E2109">
        <f>IF(D2109="","",INDEX('KG1-4'!$AD24:$IM24,MATCH(D2109,'KG1-4'!$AD$5:$IM$5,0)))</f>
        <v/>
      </c>
      <c r="F2109">
        <f>IF(D2109="","",COUNTIFS('KG1-4'!$AD24:$IM24,"غياب بدون عذر",'KG1-4'!$AD$7:$IM$7,"✓",'KG1-4'!$AD$5:$IM$5,"&lt;="&amp;D2109))</f>
        <v/>
      </c>
      <c r="G2109">
        <f>G2108+IF(D2109="",0,1)</f>
        <v/>
      </c>
    </row>
    <row r="2110">
      <c r="A2110">
        <f>IF('KG1-4'!$B24="","",'KG1-4'!$B24)</f>
        <v/>
      </c>
      <c r="B2110">
        <f>IF(A2110="","",'KG1-4'!$C24)</f>
        <v/>
      </c>
      <c r="C2110">
        <f>IF(A2110="","",'KG1-4'!$B$2)</f>
        <v/>
      </c>
      <c r="D2110" s="126">
        <f t="array" ref="D2110">IF(A2110="","",IFERROR(SMALL(IF((('KG1-4'!$AD24:$IM24="غياب بدون عذر")+('KG1-4'!$AD24:$IM24="غياب بعذر"))*('KG1-4'!$AD$7:$IM$7="✓"),'KG1-4'!$AD$5:$IM$5),9),""))</f>
        <v/>
      </c>
      <c r="E2110">
        <f>IF(D2110="","",INDEX('KG1-4'!$AD24:$IM24,MATCH(D2110,'KG1-4'!$AD$5:$IM$5,0)))</f>
        <v/>
      </c>
      <c r="F2110">
        <f>IF(D2110="","",COUNTIFS('KG1-4'!$AD24:$IM24,"غياب بدون عذر",'KG1-4'!$AD$7:$IM$7,"✓",'KG1-4'!$AD$5:$IM$5,"&lt;="&amp;D2110))</f>
        <v/>
      </c>
      <c r="G2110">
        <f>G2109+IF(D2110="",0,1)</f>
        <v/>
      </c>
    </row>
    <row r="2111">
      <c r="A2111">
        <f>IF('KG1-4'!$B24="","",'KG1-4'!$B24)</f>
        <v/>
      </c>
      <c r="B2111">
        <f>IF(A2111="","",'KG1-4'!$C24)</f>
        <v/>
      </c>
      <c r="C2111">
        <f>IF(A2111="","",'KG1-4'!$B$2)</f>
        <v/>
      </c>
      <c r="D2111" s="126">
        <f t="array" ref="D2111">IF(A2111="","",IFERROR(SMALL(IF((('KG1-4'!$AD24:$IM24="غياب بدون عذر")+('KG1-4'!$AD24:$IM24="غياب بعذر"))*('KG1-4'!$AD$7:$IM$7="✓"),'KG1-4'!$AD$5:$IM$5),10),""))</f>
        <v/>
      </c>
      <c r="E2111">
        <f>IF(D2111="","",INDEX('KG1-4'!$AD24:$IM24,MATCH(D2111,'KG1-4'!$AD$5:$IM$5,0)))</f>
        <v/>
      </c>
      <c r="F2111">
        <f>IF(D2111="","",COUNTIFS('KG1-4'!$AD24:$IM24,"غياب بدون عذر",'KG1-4'!$AD$7:$IM$7,"✓",'KG1-4'!$AD$5:$IM$5,"&lt;="&amp;D2111))</f>
        <v/>
      </c>
      <c r="G2111">
        <f>G2110+IF(D2111="",0,1)</f>
        <v/>
      </c>
    </row>
    <row r="2112">
      <c r="A2112">
        <f>IF('KG1-4'!$B24="","",'KG1-4'!$B24)</f>
        <v/>
      </c>
      <c r="B2112">
        <f>IF(A2112="","",'KG1-4'!$C24)</f>
        <v/>
      </c>
      <c r="C2112">
        <f>IF(A2112="","",'KG1-4'!$B$2)</f>
        <v/>
      </c>
      <c r="D2112" s="126">
        <f t="array" ref="D2112">IF(A2112="","",IFERROR(SMALL(IF((('KG1-4'!$AD24:$IM24="غياب بدون عذر")+('KG1-4'!$AD24:$IM24="غياب بعذر"))*('KG1-4'!$AD$7:$IM$7="✓"),'KG1-4'!$AD$5:$IM$5),11),""))</f>
        <v/>
      </c>
      <c r="E2112">
        <f>IF(D2112="","",INDEX('KG1-4'!$AD24:$IM24,MATCH(D2112,'KG1-4'!$AD$5:$IM$5,0)))</f>
        <v/>
      </c>
      <c r="F2112">
        <f>IF(D2112="","",COUNTIFS('KG1-4'!$AD24:$IM24,"غياب بدون عذر",'KG1-4'!$AD$7:$IM$7,"✓",'KG1-4'!$AD$5:$IM$5,"&lt;="&amp;D2112))</f>
        <v/>
      </c>
      <c r="G2112">
        <f>G2111+IF(D2112="",0,1)</f>
        <v/>
      </c>
    </row>
    <row r="2113">
      <c r="A2113">
        <f>IF('KG1-4'!$B24="","",'KG1-4'!$B24)</f>
        <v/>
      </c>
      <c r="B2113">
        <f>IF(A2113="","",'KG1-4'!$C24)</f>
        <v/>
      </c>
      <c r="C2113">
        <f>IF(A2113="","",'KG1-4'!$B$2)</f>
        <v/>
      </c>
      <c r="D2113" s="126">
        <f t="array" ref="D2113">IF(A2113="","",IFERROR(SMALL(IF((('KG1-4'!$AD24:$IM24="غياب بدون عذر")+('KG1-4'!$AD24:$IM24="غياب بعذر"))*('KG1-4'!$AD$7:$IM$7="✓"),'KG1-4'!$AD$5:$IM$5),12),""))</f>
        <v/>
      </c>
      <c r="E2113">
        <f>IF(D2113="","",INDEX('KG1-4'!$AD24:$IM24,MATCH(D2113,'KG1-4'!$AD$5:$IM$5,0)))</f>
        <v/>
      </c>
      <c r="F2113">
        <f>IF(D2113="","",COUNTIFS('KG1-4'!$AD24:$IM24,"غياب بدون عذر",'KG1-4'!$AD$7:$IM$7,"✓",'KG1-4'!$AD$5:$IM$5,"&lt;="&amp;D2113))</f>
        <v/>
      </c>
      <c r="G2113">
        <f>G2112+IF(D2113="",0,1)</f>
        <v/>
      </c>
    </row>
    <row r="2114">
      <c r="A2114">
        <f>IF('KG1-4'!$B24="","",'KG1-4'!$B24)</f>
        <v/>
      </c>
      <c r="B2114">
        <f>IF(A2114="","",'KG1-4'!$C24)</f>
        <v/>
      </c>
      <c r="C2114">
        <f>IF(A2114="","",'KG1-4'!$B$2)</f>
        <v/>
      </c>
      <c r="D2114" s="126">
        <f t="array" ref="D2114">IF(A2114="","",IFERROR(SMALL(IF((('KG1-4'!$AD24:$IM24="غياب بدون عذر")+('KG1-4'!$AD24:$IM24="غياب بعذر"))*('KG1-4'!$AD$7:$IM$7="✓"),'KG1-4'!$AD$5:$IM$5),13),""))</f>
        <v/>
      </c>
      <c r="E2114">
        <f>IF(D2114="","",INDEX('KG1-4'!$AD24:$IM24,MATCH(D2114,'KG1-4'!$AD$5:$IM$5,0)))</f>
        <v/>
      </c>
      <c r="F2114">
        <f>IF(D2114="","",COUNTIFS('KG1-4'!$AD24:$IM24,"غياب بدون عذر",'KG1-4'!$AD$7:$IM$7,"✓",'KG1-4'!$AD$5:$IM$5,"&lt;="&amp;D2114))</f>
        <v/>
      </c>
      <c r="G2114">
        <f>G2113+IF(D2114="",0,1)</f>
        <v/>
      </c>
    </row>
    <row r="2115">
      <c r="A2115">
        <f>IF('KG1-4'!$B24="","",'KG1-4'!$B24)</f>
        <v/>
      </c>
      <c r="B2115">
        <f>IF(A2115="","",'KG1-4'!$C24)</f>
        <v/>
      </c>
      <c r="C2115">
        <f>IF(A2115="","",'KG1-4'!$B$2)</f>
        <v/>
      </c>
      <c r="D2115" s="126">
        <f t="array" ref="D2115">IF(A2115="","",IFERROR(SMALL(IF((('KG1-4'!$AD24:$IM24="غياب بدون عذر")+('KG1-4'!$AD24:$IM24="غياب بعذر"))*('KG1-4'!$AD$7:$IM$7="✓"),'KG1-4'!$AD$5:$IM$5),14),""))</f>
        <v/>
      </c>
      <c r="E2115">
        <f>IF(D2115="","",INDEX('KG1-4'!$AD24:$IM24,MATCH(D2115,'KG1-4'!$AD$5:$IM$5,0)))</f>
        <v/>
      </c>
      <c r="F2115">
        <f>IF(D2115="","",COUNTIFS('KG1-4'!$AD24:$IM24,"غياب بدون عذر",'KG1-4'!$AD$7:$IM$7,"✓",'KG1-4'!$AD$5:$IM$5,"&lt;="&amp;D2115))</f>
        <v/>
      </c>
      <c r="G2115">
        <f>G2114+IF(D2115="",0,1)</f>
        <v/>
      </c>
    </row>
    <row r="2116">
      <c r="A2116">
        <f>IF('KG1-4'!$B24="","",'KG1-4'!$B24)</f>
        <v/>
      </c>
      <c r="B2116">
        <f>IF(A2116="","",'KG1-4'!$C24)</f>
        <v/>
      </c>
      <c r="C2116">
        <f>IF(A2116="","",'KG1-4'!$B$2)</f>
        <v/>
      </c>
      <c r="D2116" s="126">
        <f t="array" ref="D2116">IF(A2116="","",IFERROR(SMALL(IF((('KG1-4'!$AD24:$IM24="غياب بدون عذر")+('KG1-4'!$AD24:$IM24="غياب بعذر"))*('KG1-4'!$AD$7:$IM$7="✓"),'KG1-4'!$AD$5:$IM$5),15),""))</f>
        <v/>
      </c>
      <c r="E2116">
        <f>IF(D2116="","",INDEX('KG1-4'!$AD24:$IM24,MATCH(D2116,'KG1-4'!$AD$5:$IM$5,0)))</f>
        <v/>
      </c>
      <c r="F2116">
        <f>IF(D2116="","",COUNTIFS('KG1-4'!$AD24:$IM24,"غياب بدون عذر",'KG1-4'!$AD$7:$IM$7,"✓",'KG1-4'!$AD$5:$IM$5,"&lt;="&amp;D2116))</f>
        <v/>
      </c>
      <c r="G2116">
        <f>G2115+IF(D2116="",0,1)</f>
        <v/>
      </c>
    </row>
    <row r="2117">
      <c r="A2117">
        <f>IF('KG1-4'!$B24="","",'KG1-4'!$B24)</f>
        <v/>
      </c>
      <c r="B2117">
        <f>IF(A2117="","",'KG1-4'!$C24)</f>
        <v/>
      </c>
      <c r="C2117">
        <f>IF(A2117="","",'KG1-4'!$B$2)</f>
        <v/>
      </c>
      <c r="D2117" s="126">
        <f t="array" ref="D2117">IF(A2117="","",IFERROR(SMALL(IF((('KG1-4'!$AD24:$IM24="غياب بدون عذر")+('KG1-4'!$AD24:$IM24="غياب بعذر"))*('KG1-4'!$AD$7:$IM$7="✓"),'KG1-4'!$AD$5:$IM$5),16),""))</f>
        <v/>
      </c>
      <c r="E2117">
        <f>IF(D2117="","",INDEX('KG1-4'!$AD24:$IM24,MATCH(D2117,'KG1-4'!$AD$5:$IM$5,0)))</f>
        <v/>
      </c>
      <c r="F2117">
        <f>IF(D2117="","",COUNTIFS('KG1-4'!$AD24:$IM24,"غياب بدون عذر",'KG1-4'!$AD$7:$IM$7,"✓",'KG1-4'!$AD$5:$IM$5,"&lt;="&amp;D2117))</f>
        <v/>
      </c>
      <c r="G2117">
        <f>G2116+IF(D2117="",0,1)</f>
        <v/>
      </c>
    </row>
    <row r="2118">
      <c r="A2118">
        <f>IF('KG1-4'!$B24="","",'KG1-4'!$B24)</f>
        <v/>
      </c>
      <c r="B2118">
        <f>IF(A2118="","",'KG1-4'!$C24)</f>
        <v/>
      </c>
      <c r="C2118">
        <f>IF(A2118="","",'KG1-4'!$B$2)</f>
        <v/>
      </c>
      <c r="D2118" s="126">
        <f t="array" ref="D2118">IF(A2118="","",IFERROR(SMALL(IF((('KG1-4'!$AD24:$IM24="غياب بدون عذر")+('KG1-4'!$AD24:$IM24="غياب بعذر"))*('KG1-4'!$AD$7:$IM$7="✓"),'KG1-4'!$AD$5:$IM$5),17),""))</f>
        <v/>
      </c>
      <c r="E2118">
        <f>IF(D2118="","",INDEX('KG1-4'!$AD24:$IM24,MATCH(D2118,'KG1-4'!$AD$5:$IM$5,0)))</f>
        <v/>
      </c>
      <c r="F2118">
        <f>IF(D2118="","",COUNTIFS('KG1-4'!$AD24:$IM24,"غياب بدون عذر",'KG1-4'!$AD$7:$IM$7,"✓",'KG1-4'!$AD$5:$IM$5,"&lt;="&amp;D2118))</f>
        <v/>
      </c>
      <c r="G2118">
        <f>G2117+IF(D2118="",0,1)</f>
        <v/>
      </c>
    </row>
    <row r="2119">
      <c r="A2119">
        <f>IF('KG1-4'!$B24="","",'KG1-4'!$B24)</f>
        <v/>
      </c>
      <c r="B2119">
        <f>IF(A2119="","",'KG1-4'!$C24)</f>
        <v/>
      </c>
      <c r="C2119">
        <f>IF(A2119="","",'KG1-4'!$B$2)</f>
        <v/>
      </c>
      <c r="D2119" s="126">
        <f t="array" ref="D2119">IF(A2119="","",IFERROR(SMALL(IF((('KG1-4'!$AD24:$IM24="غياب بدون عذر")+('KG1-4'!$AD24:$IM24="غياب بعذر"))*('KG1-4'!$AD$7:$IM$7="✓"),'KG1-4'!$AD$5:$IM$5),18),""))</f>
        <v/>
      </c>
      <c r="E2119">
        <f>IF(D2119="","",INDEX('KG1-4'!$AD24:$IM24,MATCH(D2119,'KG1-4'!$AD$5:$IM$5,0)))</f>
        <v/>
      </c>
      <c r="F2119">
        <f>IF(D2119="","",COUNTIFS('KG1-4'!$AD24:$IM24,"غياب بدون عذر",'KG1-4'!$AD$7:$IM$7,"✓",'KG1-4'!$AD$5:$IM$5,"&lt;="&amp;D2119))</f>
        <v/>
      </c>
      <c r="G2119">
        <f>G2118+IF(D2119="",0,1)</f>
        <v/>
      </c>
    </row>
    <row r="2120">
      <c r="A2120">
        <f>IF('KG1-4'!$B24="","",'KG1-4'!$B24)</f>
        <v/>
      </c>
      <c r="B2120">
        <f>IF(A2120="","",'KG1-4'!$C24)</f>
        <v/>
      </c>
      <c r="C2120">
        <f>IF(A2120="","",'KG1-4'!$B$2)</f>
        <v/>
      </c>
      <c r="D2120" s="126">
        <f t="array" ref="D2120">IF(A2120="","",IFERROR(SMALL(IF((('KG1-4'!$AD24:$IM24="غياب بدون عذر")+('KG1-4'!$AD24:$IM24="غياب بعذر"))*('KG1-4'!$AD$7:$IM$7="✓"),'KG1-4'!$AD$5:$IM$5),19),""))</f>
        <v/>
      </c>
      <c r="E2120">
        <f>IF(D2120="","",INDEX('KG1-4'!$AD24:$IM24,MATCH(D2120,'KG1-4'!$AD$5:$IM$5,0)))</f>
        <v/>
      </c>
      <c r="F2120">
        <f>IF(D2120="","",COUNTIFS('KG1-4'!$AD24:$IM24,"غياب بدون عذر",'KG1-4'!$AD$7:$IM$7,"✓",'KG1-4'!$AD$5:$IM$5,"&lt;="&amp;D2120))</f>
        <v/>
      </c>
      <c r="G2120">
        <f>G2119+IF(D2120="",0,1)</f>
        <v/>
      </c>
    </row>
    <row r="2121">
      <c r="A2121">
        <f>IF('KG1-4'!$B24="","",'KG1-4'!$B24)</f>
        <v/>
      </c>
      <c r="B2121">
        <f>IF(A2121="","",'KG1-4'!$C24)</f>
        <v/>
      </c>
      <c r="C2121">
        <f>IF(A2121="","",'KG1-4'!$B$2)</f>
        <v/>
      </c>
      <c r="D2121" s="126">
        <f t="array" ref="D2121">IF(A2121="","",IFERROR(SMALL(IF((('KG1-4'!$AD24:$IM24="غياب بدون عذر")+('KG1-4'!$AD24:$IM24="غياب بعذر"))*('KG1-4'!$AD$7:$IM$7="✓"),'KG1-4'!$AD$5:$IM$5),20),""))</f>
        <v/>
      </c>
      <c r="E2121">
        <f>IF(D2121="","",INDEX('KG1-4'!$AD24:$IM24,MATCH(D2121,'KG1-4'!$AD$5:$IM$5,0)))</f>
        <v/>
      </c>
      <c r="F2121">
        <f>IF(D2121="","",COUNTIFS('KG1-4'!$AD24:$IM24,"غياب بدون عذر",'KG1-4'!$AD$7:$IM$7,"✓",'KG1-4'!$AD$5:$IM$5,"&lt;="&amp;D2121))</f>
        <v/>
      </c>
      <c r="G2121">
        <f>G2120+IF(D2121="",0,1)</f>
        <v/>
      </c>
    </row>
    <row r="2122">
      <c r="A2122">
        <f>IF('KG1-4'!$B25="","",'KG1-4'!$B25)</f>
        <v/>
      </c>
      <c r="B2122">
        <f>IF(A2122="","",'KG1-4'!$C25)</f>
        <v/>
      </c>
      <c r="C2122">
        <f>IF(A2122="","",'KG1-4'!$B$2)</f>
        <v/>
      </c>
      <c r="D2122" s="126">
        <f t="array" ref="D2122">IF(A2122="","",IFERROR(SMALL(IF((('KG1-4'!$AD25:$IM25="غياب بدون عذر")+('KG1-4'!$AD25:$IM25="غياب بعذر"))*('KG1-4'!$AD$7:$IM$7="✓"),'KG1-4'!$AD$5:$IM$5),1),""))</f>
        <v/>
      </c>
      <c r="E2122">
        <f>IF(D2122="","",INDEX('KG1-4'!$AD25:$IM25,MATCH(D2122,'KG1-4'!$AD$5:$IM$5,0)))</f>
        <v/>
      </c>
      <c r="F2122">
        <f>IF(D2122="","",COUNTIFS('KG1-4'!$AD25:$IM25,"غياب بدون عذر",'KG1-4'!$AD$7:$IM$7,"✓",'KG1-4'!$AD$5:$IM$5,"&lt;="&amp;D2122))</f>
        <v/>
      </c>
      <c r="G2122">
        <f>G2121+IF(D2122="",0,1)</f>
        <v/>
      </c>
    </row>
    <row r="2123">
      <c r="A2123">
        <f>IF('KG1-4'!$B25="","",'KG1-4'!$B25)</f>
        <v/>
      </c>
      <c r="B2123">
        <f>IF(A2123="","",'KG1-4'!$C25)</f>
        <v/>
      </c>
      <c r="C2123">
        <f>IF(A2123="","",'KG1-4'!$B$2)</f>
        <v/>
      </c>
      <c r="D2123" s="126">
        <f t="array" ref="D2123">IF(A2123="","",IFERROR(SMALL(IF((('KG1-4'!$AD25:$IM25="غياب بدون عذر")+('KG1-4'!$AD25:$IM25="غياب بعذر"))*('KG1-4'!$AD$7:$IM$7="✓"),'KG1-4'!$AD$5:$IM$5),2),""))</f>
        <v/>
      </c>
      <c r="E2123">
        <f>IF(D2123="","",INDEX('KG1-4'!$AD25:$IM25,MATCH(D2123,'KG1-4'!$AD$5:$IM$5,0)))</f>
        <v/>
      </c>
      <c r="F2123">
        <f>IF(D2123="","",COUNTIFS('KG1-4'!$AD25:$IM25,"غياب بدون عذر",'KG1-4'!$AD$7:$IM$7,"✓",'KG1-4'!$AD$5:$IM$5,"&lt;="&amp;D2123))</f>
        <v/>
      </c>
      <c r="G2123">
        <f>G2122+IF(D2123="",0,1)</f>
        <v/>
      </c>
    </row>
    <row r="2124">
      <c r="A2124">
        <f>IF('KG1-4'!$B25="","",'KG1-4'!$B25)</f>
        <v/>
      </c>
      <c r="B2124">
        <f>IF(A2124="","",'KG1-4'!$C25)</f>
        <v/>
      </c>
      <c r="C2124">
        <f>IF(A2124="","",'KG1-4'!$B$2)</f>
        <v/>
      </c>
      <c r="D2124" s="126">
        <f t="array" ref="D2124">IF(A2124="","",IFERROR(SMALL(IF((('KG1-4'!$AD25:$IM25="غياب بدون عذر")+('KG1-4'!$AD25:$IM25="غياب بعذر"))*('KG1-4'!$AD$7:$IM$7="✓"),'KG1-4'!$AD$5:$IM$5),3),""))</f>
        <v/>
      </c>
      <c r="E2124">
        <f>IF(D2124="","",INDEX('KG1-4'!$AD25:$IM25,MATCH(D2124,'KG1-4'!$AD$5:$IM$5,0)))</f>
        <v/>
      </c>
      <c r="F2124">
        <f>IF(D2124="","",COUNTIFS('KG1-4'!$AD25:$IM25,"غياب بدون عذر",'KG1-4'!$AD$7:$IM$7,"✓",'KG1-4'!$AD$5:$IM$5,"&lt;="&amp;D2124))</f>
        <v/>
      </c>
      <c r="G2124">
        <f>G2123+IF(D2124="",0,1)</f>
        <v/>
      </c>
    </row>
    <row r="2125">
      <c r="A2125">
        <f>IF('KG1-4'!$B25="","",'KG1-4'!$B25)</f>
        <v/>
      </c>
      <c r="B2125">
        <f>IF(A2125="","",'KG1-4'!$C25)</f>
        <v/>
      </c>
      <c r="C2125">
        <f>IF(A2125="","",'KG1-4'!$B$2)</f>
        <v/>
      </c>
      <c r="D2125" s="126">
        <f t="array" ref="D2125">IF(A2125="","",IFERROR(SMALL(IF((('KG1-4'!$AD25:$IM25="غياب بدون عذر")+('KG1-4'!$AD25:$IM25="غياب بعذر"))*('KG1-4'!$AD$7:$IM$7="✓"),'KG1-4'!$AD$5:$IM$5),4),""))</f>
        <v/>
      </c>
      <c r="E2125">
        <f>IF(D2125="","",INDEX('KG1-4'!$AD25:$IM25,MATCH(D2125,'KG1-4'!$AD$5:$IM$5,0)))</f>
        <v/>
      </c>
      <c r="F2125">
        <f>IF(D2125="","",COUNTIFS('KG1-4'!$AD25:$IM25,"غياب بدون عذر",'KG1-4'!$AD$7:$IM$7,"✓",'KG1-4'!$AD$5:$IM$5,"&lt;="&amp;D2125))</f>
        <v/>
      </c>
      <c r="G2125">
        <f>G2124+IF(D2125="",0,1)</f>
        <v/>
      </c>
    </row>
    <row r="2126">
      <c r="A2126">
        <f>IF('KG1-4'!$B25="","",'KG1-4'!$B25)</f>
        <v/>
      </c>
      <c r="B2126">
        <f>IF(A2126="","",'KG1-4'!$C25)</f>
        <v/>
      </c>
      <c r="C2126">
        <f>IF(A2126="","",'KG1-4'!$B$2)</f>
        <v/>
      </c>
      <c r="D2126" s="126">
        <f t="array" ref="D2126">IF(A2126="","",IFERROR(SMALL(IF((('KG1-4'!$AD25:$IM25="غياب بدون عذر")+('KG1-4'!$AD25:$IM25="غياب بعذر"))*('KG1-4'!$AD$7:$IM$7="✓"),'KG1-4'!$AD$5:$IM$5),5),""))</f>
        <v/>
      </c>
      <c r="E2126">
        <f>IF(D2126="","",INDEX('KG1-4'!$AD25:$IM25,MATCH(D2126,'KG1-4'!$AD$5:$IM$5,0)))</f>
        <v/>
      </c>
      <c r="F2126">
        <f>IF(D2126="","",COUNTIFS('KG1-4'!$AD25:$IM25,"غياب بدون عذر",'KG1-4'!$AD$7:$IM$7,"✓",'KG1-4'!$AD$5:$IM$5,"&lt;="&amp;D2126))</f>
        <v/>
      </c>
      <c r="G2126">
        <f>G2125+IF(D2126="",0,1)</f>
        <v/>
      </c>
    </row>
    <row r="2127">
      <c r="A2127">
        <f>IF('KG1-4'!$B25="","",'KG1-4'!$B25)</f>
        <v/>
      </c>
      <c r="B2127">
        <f>IF(A2127="","",'KG1-4'!$C25)</f>
        <v/>
      </c>
      <c r="C2127">
        <f>IF(A2127="","",'KG1-4'!$B$2)</f>
        <v/>
      </c>
      <c r="D2127" s="126">
        <f t="array" ref="D2127">IF(A2127="","",IFERROR(SMALL(IF((('KG1-4'!$AD25:$IM25="غياب بدون عذر")+('KG1-4'!$AD25:$IM25="غياب بعذر"))*('KG1-4'!$AD$7:$IM$7="✓"),'KG1-4'!$AD$5:$IM$5),6),""))</f>
        <v/>
      </c>
      <c r="E2127">
        <f>IF(D2127="","",INDEX('KG1-4'!$AD25:$IM25,MATCH(D2127,'KG1-4'!$AD$5:$IM$5,0)))</f>
        <v/>
      </c>
      <c r="F2127">
        <f>IF(D2127="","",COUNTIFS('KG1-4'!$AD25:$IM25,"غياب بدون عذر",'KG1-4'!$AD$7:$IM$7,"✓",'KG1-4'!$AD$5:$IM$5,"&lt;="&amp;D2127))</f>
        <v/>
      </c>
      <c r="G2127">
        <f>G2126+IF(D2127="",0,1)</f>
        <v/>
      </c>
    </row>
    <row r="2128">
      <c r="A2128">
        <f>IF('KG1-4'!$B25="","",'KG1-4'!$B25)</f>
        <v/>
      </c>
      <c r="B2128">
        <f>IF(A2128="","",'KG1-4'!$C25)</f>
        <v/>
      </c>
      <c r="C2128">
        <f>IF(A2128="","",'KG1-4'!$B$2)</f>
        <v/>
      </c>
      <c r="D2128" s="126">
        <f t="array" ref="D2128">IF(A2128="","",IFERROR(SMALL(IF((('KG1-4'!$AD25:$IM25="غياب بدون عذر")+('KG1-4'!$AD25:$IM25="غياب بعذر"))*('KG1-4'!$AD$7:$IM$7="✓"),'KG1-4'!$AD$5:$IM$5),7),""))</f>
        <v/>
      </c>
      <c r="E2128">
        <f>IF(D2128="","",INDEX('KG1-4'!$AD25:$IM25,MATCH(D2128,'KG1-4'!$AD$5:$IM$5,0)))</f>
        <v/>
      </c>
      <c r="F2128">
        <f>IF(D2128="","",COUNTIFS('KG1-4'!$AD25:$IM25,"غياب بدون عذر",'KG1-4'!$AD$7:$IM$7,"✓",'KG1-4'!$AD$5:$IM$5,"&lt;="&amp;D2128))</f>
        <v/>
      </c>
      <c r="G2128">
        <f>G2127+IF(D2128="",0,1)</f>
        <v/>
      </c>
    </row>
    <row r="2129">
      <c r="A2129">
        <f>IF('KG1-4'!$B25="","",'KG1-4'!$B25)</f>
        <v/>
      </c>
      <c r="B2129">
        <f>IF(A2129="","",'KG1-4'!$C25)</f>
        <v/>
      </c>
      <c r="C2129">
        <f>IF(A2129="","",'KG1-4'!$B$2)</f>
        <v/>
      </c>
      <c r="D2129" s="126">
        <f t="array" ref="D2129">IF(A2129="","",IFERROR(SMALL(IF((('KG1-4'!$AD25:$IM25="غياب بدون عذر")+('KG1-4'!$AD25:$IM25="غياب بعذر"))*('KG1-4'!$AD$7:$IM$7="✓"),'KG1-4'!$AD$5:$IM$5),8),""))</f>
        <v/>
      </c>
      <c r="E2129">
        <f>IF(D2129="","",INDEX('KG1-4'!$AD25:$IM25,MATCH(D2129,'KG1-4'!$AD$5:$IM$5,0)))</f>
        <v/>
      </c>
      <c r="F2129">
        <f>IF(D2129="","",COUNTIFS('KG1-4'!$AD25:$IM25,"غياب بدون عذر",'KG1-4'!$AD$7:$IM$7,"✓",'KG1-4'!$AD$5:$IM$5,"&lt;="&amp;D2129))</f>
        <v/>
      </c>
      <c r="G2129">
        <f>G2128+IF(D2129="",0,1)</f>
        <v/>
      </c>
    </row>
    <row r="2130">
      <c r="A2130">
        <f>IF('KG1-4'!$B25="","",'KG1-4'!$B25)</f>
        <v/>
      </c>
      <c r="B2130">
        <f>IF(A2130="","",'KG1-4'!$C25)</f>
        <v/>
      </c>
      <c r="C2130">
        <f>IF(A2130="","",'KG1-4'!$B$2)</f>
        <v/>
      </c>
      <c r="D2130" s="126">
        <f t="array" ref="D2130">IF(A2130="","",IFERROR(SMALL(IF((('KG1-4'!$AD25:$IM25="غياب بدون عذر")+('KG1-4'!$AD25:$IM25="غياب بعذر"))*('KG1-4'!$AD$7:$IM$7="✓"),'KG1-4'!$AD$5:$IM$5),9),""))</f>
        <v/>
      </c>
      <c r="E2130">
        <f>IF(D2130="","",INDEX('KG1-4'!$AD25:$IM25,MATCH(D2130,'KG1-4'!$AD$5:$IM$5,0)))</f>
        <v/>
      </c>
      <c r="F2130">
        <f>IF(D2130="","",COUNTIFS('KG1-4'!$AD25:$IM25,"غياب بدون عذر",'KG1-4'!$AD$7:$IM$7,"✓",'KG1-4'!$AD$5:$IM$5,"&lt;="&amp;D2130))</f>
        <v/>
      </c>
      <c r="G2130">
        <f>G2129+IF(D2130="",0,1)</f>
        <v/>
      </c>
    </row>
    <row r="2131">
      <c r="A2131">
        <f>IF('KG1-4'!$B25="","",'KG1-4'!$B25)</f>
        <v/>
      </c>
      <c r="B2131">
        <f>IF(A2131="","",'KG1-4'!$C25)</f>
        <v/>
      </c>
      <c r="C2131">
        <f>IF(A2131="","",'KG1-4'!$B$2)</f>
        <v/>
      </c>
      <c r="D2131" s="126">
        <f t="array" ref="D2131">IF(A2131="","",IFERROR(SMALL(IF((('KG1-4'!$AD25:$IM25="غياب بدون عذر")+('KG1-4'!$AD25:$IM25="غياب بعذر"))*('KG1-4'!$AD$7:$IM$7="✓"),'KG1-4'!$AD$5:$IM$5),10),""))</f>
        <v/>
      </c>
      <c r="E2131">
        <f>IF(D2131="","",INDEX('KG1-4'!$AD25:$IM25,MATCH(D2131,'KG1-4'!$AD$5:$IM$5,0)))</f>
        <v/>
      </c>
      <c r="F2131">
        <f>IF(D2131="","",COUNTIFS('KG1-4'!$AD25:$IM25,"غياب بدون عذر",'KG1-4'!$AD$7:$IM$7,"✓",'KG1-4'!$AD$5:$IM$5,"&lt;="&amp;D2131))</f>
        <v/>
      </c>
      <c r="G2131">
        <f>G2130+IF(D2131="",0,1)</f>
        <v/>
      </c>
    </row>
    <row r="2132">
      <c r="A2132">
        <f>IF('KG1-4'!$B25="","",'KG1-4'!$B25)</f>
        <v/>
      </c>
      <c r="B2132">
        <f>IF(A2132="","",'KG1-4'!$C25)</f>
        <v/>
      </c>
      <c r="C2132">
        <f>IF(A2132="","",'KG1-4'!$B$2)</f>
        <v/>
      </c>
      <c r="D2132" s="126">
        <f t="array" ref="D2132">IF(A2132="","",IFERROR(SMALL(IF((('KG1-4'!$AD25:$IM25="غياب بدون عذر")+('KG1-4'!$AD25:$IM25="غياب بعذر"))*('KG1-4'!$AD$7:$IM$7="✓"),'KG1-4'!$AD$5:$IM$5),11),""))</f>
        <v/>
      </c>
      <c r="E2132">
        <f>IF(D2132="","",INDEX('KG1-4'!$AD25:$IM25,MATCH(D2132,'KG1-4'!$AD$5:$IM$5,0)))</f>
        <v/>
      </c>
      <c r="F2132">
        <f>IF(D2132="","",COUNTIFS('KG1-4'!$AD25:$IM25,"غياب بدون عذر",'KG1-4'!$AD$7:$IM$7,"✓",'KG1-4'!$AD$5:$IM$5,"&lt;="&amp;D2132))</f>
        <v/>
      </c>
      <c r="G2132">
        <f>G2131+IF(D2132="",0,1)</f>
        <v/>
      </c>
    </row>
    <row r="2133">
      <c r="A2133">
        <f>IF('KG1-4'!$B25="","",'KG1-4'!$B25)</f>
        <v/>
      </c>
      <c r="B2133">
        <f>IF(A2133="","",'KG1-4'!$C25)</f>
        <v/>
      </c>
      <c r="C2133">
        <f>IF(A2133="","",'KG1-4'!$B$2)</f>
        <v/>
      </c>
      <c r="D2133" s="126">
        <f t="array" ref="D2133">IF(A2133="","",IFERROR(SMALL(IF((('KG1-4'!$AD25:$IM25="غياب بدون عذر")+('KG1-4'!$AD25:$IM25="غياب بعذر"))*('KG1-4'!$AD$7:$IM$7="✓"),'KG1-4'!$AD$5:$IM$5),12),""))</f>
        <v/>
      </c>
      <c r="E2133">
        <f>IF(D2133="","",INDEX('KG1-4'!$AD25:$IM25,MATCH(D2133,'KG1-4'!$AD$5:$IM$5,0)))</f>
        <v/>
      </c>
      <c r="F2133">
        <f>IF(D2133="","",COUNTIFS('KG1-4'!$AD25:$IM25,"غياب بدون عذر",'KG1-4'!$AD$7:$IM$7,"✓",'KG1-4'!$AD$5:$IM$5,"&lt;="&amp;D2133))</f>
        <v/>
      </c>
      <c r="G2133">
        <f>G2132+IF(D2133="",0,1)</f>
        <v/>
      </c>
    </row>
    <row r="2134">
      <c r="A2134">
        <f>IF('KG1-4'!$B25="","",'KG1-4'!$B25)</f>
        <v/>
      </c>
      <c r="B2134">
        <f>IF(A2134="","",'KG1-4'!$C25)</f>
        <v/>
      </c>
      <c r="C2134">
        <f>IF(A2134="","",'KG1-4'!$B$2)</f>
        <v/>
      </c>
      <c r="D2134" s="126">
        <f t="array" ref="D2134">IF(A2134="","",IFERROR(SMALL(IF((('KG1-4'!$AD25:$IM25="غياب بدون عذر")+('KG1-4'!$AD25:$IM25="غياب بعذر"))*('KG1-4'!$AD$7:$IM$7="✓"),'KG1-4'!$AD$5:$IM$5),13),""))</f>
        <v/>
      </c>
      <c r="E2134">
        <f>IF(D2134="","",INDEX('KG1-4'!$AD25:$IM25,MATCH(D2134,'KG1-4'!$AD$5:$IM$5,0)))</f>
        <v/>
      </c>
      <c r="F2134">
        <f>IF(D2134="","",COUNTIFS('KG1-4'!$AD25:$IM25,"غياب بدون عذر",'KG1-4'!$AD$7:$IM$7,"✓",'KG1-4'!$AD$5:$IM$5,"&lt;="&amp;D2134))</f>
        <v/>
      </c>
      <c r="G2134">
        <f>G2133+IF(D2134="",0,1)</f>
        <v/>
      </c>
    </row>
    <row r="2135">
      <c r="A2135">
        <f>IF('KG1-4'!$B25="","",'KG1-4'!$B25)</f>
        <v/>
      </c>
      <c r="B2135">
        <f>IF(A2135="","",'KG1-4'!$C25)</f>
        <v/>
      </c>
      <c r="C2135">
        <f>IF(A2135="","",'KG1-4'!$B$2)</f>
        <v/>
      </c>
      <c r="D2135" s="126">
        <f t="array" ref="D2135">IF(A2135="","",IFERROR(SMALL(IF((('KG1-4'!$AD25:$IM25="غياب بدون عذر")+('KG1-4'!$AD25:$IM25="غياب بعذر"))*('KG1-4'!$AD$7:$IM$7="✓"),'KG1-4'!$AD$5:$IM$5),14),""))</f>
        <v/>
      </c>
      <c r="E2135">
        <f>IF(D2135="","",INDEX('KG1-4'!$AD25:$IM25,MATCH(D2135,'KG1-4'!$AD$5:$IM$5,0)))</f>
        <v/>
      </c>
      <c r="F2135">
        <f>IF(D2135="","",COUNTIFS('KG1-4'!$AD25:$IM25,"غياب بدون عذر",'KG1-4'!$AD$7:$IM$7,"✓",'KG1-4'!$AD$5:$IM$5,"&lt;="&amp;D2135))</f>
        <v/>
      </c>
      <c r="G2135">
        <f>G2134+IF(D2135="",0,1)</f>
        <v/>
      </c>
    </row>
    <row r="2136">
      <c r="A2136">
        <f>IF('KG1-4'!$B25="","",'KG1-4'!$B25)</f>
        <v/>
      </c>
      <c r="B2136">
        <f>IF(A2136="","",'KG1-4'!$C25)</f>
        <v/>
      </c>
      <c r="C2136">
        <f>IF(A2136="","",'KG1-4'!$B$2)</f>
        <v/>
      </c>
      <c r="D2136" s="126">
        <f t="array" ref="D2136">IF(A2136="","",IFERROR(SMALL(IF((('KG1-4'!$AD25:$IM25="غياب بدون عذر")+('KG1-4'!$AD25:$IM25="غياب بعذر"))*('KG1-4'!$AD$7:$IM$7="✓"),'KG1-4'!$AD$5:$IM$5),15),""))</f>
        <v/>
      </c>
      <c r="E2136">
        <f>IF(D2136="","",INDEX('KG1-4'!$AD25:$IM25,MATCH(D2136,'KG1-4'!$AD$5:$IM$5,0)))</f>
        <v/>
      </c>
      <c r="F2136">
        <f>IF(D2136="","",COUNTIFS('KG1-4'!$AD25:$IM25,"غياب بدون عذر",'KG1-4'!$AD$7:$IM$7,"✓",'KG1-4'!$AD$5:$IM$5,"&lt;="&amp;D2136))</f>
        <v/>
      </c>
      <c r="G2136">
        <f>G2135+IF(D2136="",0,1)</f>
        <v/>
      </c>
    </row>
    <row r="2137">
      <c r="A2137">
        <f>IF('KG1-4'!$B25="","",'KG1-4'!$B25)</f>
        <v/>
      </c>
      <c r="B2137">
        <f>IF(A2137="","",'KG1-4'!$C25)</f>
        <v/>
      </c>
      <c r="C2137">
        <f>IF(A2137="","",'KG1-4'!$B$2)</f>
        <v/>
      </c>
      <c r="D2137" s="126">
        <f t="array" ref="D2137">IF(A2137="","",IFERROR(SMALL(IF((('KG1-4'!$AD25:$IM25="غياب بدون عذر")+('KG1-4'!$AD25:$IM25="غياب بعذر"))*('KG1-4'!$AD$7:$IM$7="✓"),'KG1-4'!$AD$5:$IM$5),16),""))</f>
        <v/>
      </c>
      <c r="E2137">
        <f>IF(D2137="","",INDEX('KG1-4'!$AD25:$IM25,MATCH(D2137,'KG1-4'!$AD$5:$IM$5,0)))</f>
        <v/>
      </c>
      <c r="F2137">
        <f>IF(D2137="","",COUNTIFS('KG1-4'!$AD25:$IM25,"غياب بدون عذر",'KG1-4'!$AD$7:$IM$7,"✓",'KG1-4'!$AD$5:$IM$5,"&lt;="&amp;D2137))</f>
        <v/>
      </c>
      <c r="G2137">
        <f>G2136+IF(D2137="",0,1)</f>
        <v/>
      </c>
    </row>
    <row r="2138">
      <c r="A2138">
        <f>IF('KG1-4'!$B25="","",'KG1-4'!$B25)</f>
        <v/>
      </c>
      <c r="B2138">
        <f>IF(A2138="","",'KG1-4'!$C25)</f>
        <v/>
      </c>
      <c r="C2138">
        <f>IF(A2138="","",'KG1-4'!$B$2)</f>
        <v/>
      </c>
      <c r="D2138" s="126">
        <f t="array" ref="D2138">IF(A2138="","",IFERROR(SMALL(IF((('KG1-4'!$AD25:$IM25="غياب بدون عذر")+('KG1-4'!$AD25:$IM25="غياب بعذر"))*('KG1-4'!$AD$7:$IM$7="✓"),'KG1-4'!$AD$5:$IM$5),17),""))</f>
        <v/>
      </c>
      <c r="E2138">
        <f>IF(D2138="","",INDEX('KG1-4'!$AD25:$IM25,MATCH(D2138,'KG1-4'!$AD$5:$IM$5,0)))</f>
        <v/>
      </c>
      <c r="F2138">
        <f>IF(D2138="","",COUNTIFS('KG1-4'!$AD25:$IM25,"غياب بدون عذر",'KG1-4'!$AD$7:$IM$7,"✓",'KG1-4'!$AD$5:$IM$5,"&lt;="&amp;D2138))</f>
        <v/>
      </c>
      <c r="G2138">
        <f>G2137+IF(D2138="",0,1)</f>
        <v/>
      </c>
    </row>
    <row r="2139">
      <c r="A2139">
        <f>IF('KG1-4'!$B25="","",'KG1-4'!$B25)</f>
        <v/>
      </c>
      <c r="B2139">
        <f>IF(A2139="","",'KG1-4'!$C25)</f>
        <v/>
      </c>
      <c r="C2139">
        <f>IF(A2139="","",'KG1-4'!$B$2)</f>
        <v/>
      </c>
      <c r="D2139" s="126">
        <f t="array" ref="D2139">IF(A2139="","",IFERROR(SMALL(IF((('KG1-4'!$AD25:$IM25="غياب بدون عذر")+('KG1-4'!$AD25:$IM25="غياب بعذر"))*('KG1-4'!$AD$7:$IM$7="✓"),'KG1-4'!$AD$5:$IM$5),18),""))</f>
        <v/>
      </c>
      <c r="E2139">
        <f>IF(D2139="","",INDEX('KG1-4'!$AD25:$IM25,MATCH(D2139,'KG1-4'!$AD$5:$IM$5,0)))</f>
        <v/>
      </c>
      <c r="F2139">
        <f>IF(D2139="","",COUNTIFS('KG1-4'!$AD25:$IM25,"غياب بدون عذر",'KG1-4'!$AD$7:$IM$7,"✓",'KG1-4'!$AD$5:$IM$5,"&lt;="&amp;D2139))</f>
        <v/>
      </c>
      <c r="G2139">
        <f>G2138+IF(D2139="",0,1)</f>
        <v/>
      </c>
    </row>
    <row r="2140">
      <c r="A2140">
        <f>IF('KG1-4'!$B25="","",'KG1-4'!$B25)</f>
        <v/>
      </c>
      <c r="B2140">
        <f>IF(A2140="","",'KG1-4'!$C25)</f>
        <v/>
      </c>
      <c r="C2140">
        <f>IF(A2140="","",'KG1-4'!$B$2)</f>
        <v/>
      </c>
      <c r="D2140" s="126">
        <f t="array" ref="D2140">IF(A2140="","",IFERROR(SMALL(IF((('KG1-4'!$AD25:$IM25="غياب بدون عذر")+('KG1-4'!$AD25:$IM25="غياب بعذر"))*('KG1-4'!$AD$7:$IM$7="✓"),'KG1-4'!$AD$5:$IM$5),19),""))</f>
        <v/>
      </c>
      <c r="E2140">
        <f>IF(D2140="","",INDEX('KG1-4'!$AD25:$IM25,MATCH(D2140,'KG1-4'!$AD$5:$IM$5,0)))</f>
        <v/>
      </c>
      <c r="F2140">
        <f>IF(D2140="","",COUNTIFS('KG1-4'!$AD25:$IM25,"غياب بدون عذر",'KG1-4'!$AD$7:$IM$7,"✓",'KG1-4'!$AD$5:$IM$5,"&lt;="&amp;D2140))</f>
        <v/>
      </c>
      <c r="G2140">
        <f>G2139+IF(D2140="",0,1)</f>
        <v/>
      </c>
    </row>
    <row r="2141">
      <c r="A2141">
        <f>IF('KG1-4'!$B25="","",'KG1-4'!$B25)</f>
        <v/>
      </c>
      <c r="B2141">
        <f>IF(A2141="","",'KG1-4'!$C25)</f>
        <v/>
      </c>
      <c r="C2141">
        <f>IF(A2141="","",'KG1-4'!$B$2)</f>
        <v/>
      </c>
      <c r="D2141" s="126">
        <f t="array" ref="D2141">IF(A2141="","",IFERROR(SMALL(IF((('KG1-4'!$AD25:$IM25="غياب بدون عذر")+('KG1-4'!$AD25:$IM25="غياب بعذر"))*('KG1-4'!$AD$7:$IM$7="✓"),'KG1-4'!$AD$5:$IM$5),20),""))</f>
        <v/>
      </c>
      <c r="E2141">
        <f>IF(D2141="","",INDEX('KG1-4'!$AD25:$IM25,MATCH(D2141,'KG1-4'!$AD$5:$IM$5,0)))</f>
        <v/>
      </c>
      <c r="F2141">
        <f>IF(D2141="","",COUNTIFS('KG1-4'!$AD25:$IM25,"غياب بدون عذر",'KG1-4'!$AD$7:$IM$7,"✓",'KG1-4'!$AD$5:$IM$5,"&lt;="&amp;D2141))</f>
        <v/>
      </c>
      <c r="G2141">
        <f>G2140+IF(D2141="",0,1)</f>
        <v/>
      </c>
    </row>
    <row r="2142">
      <c r="A2142">
        <f>IF('KG1-4'!$B26="","",'KG1-4'!$B26)</f>
        <v/>
      </c>
      <c r="B2142">
        <f>IF(A2142="","",'KG1-4'!$C26)</f>
        <v/>
      </c>
      <c r="C2142">
        <f>IF(A2142="","",'KG1-4'!$B$2)</f>
        <v/>
      </c>
      <c r="D2142" s="126">
        <f t="array" ref="D2142">IF(A2142="","",IFERROR(SMALL(IF((('KG1-4'!$AD26:$IM26="غياب بدون عذر")+('KG1-4'!$AD26:$IM26="غياب بعذر"))*('KG1-4'!$AD$7:$IM$7="✓"),'KG1-4'!$AD$5:$IM$5),1),""))</f>
        <v/>
      </c>
      <c r="E2142">
        <f>IF(D2142="","",INDEX('KG1-4'!$AD26:$IM26,MATCH(D2142,'KG1-4'!$AD$5:$IM$5,0)))</f>
        <v/>
      </c>
      <c r="F2142">
        <f>IF(D2142="","",COUNTIFS('KG1-4'!$AD26:$IM26,"غياب بدون عذر",'KG1-4'!$AD$7:$IM$7,"✓",'KG1-4'!$AD$5:$IM$5,"&lt;="&amp;D2142))</f>
        <v/>
      </c>
      <c r="G2142">
        <f>G2141+IF(D2142="",0,1)</f>
        <v/>
      </c>
    </row>
    <row r="2143">
      <c r="A2143">
        <f>IF('KG1-4'!$B26="","",'KG1-4'!$B26)</f>
        <v/>
      </c>
      <c r="B2143">
        <f>IF(A2143="","",'KG1-4'!$C26)</f>
        <v/>
      </c>
      <c r="C2143">
        <f>IF(A2143="","",'KG1-4'!$B$2)</f>
        <v/>
      </c>
      <c r="D2143" s="126">
        <f t="array" ref="D2143">IF(A2143="","",IFERROR(SMALL(IF((('KG1-4'!$AD26:$IM26="غياب بدون عذر")+('KG1-4'!$AD26:$IM26="غياب بعذر"))*('KG1-4'!$AD$7:$IM$7="✓"),'KG1-4'!$AD$5:$IM$5),2),""))</f>
        <v/>
      </c>
      <c r="E2143">
        <f>IF(D2143="","",INDEX('KG1-4'!$AD26:$IM26,MATCH(D2143,'KG1-4'!$AD$5:$IM$5,0)))</f>
        <v/>
      </c>
      <c r="F2143">
        <f>IF(D2143="","",COUNTIFS('KG1-4'!$AD26:$IM26,"غياب بدون عذر",'KG1-4'!$AD$7:$IM$7,"✓",'KG1-4'!$AD$5:$IM$5,"&lt;="&amp;D2143))</f>
        <v/>
      </c>
      <c r="G2143">
        <f>G2142+IF(D2143="",0,1)</f>
        <v/>
      </c>
    </row>
    <row r="2144">
      <c r="A2144">
        <f>IF('KG1-4'!$B26="","",'KG1-4'!$B26)</f>
        <v/>
      </c>
      <c r="B2144">
        <f>IF(A2144="","",'KG1-4'!$C26)</f>
        <v/>
      </c>
      <c r="C2144">
        <f>IF(A2144="","",'KG1-4'!$B$2)</f>
        <v/>
      </c>
      <c r="D2144" s="126">
        <f t="array" ref="D2144">IF(A2144="","",IFERROR(SMALL(IF((('KG1-4'!$AD26:$IM26="غياب بدون عذر")+('KG1-4'!$AD26:$IM26="غياب بعذر"))*('KG1-4'!$AD$7:$IM$7="✓"),'KG1-4'!$AD$5:$IM$5),3),""))</f>
        <v/>
      </c>
      <c r="E2144">
        <f>IF(D2144="","",INDEX('KG1-4'!$AD26:$IM26,MATCH(D2144,'KG1-4'!$AD$5:$IM$5,0)))</f>
        <v/>
      </c>
      <c r="F2144">
        <f>IF(D2144="","",COUNTIFS('KG1-4'!$AD26:$IM26,"غياب بدون عذر",'KG1-4'!$AD$7:$IM$7,"✓",'KG1-4'!$AD$5:$IM$5,"&lt;="&amp;D2144))</f>
        <v/>
      </c>
      <c r="G2144">
        <f>G2143+IF(D2144="",0,1)</f>
        <v/>
      </c>
    </row>
    <row r="2145">
      <c r="A2145">
        <f>IF('KG1-4'!$B26="","",'KG1-4'!$B26)</f>
        <v/>
      </c>
      <c r="B2145">
        <f>IF(A2145="","",'KG1-4'!$C26)</f>
        <v/>
      </c>
      <c r="C2145">
        <f>IF(A2145="","",'KG1-4'!$B$2)</f>
        <v/>
      </c>
      <c r="D2145" s="126">
        <f t="array" ref="D2145">IF(A2145="","",IFERROR(SMALL(IF((('KG1-4'!$AD26:$IM26="غياب بدون عذر")+('KG1-4'!$AD26:$IM26="غياب بعذر"))*('KG1-4'!$AD$7:$IM$7="✓"),'KG1-4'!$AD$5:$IM$5),4),""))</f>
        <v/>
      </c>
      <c r="E2145">
        <f>IF(D2145="","",INDEX('KG1-4'!$AD26:$IM26,MATCH(D2145,'KG1-4'!$AD$5:$IM$5,0)))</f>
        <v/>
      </c>
      <c r="F2145">
        <f>IF(D2145="","",COUNTIFS('KG1-4'!$AD26:$IM26,"غياب بدون عذر",'KG1-4'!$AD$7:$IM$7,"✓",'KG1-4'!$AD$5:$IM$5,"&lt;="&amp;D2145))</f>
        <v/>
      </c>
      <c r="G2145">
        <f>G2144+IF(D2145="",0,1)</f>
        <v/>
      </c>
    </row>
    <row r="2146">
      <c r="A2146">
        <f>IF('KG1-4'!$B26="","",'KG1-4'!$B26)</f>
        <v/>
      </c>
      <c r="B2146">
        <f>IF(A2146="","",'KG1-4'!$C26)</f>
        <v/>
      </c>
      <c r="C2146">
        <f>IF(A2146="","",'KG1-4'!$B$2)</f>
        <v/>
      </c>
      <c r="D2146" s="126">
        <f t="array" ref="D2146">IF(A2146="","",IFERROR(SMALL(IF((('KG1-4'!$AD26:$IM26="غياب بدون عذر")+('KG1-4'!$AD26:$IM26="غياب بعذر"))*('KG1-4'!$AD$7:$IM$7="✓"),'KG1-4'!$AD$5:$IM$5),5),""))</f>
        <v/>
      </c>
      <c r="E2146">
        <f>IF(D2146="","",INDEX('KG1-4'!$AD26:$IM26,MATCH(D2146,'KG1-4'!$AD$5:$IM$5,0)))</f>
        <v/>
      </c>
      <c r="F2146">
        <f>IF(D2146="","",COUNTIFS('KG1-4'!$AD26:$IM26,"غياب بدون عذر",'KG1-4'!$AD$7:$IM$7,"✓",'KG1-4'!$AD$5:$IM$5,"&lt;="&amp;D2146))</f>
        <v/>
      </c>
      <c r="G2146">
        <f>G2145+IF(D2146="",0,1)</f>
        <v/>
      </c>
    </row>
    <row r="2147">
      <c r="A2147">
        <f>IF('KG1-4'!$B26="","",'KG1-4'!$B26)</f>
        <v/>
      </c>
      <c r="B2147">
        <f>IF(A2147="","",'KG1-4'!$C26)</f>
        <v/>
      </c>
      <c r="C2147">
        <f>IF(A2147="","",'KG1-4'!$B$2)</f>
        <v/>
      </c>
      <c r="D2147" s="126">
        <f t="array" ref="D2147">IF(A2147="","",IFERROR(SMALL(IF((('KG1-4'!$AD26:$IM26="غياب بدون عذر")+('KG1-4'!$AD26:$IM26="غياب بعذر"))*('KG1-4'!$AD$7:$IM$7="✓"),'KG1-4'!$AD$5:$IM$5),6),""))</f>
        <v/>
      </c>
      <c r="E2147">
        <f>IF(D2147="","",INDEX('KG1-4'!$AD26:$IM26,MATCH(D2147,'KG1-4'!$AD$5:$IM$5,0)))</f>
        <v/>
      </c>
      <c r="F2147">
        <f>IF(D2147="","",COUNTIFS('KG1-4'!$AD26:$IM26,"غياب بدون عذر",'KG1-4'!$AD$7:$IM$7,"✓",'KG1-4'!$AD$5:$IM$5,"&lt;="&amp;D2147))</f>
        <v/>
      </c>
      <c r="G2147">
        <f>G2146+IF(D2147="",0,1)</f>
        <v/>
      </c>
    </row>
    <row r="2148">
      <c r="A2148">
        <f>IF('KG1-4'!$B26="","",'KG1-4'!$B26)</f>
        <v/>
      </c>
      <c r="B2148">
        <f>IF(A2148="","",'KG1-4'!$C26)</f>
        <v/>
      </c>
      <c r="C2148">
        <f>IF(A2148="","",'KG1-4'!$B$2)</f>
        <v/>
      </c>
      <c r="D2148" s="126">
        <f t="array" ref="D2148">IF(A2148="","",IFERROR(SMALL(IF((('KG1-4'!$AD26:$IM26="غياب بدون عذر")+('KG1-4'!$AD26:$IM26="غياب بعذر"))*('KG1-4'!$AD$7:$IM$7="✓"),'KG1-4'!$AD$5:$IM$5),7),""))</f>
        <v/>
      </c>
      <c r="E2148">
        <f>IF(D2148="","",INDEX('KG1-4'!$AD26:$IM26,MATCH(D2148,'KG1-4'!$AD$5:$IM$5,0)))</f>
        <v/>
      </c>
      <c r="F2148">
        <f>IF(D2148="","",COUNTIFS('KG1-4'!$AD26:$IM26,"غياب بدون عذر",'KG1-4'!$AD$7:$IM$7,"✓",'KG1-4'!$AD$5:$IM$5,"&lt;="&amp;D2148))</f>
        <v/>
      </c>
      <c r="G2148">
        <f>G2147+IF(D2148="",0,1)</f>
        <v/>
      </c>
    </row>
    <row r="2149">
      <c r="A2149">
        <f>IF('KG1-4'!$B26="","",'KG1-4'!$B26)</f>
        <v/>
      </c>
      <c r="B2149">
        <f>IF(A2149="","",'KG1-4'!$C26)</f>
        <v/>
      </c>
      <c r="C2149">
        <f>IF(A2149="","",'KG1-4'!$B$2)</f>
        <v/>
      </c>
      <c r="D2149" s="126">
        <f t="array" ref="D2149">IF(A2149="","",IFERROR(SMALL(IF((('KG1-4'!$AD26:$IM26="غياب بدون عذر")+('KG1-4'!$AD26:$IM26="غياب بعذر"))*('KG1-4'!$AD$7:$IM$7="✓"),'KG1-4'!$AD$5:$IM$5),8),""))</f>
        <v/>
      </c>
      <c r="E2149">
        <f>IF(D2149="","",INDEX('KG1-4'!$AD26:$IM26,MATCH(D2149,'KG1-4'!$AD$5:$IM$5,0)))</f>
        <v/>
      </c>
      <c r="F2149">
        <f>IF(D2149="","",COUNTIFS('KG1-4'!$AD26:$IM26,"غياب بدون عذر",'KG1-4'!$AD$7:$IM$7,"✓",'KG1-4'!$AD$5:$IM$5,"&lt;="&amp;D2149))</f>
        <v/>
      </c>
      <c r="G2149">
        <f>G2148+IF(D2149="",0,1)</f>
        <v/>
      </c>
    </row>
    <row r="2150">
      <c r="A2150">
        <f>IF('KG1-4'!$B26="","",'KG1-4'!$B26)</f>
        <v/>
      </c>
      <c r="B2150">
        <f>IF(A2150="","",'KG1-4'!$C26)</f>
        <v/>
      </c>
      <c r="C2150">
        <f>IF(A2150="","",'KG1-4'!$B$2)</f>
        <v/>
      </c>
      <c r="D2150" s="126">
        <f t="array" ref="D2150">IF(A2150="","",IFERROR(SMALL(IF((('KG1-4'!$AD26:$IM26="غياب بدون عذر")+('KG1-4'!$AD26:$IM26="غياب بعذر"))*('KG1-4'!$AD$7:$IM$7="✓"),'KG1-4'!$AD$5:$IM$5),9),""))</f>
        <v/>
      </c>
      <c r="E2150">
        <f>IF(D2150="","",INDEX('KG1-4'!$AD26:$IM26,MATCH(D2150,'KG1-4'!$AD$5:$IM$5,0)))</f>
        <v/>
      </c>
      <c r="F2150">
        <f>IF(D2150="","",COUNTIFS('KG1-4'!$AD26:$IM26,"غياب بدون عذر",'KG1-4'!$AD$7:$IM$7,"✓",'KG1-4'!$AD$5:$IM$5,"&lt;="&amp;D2150))</f>
        <v/>
      </c>
      <c r="G2150">
        <f>G2149+IF(D2150="",0,1)</f>
        <v/>
      </c>
    </row>
    <row r="2151">
      <c r="A2151">
        <f>IF('KG1-4'!$B26="","",'KG1-4'!$B26)</f>
        <v/>
      </c>
      <c r="B2151">
        <f>IF(A2151="","",'KG1-4'!$C26)</f>
        <v/>
      </c>
      <c r="C2151">
        <f>IF(A2151="","",'KG1-4'!$B$2)</f>
        <v/>
      </c>
      <c r="D2151" s="126">
        <f t="array" ref="D2151">IF(A2151="","",IFERROR(SMALL(IF((('KG1-4'!$AD26:$IM26="غياب بدون عذر")+('KG1-4'!$AD26:$IM26="غياب بعذر"))*('KG1-4'!$AD$7:$IM$7="✓"),'KG1-4'!$AD$5:$IM$5),10),""))</f>
        <v/>
      </c>
      <c r="E2151">
        <f>IF(D2151="","",INDEX('KG1-4'!$AD26:$IM26,MATCH(D2151,'KG1-4'!$AD$5:$IM$5,0)))</f>
        <v/>
      </c>
      <c r="F2151">
        <f>IF(D2151="","",COUNTIFS('KG1-4'!$AD26:$IM26,"غياب بدون عذر",'KG1-4'!$AD$7:$IM$7,"✓",'KG1-4'!$AD$5:$IM$5,"&lt;="&amp;D2151))</f>
        <v/>
      </c>
      <c r="G2151">
        <f>G2150+IF(D2151="",0,1)</f>
        <v/>
      </c>
    </row>
    <row r="2152">
      <c r="A2152">
        <f>IF('KG1-4'!$B26="","",'KG1-4'!$B26)</f>
        <v/>
      </c>
      <c r="B2152">
        <f>IF(A2152="","",'KG1-4'!$C26)</f>
        <v/>
      </c>
      <c r="C2152">
        <f>IF(A2152="","",'KG1-4'!$B$2)</f>
        <v/>
      </c>
      <c r="D2152" s="126">
        <f t="array" ref="D2152">IF(A2152="","",IFERROR(SMALL(IF((('KG1-4'!$AD26:$IM26="غياب بدون عذر")+('KG1-4'!$AD26:$IM26="غياب بعذر"))*('KG1-4'!$AD$7:$IM$7="✓"),'KG1-4'!$AD$5:$IM$5),11),""))</f>
        <v/>
      </c>
      <c r="E2152">
        <f>IF(D2152="","",INDEX('KG1-4'!$AD26:$IM26,MATCH(D2152,'KG1-4'!$AD$5:$IM$5,0)))</f>
        <v/>
      </c>
      <c r="F2152">
        <f>IF(D2152="","",COUNTIFS('KG1-4'!$AD26:$IM26,"غياب بدون عذر",'KG1-4'!$AD$7:$IM$7,"✓",'KG1-4'!$AD$5:$IM$5,"&lt;="&amp;D2152))</f>
        <v/>
      </c>
      <c r="G2152">
        <f>G2151+IF(D2152="",0,1)</f>
        <v/>
      </c>
    </row>
    <row r="2153">
      <c r="A2153">
        <f>IF('KG1-4'!$B26="","",'KG1-4'!$B26)</f>
        <v/>
      </c>
      <c r="B2153">
        <f>IF(A2153="","",'KG1-4'!$C26)</f>
        <v/>
      </c>
      <c r="C2153">
        <f>IF(A2153="","",'KG1-4'!$B$2)</f>
        <v/>
      </c>
      <c r="D2153" s="126">
        <f t="array" ref="D2153">IF(A2153="","",IFERROR(SMALL(IF((('KG1-4'!$AD26:$IM26="غياب بدون عذر")+('KG1-4'!$AD26:$IM26="غياب بعذر"))*('KG1-4'!$AD$7:$IM$7="✓"),'KG1-4'!$AD$5:$IM$5),12),""))</f>
        <v/>
      </c>
      <c r="E2153">
        <f>IF(D2153="","",INDEX('KG1-4'!$AD26:$IM26,MATCH(D2153,'KG1-4'!$AD$5:$IM$5,0)))</f>
        <v/>
      </c>
      <c r="F2153">
        <f>IF(D2153="","",COUNTIFS('KG1-4'!$AD26:$IM26,"غياب بدون عذر",'KG1-4'!$AD$7:$IM$7,"✓",'KG1-4'!$AD$5:$IM$5,"&lt;="&amp;D2153))</f>
        <v/>
      </c>
      <c r="G2153">
        <f>G2152+IF(D2153="",0,1)</f>
        <v/>
      </c>
    </row>
    <row r="2154">
      <c r="A2154">
        <f>IF('KG1-4'!$B26="","",'KG1-4'!$B26)</f>
        <v/>
      </c>
      <c r="B2154">
        <f>IF(A2154="","",'KG1-4'!$C26)</f>
        <v/>
      </c>
      <c r="C2154">
        <f>IF(A2154="","",'KG1-4'!$B$2)</f>
        <v/>
      </c>
      <c r="D2154" s="126">
        <f t="array" ref="D2154">IF(A2154="","",IFERROR(SMALL(IF((('KG1-4'!$AD26:$IM26="غياب بدون عذر")+('KG1-4'!$AD26:$IM26="غياب بعذر"))*('KG1-4'!$AD$7:$IM$7="✓"),'KG1-4'!$AD$5:$IM$5),13),""))</f>
        <v/>
      </c>
      <c r="E2154">
        <f>IF(D2154="","",INDEX('KG1-4'!$AD26:$IM26,MATCH(D2154,'KG1-4'!$AD$5:$IM$5,0)))</f>
        <v/>
      </c>
      <c r="F2154">
        <f>IF(D2154="","",COUNTIFS('KG1-4'!$AD26:$IM26,"غياب بدون عذر",'KG1-4'!$AD$7:$IM$7,"✓",'KG1-4'!$AD$5:$IM$5,"&lt;="&amp;D2154))</f>
        <v/>
      </c>
      <c r="G2154">
        <f>G2153+IF(D2154="",0,1)</f>
        <v/>
      </c>
    </row>
    <row r="2155">
      <c r="A2155">
        <f>IF('KG1-4'!$B26="","",'KG1-4'!$B26)</f>
        <v/>
      </c>
      <c r="B2155">
        <f>IF(A2155="","",'KG1-4'!$C26)</f>
        <v/>
      </c>
      <c r="C2155">
        <f>IF(A2155="","",'KG1-4'!$B$2)</f>
        <v/>
      </c>
      <c r="D2155" s="126">
        <f t="array" ref="D2155">IF(A2155="","",IFERROR(SMALL(IF((('KG1-4'!$AD26:$IM26="غياب بدون عذر")+('KG1-4'!$AD26:$IM26="غياب بعذر"))*('KG1-4'!$AD$7:$IM$7="✓"),'KG1-4'!$AD$5:$IM$5),14),""))</f>
        <v/>
      </c>
      <c r="E2155">
        <f>IF(D2155="","",INDEX('KG1-4'!$AD26:$IM26,MATCH(D2155,'KG1-4'!$AD$5:$IM$5,0)))</f>
        <v/>
      </c>
      <c r="F2155">
        <f>IF(D2155="","",COUNTIFS('KG1-4'!$AD26:$IM26,"غياب بدون عذر",'KG1-4'!$AD$7:$IM$7,"✓",'KG1-4'!$AD$5:$IM$5,"&lt;="&amp;D2155))</f>
        <v/>
      </c>
      <c r="G2155">
        <f>G2154+IF(D2155="",0,1)</f>
        <v/>
      </c>
    </row>
    <row r="2156">
      <c r="A2156">
        <f>IF('KG1-4'!$B26="","",'KG1-4'!$B26)</f>
        <v/>
      </c>
      <c r="B2156">
        <f>IF(A2156="","",'KG1-4'!$C26)</f>
        <v/>
      </c>
      <c r="C2156">
        <f>IF(A2156="","",'KG1-4'!$B$2)</f>
        <v/>
      </c>
      <c r="D2156" s="126">
        <f t="array" ref="D2156">IF(A2156="","",IFERROR(SMALL(IF((('KG1-4'!$AD26:$IM26="غياب بدون عذر")+('KG1-4'!$AD26:$IM26="غياب بعذر"))*('KG1-4'!$AD$7:$IM$7="✓"),'KG1-4'!$AD$5:$IM$5),15),""))</f>
        <v/>
      </c>
      <c r="E2156">
        <f>IF(D2156="","",INDEX('KG1-4'!$AD26:$IM26,MATCH(D2156,'KG1-4'!$AD$5:$IM$5,0)))</f>
        <v/>
      </c>
      <c r="F2156">
        <f>IF(D2156="","",COUNTIFS('KG1-4'!$AD26:$IM26,"غياب بدون عذر",'KG1-4'!$AD$7:$IM$7,"✓",'KG1-4'!$AD$5:$IM$5,"&lt;="&amp;D2156))</f>
        <v/>
      </c>
      <c r="G2156">
        <f>G2155+IF(D2156="",0,1)</f>
        <v/>
      </c>
    </row>
    <row r="2157">
      <c r="A2157">
        <f>IF('KG1-4'!$B26="","",'KG1-4'!$B26)</f>
        <v/>
      </c>
      <c r="B2157">
        <f>IF(A2157="","",'KG1-4'!$C26)</f>
        <v/>
      </c>
      <c r="C2157">
        <f>IF(A2157="","",'KG1-4'!$B$2)</f>
        <v/>
      </c>
      <c r="D2157" s="126">
        <f t="array" ref="D2157">IF(A2157="","",IFERROR(SMALL(IF((('KG1-4'!$AD26:$IM26="غياب بدون عذر")+('KG1-4'!$AD26:$IM26="غياب بعذر"))*('KG1-4'!$AD$7:$IM$7="✓"),'KG1-4'!$AD$5:$IM$5),16),""))</f>
        <v/>
      </c>
      <c r="E2157">
        <f>IF(D2157="","",INDEX('KG1-4'!$AD26:$IM26,MATCH(D2157,'KG1-4'!$AD$5:$IM$5,0)))</f>
        <v/>
      </c>
      <c r="F2157">
        <f>IF(D2157="","",COUNTIFS('KG1-4'!$AD26:$IM26,"غياب بدون عذر",'KG1-4'!$AD$7:$IM$7,"✓",'KG1-4'!$AD$5:$IM$5,"&lt;="&amp;D2157))</f>
        <v/>
      </c>
      <c r="G2157">
        <f>G2156+IF(D2157="",0,1)</f>
        <v/>
      </c>
    </row>
    <row r="2158">
      <c r="A2158">
        <f>IF('KG1-4'!$B26="","",'KG1-4'!$B26)</f>
        <v/>
      </c>
      <c r="B2158">
        <f>IF(A2158="","",'KG1-4'!$C26)</f>
        <v/>
      </c>
      <c r="C2158">
        <f>IF(A2158="","",'KG1-4'!$B$2)</f>
        <v/>
      </c>
      <c r="D2158" s="126">
        <f t="array" ref="D2158">IF(A2158="","",IFERROR(SMALL(IF((('KG1-4'!$AD26:$IM26="غياب بدون عذر")+('KG1-4'!$AD26:$IM26="غياب بعذر"))*('KG1-4'!$AD$7:$IM$7="✓"),'KG1-4'!$AD$5:$IM$5),17),""))</f>
        <v/>
      </c>
      <c r="E2158">
        <f>IF(D2158="","",INDEX('KG1-4'!$AD26:$IM26,MATCH(D2158,'KG1-4'!$AD$5:$IM$5,0)))</f>
        <v/>
      </c>
      <c r="F2158">
        <f>IF(D2158="","",COUNTIFS('KG1-4'!$AD26:$IM26,"غياب بدون عذر",'KG1-4'!$AD$7:$IM$7,"✓",'KG1-4'!$AD$5:$IM$5,"&lt;="&amp;D2158))</f>
        <v/>
      </c>
      <c r="G2158">
        <f>G2157+IF(D2158="",0,1)</f>
        <v/>
      </c>
    </row>
    <row r="2159">
      <c r="A2159">
        <f>IF('KG1-4'!$B26="","",'KG1-4'!$B26)</f>
        <v/>
      </c>
      <c r="B2159">
        <f>IF(A2159="","",'KG1-4'!$C26)</f>
        <v/>
      </c>
      <c r="C2159">
        <f>IF(A2159="","",'KG1-4'!$B$2)</f>
        <v/>
      </c>
      <c r="D2159" s="126">
        <f t="array" ref="D2159">IF(A2159="","",IFERROR(SMALL(IF((('KG1-4'!$AD26:$IM26="غياب بدون عذر")+('KG1-4'!$AD26:$IM26="غياب بعذر"))*('KG1-4'!$AD$7:$IM$7="✓"),'KG1-4'!$AD$5:$IM$5),18),""))</f>
        <v/>
      </c>
      <c r="E2159">
        <f>IF(D2159="","",INDEX('KG1-4'!$AD26:$IM26,MATCH(D2159,'KG1-4'!$AD$5:$IM$5,0)))</f>
        <v/>
      </c>
      <c r="F2159">
        <f>IF(D2159="","",COUNTIFS('KG1-4'!$AD26:$IM26,"غياب بدون عذر",'KG1-4'!$AD$7:$IM$7,"✓",'KG1-4'!$AD$5:$IM$5,"&lt;="&amp;D2159))</f>
        <v/>
      </c>
      <c r="G2159">
        <f>G2158+IF(D2159="",0,1)</f>
        <v/>
      </c>
    </row>
    <row r="2160">
      <c r="A2160">
        <f>IF('KG1-4'!$B26="","",'KG1-4'!$B26)</f>
        <v/>
      </c>
      <c r="B2160">
        <f>IF(A2160="","",'KG1-4'!$C26)</f>
        <v/>
      </c>
      <c r="C2160">
        <f>IF(A2160="","",'KG1-4'!$B$2)</f>
        <v/>
      </c>
      <c r="D2160" s="126">
        <f t="array" ref="D2160">IF(A2160="","",IFERROR(SMALL(IF((('KG1-4'!$AD26:$IM26="غياب بدون عذر")+('KG1-4'!$AD26:$IM26="غياب بعذر"))*('KG1-4'!$AD$7:$IM$7="✓"),'KG1-4'!$AD$5:$IM$5),19),""))</f>
        <v/>
      </c>
      <c r="E2160">
        <f>IF(D2160="","",INDEX('KG1-4'!$AD26:$IM26,MATCH(D2160,'KG1-4'!$AD$5:$IM$5,0)))</f>
        <v/>
      </c>
      <c r="F2160">
        <f>IF(D2160="","",COUNTIFS('KG1-4'!$AD26:$IM26,"غياب بدون عذر",'KG1-4'!$AD$7:$IM$7,"✓",'KG1-4'!$AD$5:$IM$5,"&lt;="&amp;D2160))</f>
        <v/>
      </c>
      <c r="G2160">
        <f>G2159+IF(D2160="",0,1)</f>
        <v/>
      </c>
    </row>
    <row r="2161">
      <c r="A2161">
        <f>IF('KG1-4'!$B26="","",'KG1-4'!$B26)</f>
        <v/>
      </c>
      <c r="B2161">
        <f>IF(A2161="","",'KG1-4'!$C26)</f>
        <v/>
      </c>
      <c r="C2161">
        <f>IF(A2161="","",'KG1-4'!$B$2)</f>
        <v/>
      </c>
      <c r="D2161" s="126">
        <f t="array" ref="D2161">IF(A2161="","",IFERROR(SMALL(IF((('KG1-4'!$AD26:$IM26="غياب بدون عذر")+('KG1-4'!$AD26:$IM26="غياب بعذر"))*('KG1-4'!$AD$7:$IM$7="✓"),'KG1-4'!$AD$5:$IM$5),20),""))</f>
        <v/>
      </c>
      <c r="E2161">
        <f>IF(D2161="","",INDEX('KG1-4'!$AD26:$IM26,MATCH(D2161,'KG1-4'!$AD$5:$IM$5,0)))</f>
        <v/>
      </c>
      <c r="F2161">
        <f>IF(D2161="","",COUNTIFS('KG1-4'!$AD26:$IM26,"غياب بدون عذر",'KG1-4'!$AD$7:$IM$7,"✓",'KG1-4'!$AD$5:$IM$5,"&lt;="&amp;D2161))</f>
        <v/>
      </c>
      <c r="G2161">
        <f>G2160+IF(D2161="",0,1)</f>
        <v/>
      </c>
    </row>
    <row r="2162">
      <c r="A2162">
        <f>IF('KG1-4'!$B27="","",'KG1-4'!$B27)</f>
        <v/>
      </c>
      <c r="B2162">
        <f>IF(A2162="","",'KG1-4'!$C27)</f>
        <v/>
      </c>
      <c r="C2162">
        <f>IF(A2162="","",'KG1-4'!$B$2)</f>
        <v/>
      </c>
      <c r="D2162" s="126">
        <f t="array" ref="D2162">IF(A2162="","",IFERROR(SMALL(IF((('KG1-4'!$AD27:$IM27="غياب بدون عذر")+('KG1-4'!$AD27:$IM27="غياب بعذر"))*('KG1-4'!$AD$7:$IM$7="✓"),'KG1-4'!$AD$5:$IM$5),1),""))</f>
        <v/>
      </c>
      <c r="E2162">
        <f>IF(D2162="","",INDEX('KG1-4'!$AD27:$IM27,MATCH(D2162,'KG1-4'!$AD$5:$IM$5,0)))</f>
        <v/>
      </c>
      <c r="F2162">
        <f>IF(D2162="","",COUNTIFS('KG1-4'!$AD27:$IM27,"غياب بدون عذر",'KG1-4'!$AD$7:$IM$7,"✓",'KG1-4'!$AD$5:$IM$5,"&lt;="&amp;D2162))</f>
        <v/>
      </c>
      <c r="G2162">
        <f>G2161+IF(D2162="",0,1)</f>
        <v/>
      </c>
    </row>
    <row r="2163">
      <c r="A2163">
        <f>IF('KG1-4'!$B27="","",'KG1-4'!$B27)</f>
        <v/>
      </c>
      <c r="B2163">
        <f>IF(A2163="","",'KG1-4'!$C27)</f>
        <v/>
      </c>
      <c r="C2163">
        <f>IF(A2163="","",'KG1-4'!$B$2)</f>
        <v/>
      </c>
      <c r="D2163" s="126">
        <f t="array" ref="D2163">IF(A2163="","",IFERROR(SMALL(IF((('KG1-4'!$AD27:$IM27="غياب بدون عذر")+('KG1-4'!$AD27:$IM27="غياب بعذر"))*('KG1-4'!$AD$7:$IM$7="✓"),'KG1-4'!$AD$5:$IM$5),2),""))</f>
        <v/>
      </c>
      <c r="E2163">
        <f>IF(D2163="","",INDEX('KG1-4'!$AD27:$IM27,MATCH(D2163,'KG1-4'!$AD$5:$IM$5,0)))</f>
        <v/>
      </c>
      <c r="F2163">
        <f>IF(D2163="","",COUNTIFS('KG1-4'!$AD27:$IM27,"غياب بدون عذر",'KG1-4'!$AD$7:$IM$7,"✓",'KG1-4'!$AD$5:$IM$5,"&lt;="&amp;D2163))</f>
        <v/>
      </c>
      <c r="G2163">
        <f>G2162+IF(D2163="",0,1)</f>
        <v/>
      </c>
    </row>
    <row r="2164">
      <c r="A2164">
        <f>IF('KG1-4'!$B27="","",'KG1-4'!$B27)</f>
        <v/>
      </c>
      <c r="B2164">
        <f>IF(A2164="","",'KG1-4'!$C27)</f>
        <v/>
      </c>
      <c r="C2164">
        <f>IF(A2164="","",'KG1-4'!$B$2)</f>
        <v/>
      </c>
      <c r="D2164" s="126">
        <f t="array" ref="D2164">IF(A2164="","",IFERROR(SMALL(IF((('KG1-4'!$AD27:$IM27="غياب بدون عذر")+('KG1-4'!$AD27:$IM27="غياب بعذر"))*('KG1-4'!$AD$7:$IM$7="✓"),'KG1-4'!$AD$5:$IM$5),3),""))</f>
        <v/>
      </c>
      <c r="E2164">
        <f>IF(D2164="","",INDEX('KG1-4'!$AD27:$IM27,MATCH(D2164,'KG1-4'!$AD$5:$IM$5,0)))</f>
        <v/>
      </c>
      <c r="F2164">
        <f>IF(D2164="","",COUNTIFS('KG1-4'!$AD27:$IM27,"غياب بدون عذر",'KG1-4'!$AD$7:$IM$7,"✓",'KG1-4'!$AD$5:$IM$5,"&lt;="&amp;D2164))</f>
        <v/>
      </c>
      <c r="G2164">
        <f>G2163+IF(D2164="",0,1)</f>
        <v/>
      </c>
    </row>
    <row r="2165">
      <c r="A2165">
        <f>IF('KG1-4'!$B27="","",'KG1-4'!$B27)</f>
        <v/>
      </c>
      <c r="B2165">
        <f>IF(A2165="","",'KG1-4'!$C27)</f>
        <v/>
      </c>
      <c r="C2165">
        <f>IF(A2165="","",'KG1-4'!$B$2)</f>
        <v/>
      </c>
      <c r="D2165" s="126">
        <f t="array" ref="D2165">IF(A2165="","",IFERROR(SMALL(IF((('KG1-4'!$AD27:$IM27="غياب بدون عذر")+('KG1-4'!$AD27:$IM27="غياب بعذر"))*('KG1-4'!$AD$7:$IM$7="✓"),'KG1-4'!$AD$5:$IM$5),4),""))</f>
        <v/>
      </c>
      <c r="E2165">
        <f>IF(D2165="","",INDEX('KG1-4'!$AD27:$IM27,MATCH(D2165,'KG1-4'!$AD$5:$IM$5,0)))</f>
        <v/>
      </c>
      <c r="F2165">
        <f>IF(D2165="","",COUNTIFS('KG1-4'!$AD27:$IM27,"غياب بدون عذر",'KG1-4'!$AD$7:$IM$7,"✓",'KG1-4'!$AD$5:$IM$5,"&lt;="&amp;D2165))</f>
        <v/>
      </c>
      <c r="G2165">
        <f>G2164+IF(D2165="",0,1)</f>
        <v/>
      </c>
    </row>
    <row r="2166">
      <c r="A2166">
        <f>IF('KG1-4'!$B27="","",'KG1-4'!$B27)</f>
        <v/>
      </c>
      <c r="B2166">
        <f>IF(A2166="","",'KG1-4'!$C27)</f>
        <v/>
      </c>
      <c r="C2166">
        <f>IF(A2166="","",'KG1-4'!$B$2)</f>
        <v/>
      </c>
      <c r="D2166" s="126">
        <f t="array" ref="D2166">IF(A2166="","",IFERROR(SMALL(IF((('KG1-4'!$AD27:$IM27="غياب بدون عذر")+('KG1-4'!$AD27:$IM27="غياب بعذر"))*('KG1-4'!$AD$7:$IM$7="✓"),'KG1-4'!$AD$5:$IM$5),5),""))</f>
        <v/>
      </c>
      <c r="E2166">
        <f>IF(D2166="","",INDEX('KG1-4'!$AD27:$IM27,MATCH(D2166,'KG1-4'!$AD$5:$IM$5,0)))</f>
        <v/>
      </c>
      <c r="F2166">
        <f>IF(D2166="","",COUNTIFS('KG1-4'!$AD27:$IM27,"غياب بدون عذر",'KG1-4'!$AD$7:$IM$7,"✓",'KG1-4'!$AD$5:$IM$5,"&lt;="&amp;D2166))</f>
        <v/>
      </c>
      <c r="G2166">
        <f>G2165+IF(D2166="",0,1)</f>
        <v/>
      </c>
    </row>
    <row r="2167">
      <c r="A2167">
        <f>IF('KG1-4'!$B27="","",'KG1-4'!$B27)</f>
        <v/>
      </c>
      <c r="B2167">
        <f>IF(A2167="","",'KG1-4'!$C27)</f>
        <v/>
      </c>
      <c r="C2167">
        <f>IF(A2167="","",'KG1-4'!$B$2)</f>
        <v/>
      </c>
      <c r="D2167" s="126">
        <f t="array" ref="D2167">IF(A2167="","",IFERROR(SMALL(IF((('KG1-4'!$AD27:$IM27="غياب بدون عذر")+('KG1-4'!$AD27:$IM27="غياب بعذر"))*('KG1-4'!$AD$7:$IM$7="✓"),'KG1-4'!$AD$5:$IM$5),6),""))</f>
        <v/>
      </c>
      <c r="E2167">
        <f>IF(D2167="","",INDEX('KG1-4'!$AD27:$IM27,MATCH(D2167,'KG1-4'!$AD$5:$IM$5,0)))</f>
        <v/>
      </c>
      <c r="F2167">
        <f>IF(D2167="","",COUNTIFS('KG1-4'!$AD27:$IM27,"غياب بدون عذر",'KG1-4'!$AD$7:$IM$7,"✓",'KG1-4'!$AD$5:$IM$5,"&lt;="&amp;D2167))</f>
        <v/>
      </c>
      <c r="G2167">
        <f>G2166+IF(D2167="",0,1)</f>
        <v/>
      </c>
    </row>
    <row r="2168">
      <c r="A2168">
        <f>IF('KG1-4'!$B27="","",'KG1-4'!$B27)</f>
        <v/>
      </c>
      <c r="B2168">
        <f>IF(A2168="","",'KG1-4'!$C27)</f>
        <v/>
      </c>
      <c r="C2168">
        <f>IF(A2168="","",'KG1-4'!$B$2)</f>
        <v/>
      </c>
      <c r="D2168" s="126">
        <f t="array" ref="D2168">IF(A2168="","",IFERROR(SMALL(IF((('KG1-4'!$AD27:$IM27="غياب بدون عذر")+('KG1-4'!$AD27:$IM27="غياب بعذر"))*('KG1-4'!$AD$7:$IM$7="✓"),'KG1-4'!$AD$5:$IM$5),7),""))</f>
        <v/>
      </c>
      <c r="E2168">
        <f>IF(D2168="","",INDEX('KG1-4'!$AD27:$IM27,MATCH(D2168,'KG1-4'!$AD$5:$IM$5,0)))</f>
        <v/>
      </c>
      <c r="F2168">
        <f>IF(D2168="","",COUNTIFS('KG1-4'!$AD27:$IM27,"غياب بدون عذر",'KG1-4'!$AD$7:$IM$7,"✓",'KG1-4'!$AD$5:$IM$5,"&lt;="&amp;D2168))</f>
        <v/>
      </c>
      <c r="G2168">
        <f>G2167+IF(D2168="",0,1)</f>
        <v/>
      </c>
    </row>
    <row r="2169">
      <c r="A2169">
        <f>IF('KG1-4'!$B27="","",'KG1-4'!$B27)</f>
        <v/>
      </c>
      <c r="B2169">
        <f>IF(A2169="","",'KG1-4'!$C27)</f>
        <v/>
      </c>
      <c r="C2169">
        <f>IF(A2169="","",'KG1-4'!$B$2)</f>
        <v/>
      </c>
      <c r="D2169" s="126">
        <f t="array" ref="D2169">IF(A2169="","",IFERROR(SMALL(IF((('KG1-4'!$AD27:$IM27="غياب بدون عذر")+('KG1-4'!$AD27:$IM27="غياب بعذر"))*('KG1-4'!$AD$7:$IM$7="✓"),'KG1-4'!$AD$5:$IM$5),8),""))</f>
        <v/>
      </c>
      <c r="E2169">
        <f>IF(D2169="","",INDEX('KG1-4'!$AD27:$IM27,MATCH(D2169,'KG1-4'!$AD$5:$IM$5,0)))</f>
        <v/>
      </c>
      <c r="F2169">
        <f>IF(D2169="","",COUNTIFS('KG1-4'!$AD27:$IM27,"غياب بدون عذر",'KG1-4'!$AD$7:$IM$7,"✓",'KG1-4'!$AD$5:$IM$5,"&lt;="&amp;D2169))</f>
        <v/>
      </c>
      <c r="G2169">
        <f>G2168+IF(D2169="",0,1)</f>
        <v/>
      </c>
    </row>
    <row r="2170">
      <c r="A2170">
        <f>IF('KG1-4'!$B27="","",'KG1-4'!$B27)</f>
        <v/>
      </c>
      <c r="B2170">
        <f>IF(A2170="","",'KG1-4'!$C27)</f>
        <v/>
      </c>
      <c r="C2170">
        <f>IF(A2170="","",'KG1-4'!$B$2)</f>
        <v/>
      </c>
      <c r="D2170" s="126">
        <f t="array" ref="D2170">IF(A2170="","",IFERROR(SMALL(IF((('KG1-4'!$AD27:$IM27="غياب بدون عذر")+('KG1-4'!$AD27:$IM27="غياب بعذر"))*('KG1-4'!$AD$7:$IM$7="✓"),'KG1-4'!$AD$5:$IM$5),9),""))</f>
        <v/>
      </c>
      <c r="E2170">
        <f>IF(D2170="","",INDEX('KG1-4'!$AD27:$IM27,MATCH(D2170,'KG1-4'!$AD$5:$IM$5,0)))</f>
        <v/>
      </c>
      <c r="F2170">
        <f>IF(D2170="","",COUNTIFS('KG1-4'!$AD27:$IM27,"غياب بدون عذر",'KG1-4'!$AD$7:$IM$7,"✓",'KG1-4'!$AD$5:$IM$5,"&lt;="&amp;D2170))</f>
        <v/>
      </c>
      <c r="G2170">
        <f>G2169+IF(D2170="",0,1)</f>
        <v/>
      </c>
    </row>
    <row r="2171">
      <c r="A2171">
        <f>IF('KG1-4'!$B27="","",'KG1-4'!$B27)</f>
        <v/>
      </c>
      <c r="B2171">
        <f>IF(A2171="","",'KG1-4'!$C27)</f>
        <v/>
      </c>
      <c r="C2171">
        <f>IF(A2171="","",'KG1-4'!$B$2)</f>
        <v/>
      </c>
      <c r="D2171" s="126">
        <f t="array" ref="D2171">IF(A2171="","",IFERROR(SMALL(IF((('KG1-4'!$AD27:$IM27="غياب بدون عذر")+('KG1-4'!$AD27:$IM27="غياب بعذر"))*('KG1-4'!$AD$7:$IM$7="✓"),'KG1-4'!$AD$5:$IM$5),10),""))</f>
        <v/>
      </c>
      <c r="E2171">
        <f>IF(D2171="","",INDEX('KG1-4'!$AD27:$IM27,MATCH(D2171,'KG1-4'!$AD$5:$IM$5,0)))</f>
        <v/>
      </c>
      <c r="F2171">
        <f>IF(D2171="","",COUNTIFS('KG1-4'!$AD27:$IM27,"غياب بدون عذر",'KG1-4'!$AD$7:$IM$7,"✓",'KG1-4'!$AD$5:$IM$5,"&lt;="&amp;D2171))</f>
        <v/>
      </c>
      <c r="G2171">
        <f>G2170+IF(D2171="",0,1)</f>
        <v/>
      </c>
    </row>
    <row r="2172">
      <c r="A2172">
        <f>IF('KG1-4'!$B27="","",'KG1-4'!$B27)</f>
        <v/>
      </c>
      <c r="B2172">
        <f>IF(A2172="","",'KG1-4'!$C27)</f>
        <v/>
      </c>
      <c r="C2172">
        <f>IF(A2172="","",'KG1-4'!$B$2)</f>
        <v/>
      </c>
      <c r="D2172" s="126">
        <f t="array" ref="D2172">IF(A2172="","",IFERROR(SMALL(IF((('KG1-4'!$AD27:$IM27="غياب بدون عذر")+('KG1-4'!$AD27:$IM27="غياب بعذر"))*('KG1-4'!$AD$7:$IM$7="✓"),'KG1-4'!$AD$5:$IM$5),11),""))</f>
        <v/>
      </c>
      <c r="E2172">
        <f>IF(D2172="","",INDEX('KG1-4'!$AD27:$IM27,MATCH(D2172,'KG1-4'!$AD$5:$IM$5,0)))</f>
        <v/>
      </c>
      <c r="F2172">
        <f>IF(D2172="","",COUNTIFS('KG1-4'!$AD27:$IM27,"غياب بدون عذر",'KG1-4'!$AD$7:$IM$7,"✓",'KG1-4'!$AD$5:$IM$5,"&lt;="&amp;D2172))</f>
        <v/>
      </c>
      <c r="G2172">
        <f>G2171+IF(D2172="",0,1)</f>
        <v/>
      </c>
    </row>
    <row r="2173">
      <c r="A2173">
        <f>IF('KG1-4'!$B27="","",'KG1-4'!$B27)</f>
        <v/>
      </c>
      <c r="B2173">
        <f>IF(A2173="","",'KG1-4'!$C27)</f>
        <v/>
      </c>
      <c r="C2173">
        <f>IF(A2173="","",'KG1-4'!$B$2)</f>
        <v/>
      </c>
      <c r="D2173" s="126">
        <f t="array" ref="D2173">IF(A2173="","",IFERROR(SMALL(IF((('KG1-4'!$AD27:$IM27="غياب بدون عذر")+('KG1-4'!$AD27:$IM27="غياب بعذر"))*('KG1-4'!$AD$7:$IM$7="✓"),'KG1-4'!$AD$5:$IM$5),12),""))</f>
        <v/>
      </c>
      <c r="E2173">
        <f>IF(D2173="","",INDEX('KG1-4'!$AD27:$IM27,MATCH(D2173,'KG1-4'!$AD$5:$IM$5,0)))</f>
        <v/>
      </c>
      <c r="F2173">
        <f>IF(D2173="","",COUNTIFS('KG1-4'!$AD27:$IM27,"غياب بدون عذر",'KG1-4'!$AD$7:$IM$7,"✓",'KG1-4'!$AD$5:$IM$5,"&lt;="&amp;D2173))</f>
        <v/>
      </c>
      <c r="G2173">
        <f>G2172+IF(D2173="",0,1)</f>
        <v/>
      </c>
    </row>
    <row r="2174">
      <c r="A2174">
        <f>IF('KG1-4'!$B27="","",'KG1-4'!$B27)</f>
        <v/>
      </c>
      <c r="B2174">
        <f>IF(A2174="","",'KG1-4'!$C27)</f>
        <v/>
      </c>
      <c r="C2174">
        <f>IF(A2174="","",'KG1-4'!$B$2)</f>
        <v/>
      </c>
      <c r="D2174" s="126">
        <f t="array" ref="D2174">IF(A2174="","",IFERROR(SMALL(IF((('KG1-4'!$AD27:$IM27="غياب بدون عذر")+('KG1-4'!$AD27:$IM27="غياب بعذر"))*('KG1-4'!$AD$7:$IM$7="✓"),'KG1-4'!$AD$5:$IM$5),13),""))</f>
        <v/>
      </c>
      <c r="E2174">
        <f>IF(D2174="","",INDEX('KG1-4'!$AD27:$IM27,MATCH(D2174,'KG1-4'!$AD$5:$IM$5,0)))</f>
        <v/>
      </c>
      <c r="F2174">
        <f>IF(D2174="","",COUNTIFS('KG1-4'!$AD27:$IM27,"غياب بدون عذر",'KG1-4'!$AD$7:$IM$7,"✓",'KG1-4'!$AD$5:$IM$5,"&lt;="&amp;D2174))</f>
        <v/>
      </c>
      <c r="G2174">
        <f>G2173+IF(D2174="",0,1)</f>
        <v/>
      </c>
    </row>
    <row r="2175">
      <c r="A2175">
        <f>IF('KG1-4'!$B27="","",'KG1-4'!$B27)</f>
        <v/>
      </c>
      <c r="B2175">
        <f>IF(A2175="","",'KG1-4'!$C27)</f>
        <v/>
      </c>
      <c r="C2175">
        <f>IF(A2175="","",'KG1-4'!$B$2)</f>
        <v/>
      </c>
      <c r="D2175" s="126">
        <f t="array" ref="D2175">IF(A2175="","",IFERROR(SMALL(IF((('KG1-4'!$AD27:$IM27="غياب بدون عذر")+('KG1-4'!$AD27:$IM27="غياب بعذر"))*('KG1-4'!$AD$7:$IM$7="✓"),'KG1-4'!$AD$5:$IM$5),14),""))</f>
        <v/>
      </c>
      <c r="E2175">
        <f>IF(D2175="","",INDEX('KG1-4'!$AD27:$IM27,MATCH(D2175,'KG1-4'!$AD$5:$IM$5,0)))</f>
        <v/>
      </c>
      <c r="F2175">
        <f>IF(D2175="","",COUNTIFS('KG1-4'!$AD27:$IM27,"غياب بدون عذر",'KG1-4'!$AD$7:$IM$7,"✓",'KG1-4'!$AD$5:$IM$5,"&lt;="&amp;D2175))</f>
        <v/>
      </c>
      <c r="G2175">
        <f>G2174+IF(D2175="",0,1)</f>
        <v/>
      </c>
    </row>
    <row r="2176">
      <c r="A2176">
        <f>IF('KG1-4'!$B27="","",'KG1-4'!$B27)</f>
        <v/>
      </c>
      <c r="B2176">
        <f>IF(A2176="","",'KG1-4'!$C27)</f>
        <v/>
      </c>
      <c r="C2176">
        <f>IF(A2176="","",'KG1-4'!$B$2)</f>
        <v/>
      </c>
      <c r="D2176" s="126">
        <f t="array" ref="D2176">IF(A2176="","",IFERROR(SMALL(IF((('KG1-4'!$AD27:$IM27="غياب بدون عذر")+('KG1-4'!$AD27:$IM27="غياب بعذر"))*('KG1-4'!$AD$7:$IM$7="✓"),'KG1-4'!$AD$5:$IM$5),15),""))</f>
        <v/>
      </c>
      <c r="E2176">
        <f>IF(D2176="","",INDEX('KG1-4'!$AD27:$IM27,MATCH(D2176,'KG1-4'!$AD$5:$IM$5,0)))</f>
        <v/>
      </c>
      <c r="F2176">
        <f>IF(D2176="","",COUNTIFS('KG1-4'!$AD27:$IM27,"غياب بدون عذر",'KG1-4'!$AD$7:$IM$7,"✓",'KG1-4'!$AD$5:$IM$5,"&lt;="&amp;D2176))</f>
        <v/>
      </c>
      <c r="G2176">
        <f>G2175+IF(D2176="",0,1)</f>
        <v/>
      </c>
    </row>
    <row r="2177">
      <c r="A2177">
        <f>IF('KG1-4'!$B27="","",'KG1-4'!$B27)</f>
        <v/>
      </c>
      <c r="B2177">
        <f>IF(A2177="","",'KG1-4'!$C27)</f>
        <v/>
      </c>
      <c r="C2177">
        <f>IF(A2177="","",'KG1-4'!$B$2)</f>
        <v/>
      </c>
      <c r="D2177" s="126">
        <f t="array" ref="D2177">IF(A2177="","",IFERROR(SMALL(IF((('KG1-4'!$AD27:$IM27="غياب بدون عذر")+('KG1-4'!$AD27:$IM27="غياب بعذر"))*('KG1-4'!$AD$7:$IM$7="✓"),'KG1-4'!$AD$5:$IM$5),16),""))</f>
        <v/>
      </c>
      <c r="E2177">
        <f>IF(D2177="","",INDEX('KG1-4'!$AD27:$IM27,MATCH(D2177,'KG1-4'!$AD$5:$IM$5,0)))</f>
        <v/>
      </c>
      <c r="F2177">
        <f>IF(D2177="","",COUNTIFS('KG1-4'!$AD27:$IM27,"غياب بدون عذر",'KG1-4'!$AD$7:$IM$7,"✓",'KG1-4'!$AD$5:$IM$5,"&lt;="&amp;D2177))</f>
        <v/>
      </c>
      <c r="G2177">
        <f>G2176+IF(D2177="",0,1)</f>
        <v/>
      </c>
    </row>
    <row r="2178">
      <c r="A2178">
        <f>IF('KG1-4'!$B27="","",'KG1-4'!$B27)</f>
        <v/>
      </c>
      <c r="B2178">
        <f>IF(A2178="","",'KG1-4'!$C27)</f>
        <v/>
      </c>
      <c r="C2178">
        <f>IF(A2178="","",'KG1-4'!$B$2)</f>
        <v/>
      </c>
      <c r="D2178" s="126">
        <f t="array" ref="D2178">IF(A2178="","",IFERROR(SMALL(IF((('KG1-4'!$AD27:$IM27="غياب بدون عذر")+('KG1-4'!$AD27:$IM27="غياب بعذر"))*('KG1-4'!$AD$7:$IM$7="✓"),'KG1-4'!$AD$5:$IM$5),17),""))</f>
        <v/>
      </c>
      <c r="E2178">
        <f>IF(D2178="","",INDEX('KG1-4'!$AD27:$IM27,MATCH(D2178,'KG1-4'!$AD$5:$IM$5,0)))</f>
        <v/>
      </c>
      <c r="F2178">
        <f>IF(D2178="","",COUNTIFS('KG1-4'!$AD27:$IM27,"غياب بدون عذر",'KG1-4'!$AD$7:$IM$7,"✓",'KG1-4'!$AD$5:$IM$5,"&lt;="&amp;D2178))</f>
        <v/>
      </c>
      <c r="G2178">
        <f>G2177+IF(D2178="",0,1)</f>
        <v/>
      </c>
    </row>
    <row r="2179">
      <c r="A2179">
        <f>IF('KG1-4'!$B27="","",'KG1-4'!$B27)</f>
        <v/>
      </c>
      <c r="B2179">
        <f>IF(A2179="","",'KG1-4'!$C27)</f>
        <v/>
      </c>
      <c r="C2179">
        <f>IF(A2179="","",'KG1-4'!$B$2)</f>
        <v/>
      </c>
      <c r="D2179" s="126">
        <f t="array" ref="D2179">IF(A2179="","",IFERROR(SMALL(IF((('KG1-4'!$AD27:$IM27="غياب بدون عذر")+('KG1-4'!$AD27:$IM27="غياب بعذر"))*('KG1-4'!$AD$7:$IM$7="✓"),'KG1-4'!$AD$5:$IM$5),18),""))</f>
        <v/>
      </c>
      <c r="E2179">
        <f>IF(D2179="","",INDEX('KG1-4'!$AD27:$IM27,MATCH(D2179,'KG1-4'!$AD$5:$IM$5,0)))</f>
        <v/>
      </c>
      <c r="F2179">
        <f>IF(D2179="","",COUNTIFS('KG1-4'!$AD27:$IM27,"غياب بدون عذر",'KG1-4'!$AD$7:$IM$7,"✓",'KG1-4'!$AD$5:$IM$5,"&lt;="&amp;D2179))</f>
        <v/>
      </c>
      <c r="G2179">
        <f>G2178+IF(D2179="",0,1)</f>
        <v/>
      </c>
    </row>
    <row r="2180">
      <c r="A2180">
        <f>IF('KG1-4'!$B27="","",'KG1-4'!$B27)</f>
        <v/>
      </c>
      <c r="B2180">
        <f>IF(A2180="","",'KG1-4'!$C27)</f>
        <v/>
      </c>
      <c r="C2180">
        <f>IF(A2180="","",'KG1-4'!$B$2)</f>
        <v/>
      </c>
      <c r="D2180" s="126">
        <f t="array" ref="D2180">IF(A2180="","",IFERROR(SMALL(IF((('KG1-4'!$AD27:$IM27="غياب بدون عذر")+('KG1-4'!$AD27:$IM27="غياب بعذر"))*('KG1-4'!$AD$7:$IM$7="✓"),'KG1-4'!$AD$5:$IM$5),19),""))</f>
        <v/>
      </c>
      <c r="E2180">
        <f>IF(D2180="","",INDEX('KG1-4'!$AD27:$IM27,MATCH(D2180,'KG1-4'!$AD$5:$IM$5,0)))</f>
        <v/>
      </c>
      <c r="F2180">
        <f>IF(D2180="","",COUNTIFS('KG1-4'!$AD27:$IM27,"غياب بدون عذر",'KG1-4'!$AD$7:$IM$7,"✓",'KG1-4'!$AD$5:$IM$5,"&lt;="&amp;D2180))</f>
        <v/>
      </c>
      <c r="G2180">
        <f>G2179+IF(D2180="",0,1)</f>
        <v/>
      </c>
    </row>
    <row r="2181">
      <c r="A2181">
        <f>IF('KG1-4'!$B27="","",'KG1-4'!$B27)</f>
        <v/>
      </c>
      <c r="B2181">
        <f>IF(A2181="","",'KG1-4'!$C27)</f>
        <v/>
      </c>
      <c r="C2181">
        <f>IF(A2181="","",'KG1-4'!$B$2)</f>
        <v/>
      </c>
      <c r="D2181" s="126">
        <f t="array" ref="D2181">IF(A2181="","",IFERROR(SMALL(IF((('KG1-4'!$AD27:$IM27="غياب بدون عذر")+('KG1-4'!$AD27:$IM27="غياب بعذر"))*('KG1-4'!$AD$7:$IM$7="✓"),'KG1-4'!$AD$5:$IM$5),20),""))</f>
        <v/>
      </c>
      <c r="E2181">
        <f>IF(D2181="","",INDEX('KG1-4'!$AD27:$IM27,MATCH(D2181,'KG1-4'!$AD$5:$IM$5,0)))</f>
        <v/>
      </c>
      <c r="F2181">
        <f>IF(D2181="","",COUNTIFS('KG1-4'!$AD27:$IM27,"غياب بدون عذر",'KG1-4'!$AD$7:$IM$7,"✓",'KG1-4'!$AD$5:$IM$5,"&lt;="&amp;D2181))</f>
        <v/>
      </c>
      <c r="G2181">
        <f>G2180+IF(D2181="",0,1)</f>
        <v/>
      </c>
    </row>
    <row r="2182">
      <c r="A2182">
        <f>IF('KG1-4'!$B28="","",'KG1-4'!$B28)</f>
        <v/>
      </c>
      <c r="B2182">
        <f>IF(A2182="","",'KG1-4'!$C28)</f>
        <v/>
      </c>
      <c r="C2182">
        <f>IF(A2182="","",'KG1-4'!$B$2)</f>
        <v/>
      </c>
      <c r="D2182" s="126">
        <f t="array" ref="D2182">IF(A2182="","",IFERROR(SMALL(IF((('KG1-4'!$AD28:$IM28="غياب بدون عذر")+('KG1-4'!$AD28:$IM28="غياب بعذر"))*('KG1-4'!$AD$7:$IM$7="✓"),'KG1-4'!$AD$5:$IM$5),1),""))</f>
        <v/>
      </c>
      <c r="E2182">
        <f>IF(D2182="","",INDEX('KG1-4'!$AD28:$IM28,MATCH(D2182,'KG1-4'!$AD$5:$IM$5,0)))</f>
        <v/>
      </c>
      <c r="F2182">
        <f>IF(D2182="","",COUNTIFS('KG1-4'!$AD28:$IM28,"غياب بدون عذر",'KG1-4'!$AD$7:$IM$7,"✓",'KG1-4'!$AD$5:$IM$5,"&lt;="&amp;D2182))</f>
        <v/>
      </c>
      <c r="G2182">
        <f>G2181+IF(D2182="",0,1)</f>
        <v/>
      </c>
    </row>
    <row r="2183">
      <c r="A2183">
        <f>IF('KG1-4'!$B28="","",'KG1-4'!$B28)</f>
        <v/>
      </c>
      <c r="B2183">
        <f>IF(A2183="","",'KG1-4'!$C28)</f>
        <v/>
      </c>
      <c r="C2183">
        <f>IF(A2183="","",'KG1-4'!$B$2)</f>
        <v/>
      </c>
      <c r="D2183" s="126">
        <f t="array" ref="D2183">IF(A2183="","",IFERROR(SMALL(IF((('KG1-4'!$AD28:$IM28="غياب بدون عذر")+('KG1-4'!$AD28:$IM28="غياب بعذر"))*('KG1-4'!$AD$7:$IM$7="✓"),'KG1-4'!$AD$5:$IM$5),2),""))</f>
        <v/>
      </c>
      <c r="E2183">
        <f>IF(D2183="","",INDEX('KG1-4'!$AD28:$IM28,MATCH(D2183,'KG1-4'!$AD$5:$IM$5,0)))</f>
        <v/>
      </c>
      <c r="F2183">
        <f>IF(D2183="","",COUNTIFS('KG1-4'!$AD28:$IM28,"غياب بدون عذر",'KG1-4'!$AD$7:$IM$7,"✓",'KG1-4'!$AD$5:$IM$5,"&lt;="&amp;D2183))</f>
        <v/>
      </c>
      <c r="G2183">
        <f>G2182+IF(D2183="",0,1)</f>
        <v/>
      </c>
    </row>
    <row r="2184">
      <c r="A2184">
        <f>IF('KG1-4'!$B28="","",'KG1-4'!$B28)</f>
        <v/>
      </c>
      <c r="B2184">
        <f>IF(A2184="","",'KG1-4'!$C28)</f>
        <v/>
      </c>
      <c r="C2184">
        <f>IF(A2184="","",'KG1-4'!$B$2)</f>
        <v/>
      </c>
      <c r="D2184" s="126">
        <f t="array" ref="D2184">IF(A2184="","",IFERROR(SMALL(IF((('KG1-4'!$AD28:$IM28="غياب بدون عذر")+('KG1-4'!$AD28:$IM28="غياب بعذر"))*('KG1-4'!$AD$7:$IM$7="✓"),'KG1-4'!$AD$5:$IM$5),3),""))</f>
        <v/>
      </c>
      <c r="E2184">
        <f>IF(D2184="","",INDEX('KG1-4'!$AD28:$IM28,MATCH(D2184,'KG1-4'!$AD$5:$IM$5,0)))</f>
        <v/>
      </c>
      <c r="F2184">
        <f>IF(D2184="","",COUNTIFS('KG1-4'!$AD28:$IM28,"غياب بدون عذر",'KG1-4'!$AD$7:$IM$7,"✓",'KG1-4'!$AD$5:$IM$5,"&lt;="&amp;D2184))</f>
        <v/>
      </c>
      <c r="G2184">
        <f>G2183+IF(D2184="",0,1)</f>
        <v/>
      </c>
    </row>
    <row r="2185">
      <c r="A2185">
        <f>IF('KG1-4'!$B28="","",'KG1-4'!$B28)</f>
        <v/>
      </c>
      <c r="B2185">
        <f>IF(A2185="","",'KG1-4'!$C28)</f>
        <v/>
      </c>
      <c r="C2185">
        <f>IF(A2185="","",'KG1-4'!$B$2)</f>
        <v/>
      </c>
      <c r="D2185" s="126">
        <f t="array" ref="D2185">IF(A2185="","",IFERROR(SMALL(IF((('KG1-4'!$AD28:$IM28="غياب بدون عذر")+('KG1-4'!$AD28:$IM28="غياب بعذر"))*('KG1-4'!$AD$7:$IM$7="✓"),'KG1-4'!$AD$5:$IM$5),4),""))</f>
        <v/>
      </c>
      <c r="E2185">
        <f>IF(D2185="","",INDEX('KG1-4'!$AD28:$IM28,MATCH(D2185,'KG1-4'!$AD$5:$IM$5,0)))</f>
        <v/>
      </c>
      <c r="F2185">
        <f>IF(D2185="","",COUNTIFS('KG1-4'!$AD28:$IM28,"غياب بدون عذر",'KG1-4'!$AD$7:$IM$7,"✓",'KG1-4'!$AD$5:$IM$5,"&lt;="&amp;D2185))</f>
        <v/>
      </c>
      <c r="G2185">
        <f>G2184+IF(D2185="",0,1)</f>
        <v/>
      </c>
    </row>
    <row r="2186">
      <c r="A2186">
        <f>IF('KG1-4'!$B28="","",'KG1-4'!$B28)</f>
        <v/>
      </c>
      <c r="B2186">
        <f>IF(A2186="","",'KG1-4'!$C28)</f>
        <v/>
      </c>
      <c r="C2186">
        <f>IF(A2186="","",'KG1-4'!$B$2)</f>
        <v/>
      </c>
      <c r="D2186" s="126">
        <f t="array" ref="D2186">IF(A2186="","",IFERROR(SMALL(IF((('KG1-4'!$AD28:$IM28="غياب بدون عذر")+('KG1-4'!$AD28:$IM28="غياب بعذر"))*('KG1-4'!$AD$7:$IM$7="✓"),'KG1-4'!$AD$5:$IM$5),5),""))</f>
        <v/>
      </c>
      <c r="E2186">
        <f>IF(D2186="","",INDEX('KG1-4'!$AD28:$IM28,MATCH(D2186,'KG1-4'!$AD$5:$IM$5,0)))</f>
        <v/>
      </c>
      <c r="F2186">
        <f>IF(D2186="","",COUNTIFS('KG1-4'!$AD28:$IM28,"غياب بدون عذر",'KG1-4'!$AD$7:$IM$7,"✓",'KG1-4'!$AD$5:$IM$5,"&lt;="&amp;D2186))</f>
        <v/>
      </c>
      <c r="G2186">
        <f>G2185+IF(D2186="",0,1)</f>
        <v/>
      </c>
    </row>
    <row r="2187">
      <c r="A2187">
        <f>IF('KG1-4'!$B28="","",'KG1-4'!$B28)</f>
        <v/>
      </c>
      <c r="B2187">
        <f>IF(A2187="","",'KG1-4'!$C28)</f>
        <v/>
      </c>
      <c r="C2187">
        <f>IF(A2187="","",'KG1-4'!$B$2)</f>
        <v/>
      </c>
      <c r="D2187" s="126">
        <f t="array" ref="D2187">IF(A2187="","",IFERROR(SMALL(IF((('KG1-4'!$AD28:$IM28="غياب بدون عذر")+('KG1-4'!$AD28:$IM28="غياب بعذر"))*('KG1-4'!$AD$7:$IM$7="✓"),'KG1-4'!$AD$5:$IM$5),6),""))</f>
        <v/>
      </c>
      <c r="E2187">
        <f>IF(D2187="","",INDEX('KG1-4'!$AD28:$IM28,MATCH(D2187,'KG1-4'!$AD$5:$IM$5,0)))</f>
        <v/>
      </c>
      <c r="F2187">
        <f>IF(D2187="","",COUNTIFS('KG1-4'!$AD28:$IM28,"غياب بدون عذر",'KG1-4'!$AD$7:$IM$7,"✓",'KG1-4'!$AD$5:$IM$5,"&lt;="&amp;D2187))</f>
        <v/>
      </c>
      <c r="G2187">
        <f>G2186+IF(D2187="",0,1)</f>
        <v/>
      </c>
    </row>
    <row r="2188">
      <c r="A2188">
        <f>IF('KG1-4'!$B28="","",'KG1-4'!$B28)</f>
        <v/>
      </c>
      <c r="B2188">
        <f>IF(A2188="","",'KG1-4'!$C28)</f>
        <v/>
      </c>
      <c r="C2188">
        <f>IF(A2188="","",'KG1-4'!$B$2)</f>
        <v/>
      </c>
      <c r="D2188" s="126">
        <f t="array" ref="D2188">IF(A2188="","",IFERROR(SMALL(IF((('KG1-4'!$AD28:$IM28="غياب بدون عذر")+('KG1-4'!$AD28:$IM28="غياب بعذر"))*('KG1-4'!$AD$7:$IM$7="✓"),'KG1-4'!$AD$5:$IM$5),7),""))</f>
        <v/>
      </c>
      <c r="E2188">
        <f>IF(D2188="","",INDEX('KG1-4'!$AD28:$IM28,MATCH(D2188,'KG1-4'!$AD$5:$IM$5,0)))</f>
        <v/>
      </c>
      <c r="F2188">
        <f>IF(D2188="","",COUNTIFS('KG1-4'!$AD28:$IM28,"غياب بدون عذر",'KG1-4'!$AD$7:$IM$7,"✓",'KG1-4'!$AD$5:$IM$5,"&lt;="&amp;D2188))</f>
        <v/>
      </c>
      <c r="G2188">
        <f>G2187+IF(D2188="",0,1)</f>
        <v/>
      </c>
    </row>
    <row r="2189">
      <c r="A2189">
        <f>IF('KG1-4'!$B28="","",'KG1-4'!$B28)</f>
        <v/>
      </c>
      <c r="B2189">
        <f>IF(A2189="","",'KG1-4'!$C28)</f>
        <v/>
      </c>
      <c r="C2189">
        <f>IF(A2189="","",'KG1-4'!$B$2)</f>
        <v/>
      </c>
      <c r="D2189" s="126">
        <f t="array" ref="D2189">IF(A2189="","",IFERROR(SMALL(IF((('KG1-4'!$AD28:$IM28="غياب بدون عذر")+('KG1-4'!$AD28:$IM28="غياب بعذر"))*('KG1-4'!$AD$7:$IM$7="✓"),'KG1-4'!$AD$5:$IM$5),8),""))</f>
        <v/>
      </c>
      <c r="E2189">
        <f>IF(D2189="","",INDEX('KG1-4'!$AD28:$IM28,MATCH(D2189,'KG1-4'!$AD$5:$IM$5,0)))</f>
        <v/>
      </c>
      <c r="F2189">
        <f>IF(D2189="","",COUNTIFS('KG1-4'!$AD28:$IM28,"غياب بدون عذر",'KG1-4'!$AD$7:$IM$7,"✓",'KG1-4'!$AD$5:$IM$5,"&lt;="&amp;D2189))</f>
        <v/>
      </c>
      <c r="G2189">
        <f>G2188+IF(D2189="",0,1)</f>
        <v/>
      </c>
    </row>
    <row r="2190">
      <c r="A2190">
        <f>IF('KG1-4'!$B28="","",'KG1-4'!$B28)</f>
        <v/>
      </c>
      <c r="B2190">
        <f>IF(A2190="","",'KG1-4'!$C28)</f>
        <v/>
      </c>
      <c r="C2190">
        <f>IF(A2190="","",'KG1-4'!$B$2)</f>
        <v/>
      </c>
      <c r="D2190" s="126">
        <f t="array" ref="D2190">IF(A2190="","",IFERROR(SMALL(IF((('KG1-4'!$AD28:$IM28="غياب بدون عذر")+('KG1-4'!$AD28:$IM28="غياب بعذر"))*('KG1-4'!$AD$7:$IM$7="✓"),'KG1-4'!$AD$5:$IM$5),9),""))</f>
        <v/>
      </c>
      <c r="E2190">
        <f>IF(D2190="","",INDEX('KG1-4'!$AD28:$IM28,MATCH(D2190,'KG1-4'!$AD$5:$IM$5,0)))</f>
        <v/>
      </c>
      <c r="F2190">
        <f>IF(D2190="","",COUNTIFS('KG1-4'!$AD28:$IM28,"غياب بدون عذر",'KG1-4'!$AD$7:$IM$7,"✓",'KG1-4'!$AD$5:$IM$5,"&lt;="&amp;D2190))</f>
        <v/>
      </c>
      <c r="G2190">
        <f>G2189+IF(D2190="",0,1)</f>
        <v/>
      </c>
    </row>
    <row r="2191">
      <c r="A2191">
        <f>IF('KG1-4'!$B28="","",'KG1-4'!$B28)</f>
        <v/>
      </c>
      <c r="B2191">
        <f>IF(A2191="","",'KG1-4'!$C28)</f>
        <v/>
      </c>
      <c r="C2191">
        <f>IF(A2191="","",'KG1-4'!$B$2)</f>
        <v/>
      </c>
      <c r="D2191" s="126">
        <f t="array" ref="D2191">IF(A2191="","",IFERROR(SMALL(IF((('KG1-4'!$AD28:$IM28="غياب بدون عذر")+('KG1-4'!$AD28:$IM28="غياب بعذر"))*('KG1-4'!$AD$7:$IM$7="✓"),'KG1-4'!$AD$5:$IM$5),10),""))</f>
        <v/>
      </c>
      <c r="E2191">
        <f>IF(D2191="","",INDEX('KG1-4'!$AD28:$IM28,MATCH(D2191,'KG1-4'!$AD$5:$IM$5,0)))</f>
        <v/>
      </c>
      <c r="F2191">
        <f>IF(D2191="","",COUNTIFS('KG1-4'!$AD28:$IM28,"غياب بدون عذر",'KG1-4'!$AD$7:$IM$7,"✓",'KG1-4'!$AD$5:$IM$5,"&lt;="&amp;D2191))</f>
        <v/>
      </c>
      <c r="G2191">
        <f>G2190+IF(D2191="",0,1)</f>
        <v/>
      </c>
    </row>
    <row r="2192">
      <c r="A2192">
        <f>IF('KG1-4'!$B28="","",'KG1-4'!$B28)</f>
        <v/>
      </c>
      <c r="B2192">
        <f>IF(A2192="","",'KG1-4'!$C28)</f>
        <v/>
      </c>
      <c r="C2192">
        <f>IF(A2192="","",'KG1-4'!$B$2)</f>
        <v/>
      </c>
      <c r="D2192" s="126">
        <f t="array" ref="D2192">IF(A2192="","",IFERROR(SMALL(IF((('KG1-4'!$AD28:$IM28="غياب بدون عذر")+('KG1-4'!$AD28:$IM28="غياب بعذر"))*('KG1-4'!$AD$7:$IM$7="✓"),'KG1-4'!$AD$5:$IM$5),11),""))</f>
        <v/>
      </c>
      <c r="E2192">
        <f>IF(D2192="","",INDEX('KG1-4'!$AD28:$IM28,MATCH(D2192,'KG1-4'!$AD$5:$IM$5,0)))</f>
        <v/>
      </c>
      <c r="F2192">
        <f>IF(D2192="","",COUNTIFS('KG1-4'!$AD28:$IM28,"غياب بدون عذر",'KG1-4'!$AD$7:$IM$7,"✓",'KG1-4'!$AD$5:$IM$5,"&lt;="&amp;D2192))</f>
        <v/>
      </c>
      <c r="G2192">
        <f>G2191+IF(D2192="",0,1)</f>
        <v/>
      </c>
    </row>
    <row r="2193">
      <c r="A2193">
        <f>IF('KG1-4'!$B28="","",'KG1-4'!$B28)</f>
        <v/>
      </c>
      <c r="B2193">
        <f>IF(A2193="","",'KG1-4'!$C28)</f>
        <v/>
      </c>
      <c r="C2193">
        <f>IF(A2193="","",'KG1-4'!$B$2)</f>
        <v/>
      </c>
      <c r="D2193" s="126">
        <f t="array" ref="D2193">IF(A2193="","",IFERROR(SMALL(IF((('KG1-4'!$AD28:$IM28="غياب بدون عذر")+('KG1-4'!$AD28:$IM28="غياب بعذر"))*('KG1-4'!$AD$7:$IM$7="✓"),'KG1-4'!$AD$5:$IM$5),12),""))</f>
        <v/>
      </c>
      <c r="E2193">
        <f>IF(D2193="","",INDEX('KG1-4'!$AD28:$IM28,MATCH(D2193,'KG1-4'!$AD$5:$IM$5,0)))</f>
        <v/>
      </c>
      <c r="F2193">
        <f>IF(D2193="","",COUNTIFS('KG1-4'!$AD28:$IM28,"غياب بدون عذر",'KG1-4'!$AD$7:$IM$7,"✓",'KG1-4'!$AD$5:$IM$5,"&lt;="&amp;D2193))</f>
        <v/>
      </c>
      <c r="G2193">
        <f>G2192+IF(D2193="",0,1)</f>
        <v/>
      </c>
    </row>
    <row r="2194">
      <c r="A2194">
        <f>IF('KG1-4'!$B28="","",'KG1-4'!$B28)</f>
        <v/>
      </c>
      <c r="B2194">
        <f>IF(A2194="","",'KG1-4'!$C28)</f>
        <v/>
      </c>
      <c r="C2194">
        <f>IF(A2194="","",'KG1-4'!$B$2)</f>
        <v/>
      </c>
      <c r="D2194" s="126">
        <f t="array" ref="D2194">IF(A2194="","",IFERROR(SMALL(IF((('KG1-4'!$AD28:$IM28="غياب بدون عذر")+('KG1-4'!$AD28:$IM28="غياب بعذر"))*('KG1-4'!$AD$7:$IM$7="✓"),'KG1-4'!$AD$5:$IM$5),13),""))</f>
        <v/>
      </c>
      <c r="E2194">
        <f>IF(D2194="","",INDEX('KG1-4'!$AD28:$IM28,MATCH(D2194,'KG1-4'!$AD$5:$IM$5,0)))</f>
        <v/>
      </c>
      <c r="F2194">
        <f>IF(D2194="","",COUNTIFS('KG1-4'!$AD28:$IM28,"غياب بدون عذر",'KG1-4'!$AD$7:$IM$7,"✓",'KG1-4'!$AD$5:$IM$5,"&lt;="&amp;D2194))</f>
        <v/>
      </c>
      <c r="G2194">
        <f>G2193+IF(D2194="",0,1)</f>
        <v/>
      </c>
    </row>
    <row r="2195">
      <c r="A2195">
        <f>IF('KG1-4'!$B28="","",'KG1-4'!$B28)</f>
        <v/>
      </c>
      <c r="B2195">
        <f>IF(A2195="","",'KG1-4'!$C28)</f>
        <v/>
      </c>
      <c r="C2195">
        <f>IF(A2195="","",'KG1-4'!$B$2)</f>
        <v/>
      </c>
      <c r="D2195" s="126">
        <f t="array" ref="D2195">IF(A2195="","",IFERROR(SMALL(IF((('KG1-4'!$AD28:$IM28="غياب بدون عذر")+('KG1-4'!$AD28:$IM28="غياب بعذر"))*('KG1-4'!$AD$7:$IM$7="✓"),'KG1-4'!$AD$5:$IM$5),14),""))</f>
        <v/>
      </c>
      <c r="E2195">
        <f>IF(D2195="","",INDEX('KG1-4'!$AD28:$IM28,MATCH(D2195,'KG1-4'!$AD$5:$IM$5,0)))</f>
        <v/>
      </c>
      <c r="F2195">
        <f>IF(D2195="","",COUNTIFS('KG1-4'!$AD28:$IM28,"غياب بدون عذر",'KG1-4'!$AD$7:$IM$7,"✓",'KG1-4'!$AD$5:$IM$5,"&lt;="&amp;D2195))</f>
        <v/>
      </c>
      <c r="G2195">
        <f>G2194+IF(D2195="",0,1)</f>
        <v/>
      </c>
    </row>
    <row r="2196">
      <c r="A2196">
        <f>IF('KG1-4'!$B28="","",'KG1-4'!$B28)</f>
        <v/>
      </c>
      <c r="B2196">
        <f>IF(A2196="","",'KG1-4'!$C28)</f>
        <v/>
      </c>
      <c r="C2196">
        <f>IF(A2196="","",'KG1-4'!$B$2)</f>
        <v/>
      </c>
      <c r="D2196" s="126">
        <f t="array" ref="D2196">IF(A2196="","",IFERROR(SMALL(IF((('KG1-4'!$AD28:$IM28="غياب بدون عذر")+('KG1-4'!$AD28:$IM28="غياب بعذر"))*('KG1-4'!$AD$7:$IM$7="✓"),'KG1-4'!$AD$5:$IM$5),15),""))</f>
        <v/>
      </c>
      <c r="E2196">
        <f>IF(D2196="","",INDEX('KG1-4'!$AD28:$IM28,MATCH(D2196,'KG1-4'!$AD$5:$IM$5,0)))</f>
        <v/>
      </c>
      <c r="F2196">
        <f>IF(D2196="","",COUNTIFS('KG1-4'!$AD28:$IM28,"غياب بدون عذر",'KG1-4'!$AD$7:$IM$7,"✓",'KG1-4'!$AD$5:$IM$5,"&lt;="&amp;D2196))</f>
        <v/>
      </c>
      <c r="G2196">
        <f>G2195+IF(D2196="",0,1)</f>
        <v/>
      </c>
    </row>
    <row r="2197">
      <c r="A2197">
        <f>IF('KG1-4'!$B28="","",'KG1-4'!$B28)</f>
        <v/>
      </c>
      <c r="B2197">
        <f>IF(A2197="","",'KG1-4'!$C28)</f>
        <v/>
      </c>
      <c r="C2197">
        <f>IF(A2197="","",'KG1-4'!$B$2)</f>
        <v/>
      </c>
      <c r="D2197" s="126">
        <f t="array" ref="D2197">IF(A2197="","",IFERROR(SMALL(IF((('KG1-4'!$AD28:$IM28="غياب بدون عذر")+('KG1-4'!$AD28:$IM28="غياب بعذر"))*('KG1-4'!$AD$7:$IM$7="✓"),'KG1-4'!$AD$5:$IM$5),16),""))</f>
        <v/>
      </c>
      <c r="E2197">
        <f>IF(D2197="","",INDEX('KG1-4'!$AD28:$IM28,MATCH(D2197,'KG1-4'!$AD$5:$IM$5,0)))</f>
        <v/>
      </c>
      <c r="F2197">
        <f>IF(D2197="","",COUNTIFS('KG1-4'!$AD28:$IM28,"غياب بدون عذر",'KG1-4'!$AD$7:$IM$7,"✓",'KG1-4'!$AD$5:$IM$5,"&lt;="&amp;D2197))</f>
        <v/>
      </c>
      <c r="G2197">
        <f>G2196+IF(D2197="",0,1)</f>
        <v/>
      </c>
    </row>
    <row r="2198">
      <c r="A2198">
        <f>IF('KG1-4'!$B28="","",'KG1-4'!$B28)</f>
        <v/>
      </c>
      <c r="B2198">
        <f>IF(A2198="","",'KG1-4'!$C28)</f>
        <v/>
      </c>
      <c r="C2198">
        <f>IF(A2198="","",'KG1-4'!$B$2)</f>
        <v/>
      </c>
      <c r="D2198" s="126">
        <f t="array" ref="D2198">IF(A2198="","",IFERROR(SMALL(IF((('KG1-4'!$AD28:$IM28="غياب بدون عذر")+('KG1-4'!$AD28:$IM28="غياب بعذر"))*('KG1-4'!$AD$7:$IM$7="✓"),'KG1-4'!$AD$5:$IM$5),17),""))</f>
        <v/>
      </c>
      <c r="E2198">
        <f>IF(D2198="","",INDEX('KG1-4'!$AD28:$IM28,MATCH(D2198,'KG1-4'!$AD$5:$IM$5,0)))</f>
        <v/>
      </c>
      <c r="F2198">
        <f>IF(D2198="","",COUNTIFS('KG1-4'!$AD28:$IM28,"غياب بدون عذر",'KG1-4'!$AD$7:$IM$7,"✓",'KG1-4'!$AD$5:$IM$5,"&lt;="&amp;D2198))</f>
        <v/>
      </c>
      <c r="G2198">
        <f>G2197+IF(D2198="",0,1)</f>
        <v/>
      </c>
    </row>
    <row r="2199">
      <c r="A2199">
        <f>IF('KG1-4'!$B28="","",'KG1-4'!$B28)</f>
        <v/>
      </c>
      <c r="B2199">
        <f>IF(A2199="","",'KG1-4'!$C28)</f>
        <v/>
      </c>
      <c r="C2199">
        <f>IF(A2199="","",'KG1-4'!$B$2)</f>
        <v/>
      </c>
      <c r="D2199" s="126">
        <f t="array" ref="D2199">IF(A2199="","",IFERROR(SMALL(IF((('KG1-4'!$AD28:$IM28="غياب بدون عذر")+('KG1-4'!$AD28:$IM28="غياب بعذر"))*('KG1-4'!$AD$7:$IM$7="✓"),'KG1-4'!$AD$5:$IM$5),18),""))</f>
        <v/>
      </c>
      <c r="E2199">
        <f>IF(D2199="","",INDEX('KG1-4'!$AD28:$IM28,MATCH(D2199,'KG1-4'!$AD$5:$IM$5,0)))</f>
        <v/>
      </c>
      <c r="F2199">
        <f>IF(D2199="","",COUNTIFS('KG1-4'!$AD28:$IM28,"غياب بدون عذر",'KG1-4'!$AD$7:$IM$7,"✓",'KG1-4'!$AD$5:$IM$5,"&lt;="&amp;D2199))</f>
        <v/>
      </c>
      <c r="G2199">
        <f>G2198+IF(D2199="",0,1)</f>
        <v/>
      </c>
    </row>
    <row r="2200">
      <c r="A2200">
        <f>IF('KG1-4'!$B28="","",'KG1-4'!$B28)</f>
        <v/>
      </c>
      <c r="B2200">
        <f>IF(A2200="","",'KG1-4'!$C28)</f>
        <v/>
      </c>
      <c r="C2200">
        <f>IF(A2200="","",'KG1-4'!$B$2)</f>
        <v/>
      </c>
      <c r="D2200" s="126">
        <f t="array" ref="D2200">IF(A2200="","",IFERROR(SMALL(IF((('KG1-4'!$AD28:$IM28="غياب بدون عذر")+('KG1-4'!$AD28:$IM28="غياب بعذر"))*('KG1-4'!$AD$7:$IM$7="✓"),'KG1-4'!$AD$5:$IM$5),19),""))</f>
        <v/>
      </c>
      <c r="E2200">
        <f>IF(D2200="","",INDEX('KG1-4'!$AD28:$IM28,MATCH(D2200,'KG1-4'!$AD$5:$IM$5,0)))</f>
        <v/>
      </c>
      <c r="F2200">
        <f>IF(D2200="","",COUNTIFS('KG1-4'!$AD28:$IM28,"غياب بدون عذر",'KG1-4'!$AD$7:$IM$7,"✓",'KG1-4'!$AD$5:$IM$5,"&lt;="&amp;D2200))</f>
        <v/>
      </c>
      <c r="G2200">
        <f>G2199+IF(D2200="",0,1)</f>
        <v/>
      </c>
    </row>
    <row r="2201">
      <c r="A2201">
        <f>IF('KG1-4'!$B28="","",'KG1-4'!$B28)</f>
        <v/>
      </c>
      <c r="B2201">
        <f>IF(A2201="","",'KG1-4'!$C28)</f>
        <v/>
      </c>
      <c r="C2201">
        <f>IF(A2201="","",'KG1-4'!$B$2)</f>
        <v/>
      </c>
      <c r="D2201" s="126">
        <f t="array" ref="D2201">IF(A2201="","",IFERROR(SMALL(IF((('KG1-4'!$AD28:$IM28="غياب بدون عذر")+('KG1-4'!$AD28:$IM28="غياب بعذر"))*('KG1-4'!$AD$7:$IM$7="✓"),'KG1-4'!$AD$5:$IM$5),20),""))</f>
        <v/>
      </c>
      <c r="E2201">
        <f>IF(D2201="","",INDEX('KG1-4'!$AD28:$IM28,MATCH(D2201,'KG1-4'!$AD$5:$IM$5,0)))</f>
        <v/>
      </c>
      <c r="F2201">
        <f>IF(D2201="","",COUNTIFS('KG1-4'!$AD28:$IM28,"غياب بدون عذر",'KG1-4'!$AD$7:$IM$7,"✓",'KG1-4'!$AD$5:$IM$5,"&lt;="&amp;D2201))</f>
        <v/>
      </c>
      <c r="G2201">
        <f>G2200+IF(D2201="",0,1)</f>
        <v/>
      </c>
    </row>
    <row r="2202">
      <c r="A2202">
        <f>IF('KG1-4'!$B29="","",'KG1-4'!$B29)</f>
        <v/>
      </c>
      <c r="B2202">
        <f>IF(A2202="","",'KG1-4'!$C29)</f>
        <v/>
      </c>
      <c r="C2202">
        <f>IF(A2202="","",'KG1-4'!$B$2)</f>
        <v/>
      </c>
      <c r="D2202" s="126">
        <f t="array" ref="D2202">IF(A2202="","",IFERROR(SMALL(IF((('KG1-4'!$AD29:$IM29="غياب بدون عذر")+('KG1-4'!$AD29:$IM29="غياب بعذر"))*('KG1-4'!$AD$7:$IM$7="✓"),'KG1-4'!$AD$5:$IM$5),1),""))</f>
        <v/>
      </c>
      <c r="E2202">
        <f>IF(D2202="","",INDEX('KG1-4'!$AD29:$IM29,MATCH(D2202,'KG1-4'!$AD$5:$IM$5,0)))</f>
        <v/>
      </c>
      <c r="F2202">
        <f>IF(D2202="","",COUNTIFS('KG1-4'!$AD29:$IM29,"غياب بدون عذر",'KG1-4'!$AD$7:$IM$7,"✓",'KG1-4'!$AD$5:$IM$5,"&lt;="&amp;D2202))</f>
        <v/>
      </c>
      <c r="G2202">
        <f>G2201+IF(D2202="",0,1)</f>
        <v/>
      </c>
    </row>
    <row r="2203">
      <c r="A2203">
        <f>IF('KG1-4'!$B29="","",'KG1-4'!$B29)</f>
        <v/>
      </c>
      <c r="B2203">
        <f>IF(A2203="","",'KG1-4'!$C29)</f>
        <v/>
      </c>
      <c r="C2203">
        <f>IF(A2203="","",'KG1-4'!$B$2)</f>
        <v/>
      </c>
      <c r="D2203" s="126">
        <f t="array" ref="D2203">IF(A2203="","",IFERROR(SMALL(IF((('KG1-4'!$AD29:$IM29="غياب بدون عذر")+('KG1-4'!$AD29:$IM29="غياب بعذر"))*('KG1-4'!$AD$7:$IM$7="✓"),'KG1-4'!$AD$5:$IM$5),2),""))</f>
        <v/>
      </c>
      <c r="E2203">
        <f>IF(D2203="","",INDEX('KG1-4'!$AD29:$IM29,MATCH(D2203,'KG1-4'!$AD$5:$IM$5,0)))</f>
        <v/>
      </c>
      <c r="F2203">
        <f>IF(D2203="","",COUNTIFS('KG1-4'!$AD29:$IM29,"غياب بدون عذر",'KG1-4'!$AD$7:$IM$7,"✓",'KG1-4'!$AD$5:$IM$5,"&lt;="&amp;D2203))</f>
        <v/>
      </c>
      <c r="G2203">
        <f>G2202+IF(D2203="",0,1)</f>
        <v/>
      </c>
    </row>
    <row r="2204">
      <c r="A2204">
        <f>IF('KG1-4'!$B29="","",'KG1-4'!$B29)</f>
        <v/>
      </c>
      <c r="B2204">
        <f>IF(A2204="","",'KG1-4'!$C29)</f>
        <v/>
      </c>
      <c r="C2204">
        <f>IF(A2204="","",'KG1-4'!$B$2)</f>
        <v/>
      </c>
      <c r="D2204" s="126">
        <f t="array" ref="D2204">IF(A2204="","",IFERROR(SMALL(IF((('KG1-4'!$AD29:$IM29="غياب بدون عذر")+('KG1-4'!$AD29:$IM29="غياب بعذر"))*('KG1-4'!$AD$7:$IM$7="✓"),'KG1-4'!$AD$5:$IM$5),3),""))</f>
        <v/>
      </c>
      <c r="E2204">
        <f>IF(D2204="","",INDEX('KG1-4'!$AD29:$IM29,MATCH(D2204,'KG1-4'!$AD$5:$IM$5,0)))</f>
        <v/>
      </c>
      <c r="F2204">
        <f>IF(D2204="","",COUNTIFS('KG1-4'!$AD29:$IM29,"غياب بدون عذر",'KG1-4'!$AD$7:$IM$7,"✓",'KG1-4'!$AD$5:$IM$5,"&lt;="&amp;D2204))</f>
        <v/>
      </c>
      <c r="G2204">
        <f>G2203+IF(D2204="",0,1)</f>
        <v/>
      </c>
    </row>
    <row r="2205">
      <c r="A2205">
        <f>IF('KG1-4'!$B29="","",'KG1-4'!$B29)</f>
        <v/>
      </c>
      <c r="B2205">
        <f>IF(A2205="","",'KG1-4'!$C29)</f>
        <v/>
      </c>
      <c r="C2205">
        <f>IF(A2205="","",'KG1-4'!$B$2)</f>
        <v/>
      </c>
      <c r="D2205" s="126">
        <f t="array" ref="D2205">IF(A2205="","",IFERROR(SMALL(IF((('KG1-4'!$AD29:$IM29="غياب بدون عذر")+('KG1-4'!$AD29:$IM29="غياب بعذر"))*('KG1-4'!$AD$7:$IM$7="✓"),'KG1-4'!$AD$5:$IM$5),4),""))</f>
        <v/>
      </c>
      <c r="E2205">
        <f>IF(D2205="","",INDEX('KG1-4'!$AD29:$IM29,MATCH(D2205,'KG1-4'!$AD$5:$IM$5,0)))</f>
        <v/>
      </c>
      <c r="F2205">
        <f>IF(D2205="","",COUNTIFS('KG1-4'!$AD29:$IM29,"غياب بدون عذر",'KG1-4'!$AD$7:$IM$7,"✓",'KG1-4'!$AD$5:$IM$5,"&lt;="&amp;D2205))</f>
        <v/>
      </c>
      <c r="G2205">
        <f>G2204+IF(D2205="",0,1)</f>
        <v/>
      </c>
    </row>
    <row r="2206">
      <c r="A2206">
        <f>IF('KG1-4'!$B29="","",'KG1-4'!$B29)</f>
        <v/>
      </c>
      <c r="B2206">
        <f>IF(A2206="","",'KG1-4'!$C29)</f>
        <v/>
      </c>
      <c r="C2206">
        <f>IF(A2206="","",'KG1-4'!$B$2)</f>
        <v/>
      </c>
      <c r="D2206" s="126">
        <f t="array" ref="D2206">IF(A2206="","",IFERROR(SMALL(IF((('KG1-4'!$AD29:$IM29="غياب بدون عذر")+('KG1-4'!$AD29:$IM29="غياب بعذر"))*('KG1-4'!$AD$7:$IM$7="✓"),'KG1-4'!$AD$5:$IM$5),5),""))</f>
        <v/>
      </c>
      <c r="E2206">
        <f>IF(D2206="","",INDEX('KG1-4'!$AD29:$IM29,MATCH(D2206,'KG1-4'!$AD$5:$IM$5,0)))</f>
        <v/>
      </c>
      <c r="F2206">
        <f>IF(D2206="","",COUNTIFS('KG1-4'!$AD29:$IM29,"غياب بدون عذر",'KG1-4'!$AD$7:$IM$7,"✓",'KG1-4'!$AD$5:$IM$5,"&lt;="&amp;D2206))</f>
        <v/>
      </c>
      <c r="G2206">
        <f>G2205+IF(D2206="",0,1)</f>
        <v/>
      </c>
    </row>
    <row r="2207">
      <c r="A2207">
        <f>IF('KG1-4'!$B29="","",'KG1-4'!$B29)</f>
        <v/>
      </c>
      <c r="B2207">
        <f>IF(A2207="","",'KG1-4'!$C29)</f>
        <v/>
      </c>
      <c r="C2207">
        <f>IF(A2207="","",'KG1-4'!$B$2)</f>
        <v/>
      </c>
      <c r="D2207" s="126">
        <f t="array" ref="D2207">IF(A2207="","",IFERROR(SMALL(IF((('KG1-4'!$AD29:$IM29="غياب بدون عذر")+('KG1-4'!$AD29:$IM29="غياب بعذر"))*('KG1-4'!$AD$7:$IM$7="✓"),'KG1-4'!$AD$5:$IM$5),6),""))</f>
        <v/>
      </c>
      <c r="E2207">
        <f>IF(D2207="","",INDEX('KG1-4'!$AD29:$IM29,MATCH(D2207,'KG1-4'!$AD$5:$IM$5,0)))</f>
        <v/>
      </c>
      <c r="F2207">
        <f>IF(D2207="","",COUNTIFS('KG1-4'!$AD29:$IM29,"غياب بدون عذر",'KG1-4'!$AD$7:$IM$7,"✓",'KG1-4'!$AD$5:$IM$5,"&lt;="&amp;D2207))</f>
        <v/>
      </c>
      <c r="G2207">
        <f>G2206+IF(D2207="",0,1)</f>
        <v/>
      </c>
    </row>
    <row r="2208">
      <c r="A2208">
        <f>IF('KG1-4'!$B29="","",'KG1-4'!$B29)</f>
        <v/>
      </c>
      <c r="B2208">
        <f>IF(A2208="","",'KG1-4'!$C29)</f>
        <v/>
      </c>
      <c r="C2208">
        <f>IF(A2208="","",'KG1-4'!$B$2)</f>
        <v/>
      </c>
      <c r="D2208" s="126">
        <f t="array" ref="D2208">IF(A2208="","",IFERROR(SMALL(IF((('KG1-4'!$AD29:$IM29="غياب بدون عذر")+('KG1-4'!$AD29:$IM29="غياب بعذر"))*('KG1-4'!$AD$7:$IM$7="✓"),'KG1-4'!$AD$5:$IM$5),7),""))</f>
        <v/>
      </c>
      <c r="E2208">
        <f>IF(D2208="","",INDEX('KG1-4'!$AD29:$IM29,MATCH(D2208,'KG1-4'!$AD$5:$IM$5,0)))</f>
        <v/>
      </c>
      <c r="F2208">
        <f>IF(D2208="","",COUNTIFS('KG1-4'!$AD29:$IM29,"غياب بدون عذر",'KG1-4'!$AD$7:$IM$7,"✓",'KG1-4'!$AD$5:$IM$5,"&lt;="&amp;D2208))</f>
        <v/>
      </c>
      <c r="G2208">
        <f>G2207+IF(D2208="",0,1)</f>
        <v/>
      </c>
    </row>
    <row r="2209">
      <c r="A2209">
        <f>IF('KG1-4'!$B29="","",'KG1-4'!$B29)</f>
        <v/>
      </c>
      <c r="B2209">
        <f>IF(A2209="","",'KG1-4'!$C29)</f>
        <v/>
      </c>
      <c r="C2209">
        <f>IF(A2209="","",'KG1-4'!$B$2)</f>
        <v/>
      </c>
      <c r="D2209" s="126">
        <f t="array" ref="D2209">IF(A2209="","",IFERROR(SMALL(IF((('KG1-4'!$AD29:$IM29="غياب بدون عذر")+('KG1-4'!$AD29:$IM29="غياب بعذر"))*('KG1-4'!$AD$7:$IM$7="✓"),'KG1-4'!$AD$5:$IM$5),8),""))</f>
        <v/>
      </c>
      <c r="E2209">
        <f>IF(D2209="","",INDEX('KG1-4'!$AD29:$IM29,MATCH(D2209,'KG1-4'!$AD$5:$IM$5,0)))</f>
        <v/>
      </c>
      <c r="F2209">
        <f>IF(D2209="","",COUNTIFS('KG1-4'!$AD29:$IM29,"غياب بدون عذر",'KG1-4'!$AD$7:$IM$7,"✓",'KG1-4'!$AD$5:$IM$5,"&lt;="&amp;D2209))</f>
        <v/>
      </c>
      <c r="G2209">
        <f>G2208+IF(D2209="",0,1)</f>
        <v/>
      </c>
    </row>
    <row r="2210">
      <c r="A2210">
        <f>IF('KG1-4'!$B29="","",'KG1-4'!$B29)</f>
        <v/>
      </c>
      <c r="B2210">
        <f>IF(A2210="","",'KG1-4'!$C29)</f>
        <v/>
      </c>
      <c r="C2210">
        <f>IF(A2210="","",'KG1-4'!$B$2)</f>
        <v/>
      </c>
      <c r="D2210" s="126">
        <f t="array" ref="D2210">IF(A2210="","",IFERROR(SMALL(IF((('KG1-4'!$AD29:$IM29="غياب بدون عذر")+('KG1-4'!$AD29:$IM29="غياب بعذر"))*('KG1-4'!$AD$7:$IM$7="✓"),'KG1-4'!$AD$5:$IM$5),9),""))</f>
        <v/>
      </c>
      <c r="E2210">
        <f>IF(D2210="","",INDEX('KG1-4'!$AD29:$IM29,MATCH(D2210,'KG1-4'!$AD$5:$IM$5,0)))</f>
        <v/>
      </c>
      <c r="F2210">
        <f>IF(D2210="","",COUNTIFS('KG1-4'!$AD29:$IM29,"غياب بدون عذر",'KG1-4'!$AD$7:$IM$7,"✓",'KG1-4'!$AD$5:$IM$5,"&lt;="&amp;D2210))</f>
        <v/>
      </c>
      <c r="G2210">
        <f>G2209+IF(D2210="",0,1)</f>
        <v/>
      </c>
    </row>
    <row r="2211">
      <c r="A2211">
        <f>IF('KG1-4'!$B29="","",'KG1-4'!$B29)</f>
        <v/>
      </c>
      <c r="B2211">
        <f>IF(A2211="","",'KG1-4'!$C29)</f>
        <v/>
      </c>
      <c r="C2211">
        <f>IF(A2211="","",'KG1-4'!$B$2)</f>
        <v/>
      </c>
      <c r="D2211" s="126">
        <f t="array" ref="D2211">IF(A2211="","",IFERROR(SMALL(IF((('KG1-4'!$AD29:$IM29="غياب بدون عذر")+('KG1-4'!$AD29:$IM29="غياب بعذر"))*('KG1-4'!$AD$7:$IM$7="✓"),'KG1-4'!$AD$5:$IM$5),10),""))</f>
        <v/>
      </c>
      <c r="E2211">
        <f>IF(D2211="","",INDEX('KG1-4'!$AD29:$IM29,MATCH(D2211,'KG1-4'!$AD$5:$IM$5,0)))</f>
        <v/>
      </c>
      <c r="F2211">
        <f>IF(D2211="","",COUNTIFS('KG1-4'!$AD29:$IM29,"غياب بدون عذر",'KG1-4'!$AD$7:$IM$7,"✓",'KG1-4'!$AD$5:$IM$5,"&lt;="&amp;D2211))</f>
        <v/>
      </c>
      <c r="G2211">
        <f>G2210+IF(D2211="",0,1)</f>
        <v/>
      </c>
    </row>
    <row r="2212">
      <c r="A2212">
        <f>IF('KG1-4'!$B29="","",'KG1-4'!$B29)</f>
        <v/>
      </c>
      <c r="B2212">
        <f>IF(A2212="","",'KG1-4'!$C29)</f>
        <v/>
      </c>
      <c r="C2212">
        <f>IF(A2212="","",'KG1-4'!$B$2)</f>
        <v/>
      </c>
      <c r="D2212" s="126">
        <f t="array" ref="D2212">IF(A2212="","",IFERROR(SMALL(IF((('KG1-4'!$AD29:$IM29="غياب بدون عذر")+('KG1-4'!$AD29:$IM29="غياب بعذر"))*('KG1-4'!$AD$7:$IM$7="✓"),'KG1-4'!$AD$5:$IM$5),11),""))</f>
        <v/>
      </c>
      <c r="E2212">
        <f>IF(D2212="","",INDEX('KG1-4'!$AD29:$IM29,MATCH(D2212,'KG1-4'!$AD$5:$IM$5,0)))</f>
        <v/>
      </c>
      <c r="F2212">
        <f>IF(D2212="","",COUNTIFS('KG1-4'!$AD29:$IM29,"غياب بدون عذر",'KG1-4'!$AD$7:$IM$7,"✓",'KG1-4'!$AD$5:$IM$5,"&lt;="&amp;D2212))</f>
        <v/>
      </c>
      <c r="G2212">
        <f>G2211+IF(D2212="",0,1)</f>
        <v/>
      </c>
    </row>
    <row r="2213">
      <c r="A2213">
        <f>IF('KG1-4'!$B29="","",'KG1-4'!$B29)</f>
        <v/>
      </c>
      <c r="B2213">
        <f>IF(A2213="","",'KG1-4'!$C29)</f>
        <v/>
      </c>
      <c r="C2213">
        <f>IF(A2213="","",'KG1-4'!$B$2)</f>
        <v/>
      </c>
      <c r="D2213" s="126">
        <f t="array" ref="D2213">IF(A2213="","",IFERROR(SMALL(IF((('KG1-4'!$AD29:$IM29="غياب بدون عذر")+('KG1-4'!$AD29:$IM29="غياب بعذر"))*('KG1-4'!$AD$7:$IM$7="✓"),'KG1-4'!$AD$5:$IM$5),12),""))</f>
        <v/>
      </c>
      <c r="E2213">
        <f>IF(D2213="","",INDEX('KG1-4'!$AD29:$IM29,MATCH(D2213,'KG1-4'!$AD$5:$IM$5,0)))</f>
        <v/>
      </c>
      <c r="F2213">
        <f>IF(D2213="","",COUNTIFS('KG1-4'!$AD29:$IM29,"غياب بدون عذر",'KG1-4'!$AD$7:$IM$7,"✓",'KG1-4'!$AD$5:$IM$5,"&lt;="&amp;D2213))</f>
        <v/>
      </c>
      <c r="G2213">
        <f>G2212+IF(D2213="",0,1)</f>
        <v/>
      </c>
    </row>
    <row r="2214">
      <c r="A2214">
        <f>IF('KG1-4'!$B29="","",'KG1-4'!$B29)</f>
        <v/>
      </c>
      <c r="B2214">
        <f>IF(A2214="","",'KG1-4'!$C29)</f>
        <v/>
      </c>
      <c r="C2214">
        <f>IF(A2214="","",'KG1-4'!$B$2)</f>
        <v/>
      </c>
      <c r="D2214" s="126">
        <f t="array" ref="D2214">IF(A2214="","",IFERROR(SMALL(IF((('KG1-4'!$AD29:$IM29="غياب بدون عذر")+('KG1-4'!$AD29:$IM29="غياب بعذر"))*('KG1-4'!$AD$7:$IM$7="✓"),'KG1-4'!$AD$5:$IM$5),13),""))</f>
        <v/>
      </c>
      <c r="E2214">
        <f>IF(D2214="","",INDEX('KG1-4'!$AD29:$IM29,MATCH(D2214,'KG1-4'!$AD$5:$IM$5,0)))</f>
        <v/>
      </c>
      <c r="F2214">
        <f>IF(D2214="","",COUNTIFS('KG1-4'!$AD29:$IM29,"غياب بدون عذر",'KG1-4'!$AD$7:$IM$7,"✓",'KG1-4'!$AD$5:$IM$5,"&lt;="&amp;D2214))</f>
        <v/>
      </c>
      <c r="G2214">
        <f>G2213+IF(D2214="",0,1)</f>
        <v/>
      </c>
    </row>
    <row r="2215">
      <c r="A2215">
        <f>IF('KG1-4'!$B29="","",'KG1-4'!$B29)</f>
        <v/>
      </c>
      <c r="B2215">
        <f>IF(A2215="","",'KG1-4'!$C29)</f>
        <v/>
      </c>
      <c r="C2215">
        <f>IF(A2215="","",'KG1-4'!$B$2)</f>
        <v/>
      </c>
      <c r="D2215" s="126">
        <f t="array" ref="D2215">IF(A2215="","",IFERROR(SMALL(IF((('KG1-4'!$AD29:$IM29="غياب بدون عذر")+('KG1-4'!$AD29:$IM29="غياب بعذر"))*('KG1-4'!$AD$7:$IM$7="✓"),'KG1-4'!$AD$5:$IM$5),14),""))</f>
        <v/>
      </c>
      <c r="E2215">
        <f>IF(D2215="","",INDEX('KG1-4'!$AD29:$IM29,MATCH(D2215,'KG1-4'!$AD$5:$IM$5,0)))</f>
        <v/>
      </c>
      <c r="F2215">
        <f>IF(D2215="","",COUNTIFS('KG1-4'!$AD29:$IM29,"غياب بدون عذر",'KG1-4'!$AD$7:$IM$7,"✓",'KG1-4'!$AD$5:$IM$5,"&lt;="&amp;D2215))</f>
        <v/>
      </c>
      <c r="G2215">
        <f>G2214+IF(D2215="",0,1)</f>
        <v/>
      </c>
    </row>
    <row r="2216">
      <c r="A2216">
        <f>IF('KG1-4'!$B29="","",'KG1-4'!$B29)</f>
        <v/>
      </c>
      <c r="B2216">
        <f>IF(A2216="","",'KG1-4'!$C29)</f>
        <v/>
      </c>
      <c r="C2216">
        <f>IF(A2216="","",'KG1-4'!$B$2)</f>
        <v/>
      </c>
      <c r="D2216" s="126">
        <f t="array" ref="D2216">IF(A2216="","",IFERROR(SMALL(IF((('KG1-4'!$AD29:$IM29="غياب بدون عذر")+('KG1-4'!$AD29:$IM29="غياب بعذر"))*('KG1-4'!$AD$7:$IM$7="✓"),'KG1-4'!$AD$5:$IM$5),15),""))</f>
        <v/>
      </c>
      <c r="E2216">
        <f>IF(D2216="","",INDEX('KG1-4'!$AD29:$IM29,MATCH(D2216,'KG1-4'!$AD$5:$IM$5,0)))</f>
        <v/>
      </c>
      <c r="F2216">
        <f>IF(D2216="","",COUNTIFS('KG1-4'!$AD29:$IM29,"غياب بدون عذر",'KG1-4'!$AD$7:$IM$7,"✓",'KG1-4'!$AD$5:$IM$5,"&lt;="&amp;D2216))</f>
        <v/>
      </c>
      <c r="G2216">
        <f>G2215+IF(D2216="",0,1)</f>
        <v/>
      </c>
    </row>
    <row r="2217">
      <c r="A2217">
        <f>IF('KG1-4'!$B29="","",'KG1-4'!$B29)</f>
        <v/>
      </c>
      <c r="B2217">
        <f>IF(A2217="","",'KG1-4'!$C29)</f>
        <v/>
      </c>
      <c r="C2217">
        <f>IF(A2217="","",'KG1-4'!$B$2)</f>
        <v/>
      </c>
      <c r="D2217" s="126">
        <f t="array" ref="D2217">IF(A2217="","",IFERROR(SMALL(IF((('KG1-4'!$AD29:$IM29="غياب بدون عذر")+('KG1-4'!$AD29:$IM29="غياب بعذر"))*('KG1-4'!$AD$7:$IM$7="✓"),'KG1-4'!$AD$5:$IM$5),16),""))</f>
        <v/>
      </c>
      <c r="E2217">
        <f>IF(D2217="","",INDEX('KG1-4'!$AD29:$IM29,MATCH(D2217,'KG1-4'!$AD$5:$IM$5,0)))</f>
        <v/>
      </c>
      <c r="F2217">
        <f>IF(D2217="","",COUNTIFS('KG1-4'!$AD29:$IM29,"غياب بدون عذر",'KG1-4'!$AD$7:$IM$7,"✓",'KG1-4'!$AD$5:$IM$5,"&lt;="&amp;D2217))</f>
        <v/>
      </c>
      <c r="G2217">
        <f>G2216+IF(D2217="",0,1)</f>
        <v/>
      </c>
    </row>
    <row r="2218">
      <c r="A2218">
        <f>IF('KG1-4'!$B29="","",'KG1-4'!$B29)</f>
        <v/>
      </c>
      <c r="B2218">
        <f>IF(A2218="","",'KG1-4'!$C29)</f>
        <v/>
      </c>
      <c r="C2218">
        <f>IF(A2218="","",'KG1-4'!$B$2)</f>
        <v/>
      </c>
      <c r="D2218" s="126">
        <f t="array" ref="D2218">IF(A2218="","",IFERROR(SMALL(IF((('KG1-4'!$AD29:$IM29="غياب بدون عذر")+('KG1-4'!$AD29:$IM29="غياب بعذر"))*('KG1-4'!$AD$7:$IM$7="✓"),'KG1-4'!$AD$5:$IM$5),17),""))</f>
        <v/>
      </c>
      <c r="E2218">
        <f>IF(D2218="","",INDEX('KG1-4'!$AD29:$IM29,MATCH(D2218,'KG1-4'!$AD$5:$IM$5,0)))</f>
        <v/>
      </c>
      <c r="F2218">
        <f>IF(D2218="","",COUNTIFS('KG1-4'!$AD29:$IM29,"غياب بدون عذر",'KG1-4'!$AD$7:$IM$7,"✓",'KG1-4'!$AD$5:$IM$5,"&lt;="&amp;D2218))</f>
        <v/>
      </c>
      <c r="G2218">
        <f>G2217+IF(D2218="",0,1)</f>
        <v/>
      </c>
    </row>
    <row r="2219">
      <c r="A2219">
        <f>IF('KG1-4'!$B29="","",'KG1-4'!$B29)</f>
        <v/>
      </c>
      <c r="B2219">
        <f>IF(A2219="","",'KG1-4'!$C29)</f>
        <v/>
      </c>
      <c r="C2219">
        <f>IF(A2219="","",'KG1-4'!$B$2)</f>
        <v/>
      </c>
      <c r="D2219" s="126">
        <f t="array" ref="D2219">IF(A2219="","",IFERROR(SMALL(IF((('KG1-4'!$AD29:$IM29="غياب بدون عذر")+('KG1-4'!$AD29:$IM29="غياب بعذر"))*('KG1-4'!$AD$7:$IM$7="✓"),'KG1-4'!$AD$5:$IM$5),18),""))</f>
        <v/>
      </c>
      <c r="E2219">
        <f>IF(D2219="","",INDEX('KG1-4'!$AD29:$IM29,MATCH(D2219,'KG1-4'!$AD$5:$IM$5,0)))</f>
        <v/>
      </c>
      <c r="F2219">
        <f>IF(D2219="","",COUNTIFS('KG1-4'!$AD29:$IM29,"غياب بدون عذر",'KG1-4'!$AD$7:$IM$7,"✓",'KG1-4'!$AD$5:$IM$5,"&lt;="&amp;D2219))</f>
        <v/>
      </c>
      <c r="G2219">
        <f>G2218+IF(D2219="",0,1)</f>
        <v/>
      </c>
    </row>
    <row r="2220">
      <c r="A2220">
        <f>IF('KG1-4'!$B29="","",'KG1-4'!$B29)</f>
        <v/>
      </c>
      <c r="B2220">
        <f>IF(A2220="","",'KG1-4'!$C29)</f>
        <v/>
      </c>
      <c r="C2220">
        <f>IF(A2220="","",'KG1-4'!$B$2)</f>
        <v/>
      </c>
      <c r="D2220" s="126">
        <f t="array" ref="D2220">IF(A2220="","",IFERROR(SMALL(IF((('KG1-4'!$AD29:$IM29="غياب بدون عذر")+('KG1-4'!$AD29:$IM29="غياب بعذر"))*('KG1-4'!$AD$7:$IM$7="✓"),'KG1-4'!$AD$5:$IM$5),19),""))</f>
        <v/>
      </c>
      <c r="E2220">
        <f>IF(D2220="","",INDEX('KG1-4'!$AD29:$IM29,MATCH(D2220,'KG1-4'!$AD$5:$IM$5,0)))</f>
        <v/>
      </c>
      <c r="F2220">
        <f>IF(D2220="","",COUNTIFS('KG1-4'!$AD29:$IM29,"غياب بدون عذر",'KG1-4'!$AD$7:$IM$7,"✓",'KG1-4'!$AD$5:$IM$5,"&lt;="&amp;D2220))</f>
        <v/>
      </c>
      <c r="G2220">
        <f>G2219+IF(D2220="",0,1)</f>
        <v/>
      </c>
    </row>
    <row r="2221">
      <c r="A2221">
        <f>IF('KG1-4'!$B29="","",'KG1-4'!$B29)</f>
        <v/>
      </c>
      <c r="B2221">
        <f>IF(A2221="","",'KG1-4'!$C29)</f>
        <v/>
      </c>
      <c r="C2221">
        <f>IF(A2221="","",'KG1-4'!$B$2)</f>
        <v/>
      </c>
      <c r="D2221" s="126">
        <f t="array" ref="D2221">IF(A2221="","",IFERROR(SMALL(IF((('KG1-4'!$AD29:$IM29="غياب بدون عذر")+('KG1-4'!$AD29:$IM29="غياب بعذر"))*('KG1-4'!$AD$7:$IM$7="✓"),'KG1-4'!$AD$5:$IM$5),20),""))</f>
        <v/>
      </c>
      <c r="E2221">
        <f>IF(D2221="","",INDEX('KG1-4'!$AD29:$IM29,MATCH(D2221,'KG1-4'!$AD$5:$IM$5,0)))</f>
        <v/>
      </c>
      <c r="F2221">
        <f>IF(D2221="","",COUNTIFS('KG1-4'!$AD29:$IM29,"غياب بدون عذر",'KG1-4'!$AD$7:$IM$7,"✓",'KG1-4'!$AD$5:$IM$5,"&lt;="&amp;D2221))</f>
        <v/>
      </c>
      <c r="G2221">
        <f>G2220+IF(D2221="",0,1)</f>
        <v/>
      </c>
    </row>
    <row r="2222">
      <c r="A2222">
        <f>IF('KG1-4'!$B30="","",'KG1-4'!$B30)</f>
        <v/>
      </c>
      <c r="B2222">
        <f>IF(A2222="","",'KG1-4'!$C30)</f>
        <v/>
      </c>
      <c r="C2222">
        <f>IF(A2222="","",'KG1-4'!$B$2)</f>
        <v/>
      </c>
      <c r="D2222" s="126">
        <f t="array" ref="D2222">IF(A2222="","",IFERROR(SMALL(IF((('KG1-4'!$AD30:$IM30="غياب بدون عذر")+('KG1-4'!$AD30:$IM30="غياب بعذر"))*('KG1-4'!$AD$7:$IM$7="✓"),'KG1-4'!$AD$5:$IM$5),1),""))</f>
        <v/>
      </c>
      <c r="E2222">
        <f>IF(D2222="","",INDEX('KG1-4'!$AD30:$IM30,MATCH(D2222,'KG1-4'!$AD$5:$IM$5,0)))</f>
        <v/>
      </c>
      <c r="F2222">
        <f>IF(D2222="","",COUNTIFS('KG1-4'!$AD30:$IM30,"غياب بدون عذر",'KG1-4'!$AD$7:$IM$7,"✓",'KG1-4'!$AD$5:$IM$5,"&lt;="&amp;D2222))</f>
        <v/>
      </c>
      <c r="G2222">
        <f>G2221+IF(D2222="",0,1)</f>
        <v/>
      </c>
    </row>
    <row r="2223">
      <c r="A2223">
        <f>IF('KG1-4'!$B30="","",'KG1-4'!$B30)</f>
        <v/>
      </c>
      <c r="B2223">
        <f>IF(A2223="","",'KG1-4'!$C30)</f>
        <v/>
      </c>
      <c r="C2223">
        <f>IF(A2223="","",'KG1-4'!$B$2)</f>
        <v/>
      </c>
      <c r="D2223" s="126">
        <f t="array" ref="D2223">IF(A2223="","",IFERROR(SMALL(IF((('KG1-4'!$AD30:$IM30="غياب بدون عذر")+('KG1-4'!$AD30:$IM30="غياب بعذر"))*('KG1-4'!$AD$7:$IM$7="✓"),'KG1-4'!$AD$5:$IM$5),2),""))</f>
        <v/>
      </c>
      <c r="E2223">
        <f>IF(D2223="","",INDEX('KG1-4'!$AD30:$IM30,MATCH(D2223,'KG1-4'!$AD$5:$IM$5,0)))</f>
        <v/>
      </c>
      <c r="F2223">
        <f>IF(D2223="","",COUNTIFS('KG1-4'!$AD30:$IM30,"غياب بدون عذر",'KG1-4'!$AD$7:$IM$7,"✓",'KG1-4'!$AD$5:$IM$5,"&lt;="&amp;D2223))</f>
        <v/>
      </c>
      <c r="G2223">
        <f>G2222+IF(D2223="",0,1)</f>
        <v/>
      </c>
    </row>
    <row r="2224">
      <c r="A2224">
        <f>IF('KG1-4'!$B30="","",'KG1-4'!$B30)</f>
        <v/>
      </c>
      <c r="B2224">
        <f>IF(A2224="","",'KG1-4'!$C30)</f>
        <v/>
      </c>
      <c r="C2224">
        <f>IF(A2224="","",'KG1-4'!$B$2)</f>
        <v/>
      </c>
      <c r="D2224" s="126">
        <f t="array" ref="D2224">IF(A2224="","",IFERROR(SMALL(IF((('KG1-4'!$AD30:$IM30="غياب بدون عذر")+('KG1-4'!$AD30:$IM30="غياب بعذر"))*('KG1-4'!$AD$7:$IM$7="✓"),'KG1-4'!$AD$5:$IM$5),3),""))</f>
        <v/>
      </c>
      <c r="E2224">
        <f>IF(D2224="","",INDEX('KG1-4'!$AD30:$IM30,MATCH(D2224,'KG1-4'!$AD$5:$IM$5,0)))</f>
        <v/>
      </c>
      <c r="F2224">
        <f>IF(D2224="","",COUNTIFS('KG1-4'!$AD30:$IM30,"غياب بدون عذر",'KG1-4'!$AD$7:$IM$7,"✓",'KG1-4'!$AD$5:$IM$5,"&lt;="&amp;D2224))</f>
        <v/>
      </c>
      <c r="G2224">
        <f>G2223+IF(D2224="",0,1)</f>
        <v/>
      </c>
    </row>
    <row r="2225">
      <c r="A2225">
        <f>IF('KG1-4'!$B30="","",'KG1-4'!$B30)</f>
        <v/>
      </c>
      <c r="B2225">
        <f>IF(A2225="","",'KG1-4'!$C30)</f>
        <v/>
      </c>
      <c r="C2225">
        <f>IF(A2225="","",'KG1-4'!$B$2)</f>
        <v/>
      </c>
      <c r="D2225" s="126">
        <f t="array" ref="D2225">IF(A2225="","",IFERROR(SMALL(IF((('KG1-4'!$AD30:$IM30="غياب بدون عذر")+('KG1-4'!$AD30:$IM30="غياب بعذر"))*('KG1-4'!$AD$7:$IM$7="✓"),'KG1-4'!$AD$5:$IM$5),4),""))</f>
        <v/>
      </c>
      <c r="E2225">
        <f>IF(D2225="","",INDEX('KG1-4'!$AD30:$IM30,MATCH(D2225,'KG1-4'!$AD$5:$IM$5,0)))</f>
        <v/>
      </c>
      <c r="F2225">
        <f>IF(D2225="","",COUNTIFS('KG1-4'!$AD30:$IM30,"غياب بدون عذر",'KG1-4'!$AD$7:$IM$7,"✓",'KG1-4'!$AD$5:$IM$5,"&lt;="&amp;D2225))</f>
        <v/>
      </c>
      <c r="G2225">
        <f>G2224+IF(D2225="",0,1)</f>
        <v/>
      </c>
    </row>
    <row r="2226">
      <c r="A2226">
        <f>IF('KG1-4'!$B30="","",'KG1-4'!$B30)</f>
        <v/>
      </c>
      <c r="B2226">
        <f>IF(A2226="","",'KG1-4'!$C30)</f>
        <v/>
      </c>
      <c r="C2226">
        <f>IF(A2226="","",'KG1-4'!$B$2)</f>
        <v/>
      </c>
      <c r="D2226" s="126">
        <f t="array" ref="D2226">IF(A2226="","",IFERROR(SMALL(IF((('KG1-4'!$AD30:$IM30="غياب بدون عذر")+('KG1-4'!$AD30:$IM30="غياب بعذر"))*('KG1-4'!$AD$7:$IM$7="✓"),'KG1-4'!$AD$5:$IM$5),5),""))</f>
        <v/>
      </c>
      <c r="E2226">
        <f>IF(D2226="","",INDEX('KG1-4'!$AD30:$IM30,MATCH(D2226,'KG1-4'!$AD$5:$IM$5,0)))</f>
        <v/>
      </c>
      <c r="F2226">
        <f>IF(D2226="","",COUNTIFS('KG1-4'!$AD30:$IM30,"غياب بدون عذر",'KG1-4'!$AD$7:$IM$7,"✓",'KG1-4'!$AD$5:$IM$5,"&lt;="&amp;D2226))</f>
        <v/>
      </c>
      <c r="G2226">
        <f>G2225+IF(D2226="",0,1)</f>
        <v/>
      </c>
    </row>
    <row r="2227">
      <c r="A2227">
        <f>IF('KG1-4'!$B30="","",'KG1-4'!$B30)</f>
        <v/>
      </c>
      <c r="B2227">
        <f>IF(A2227="","",'KG1-4'!$C30)</f>
        <v/>
      </c>
      <c r="C2227">
        <f>IF(A2227="","",'KG1-4'!$B$2)</f>
        <v/>
      </c>
      <c r="D2227" s="126">
        <f t="array" ref="D2227">IF(A2227="","",IFERROR(SMALL(IF((('KG1-4'!$AD30:$IM30="غياب بدون عذر")+('KG1-4'!$AD30:$IM30="غياب بعذر"))*('KG1-4'!$AD$7:$IM$7="✓"),'KG1-4'!$AD$5:$IM$5),6),""))</f>
        <v/>
      </c>
      <c r="E2227">
        <f>IF(D2227="","",INDEX('KG1-4'!$AD30:$IM30,MATCH(D2227,'KG1-4'!$AD$5:$IM$5,0)))</f>
        <v/>
      </c>
      <c r="F2227">
        <f>IF(D2227="","",COUNTIFS('KG1-4'!$AD30:$IM30,"غياب بدون عذر",'KG1-4'!$AD$7:$IM$7,"✓",'KG1-4'!$AD$5:$IM$5,"&lt;="&amp;D2227))</f>
        <v/>
      </c>
      <c r="G2227">
        <f>G2226+IF(D2227="",0,1)</f>
        <v/>
      </c>
    </row>
    <row r="2228">
      <c r="A2228">
        <f>IF('KG1-4'!$B30="","",'KG1-4'!$B30)</f>
        <v/>
      </c>
      <c r="B2228">
        <f>IF(A2228="","",'KG1-4'!$C30)</f>
        <v/>
      </c>
      <c r="C2228">
        <f>IF(A2228="","",'KG1-4'!$B$2)</f>
        <v/>
      </c>
      <c r="D2228" s="126">
        <f t="array" ref="D2228">IF(A2228="","",IFERROR(SMALL(IF((('KG1-4'!$AD30:$IM30="غياب بدون عذر")+('KG1-4'!$AD30:$IM30="غياب بعذر"))*('KG1-4'!$AD$7:$IM$7="✓"),'KG1-4'!$AD$5:$IM$5),7),""))</f>
        <v/>
      </c>
      <c r="E2228">
        <f>IF(D2228="","",INDEX('KG1-4'!$AD30:$IM30,MATCH(D2228,'KG1-4'!$AD$5:$IM$5,0)))</f>
        <v/>
      </c>
      <c r="F2228">
        <f>IF(D2228="","",COUNTIFS('KG1-4'!$AD30:$IM30,"غياب بدون عذر",'KG1-4'!$AD$7:$IM$7,"✓",'KG1-4'!$AD$5:$IM$5,"&lt;="&amp;D2228))</f>
        <v/>
      </c>
      <c r="G2228">
        <f>G2227+IF(D2228="",0,1)</f>
        <v/>
      </c>
    </row>
    <row r="2229">
      <c r="A2229">
        <f>IF('KG1-4'!$B30="","",'KG1-4'!$B30)</f>
        <v/>
      </c>
      <c r="B2229">
        <f>IF(A2229="","",'KG1-4'!$C30)</f>
        <v/>
      </c>
      <c r="C2229">
        <f>IF(A2229="","",'KG1-4'!$B$2)</f>
        <v/>
      </c>
      <c r="D2229" s="126">
        <f t="array" ref="D2229">IF(A2229="","",IFERROR(SMALL(IF((('KG1-4'!$AD30:$IM30="غياب بدون عذر")+('KG1-4'!$AD30:$IM30="غياب بعذر"))*('KG1-4'!$AD$7:$IM$7="✓"),'KG1-4'!$AD$5:$IM$5),8),""))</f>
        <v/>
      </c>
      <c r="E2229">
        <f>IF(D2229="","",INDEX('KG1-4'!$AD30:$IM30,MATCH(D2229,'KG1-4'!$AD$5:$IM$5,0)))</f>
        <v/>
      </c>
      <c r="F2229">
        <f>IF(D2229="","",COUNTIFS('KG1-4'!$AD30:$IM30,"غياب بدون عذر",'KG1-4'!$AD$7:$IM$7,"✓",'KG1-4'!$AD$5:$IM$5,"&lt;="&amp;D2229))</f>
        <v/>
      </c>
      <c r="G2229">
        <f>G2228+IF(D2229="",0,1)</f>
        <v/>
      </c>
    </row>
    <row r="2230">
      <c r="A2230">
        <f>IF('KG1-4'!$B30="","",'KG1-4'!$B30)</f>
        <v/>
      </c>
      <c r="B2230">
        <f>IF(A2230="","",'KG1-4'!$C30)</f>
        <v/>
      </c>
      <c r="C2230">
        <f>IF(A2230="","",'KG1-4'!$B$2)</f>
        <v/>
      </c>
      <c r="D2230" s="126">
        <f t="array" ref="D2230">IF(A2230="","",IFERROR(SMALL(IF((('KG1-4'!$AD30:$IM30="غياب بدون عذر")+('KG1-4'!$AD30:$IM30="غياب بعذر"))*('KG1-4'!$AD$7:$IM$7="✓"),'KG1-4'!$AD$5:$IM$5),9),""))</f>
        <v/>
      </c>
      <c r="E2230">
        <f>IF(D2230="","",INDEX('KG1-4'!$AD30:$IM30,MATCH(D2230,'KG1-4'!$AD$5:$IM$5,0)))</f>
        <v/>
      </c>
      <c r="F2230">
        <f>IF(D2230="","",COUNTIFS('KG1-4'!$AD30:$IM30,"غياب بدون عذر",'KG1-4'!$AD$7:$IM$7,"✓",'KG1-4'!$AD$5:$IM$5,"&lt;="&amp;D2230))</f>
        <v/>
      </c>
      <c r="G2230">
        <f>G2229+IF(D2230="",0,1)</f>
        <v/>
      </c>
    </row>
    <row r="2231">
      <c r="A2231">
        <f>IF('KG1-4'!$B30="","",'KG1-4'!$B30)</f>
        <v/>
      </c>
      <c r="B2231">
        <f>IF(A2231="","",'KG1-4'!$C30)</f>
        <v/>
      </c>
      <c r="C2231">
        <f>IF(A2231="","",'KG1-4'!$B$2)</f>
        <v/>
      </c>
      <c r="D2231" s="126">
        <f t="array" ref="D2231">IF(A2231="","",IFERROR(SMALL(IF((('KG1-4'!$AD30:$IM30="غياب بدون عذر")+('KG1-4'!$AD30:$IM30="غياب بعذر"))*('KG1-4'!$AD$7:$IM$7="✓"),'KG1-4'!$AD$5:$IM$5),10),""))</f>
        <v/>
      </c>
      <c r="E2231">
        <f>IF(D2231="","",INDEX('KG1-4'!$AD30:$IM30,MATCH(D2231,'KG1-4'!$AD$5:$IM$5,0)))</f>
        <v/>
      </c>
      <c r="F2231">
        <f>IF(D2231="","",COUNTIFS('KG1-4'!$AD30:$IM30,"غياب بدون عذر",'KG1-4'!$AD$7:$IM$7,"✓",'KG1-4'!$AD$5:$IM$5,"&lt;="&amp;D2231))</f>
        <v/>
      </c>
      <c r="G2231">
        <f>G2230+IF(D2231="",0,1)</f>
        <v/>
      </c>
    </row>
    <row r="2232">
      <c r="A2232">
        <f>IF('KG1-4'!$B30="","",'KG1-4'!$B30)</f>
        <v/>
      </c>
      <c r="B2232">
        <f>IF(A2232="","",'KG1-4'!$C30)</f>
        <v/>
      </c>
      <c r="C2232">
        <f>IF(A2232="","",'KG1-4'!$B$2)</f>
        <v/>
      </c>
      <c r="D2232" s="126">
        <f t="array" ref="D2232">IF(A2232="","",IFERROR(SMALL(IF((('KG1-4'!$AD30:$IM30="غياب بدون عذر")+('KG1-4'!$AD30:$IM30="غياب بعذر"))*('KG1-4'!$AD$7:$IM$7="✓"),'KG1-4'!$AD$5:$IM$5),11),""))</f>
        <v/>
      </c>
      <c r="E2232">
        <f>IF(D2232="","",INDEX('KG1-4'!$AD30:$IM30,MATCH(D2232,'KG1-4'!$AD$5:$IM$5,0)))</f>
        <v/>
      </c>
      <c r="F2232">
        <f>IF(D2232="","",COUNTIFS('KG1-4'!$AD30:$IM30,"غياب بدون عذر",'KG1-4'!$AD$7:$IM$7,"✓",'KG1-4'!$AD$5:$IM$5,"&lt;="&amp;D2232))</f>
        <v/>
      </c>
      <c r="G2232">
        <f>G2231+IF(D2232="",0,1)</f>
        <v/>
      </c>
    </row>
    <row r="2233">
      <c r="A2233">
        <f>IF('KG1-4'!$B30="","",'KG1-4'!$B30)</f>
        <v/>
      </c>
      <c r="B2233">
        <f>IF(A2233="","",'KG1-4'!$C30)</f>
        <v/>
      </c>
      <c r="C2233">
        <f>IF(A2233="","",'KG1-4'!$B$2)</f>
        <v/>
      </c>
      <c r="D2233" s="126">
        <f t="array" ref="D2233">IF(A2233="","",IFERROR(SMALL(IF((('KG1-4'!$AD30:$IM30="غياب بدون عذر")+('KG1-4'!$AD30:$IM30="غياب بعذر"))*('KG1-4'!$AD$7:$IM$7="✓"),'KG1-4'!$AD$5:$IM$5),12),""))</f>
        <v/>
      </c>
      <c r="E2233">
        <f>IF(D2233="","",INDEX('KG1-4'!$AD30:$IM30,MATCH(D2233,'KG1-4'!$AD$5:$IM$5,0)))</f>
        <v/>
      </c>
      <c r="F2233">
        <f>IF(D2233="","",COUNTIFS('KG1-4'!$AD30:$IM30,"غياب بدون عذر",'KG1-4'!$AD$7:$IM$7,"✓",'KG1-4'!$AD$5:$IM$5,"&lt;="&amp;D2233))</f>
        <v/>
      </c>
      <c r="G2233">
        <f>G2232+IF(D2233="",0,1)</f>
        <v/>
      </c>
    </row>
    <row r="2234">
      <c r="A2234">
        <f>IF('KG1-4'!$B30="","",'KG1-4'!$B30)</f>
        <v/>
      </c>
      <c r="B2234">
        <f>IF(A2234="","",'KG1-4'!$C30)</f>
        <v/>
      </c>
      <c r="C2234">
        <f>IF(A2234="","",'KG1-4'!$B$2)</f>
        <v/>
      </c>
      <c r="D2234" s="126">
        <f t="array" ref="D2234">IF(A2234="","",IFERROR(SMALL(IF((('KG1-4'!$AD30:$IM30="غياب بدون عذر")+('KG1-4'!$AD30:$IM30="غياب بعذر"))*('KG1-4'!$AD$7:$IM$7="✓"),'KG1-4'!$AD$5:$IM$5),13),""))</f>
        <v/>
      </c>
      <c r="E2234">
        <f>IF(D2234="","",INDEX('KG1-4'!$AD30:$IM30,MATCH(D2234,'KG1-4'!$AD$5:$IM$5,0)))</f>
        <v/>
      </c>
      <c r="F2234">
        <f>IF(D2234="","",COUNTIFS('KG1-4'!$AD30:$IM30,"غياب بدون عذر",'KG1-4'!$AD$7:$IM$7,"✓",'KG1-4'!$AD$5:$IM$5,"&lt;="&amp;D2234))</f>
        <v/>
      </c>
      <c r="G2234">
        <f>G2233+IF(D2234="",0,1)</f>
        <v/>
      </c>
    </row>
    <row r="2235">
      <c r="A2235">
        <f>IF('KG1-4'!$B30="","",'KG1-4'!$B30)</f>
        <v/>
      </c>
      <c r="B2235">
        <f>IF(A2235="","",'KG1-4'!$C30)</f>
        <v/>
      </c>
      <c r="C2235">
        <f>IF(A2235="","",'KG1-4'!$B$2)</f>
        <v/>
      </c>
      <c r="D2235" s="126">
        <f t="array" ref="D2235">IF(A2235="","",IFERROR(SMALL(IF((('KG1-4'!$AD30:$IM30="غياب بدون عذر")+('KG1-4'!$AD30:$IM30="غياب بعذر"))*('KG1-4'!$AD$7:$IM$7="✓"),'KG1-4'!$AD$5:$IM$5),14),""))</f>
        <v/>
      </c>
      <c r="E2235">
        <f>IF(D2235="","",INDEX('KG1-4'!$AD30:$IM30,MATCH(D2235,'KG1-4'!$AD$5:$IM$5,0)))</f>
        <v/>
      </c>
      <c r="F2235">
        <f>IF(D2235="","",COUNTIFS('KG1-4'!$AD30:$IM30,"غياب بدون عذر",'KG1-4'!$AD$7:$IM$7,"✓",'KG1-4'!$AD$5:$IM$5,"&lt;="&amp;D2235))</f>
        <v/>
      </c>
      <c r="G2235">
        <f>G2234+IF(D2235="",0,1)</f>
        <v/>
      </c>
    </row>
    <row r="2236">
      <c r="A2236">
        <f>IF('KG1-4'!$B30="","",'KG1-4'!$B30)</f>
        <v/>
      </c>
      <c r="B2236">
        <f>IF(A2236="","",'KG1-4'!$C30)</f>
        <v/>
      </c>
      <c r="C2236">
        <f>IF(A2236="","",'KG1-4'!$B$2)</f>
        <v/>
      </c>
      <c r="D2236" s="126">
        <f t="array" ref="D2236">IF(A2236="","",IFERROR(SMALL(IF((('KG1-4'!$AD30:$IM30="غياب بدون عذر")+('KG1-4'!$AD30:$IM30="غياب بعذر"))*('KG1-4'!$AD$7:$IM$7="✓"),'KG1-4'!$AD$5:$IM$5),15),""))</f>
        <v/>
      </c>
      <c r="E2236">
        <f>IF(D2236="","",INDEX('KG1-4'!$AD30:$IM30,MATCH(D2236,'KG1-4'!$AD$5:$IM$5,0)))</f>
        <v/>
      </c>
      <c r="F2236">
        <f>IF(D2236="","",COUNTIFS('KG1-4'!$AD30:$IM30,"غياب بدون عذر",'KG1-4'!$AD$7:$IM$7,"✓",'KG1-4'!$AD$5:$IM$5,"&lt;="&amp;D2236))</f>
        <v/>
      </c>
      <c r="G2236">
        <f>G2235+IF(D2236="",0,1)</f>
        <v/>
      </c>
    </row>
    <row r="2237">
      <c r="A2237">
        <f>IF('KG1-4'!$B30="","",'KG1-4'!$B30)</f>
        <v/>
      </c>
      <c r="B2237">
        <f>IF(A2237="","",'KG1-4'!$C30)</f>
        <v/>
      </c>
      <c r="C2237">
        <f>IF(A2237="","",'KG1-4'!$B$2)</f>
        <v/>
      </c>
      <c r="D2237" s="126">
        <f t="array" ref="D2237">IF(A2237="","",IFERROR(SMALL(IF((('KG1-4'!$AD30:$IM30="غياب بدون عذر")+('KG1-4'!$AD30:$IM30="غياب بعذر"))*('KG1-4'!$AD$7:$IM$7="✓"),'KG1-4'!$AD$5:$IM$5),16),""))</f>
        <v/>
      </c>
      <c r="E2237">
        <f>IF(D2237="","",INDEX('KG1-4'!$AD30:$IM30,MATCH(D2237,'KG1-4'!$AD$5:$IM$5,0)))</f>
        <v/>
      </c>
      <c r="F2237">
        <f>IF(D2237="","",COUNTIFS('KG1-4'!$AD30:$IM30,"غياب بدون عذر",'KG1-4'!$AD$7:$IM$7,"✓",'KG1-4'!$AD$5:$IM$5,"&lt;="&amp;D2237))</f>
        <v/>
      </c>
      <c r="G2237">
        <f>G2236+IF(D2237="",0,1)</f>
        <v/>
      </c>
    </row>
    <row r="2238">
      <c r="A2238">
        <f>IF('KG1-4'!$B30="","",'KG1-4'!$B30)</f>
        <v/>
      </c>
      <c r="B2238">
        <f>IF(A2238="","",'KG1-4'!$C30)</f>
        <v/>
      </c>
      <c r="C2238">
        <f>IF(A2238="","",'KG1-4'!$B$2)</f>
        <v/>
      </c>
      <c r="D2238" s="126">
        <f t="array" ref="D2238">IF(A2238="","",IFERROR(SMALL(IF((('KG1-4'!$AD30:$IM30="غياب بدون عذر")+('KG1-4'!$AD30:$IM30="غياب بعذر"))*('KG1-4'!$AD$7:$IM$7="✓"),'KG1-4'!$AD$5:$IM$5),17),""))</f>
        <v/>
      </c>
      <c r="E2238">
        <f>IF(D2238="","",INDEX('KG1-4'!$AD30:$IM30,MATCH(D2238,'KG1-4'!$AD$5:$IM$5,0)))</f>
        <v/>
      </c>
      <c r="F2238">
        <f>IF(D2238="","",COUNTIFS('KG1-4'!$AD30:$IM30,"غياب بدون عذر",'KG1-4'!$AD$7:$IM$7,"✓",'KG1-4'!$AD$5:$IM$5,"&lt;="&amp;D2238))</f>
        <v/>
      </c>
      <c r="G2238">
        <f>G2237+IF(D2238="",0,1)</f>
        <v/>
      </c>
    </row>
    <row r="2239">
      <c r="A2239">
        <f>IF('KG1-4'!$B30="","",'KG1-4'!$B30)</f>
        <v/>
      </c>
      <c r="B2239">
        <f>IF(A2239="","",'KG1-4'!$C30)</f>
        <v/>
      </c>
      <c r="C2239">
        <f>IF(A2239="","",'KG1-4'!$B$2)</f>
        <v/>
      </c>
      <c r="D2239" s="126">
        <f t="array" ref="D2239">IF(A2239="","",IFERROR(SMALL(IF((('KG1-4'!$AD30:$IM30="غياب بدون عذر")+('KG1-4'!$AD30:$IM30="غياب بعذر"))*('KG1-4'!$AD$7:$IM$7="✓"),'KG1-4'!$AD$5:$IM$5),18),""))</f>
        <v/>
      </c>
      <c r="E2239">
        <f>IF(D2239="","",INDEX('KG1-4'!$AD30:$IM30,MATCH(D2239,'KG1-4'!$AD$5:$IM$5,0)))</f>
        <v/>
      </c>
      <c r="F2239">
        <f>IF(D2239="","",COUNTIFS('KG1-4'!$AD30:$IM30,"غياب بدون عذر",'KG1-4'!$AD$7:$IM$7,"✓",'KG1-4'!$AD$5:$IM$5,"&lt;="&amp;D2239))</f>
        <v/>
      </c>
      <c r="G2239">
        <f>G2238+IF(D2239="",0,1)</f>
        <v/>
      </c>
    </row>
    <row r="2240">
      <c r="A2240">
        <f>IF('KG1-4'!$B30="","",'KG1-4'!$B30)</f>
        <v/>
      </c>
      <c r="B2240">
        <f>IF(A2240="","",'KG1-4'!$C30)</f>
        <v/>
      </c>
      <c r="C2240">
        <f>IF(A2240="","",'KG1-4'!$B$2)</f>
        <v/>
      </c>
      <c r="D2240" s="126">
        <f t="array" ref="D2240">IF(A2240="","",IFERROR(SMALL(IF((('KG1-4'!$AD30:$IM30="غياب بدون عذر")+('KG1-4'!$AD30:$IM30="غياب بعذر"))*('KG1-4'!$AD$7:$IM$7="✓"),'KG1-4'!$AD$5:$IM$5),19),""))</f>
        <v/>
      </c>
      <c r="E2240">
        <f>IF(D2240="","",INDEX('KG1-4'!$AD30:$IM30,MATCH(D2240,'KG1-4'!$AD$5:$IM$5,0)))</f>
        <v/>
      </c>
      <c r="F2240">
        <f>IF(D2240="","",COUNTIFS('KG1-4'!$AD30:$IM30,"غياب بدون عذر",'KG1-4'!$AD$7:$IM$7,"✓",'KG1-4'!$AD$5:$IM$5,"&lt;="&amp;D2240))</f>
        <v/>
      </c>
      <c r="G2240">
        <f>G2239+IF(D2240="",0,1)</f>
        <v/>
      </c>
    </row>
    <row r="2241">
      <c r="A2241">
        <f>IF('KG1-4'!$B30="","",'KG1-4'!$B30)</f>
        <v/>
      </c>
      <c r="B2241">
        <f>IF(A2241="","",'KG1-4'!$C30)</f>
        <v/>
      </c>
      <c r="C2241">
        <f>IF(A2241="","",'KG1-4'!$B$2)</f>
        <v/>
      </c>
      <c r="D2241" s="126">
        <f t="array" ref="D2241">IF(A2241="","",IFERROR(SMALL(IF((('KG1-4'!$AD30:$IM30="غياب بدون عذر")+('KG1-4'!$AD30:$IM30="غياب بعذر"))*('KG1-4'!$AD$7:$IM$7="✓"),'KG1-4'!$AD$5:$IM$5),20),""))</f>
        <v/>
      </c>
      <c r="E2241">
        <f>IF(D2241="","",INDEX('KG1-4'!$AD30:$IM30,MATCH(D2241,'KG1-4'!$AD$5:$IM$5,0)))</f>
        <v/>
      </c>
      <c r="F2241">
        <f>IF(D2241="","",COUNTIFS('KG1-4'!$AD30:$IM30,"غياب بدون عذر",'KG1-4'!$AD$7:$IM$7,"✓",'KG1-4'!$AD$5:$IM$5,"&lt;="&amp;D2241))</f>
        <v/>
      </c>
      <c r="G2241">
        <f>G2240+IF(D2241="",0,1)</f>
        <v/>
      </c>
    </row>
    <row r="2242">
      <c r="A2242">
        <f>IF('KG1-4'!$B31="","",'KG1-4'!$B31)</f>
        <v/>
      </c>
      <c r="B2242">
        <f>IF(A2242="","",'KG1-4'!$C31)</f>
        <v/>
      </c>
      <c r="C2242">
        <f>IF(A2242="","",'KG1-4'!$B$2)</f>
        <v/>
      </c>
      <c r="D2242" s="126">
        <f t="array" ref="D2242">IF(A2242="","",IFERROR(SMALL(IF((('KG1-4'!$AD31:$IM31="غياب بدون عذر")+('KG1-4'!$AD31:$IM31="غياب بعذر"))*('KG1-4'!$AD$7:$IM$7="✓"),'KG1-4'!$AD$5:$IM$5),1),""))</f>
        <v/>
      </c>
      <c r="E2242">
        <f>IF(D2242="","",INDEX('KG1-4'!$AD31:$IM31,MATCH(D2242,'KG1-4'!$AD$5:$IM$5,0)))</f>
        <v/>
      </c>
      <c r="F2242">
        <f>IF(D2242="","",COUNTIFS('KG1-4'!$AD31:$IM31,"غياب بدون عذر",'KG1-4'!$AD$7:$IM$7,"✓",'KG1-4'!$AD$5:$IM$5,"&lt;="&amp;D2242))</f>
        <v/>
      </c>
      <c r="G2242">
        <f>G2241+IF(D2242="",0,1)</f>
        <v/>
      </c>
    </row>
    <row r="2243">
      <c r="A2243">
        <f>IF('KG1-4'!$B31="","",'KG1-4'!$B31)</f>
        <v/>
      </c>
      <c r="B2243">
        <f>IF(A2243="","",'KG1-4'!$C31)</f>
        <v/>
      </c>
      <c r="C2243">
        <f>IF(A2243="","",'KG1-4'!$B$2)</f>
        <v/>
      </c>
      <c r="D2243" s="126">
        <f t="array" ref="D2243">IF(A2243="","",IFERROR(SMALL(IF((('KG1-4'!$AD31:$IM31="غياب بدون عذر")+('KG1-4'!$AD31:$IM31="غياب بعذر"))*('KG1-4'!$AD$7:$IM$7="✓"),'KG1-4'!$AD$5:$IM$5),2),""))</f>
        <v/>
      </c>
      <c r="E2243">
        <f>IF(D2243="","",INDEX('KG1-4'!$AD31:$IM31,MATCH(D2243,'KG1-4'!$AD$5:$IM$5,0)))</f>
        <v/>
      </c>
      <c r="F2243">
        <f>IF(D2243="","",COUNTIFS('KG1-4'!$AD31:$IM31,"غياب بدون عذر",'KG1-4'!$AD$7:$IM$7,"✓",'KG1-4'!$AD$5:$IM$5,"&lt;="&amp;D2243))</f>
        <v/>
      </c>
      <c r="G2243">
        <f>G2242+IF(D2243="",0,1)</f>
        <v/>
      </c>
    </row>
    <row r="2244">
      <c r="A2244">
        <f>IF('KG1-4'!$B31="","",'KG1-4'!$B31)</f>
        <v/>
      </c>
      <c r="B2244">
        <f>IF(A2244="","",'KG1-4'!$C31)</f>
        <v/>
      </c>
      <c r="C2244">
        <f>IF(A2244="","",'KG1-4'!$B$2)</f>
        <v/>
      </c>
      <c r="D2244" s="126">
        <f t="array" ref="D2244">IF(A2244="","",IFERROR(SMALL(IF((('KG1-4'!$AD31:$IM31="غياب بدون عذر")+('KG1-4'!$AD31:$IM31="غياب بعذر"))*('KG1-4'!$AD$7:$IM$7="✓"),'KG1-4'!$AD$5:$IM$5),3),""))</f>
        <v/>
      </c>
      <c r="E2244">
        <f>IF(D2244="","",INDEX('KG1-4'!$AD31:$IM31,MATCH(D2244,'KG1-4'!$AD$5:$IM$5,0)))</f>
        <v/>
      </c>
      <c r="F2244">
        <f>IF(D2244="","",COUNTIFS('KG1-4'!$AD31:$IM31,"غياب بدون عذر",'KG1-4'!$AD$7:$IM$7,"✓",'KG1-4'!$AD$5:$IM$5,"&lt;="&amp;D2244))</f>
        <v/>
      </c>
      <c r="G2244">
        <f>G2243+IF(D2244="",0,1)</f>
        <v/>
      </c>
    </row>
    <row r="2245">
      <c r="A2245">
        <f>IF('KG1-4'!$B31="","",'KG1-4'!$B31)</f>
        <v/>
      </c>
      <c r="B2245">
        <f>IF(A2245="","",'KG1-4'!$C31)</f>
        <v/>
      </c>
      <c r="C2245">
        <f>IF(A2245="","",'KG1-4'!$B$2)</f>
        <v/>
      </c>
      <c r="D2245" s="126">
        <f t="array" ref="D2245">IF(A2245="","",IFERROR(SMALL(IF((('KG1-4'!$AD31:$IM31="غياب بدون عذر")+('KG1-4'!$AD31:$IM31="غياب بعذر"))*('KG1-4'!$AD$7:$IM$7="✓"),'KG1-4'!$AD$5:$IM$5),4),""))</f>
        <v/>
      </c>
      <c r="E2245">
        <f>IF(D2245="","",INDEX('KG1-4'!$AD31:$IM31,MATCH(D2245,'KG1-4'!$AD$5:$IM$5,0)))</f>
        <v/>
      </c>
      <c r="F2245">
        <f>IF(D2245="","",COUNTIFS('KG1-4'!$AD31:$IM31,"غياب بدون عذر",'KG1-4'!$AD$7:$IM$7,"✓",'KG1-4'!$AD$5:$IM$5,"&lt;="&amp;D2245))</f>
        <v/>
      </c>
      <c r="G2245">
        <f>G2244+IF(D2245="",0,1)</f>
        <v/>
      </c>
    </row>
    <row r="2246">
      <c r="A2246">
        <f>IF('KG1-4'!$B31="","",'KG1-4'!$B31)</f>
        <v/>
      </c>
      <c r="B2246">
        <f>IF(A2246="","",'KG1-4'!$C31)</f>
        <v/>
      </c>
      <c r="C2246">
        <f>IF(A2246="","",'KG1-4'!$B$2)</f>
        <v/>
      </c>
      <c r="D2246" s="126">
        <f t="array" ref="D2246">IF(A2246="","",IFERROR(SMALL(IF((('KG1-4'!$AD31:$IM31="غياب بدون عذر")+('KG1-4'!$AD31:$IM31="غياب بعذر"))*('KG1-4'!$AD$7:$IM$7="✓"),'KG1-4'!$AD$5:$IM$5),5),""))</f>
        <v/>
      </c>
      <c r="E2246">
        <f>IF(D2246="","",INDEX('KG1-4'!$AD31:$IM31,MATCH(D2246,'KG1-4'!$AD$5:$IM$5,0)))</f>
        <v/>
      </c>
      <c r="F2246">
        <f>IF(D2246="","",COUNTIFS('KG1-4'!$AD31:$IM31,"غياب بدون عذر",'KG1-4'!$AD$7:$IM$7,"✓",'KG1-4'!$AD$5:$IM$5,"&lt;="&amp;D2246))</f>
        <v/>
      </c>
      <c r="G2246">
        <f>G2245+IF(D2246="",0,1)</f>
        <v/>
      </c>
    </row>
    <row r="2247">
      <c r="A2247">
        <f>IF('KG1-4'!$B31="","",'KG1-4'!$B31)</f>
        <v/>
      </c>
      <c r="B2247">
        <f>IF(A2247="","",'KG1-4'!$C31)</f>
        <v/>
      </c>
      <c r="C2247">
        <f>IF(A2247="","",'KG1-4'!$B$2)</f>
        <v/>
      </c>
      <c r="D2247" s="126">
        <f t="array" ref="D2247">IF(A2247="","",IFERROR(SMALL(IF((('KG1-4'!$AD31:$IM31="غياب بدون عذر")+('KG1-4'!$AD31:$IM31="غياب بعذر"))*('KG1-4'!$AD$7:$IM$7="✓"),'KG1-4'!$AD$5:$IM$5),6),""))</f>
        <v/>
      </c>
      <c r="E2247">
        <f>IF(D2247="","",INDEX('KG1-4'!$AD31:$IM31,MATCH(D2247,'KG1-4'!$AD$5:$IM$5,0)))</f>
        <v/>
      </c>
      <c r="F2247">
        <f>IF(D2247="","",COUNTIFS('KG1-4'!$AD31:$IM31,"غياب بدون عذر",'KG1-4'!$AD$7:$IM$7,"✓",'KG1-4'!$AD$5:$IM$5,"&lt;="&amp;D2247))</f>
        <v/>
      </c>
      <c r="G2247">
        <f>G2246+IF(D2247="",0,1)</f>
        <v/>
      </c>
    </row>
    <row r="2248">
      <c r="A2248">
        <f>IF('KG1-4'!$B31="","",'KG1-4'!$B31)</f>
        <v/>
      </c>
      <c r="B2248">
        <f>IF(A2248="","",'KG1-4'!$C31)</f>
        <v/>
      </c>
      <c r="C2248">
        <f>IF(A2248="","",'KG1-4'!$B$2)</f>
        <v/>
      </c>
      <c r="D2248" s="126">
        <f t="array" ref="D2248">IF(A2248="","",IFERROR(SMALL(IF((('KG1-4'!$AD31:$IM31="غياب بدون عذر")+('KG1-4'!$AD31:$IM31="غياب بعذر"))*('KG1-4'!$AD$7:$IM$7="✓"),'KG1-4'!$AD$5:$IM$5),7),""))</f>
        <v/>
      </c>
      <c r="E2248">
        <f>IF(D2248="","",INDEX('KG1-4'!$AD31:$IM31,MATCH(D2248,'KG1-4'!$AD$5:$IM$5,0)))</f>
        <v/>
      </c>
      <c r="F2248">
        <f>IF(D2248="","",COUNTIFS('KG1-4'!$AD31:$IM31,"غياب بدون عذر",'KG1-4'!$AD$7:$IM$7,"✓",'KG1-4'!$AD$5:$IM$5,"&lt;="&amp;D2248))</f>
        <v/>
      </c>
      <c r="G2248">
        <f>G2247+IF(D2248="",0,1)</f>
        <v/>
      </c>
    </row>
    <row r="2249">
      <c r="A2249">
        <f>IF('KG1-4'!$B31="","",'KG1-4'!$B31)</f>
        <v/>
      </c>
      <c r="B2249">
        <f>IF(A2249="","",'KG1-4'!$C31)</f>
        <v/>
      </c>
      <c r="C2249">
        <f>IF(A2249="","",'KG1-4'!$B$2)</f>
        <v/>
      </c>
      <c r="D2249" s="126">
        <f t="array" ref="D2249">IF(A2249="","",IFERROR(SMALL(IF((('KG1-4'!$AD31:$IM31="غياب بدون عذر")+('KG1-4'!$AD31:$IM31="غياب بعذر"))*('KG1-4'!$AD$7:$IM$7="✓"),'KG1-4'!$AD$5:$IM$5),8),""))</f>
        <v/>
      </c>
      <c r="E2249">
        <f>IF(D2249="","",INDEX('KG1-4'!$AD31:$IM31,MATCH(D2249,'KG1-4'!$AD$5:$IM$5,0)))</f>
        <v/>
      </c>
      <c r="F2249">
        <f>IF(D2249="","",COUNTIFS('KG1-4'!$AD31:$IM31,"غياب بدون عذر",'KG1-4'!$AD$7:$IM$7,"✓",'KG1-4'!$AD$5:$IM$5,"&lt;="&amp;D2249))</f>
        <v/>
      </c>
      <c r="G2249">
        <f>G2248+IF(D2249="",0,1)</f>
        <v/>
      </c>
    </row>
    <row r="2250">
      <c r="A2250">
        <f>IF('KG1-4'!$B31="","",'KG1-4'!$B31)</f>
        <v/>
      </c>
      <c r="B2250">
        <f>IF(A2250="","",'KG1-4'!$C31)</f>
        <v/>
      </c>
      <c r="C2250">
        <f>IF(A2250="","",'KG1-4'!$B$2)</f>
        <v/>
      </c>
      <c r="D2250" s="126">
        <f t="array" ref="D2250">IF(A2250="","",IFERROR(SMALL(IF((('KG1-4'!$AD31:$IM31="غياب بدون عذر")+('KG1-4'!$AD31:$IM31="غياب بعذر"))*('KG1-4'!$AD$7:$IM$7="✓"),'KG1-4'!$AD$5:$IM$5),9),""))</f>
        <v/>
      </c>
      <c r="E2250">
        <f>IF(D2250="","",INDEX('KG1-4'!$AD31:$IM31,MATCH(D2250,'KG1-4'!$AD$5:$IM$5,0)))</f>
        <v/>
      </c>
      <c r="F2250">
        <f>IF(D2250="","",COUNTIFS('KG1-4'!$AD31:$IM31,"غياب بدون عذر",'KG1-4'!$AD$7:$IM$7,"✓",'KG1-4'!$AD$5:$IM$5,"&lt;="&amp;D2250))</f>
        <v/>
      </c>
      <c r="G2250">
        <f>G2249+IF(D2250="",0,1)</f>
        <v/>
      </c>
    </row>
    <row r="2251">
      <c r="A2251">
        <f>IF('KG1-4'!$B31="","",'KG1-4'!$B31)</f>
        <v/>
      </c>
      <c r="B2251">
        <f>IF(A2251="","",'KG1-4'!$C31)</f>
        <v/>
      </c>
      <c r="C2251">
        <f>IF(A2251="","",'KG1-4'!$B$2)</f>
        <v/>
      </c>
      <c r="D2251" s="126">
        <f t="array" ref="D2251">IF(A2251="","",IFERROR(SMALL(IF((('KG1-4'!$AD31:$IM31="غياب بدون عذر")+('KG1-4'!$AD31:$IM31="غياب بعذر"))*('KG1-4'!$AD$7:$IM$7="✓"),'KG1-4'!$AD$5:$IM$5),10),""))</f>
        <v/>
      </c>
      <c r="E2251">
        <f>IF(D2251="","",INDEX('KG1-4'!$AD31:$IM31,MATCH(D2251,'KG1-4'!$AD$5:$IM$5,0)))</f>
        <v/>
      </c>
      <c r="F2251">
        <f>IF(D2251="","",COUNTIFS('KG1-4'!$AD31:$IM31,"غياب بدون عذر",'KG1-4'!$AD$7:$IM$7,"✓",'KG1-4'!$AD$5:$IM$5,"&lt;="&amp;D2251))</f>
        <v/>
      </c>
      <c r="G2251">
        <f>G2250+IF(D2251="",0,1)</f>
        <v/>
      </c>
    </row>
    <row r="2252">
      <c r="A2252">
        <f>IF('KG1-4'!$B31="","",'KG1-4'!$B31)</f>
        <v/>
      </c>
      <c r="B2252">
        <f>IF(A2252="","",'KG1-4'!$C31)</f>
        <v/>
      </c>
      <c r="C2252">
        <f>IF(A2252="","",'KG1-4'!$B$2)</f>
        <v/>
      </c>
      <c r="D2252" s="126">
        <f t="array" ref="D2252">IF(A2252="","",IFERROR(SMALL(IF((('KG1-4'!$AD31:$IM31="غياب بدون عذر")+('KG1-4'!$AD31:$IM31="غياب بعذر"))*('KG1-4'!$AD$7:$IM$7="✓"),'KG1-4'!$AD$5:$IM$5),11),""))</f>
        <v/>
      </c>
      <c r="E2252">
        <f>IF(D2252="","",INDEX('KG1-4'!$AD31:$IM31,MATCH(D2252,'KG1-4'!$AD$5:$IM$5,0)))</f>
        <v/>
      </c>
      <c r="F2252">
        <f>IF(D2252="","",COUNTIFS('KG1-4'!$AD31:$IM31,"غياب بدون عذر",'KG1-4'!$AD$7:$IM$7,"✓",'KG1-4'!$AD$5:$IM$5,"&lt;="&amp;D2252))</f>
        <v/>
      </c>
      <c r="G2252">
        <f>G2251+IF(D2252="",0,1)</f>
        <v/>
      </c>
    </row>
    <row r="2253">
      <c r="A2253">
        <f>IF('KG1-4'!$B31="","",'KG1-4'!$B31)</f>
        <v/>
      </c>
      <c r="B2253">
        <f>IF(A2253="","",'KG1-4'!$C31)</f>
        <v/>
      </c>
      <c r="C2253">
        <f>IF(A2253="","",'KG1-4'!$B$2)</f>
        <v/>
      </c>
      <c r="D2253" s="126">
        <f t="array" ref="D2253">IF(A2253="","",IFERROR(SMALL(IF((('KG1-4'!$AD31:$IM31="غياب بدون عذر")+('KG1-4'!$AD31:$IM31="غياب بعذر"))*('KG1-4'!$AD$7:$IM$7="✓"),'KG1-4'!$AD$5:$IM$5),12),""))</f>
        <v/>
      </c>
      <c r="E2253">
        <f>IF(D2253="","",INDEX('KG1-4'!$AD31:$IM31,MATCH(D2253,'KG1-4'!$AD$5:$IM$5,0)))</f>
        <v/>
      </c>
      <c r="F2253">
        <f>IF(D2253="","",COUNTIFS('KG1-4'!$AD31:$IM31,"غياب بدون عذر",'KG1-4'!$AD$7:$IM$7,"✓",'KG1-4'!$AD$5:$IM$5,"&lt;="&amp;D2253))</f>
        <v/>
      </c>
      <c r="G2253">
        <f>G2252+IF(D2253="",0,1)</f>
        <v/>
      </c>
    </row>
    <row r="2254">
      <c r="A2254">
        <f>IF('KG1-4'!$B31="","",'KG1-4'!$B31)</f>
        <v/>
      </c>
      <c r="B2254">
        <f>IF(A2254="","",'KG1-4'!$C31)</f>
        <v/>
      </c>
      <c r="C2254">
        <f>IF(A2254="","",'KG1-4'!$B$2)</f>
        <v/>
      </c>
      <c r="D2254" s="126">
        <f t="array" ref="D2254">IF(A2254="","",IFERROR(SMALL(IF((('KG1-4'!$AD31:$IM31="غياب بدون عذر")+('KG1-4'!$AD31:$IM31="غياب بعذر"))*('KG1-4'!$AD$7:$IM$7="✓"),'KG1-4'!$AD$5:$IM$5),13),""))</f>
        <v/>
      </c>
      <c r="E2254">
        <f>IF(D2254="","",INDEX('KG1-4'!$AD31:$IM31,MATCH(D2254,'KG1-4'!$AD$5:$IM$5,0)))</f>
        <v/>
      </c>
      <c r="F2254">
        <f>IF(D2254="","",COUNTIFS('KG1-4'!$AD31:$IM31,"غياب بدون عذر",'KG1-4'!$AD$7:$IM$7,"✓",'KG1-4'!$AD$5:$IM$5,"&lt;="&amp;D2254))</f>
        <v/>
      </c>
      <c r="G2254">
        <f>G2253+IF(D2254="",0,1)</f>
        <v/>
      </c>
    </row>
    <row r="2255">
      <c r="A2255">
        <f>IF('KG1-4'!$B31="","",'KG1-4'!$B31)</f>
        <v/>
      </c>
      <c r="B2255">
        <f>IF(A2255="","",'KG1-4'!$C31)</f>
        <v/>
      </c>
      <c r="C2255">
        <f>IF(A2255="","",'KG1-4'!$B$2)</f>
        <v/>
      </c>
      <c r="D2255" s="126">
        <f t="array" ref="D2255">IF(A2255="","",IFERROR(SMALL(IF((('KG1-4'!$AD31:$IM31="غياب بدون عذر")+('KG1-4'!$AD31:$IM31="غياب بعذر"))*('KG1-4'!$AD$7:$IM$7="✓"),'KG1-4'!$AD$5:$IM$5),14),""))</f>
        <v/>
      </c>
      <c r="E2255">
        <f>IF(D2255="","",INDEX('KG1-4'!$AD31:$IM31,MATCH(D2255,'KG1-4'!$AD$5:$IM$5,0)))</f>
        <v/>
      </c>
      <c r="F2255">
        <f>IF(D2255="","",COUNTIFS('KG1-4'!$AD31:$IM31,"غياب بدون عذر",'KG1-4'!$AD$7:$IM$7,"✓",'KG1-4'!$AD$5:$IM$5,"&lt;="&amp;D2255))</f>
        <v/>
      </c>
      <c r="G2255">
        <f>G2254+IF(D2255="",0,1)</f>
        <v/>
      </c>
    </row>
    <row r="2256">
      <c r="A2256">
        <f>IF('KG1-4'!$B31="","",'KG1-4'!$B31)</f>
        <v/>
      </c>
      <c r="B2256">
        <f>IF(A2256="","",'KG1-4'!$C31)</f>
        <v/>
      </c>
      <c r="C2256">
        <f>IF(A2256="","",'KG1-4'!$B$2)</f>
        <v/>
      </c>
      <c r="D2256" s="126">
        <f t="array" ref="D2256">IF(A2256="","",IFERROR(SMALL(IF((('KG1-4'!$AD31:$IM31="غياب بدون عذر")+('KG1-4'!$AD31:$IM31="غياب بعذر"))*('KG1-4'!$AD$7:$IM$7="✓"),'KG1-4'!$AD$5:$IM$5),15),""))</f>
        <v/>
      </c>
      <c r="E2256">
        <f>IF(D2256="","",INDEX('KG1-4'!$AD31:$IM31,MATCH(D2256,'KG1-4'!$AD$5:$IM$5,0)))</f>
        <v/>
      </c>
      <c r="F2256">
        <f>IF(D2256="","",COUNTIFS('KG1-4'!$AD31:$IM31,"غياب بدون عذر",'KG1-4'!$AD$7:$IM$7,"✓",'KG1-4'!$AD$5:$IM$5,"&lt;="&amp;D2256))</f>
        <v/>
      </c>
      <c r="G2256">
        <f>G2255+IF(D2256="",0,1)</f>
        <v/>
      </c>
    </row>
    <row r="2257">
      <c r="A2257">
        <f>IF('KG1-4'!$B31="","",'KG1-4'!$B31)</f>
        <v/>
      </c>
      <c r="B2257">
        <f>IF(A2257="","",'KG1-4'!$C31)</f>
        <v/>
      </c>
      <c r="C2257">
        <f>IF(A2257="","",'KG1-4'!$B$2)</f>
        <v/>
      </c>
      <c r="D2257" s="126">
        <f t="array" ref="D2257">IF(A2257="","",IFERROR(SMALL(IF((('KG1-4'!$AD31:$IM31="غياب بدون عذر")+('KG1-4'!$AD31:$IM31="غياب بعذر"))*('KG1-4'!$AD$7:$IM$7="✓"),'KG1-4'!$AD$5:$IM$5),16),""))</f>
        <v/>
      </c>
      <c r="E2257">
        <f>IF(D2257="","",INDEX('KG1-4'!$AD31:$IM31,MATCH(D2257,'KG1-4'!$AD$5:$IM$5,0)))</f>
        <v/>
      </c>
      <c r="F2257">
        <f>IF(D2257="","",COUNTIFS('KG1-4'!$AD31:$IM31,"غياب بدون عذر",'KG1-4'!$AD$7:$IM$7,"✓",'KG1-4'!$AD$5:$IM$5,"&lt;="&amp;D2257))</f>
        <v/>
      </c>
      <c r="G2257">
        <f>G2256+IF(D2257="",0,1)</f>
        <v/>
      </c>
    </row>
    <row r="2258">
      <c r="A2258">
        <f>IF('KG1-4'!$B31="","",'KG1-4'!$B31)</f>
        <v/>
      </c>
      <c r="B2258">
        <f>IF(A2258="","",'KG1-4'!$C31)</f>
        <v/>
      </c>
      <c r="C2258">
        <f>IF(A2258="","",'KG1-4'!$B$2)</f>
        <v/>
      </c>
      <c r="D2258" s="126">
        <f t="array" ref="D2258">IF(A2258="","",IFERROR(SMALL(IF((('KG1-4'!$AD31:$IM31="غياب بدون عذر")+('KG1-4'!$AD31:$IM31="غياب بعذر"))*('KG1-4'!$AD$7:$IM$7="✓"),'KG1-4'!$AD$5:$IM$5),17),""))</f>
        <v/>
      </c>
      <c r="E2258">
        <f>IF(D2258="","",INDEX('KG1-4'!$AD31:$IM31,MATCH(D2258,'KG1-4'!$AD$5:$IM$5,0)))</f>
        <v/>
      </c>
      <c r="F2258">
        <f>IF(D2258="","",COUNTIFS('KG1-4'!$AD31:$IM31,"غياب بدون عذر",'KG1-4'!$AD$7:$IM$7,"✓",'KG1-4'!$AD$5:$IM$5,"&lt;="&amp;D2258))</f>
        <v/>
      </c>
      <c r="G2258">
        <f>G2257+IF(D2258="",0,1)</f>
        <v/>
      </c>
    </row>
    <row r="2259">
      <c r="A2259">
        <f>IF('KG1-4'!$B31="","",'KG1-4'!$B31)</f>
        <v/>
      </c>
      <c r="B2259">
        <f>IF(A2259="","",'KG1-4'!$C31)</f>
        <v/>
      </c>
      <c r="C2259">
        <f>IF(A2259="","",'KG1-4'!$B$2)</f>
        <v/>
      </c>
      <c r="D2259" s="126">
        <f t="array" ref="D2259">IF(A2259="","",IFERROR(SMALL(IF((('KG1-4'!$AD31:$IM31="غياب بدون عذر")+('KG1-4'!$AD31:$IM31="غياب بعذر"))*('KG1-4'!$AD$7:$IM$7="✓"),'KG1-4'!$AD$5:$IM$5),18),""))</f>
        <v/>
      </c>
      <c r="E2259">
        <f>IF(D2259="","",INDEX('KG1-4'!$AD31:$IM31,MATCH(D2259,'KG1-4'!$AD$5:$IM$5,0)))</f>
        <v/>
      </c>
      <c r="F2259">
        <f>IF(D2259="","",COUNTIFS('KG1-4'!$AD31:$IM31,"غياب بدون عذر",'KG1-4'!$AD$7:$IM$7,"✓",'KG1-4'!$AD$5:$IM$5,"&lt;="&amp;D2259))</f>
        <v/>
      </c>
      <c r="G2259">
        <f>G2258+IF(D2259="",0,1)</f>
        <v/>
      </c>
    </row>
    <row r="2260">
      <c r="A2260">
        <f>IF('KG1-4'!$B31="","",'KG1-4'!$B31)</f>
        <v/>
      </c>
      <c r="B2260">
        <f>IF(A2260="","",'KG1-4'!$C31)</f>
        <v/>
      </c>
      <c r="C2260">
        <f>IF(A2260="","",'KG1-4'!$B$2)</f>
        <v/>
      </c>
      <c r="D2260" s="126">
        <f t="array" ref="D2260">IF(A2260="","",IFERROR(SMALL(IF((('KG1-4'!$AD31:$IM31="غياب بدون عذر")+('KG1-4'!$AD31:$IM31="غياب بعذر"))*('KG1-4'!$AD$7:$IM$7="✓"),'KG1-4'!$AD$5:$IM$5),19),""))</f>
        <v/>
      </c>
      <c r="E2260">
        <f>IF(D2260="","",INDEX('KG1-4'!$AD31:$IM31,MATCH(D2260,'KG1-4'!$AD$5:$IM$5,0)))</f>
        <v/>
      </c>
      <c r="F2260">
        <f>IF(D2260="","",COUNTIFS('KG1-4'!$AD31:$IM31,"غياب بدون عذر",'KG1-4'!$AD$7:$IM$7,"✓",'KG1-4'!$AD$5:$IM$5,"&lt;="&amp;D2260))</f>
        <v/>
      </c>
      <c r="G2260">
        <f>G2259+IF(D2260="",0,1)</f>
        <v/>
      </c>
    </row>
    <row r="2261">
      <c r="A2261">
        <f>IF('KG1-4'!$B31="","",'KG1-4'!$B31)</f>
        <v/>
      </c>
      <c r="B2261">
        <f>IF(A2261="","",'KG1-4'!$C31)</f>
        <v/>
      </c>
      <c r="C2261">
        <f>IF(A2261="","",'KG1-4'!$B$2)</f>
        <v/>
      </c>
      <c r="D2261" s="126">
        <f t="array" ref="D2261">IF(A2261="","",IFERROR(SMALL(IF((('KG1-4'!$AD31:$IM31="غياب بدون عذر")+('KG1-4'!$AD31:$IM31="غياب بعذر"))*('KG1-4'!$AD$7:$IM$7="✓"),'KG1-4'!$AD$5:$IM$5),20),""))</f>
        <v/>
      </c>
      <c r="E2261">
        <f>IF(D2261="","",INDEX('KG1-4'!$AD31:$IM31,MATCH(D2261,'KG1-4'!$AD$5:$IM$5,0)))</f>
        <v/>
      </c>
      <c r="F2261">
        <f>IF(D2261="","",COUNTIFS('KG1-4'!$AD31:$IM31,"غياب بدون عذر",'KG1-4'!$AD$7:$IM$7,"✓",'KG1-4'!$AD$5:$IM$5,"&lt;="&amp;D2261))</f>
        <v/>
      </c>
      <c r="G2261">
        <f>G2260+IF(D2261="",0,1)</f>
        <v/>
      </c>
    </row>
    <row r="2262">
      <c r="A2262">
        <f>IF('KG1-4'!$B32="","",'KG1-4'!$B32)</f>
        <v/>
      </c>
      <c r="B2262">
        <f>IF(A2262="","",'KG1-4'!$C32)</f>
        <v/>
      </c>
      <c r="C2262">
        <f>IF(A2262="","",'KG1-4'!$B$2)</f>
        <v/>
      </c>
      <c r="D2262" s="126">
        <f t="array" ref="D2262">IF(A2262="","",IFERROR(SMALL(IF((('KG1-4'!$AD32:$IM32="غياب بدون عذر")+('KG1-4'!$AD32:$IM32="غياب بعذر"))*('KG1-4'!$AD$7:$IM$7="✓"),'KG1-4'!$AD$5:$IM$5),1),""))</f>
        <v/>
      </c>
      <c r="E2262">
        <f>IF(D2262="","",INDEX('KG1-4'!$AD32:$IM32,MATCH(D2262,'KG1-4'!$AD$5:$IM$5,0)))</f>
        <v/>
      </c>
      <c r="F2262">
        <f>IF(D2262="","",COUNTIFS('KG1-4'!$AD32:$IM32,"غياب بدون عذر",'KG1-4'!$AD$7:$IM$7,"✓",'KG1-4'!$AD$5:$IM$5,"&lt;="&amp;D2262))</f>
        <v/>
      </c>
      <c r="G2262">
        <f>G2261+IF(D2262="",0,1)</f>
        <v/>
      </c>
    </row>
    <row r="2263">
      <c r="A2263">
        <f>IF('KG1-4'!$B32="","",'KG1-4'!$B32)</f>
        <v/>
      </c>
      <c r="B2263">
        <f>IF(A2263="","",'KG1-4'!$C32)</f>
        <v/>
      </c>
      <c r="C2263">
        <f>IF(A2263="","",'KG1-4'!$B$2)</f>
        <v/>
      </c>
      <c r="D2263" s="126">
        <f t="array" ref="D2263">IF(A2263="","",IFERROR(SMALL(IF((('KG1-4'!$AD32:$IM32="غياب بدون عذر")+('KG1-4'!$AD32:$IM32="غياب بعذر"))*('KG1-4'!$AD$7:$IM$7="✓"),'KG1-4'!$AD$5:$IM$5),2),""))</f>
        <v/>
      </c>
      <c r="E2263">
        <f>IF(D2263="","",INDEX('KG1-4'!$AD32:$IM32,MATCH(D2263,'KG1-4'!$AD$5:$IM$5,0)))</f>
        <v/>
      </c>
      <c r="F2263">
        <f>IF(D2263="","",COUNTIFS('KG1-4'!$AD32:$IM32,"غياب بدون عذر",'KG1-4'!$AD$7:$IM$7,"✓",'KG1-4'!$AD$5:$IM$5,"&lt;="&amp;D2263))</f>
        <v/>
      </c>
      <c r="G2263">
        <f>G2262+IF(D2263="",0,1)</f>
        <v/>
      </c>
    </row>
    <row r="2264">
      <c r="A2264">
        <f>IF('KG1-4'!$B32="","",'KG1-4'!$B32)</f>
        <v/>
      </c>
      <c r="B2264">
        <f>IF(A2264="","",'KG1-4'!$C32)</f>
        <v/>
      </c>
      <c r="C2264">
        <f>IF(A2264="","",'KG1-4'!$B$2)</f>
        <v/>
      </c>
      <c r="D2264" s="126">
        <f t="array" ref="D2264">IF(A2264="","",IFERROR(SMALL(IF((('KG1-4'!$AD32:$IM32="غياب بدون عذر")+('KG1-4'!$AD32:$IM32="غياب بعذر"))*('KG1-4'!$AD$7:$IM$7="✓"),'KG1-4'!$AD$5:$IM$5),3),""))</f>
        <v/>
      </c>
      <c r="E2264">
        <f>IF(D2264="","",INDEX('KG1-4'!$AD32:$IM32,MATCH(D2264,'KG1-4'!$AD$5:$IM$5,0)))</f>
        <v/>
      </c>
      <c r="F2264">
        <f>IF(D2264="","",COUNTIFS('KG1-4'!$AD32:$IM32,"غياب بدون عذر",'KG1-4'!$AD$7:$IM$7,"✓",'KG1-4'!$AD$5:$IM$5,"&lt;="&amp;D2264))</f>
        <v/>
      </c>
      <c r="G2264">
        <f>G2263+IF(D2264="",0,1)</f>
        <v/>
      </c>
    </row>
    <row r="2265">
      <c r="A2265">
        <f>IF('KG1-4'!$B32="","",'KG1-4'!$B32)</f>
        <v/>
      </c>
      <c r="B2265">
        <f>IF(A2265="","",'KG1-4'!$C32)</f>
        <v/>
      </c>
      <c r="C2265">
        <f>IF(A2265="","",'KG1-4'!$B$2)</f>
        <v/>
      </c>
      <c r="D2265" s="126">
        <f t="array" ref="D2265">IF(A2265="","",IFERROR(SMALL(IF((('KG1-4'!$AD32:$IM32="غياب بدون عذر")+('KG1-4'!$AD32:$IM32="غياب بعذر"))*('KG1-4'!$AD$7:$IM$7="✓"),'KG1-4'!$AD$5:$IM$5),4),""))</f>
        <v/>
      </c>
      <c r="E2265">
        <f>IF(D2265="","",INDEX('KG1-4'!$AD32:$IM32,MATCH(D2265,'KG1-4'!$AD$5:$IM$5,0)))</f>
        <v/>
      </c>
      <c r="F2265">
        <f>IF(D2265="","",COUNTIFS('KG1-4'!$AD32:$IM32,"غياب بدون عذر",'KG1-4'!$AD$7:$IM$7,"✓",'KG1-4'!$AD$5:$IM$5,"&lt;="&amp;D2265))</f>
        <v/>
      </c>
      <c r="G2265">
        <f>G2264+IF(D2265="",0,1)</f>
        <v/>
      </c>
    </row>
    <row r="2266">
      <c r="A2266">
        <f>IF('KG1-4'!$B32="","",'KG1-4'!$B32)</f>
        <v/>
      </c>
      <c r="B2266">
        <f>IF(A2266="","",'KG1-4'!$C32)</f>
        <v/>
      </c>
      <c r="C2266">
        <f>IF(A2266="","",'KG1-4'!$B$2)</f>
        <v/>
      </c>
      <c r="D2266" s="126">
        <f t="array" ref="D2266">IF(A2266="","",IFERROR(SMALL(IF((('KG1-4'!$AD32:$IM32="غياب بدون عذر")+('KG1-4'!$AD32:$IM32="غياب بعذر"))*('KG1-4'!$AD$7:$IM$7="✓"),'KG1-4'!$AD$5:$IM$5),5),""))</f>
        <v/>
      </c>
      <c r="E2266">
        <f>IF(D2266="","",INDEX('KG1-4'!$AD32:$IM32,MATCH(D2266,'KG1-4'!$AD$5:$IM$5,0)))</f>
        <v/>
      </c>
      <c r="F2266">
        <f>IF(D2266="","",COUNTIFS('KG1-4'!$AD32:$IM32,"غياب بدون عذر",'KG1-4'!$AD$7:$IM$7,"✓",'KG1-4'!$AD$5:$IM$5,"&lt;="&amp;D2266))</f>
        <v/>
      </c>
      <c r="G2266">
        <f>G2265+IF(D2266="",0,1)</f>
        <v/>
      </c>
    </row>
    <row r="2267">
      <c r="A2267">
        <f>IF('KG1-4'!$B32="","",'KG1-4'!$B32)</f>
        <v/>
      </c>
      <c r="B2267">
        <f>IF(A2267="","",'KG1-4'!$C32)</f>
        <v/>
      </c>
      <c r="C2267">
        <f>IF(A2267="","",'KG1-4'!$B$2)</f>
        <v/>
      </c>
      <c r="D2267" s="126">
        <f t="array" ref="D2267">IF(A2267="","",IFERROR(SMALL(IF((('KG1-4'!$AD32:$IM32="غياب بدون عذر")+('KG1-4'!$AD32:$IM32="غياب بعذر"))*('KG1-4'!$AD$7:$IM$7="✓"),'KG1-4'!$AD$5:$IM$5),6),""))</f>
        <v/>
      </c>
      <c r="E2267">
        <f>IF(D2267="","",INDEX('KG1-4'!$AD32:$IM32,MATCH(D2267,'KG1-4'!$AD$5:$IM$5,0)))</f>
        <v/>
      </c>
      <c r="F2267">
        <f>IF(D2267="","",COUNTIFS('KG1-4'!$AD32:$IM32,"غياب بدون عذر",'KG1-4'!$AD$7:$IM$7,"✓",'KG1-4'!$AD$5:$IM$5,"&lt;="&amp;D2267))</f>
        <v/>
      </c>
      <c r="G2267">
        <f>G2266+IF(D2267="",0,1)</f>
        <v/>
      </c>
    </row>
    <row r="2268">
      <c r="A2268">
        <f>IF('KG1-4'!$B32="","",'KG1-4'!$B32)</f>
        <v/>
      </c>
      <c r="B2268">
        <f>IF(A2268="","",'KG1-4'!$C32)</f>
        <v/>
      </c>
      <c r="C2268">
        <f>IF(A2268="","",'KG1-4'!$B$2)</f>
        <v/>
      </c>
      <c r="D2268" s="126">
        <f t="array" ref="D2268">IF(A2268="","",IFERROR(SMALL(IF((('KG1-4'!$AD32:$IM32="غياب بدون عذر")+('KG1-4'!$AD32:$IM32="غياب بعذر"))*('KG1-4'!$AD$7:$IM$7="✓"),'KG1-4'!$AD$5:$IM$5),7),""))</f>
        <v/>
      </c>
      <c r="E2268">
        <f>IF(D2268="","",INDEX('KG1-4'!$AD32:$IM32,MATCH(D2268,'KG1-4'!$AD$5:$IM$5,0)))</f>
        <v/>
      </c>
      <c r="F2268">
        <f>IF(D2268="","",COUNTIFS('KG1-4'!$AD32:$IM32,"غياب بدون عذر",'KG1-4'!$AD$7:$IM$7,"✓",'KG1-4'!$AD$5:$IM$5,"&lt;="&amp;D2268))</f>
        <v/>
      </c>
      <c r="G2268">
        <f>G2267+IF(D2268="",0,1)</f>
        <v/>
      </c>
    </row>
    <row r="2269">
      <c r="A2269">
        <f>IF('KG1-4'!$B32="","",'KG1-4'!$B32)</f>
        <v/>
      </c>
      <c r="B2269">
        <f>IF(A2269="","",'KG1-4'!$C32)</f>
        <v/>
      </c>
      <c r="C2269">
        <f>IF(A2269="","",'KG1-4'!$B$2)</f>
        <v/>
      </c>
      <c r="D2269" s="126">
        <f t="array" ref="D2269">IF(A2269="","",IFERROR(SMALL(IF((('KG1-4'!$AD32:$IM32="غياب بدون عذر")+('KG1-4'!$AD32:$IM32="غياب بعذر"))*('KG1-4'!$AD$7:$IM$7="✓"),'KG1-4'!$AD$5:$IM$5),8),""))</f>
        <v/>
      </c>
      <c r="E2269">
        <f>IF(D2269="","",INDEX('KG1-4'!$AD32:$IM32,MATCH(D2269,'KG1-4'!$AD$5:$IM$5,0)))</f>
        <v/>
      </c>
      <c r="F2269">
        <f>IF(D2269="","",COUNTIFS('KG1-4'!$AD32:$IM32,"غياب بدون عذر",'KG1-4'!$AD$7:$IM$7,"✓",'KG1-4'!$AD$5:$IM$5,"&lt;="&amp;D2269))</f>
        <v/>
      </c>
      <c r="G2269">
        <f>G2268+IF(D2269="",0,1)</f>
        <v/>
      </c>
    </row>
    <row r="2270">
      <c r="A2270">
        <f>IF('KG1-4'!$B32="","",'KG1-4'!$B32)</f>
        <v/>
      </c>
      <c r="B2270">
        <f>IF(A2270="","",'KG1-4'!$C32)</f>
        <v/>
      </c>
      <c r="C2270">
        <f>IF(A2270="","",'KG1-4'!$B$2)</f>
        <v/>
      </c>
      <c r="D2270" s="126">
        <f t="array" ref="D2270">IF(A2270="","",IFERROR(SMALL(IF((('KG1-4'!$AD32:$IM32="غياب بدون عذر")+('KG1-4'!$AD32:$IM32="غياب بعذر"))*('KG1-4'!$AD$7:$IM$7="✓"),'KG1-4'!$AD$5:$IM$5),9),""))</f>
        <v/>
      </c>
      <c r="E2270">
        <f>IF(D2270="","",INDEX('KG1-4'!$AD32:$IM32,MATCH(D2270,'KG1-4'!$AD$5:$IM$5,0)))</f>
        <v/>
      </c>
      <c r="F2270">
        <f>IF(D2270="","",COUNTIFS('KG1-4'!$AD32:$IM32,"غياب بدون عذر",'KG1-4'!$AD$7:$IM$7,"✓",'KG1-4'!$AD$5:$IM$5,"&lt;="&amp;D2270))</f>
        <v/>
      </c>
      <c r="G2270">
        <f>G2269+IF(D2270="",0,1)</f>
        <v/>
      </c>
    </row>
    <row r="2271">
      <c r="A2271">
        <f>IF('KG1-4'!$B32="","",'KG1-4'!$B32)</f>
        <v/>
      </c>
      <c r="B2271">
        <f>IF(A2271="","",'KG1-4'!$C32)</f>
        <v/>
      </c>
      <c r="C2271">
        <f>IF(A2271="","",'KG1-4'!$B$2)</f>
        <v/>
      </c>
      <c r="D2271" s="126">
        <f t="array" ref="D2271">IF(A2271="","",IFERROR(SMALL(IF((('KG1-4'!$AD32:$IM32="غياب بدون عذر")+('KG1-4'!$AD32:$IM32="غياب بعذر"))*('KG1-4'!$AD$7:$IM$7="✓"),'KG1-4'!$AD$5:$IM$5),10),""))</f>
        <v/>
      </c>
      <c r="E2271">
        <f>IF(D2271="","",INDEX('KG1-4'!$AD32:$IM32,MATCH(D2271,'KG1-4'!$AD$5:$IM$5,0)))</f>
        <v/>
      </c>
      <c r="F2271">
        <f>IF(D2271="","",COUNTIFS('KG1-4'!$AD32:$IM32,"غياب بدون عذر",'KG1-4'!$AD$7:$IM$7,"✓",'KG1-4'!$AD$5:$IM$5,"&lt;="&amp;D2271))</f>
        <v/>
      </c>
      <c r="G2271">
        <f>G2270+IF(D2271="",0,1)</f>
        <v/>
      </c>
    </row>
    <row r="2272">
      <c r="A2272">
        <f>IF('KG1-4'!$B32="","",'KG1-4'!$B32)</f>
        <v/>
      </c>
      <c r="B2272">
        <f>IF(A2272="","",'KG1-4'!$C32)</f>
        <v/>
      </c>
      <c r="C2272">
        <f>IF(A2272="","",'KG1-4'!$B$2)</f>
        <v/>
      </c>
      <c r="D2272" s="126">
        <f t="array" ref="D2272">IF(A2272="","",IFERROR(SMALL(IF((('KG1-4'!$AD32:$IM32="غياب بدون عذر")+('KG1-4'!$AD32:$IM32="غياب بعذر"))*('KG1-4'!$AD$7:$IM$7="✓"),'KG1-4'!$AD$5:$IM$5),11),""))</f>
        <v/>
      </c>
      <c r="E2272">
        <f>IF(D2272="","",INDEX('KG1-4'!$AD32:$IM32,MATCH(D2272,'KG1-4'!$AD$5:$IM$5,0)))</f>
        <v/>
      </c>
      <c r="F2272">
        <f>IF(D2272="","",COUNTIFS('KG1-4'!$AD32:$IM32,"غياب بدون عذر",'KG1-4'!$AD$7:$IM$7,"✓",'KG1-4'!$AD$5:$IM$5,"&lt;="&amp;D2272))</f>
        <v/>
      </c>
      <c r="G2272">
        <f>G2271+IF(D2272="",0,1)</f>
        <v/>
      </c>
    </row>
    <row r="2273">
      <c r="A2273">
        <f>IF('KG1-4'!$B32="","",'KG1-4'!$B32)</f>
        <v/>
      </c>
      <c r="B2273">
        <f>IF(A2273="","",'KG1-4'!$C32)</f>
        <v/>
      </c>
      <c r="C2273">
        <f>IF(A2273="","",'KG1-4'!$B$2)</f>
        <v/>
      </c>
      <c r="D2273" s="126">
        <f t="array" ref="D2273">IF(A2273="","",IFERROR(SMALL(IF((('KG1-4'!$AD32:$IM32="غياب بدون عذر")+('KG1-4'!$AD32:$IM32="غياب بعذر"))*('KG1-4'!$AD$7:$IM$7="✓"),'KG1-4'!$AD$5:$IM$5),12),""))</f>
        <v/>
      </c>
      <c r="E2273">
        <f>IF(D2273="","",INDEX('KG1-4'!$AD32:$IM32,MATCH(D2273,'KG1-4'!$AD$5:$IM$5,0)))</f>
        <v/>
      </c>
      <c r="F2273">
        <f>IF(D2273="","",COUNTIFS('KG1-4'!$AD32:$IM32,"غياب بدون عذر",'KG1-4'!$AD$7:$IM$7,"✓",'KG1-4'!$AD$5:$IM$5,"&lt;="&amp;D2273))</f>
        <v/>
      </c>
      <c r="G2273">
        <f>G2272+IF(D2273="",0,1)</f>
        <v/>
      </c>
    </row>
    <row r="2274">
      <c r="A2274">
        <f>IF('KG1-4'!$B32="","",'KG1-4'!$B32)</f>
        <v/>
      </c>
      <c r="B2274">
        <f>IF(A2274="","",'KG1-4'!$C32)</f>
        <v/>
      </c>
      <c r="C2274">
        <f>IF(A2274="","",'KG1-4'!$B$2)</f>
        <v/>
      </c>
      <c r="D2274" s="126">
        <f t="array" ref="D2274">IF(A2274="","",IFERROR(SMALL(IF((('KG1-4'!$AD32:$IM32="غياب بدون عذر")+('KG1-4'!$AD32:$IM32="غياب بعذر"))*('KG1-4'!$AD$7:$IM$7="✓"),'KG1-4'!$AD$5:$IM$5),13),""))</f>
        <v/>
      </c>
      <c r="E2274">
        <f>IF(D2274="","",INDEX('KG1-4'!$AD32:$IM32,MATCH(D2274,'KG1-4'!$AD$5:$IM$5,0)))</f>
        <v/>
      </c>
      <c r="F2274">
        <f>IF(D2274="","",COUNTIFS('KG1-4'!$AD32:$IM32,"غياب بدون عذر",'KG1-4'!$AD$7:$IM$7,"✓",'KG1-4'!$AD$5:$IM$5,"&lt;="&amp;D2274))</f>
        <v/>
      </c>
      <c r="G2274">
        <f>G2273+IF(D2274="",0,1)</f>
        <v/>
      </c>
    </row>
    <row r="2275">
      <c r="A2275">
        <f>IF('KG1-4'!$B32="","",'KG1-4'!$B32)</f>
        <v/>
      </c>
      <c r="B2275">
        <f>IF(A2275="","",'KG1-4'!$C32)</f>
        <v/>
      </c>
      <c r="C2275">
        <f>IF(A2275="","",'KG1-4'!$B$2)</f>
        <v/>
      </c>
      <c r="D2275" s="126">
        <f t="array" ref="D2275">IF(A2275="","",IFERROR(SMALL(IF((('KG1-4'!$AD32:$IM32="غياب بدون عذر")+('KG1-4'!$AD32:$IM32="غياب بعذر"))*('KG1-4'!$AD$7:$IM$7="✓"),'KG1-4'!$AD$5:$IM$5),14),""))</f>
        <v/>
      </c>
      <c r="E2275">
        <f>IF(D2275="","",INDEX('KG1-4'!$AD32:$IM32,MATCH(D2275,'KG1-4'!$AD$5:$IM$5,0)))</f>
        <v/>
      </c>
      <c r="F2275">
        <f>IF(D2275="","",COUNTIFS('KG1-4'!$AD32:$IM32,"غياب بدون عذر",'KG1-4'!$AD$7:$IM$7,"✓",'KG1-4'!$AD$5:$IM$5,"&lt;="&amp;D2275))</f>
        <v/>
      </c>
      <c r="G2275">
        <f>G2274+IF(D2275="",0,1)</f>
        <v/>
      </c>
    </row>
    <row r="2276">
      <c r="A2276">
        <f>IF('KG1-4'!$B32="","",'KG1-4'!$B32)</f>
        <v/>
      </c>
      <c r="B2276">
        <f>IF(A2276="","",'KG1-4'!$C32)</f>
        <v/>
      </c>
      <c r="C2276">
        <f>IF(A2276="","",'KG1-4'!$B$2)</f>
        <v/>
      </c>
      <c r="D2276" s="126">
        <f t="array" ref="D2276">IF(A2276="","",IFERROR(SMALL(IF((('KG1-4'!$AD32:$IM32="غياب بدون عذر")+('KG1-4'!$AD32:$IM32="غياب بعذر"))*('KG1-4'!$AD$7:$IM$7="✓"),'KG1-4'!$AD$5:$IM$5),15),""))</f>
        <v/>
      </c>
      <c r="E2276">
        <f>IF(D2276="","",INDEX('KG1-4'!$AD32:$IM32,MATCH(D2276,'KG1-4'!$AD$5:$IM$5,0)))</f>
        <v/>
      </c>
      <c r="F2276">
        <f>IF(D2276="","",COUNTIFS('KG1-4'!$AD32:$IM32,"غياب بدون عذر",'KG1-4'!$AD$7:$IM$7,"✓",'KG1-4'!$AD$5:$IM$5,"&lt;="&amp;D2276))</f>
        <v/>
      </c>
      <c r="G2276">
        <f>G2275+IF(D2276="",0,1)</f>
        <v/>
      </c>
    </row>
    <row r="2277">
      <c r="A2277">
        <f>IF('KG1-4'!$B32="","",'KG1-4'!$B32)</f>
        <v/>
      </c>
      <c r="B2277">
        <f>IF(A2277="","",'KG1-4'!$C32)</f>
        <v/>
      </c>
      <c r="C2277">
        <f>IF(A2277="","",'KG1-4'!$B$2)</f>
        <v/>
      </c>
      <c r="D2277" s="126">
        <f t="array" ref="D2277">IF(A2277="","",IFERROR(SMALL(IF((('KG1-4'!$AD32:$IM32="غياب بدون عذر")+('KG1-4'!$AD32:$IM32="غياب بعذر"))*('KG1-4'!$AD$7:$IM$7="✓"),'KG1-4'!$AD$5:$IM$5),16),""))</f>
        <v/>
      </c>
      <c r="E2277">
        <f>IF(D2277="","",INDEX('KG1-4'!$AD32:$IM32,MATCH(D2277,'KG1-4'!$AD$5:$IM$5,0)))</f>
        <v/>
      </c>
      <c r="F2277">
        <f>IF(D2277="","",COUNTIFS('KG1-4'!$AD32:$IM32,"غياب بدون عذر",'KG1-4'!$AD$7:$IM$7,"✓",'KG1-4'!$AD$5:$IM$5,"&lt;="&amp;D2277))</f>
        <v/>
      </c>
      <c r="G2277">
        <f>G2276+IF(D2277="",0,1)</f>
        <v/>
      </c>
    </row>
    <row r="2278">
      <c r="A2278">
        <f>IF('KG1-4'!$B32="","",'KG1-4'!$B32)</f>
        <v/>
      </c>
      <c r="B2278">
        <f>IF(A2278="","",'KG1-4'!$C32)</f>
        <v/>
      </c>
      <c r="C2278">
        <f>IF(A2278="","",'KG1-4'!$B$2)</f>
        <v/>
      </c>
      <c r="D2278" s="126">
        <f t="array" ref="D2278">IF(A2278="","",IFERROR(SMALL(IF((('KG1-4'!$AD32:$IM32="غياب بدون عذر")+('KG1-4'!$AD32:$IM32="غياب بعذر"))*('KG1-4'!$AD$7:$IM$7="✓"),'KG1-4'!$AD$5:$IM$5),17),""))</f>
        <v/>
      </c>
      <c r="E2278">
        <f>IF(D2278="","",INDEX('KG1-4'!$AD32:$IM32,MATCH(D2278,'KG1-4'!$AD$5:$IM$5,0)))</f>
        <v/>
      </c>
      <c r="F2278">
        <f>IF(D2278="","",COUNTIFS('KG1-4'!$AD32:$IM32,"غياب بدون عذر",'KG1-4'!$AD$7:$IM$7,"✓",'KG1-4'!$AD$5:$IM$5,"&lt;="&amp;D2278))</f>
        <v/>
      </c>
      <c r="G2278">
        <f>G2277+IF(D2278="",0,1)</f>
        <v/>
      </c>
    </row>
    <row r="2279">
      <c r="A2279">
        <f>IF('KG1-4'!$B32="","",'KG1-4'!$B32)</f>
        <v/>
      </c>
      <c r="B2279">
        <f>IF(A2279="","",'KG1-4'!$C32)</f>
        <v/>
      </c>
      <c r="C2279">
        <f>IF(A2279="","",'KG1-4'!$B$2)</f>
        <v/>
      </c>
      <c r="D2279" s="126">
        <f t="array" ref="D2279">IF(A2279="","",IFERROR(SMALL(IF((('KG1-4'!$AD32:$IM32="غياب بدون عذر")+('KG1-4'!$AD32:$IM32="غياب بعذر"))*('KG1-4'!$AD$7:$IM$7="✓"),'KG1-4'!$AD$5:$IM$5),18),""))</f>
        <v/>
      </c>
      <c r="E2279">
        <f>IF(D2279="","",INDEX('KG1-4'!$AD32:$IM32,MATCH(D2279,'KG1-4'!$AD$5:$IM$5,0)))</f>
        <v/>
      </c>
      <c r="F2279">
        <f>IF(D2279="","",COUNTIFS('KG1-4'!$AD32:$IM32,"غياب بدون عذر",'KG1-4'!$AD$7:$IM$7,"✓",'KG1-4'!$AD$5:$IM$5,"&lt;="&amp;D2279))</f>
        <v/>
      </c>
      <c r="G2279">
        <f>G2278+IF(D2279="",0,1)</f>
        <v/>
      </c>
    </row>
    <row r="2280">
      <c r="A2280">
        <f>IF('KG1-4'!$B32="","",'KG1-4'!$B32)</f>
        <v/>
      </c>
      <c r="B2280">
        <f>IF(A2280="","",'KG1-4'!$C32)</f>
        <v/>
      </c>
      <c r="C2280">
        <f>IF(A2280="","",'KG1-4'!$B$2)</f>
        <v/>
      </c>
      <c r="D2280" s="126">
        <f t="array" ref="D2280">IF(A2280="","",IFERROR(SMALL(IF((('KG1-4'!$AD32:$IM32="غياب بدون عذر")+('KG1-4'!$AD32:$IM32="غياب بعذر"))*('KG1-4'!$AD$7:$IM$7="✓"),'KG1-4'!$AD$5:$IM$5),19),""))</f>
        <v/>
      </c>
      <c r="E2280">
        <f>IF(D2280="","",INDEX('KG1-4'!$AD32:$IM32,MATCH(D2280,'KG1-4'!$AD$5:$IM$5,0)))</f>
        <v/>
      </c>
      <c r="F2280">
        <f>IF(D2280="","",COUNTIFS('KG1-4'!$AD32:$IM32,"غياب بدون عذر",'KG1-4'!$AD$7:$IM$7,"✓",'KG1-4'!$AD$5:$IM$5,"&lt;="&amp;D2280))</f>
        <v/>
      </c>
      <c r="G2280">
        <f>G2279+IF(D2280="",0,1)</f>
        <v/>
      </c>
    </row>
    <row r="2281">
      <c r="A2281">
        <f>IF('KG1-4'!$B32="","",'KG1-4'!$B32)</f>
        <v/>
      </c>
      <c r="B2281">
        <f>IF(A2281="","",'KG1-4'!$C32)</f>
        <v/>
      </c>
      <c r="C2281">
        <f>IF(A2281="","",'KG1-4'!$B$2)</f>
        <v/>
      </c>
      <c r="D2281" s="126">
        <f t="array" ref="D2281">IF(A2281="","",IFERROR(SMALL(IF((('KG1-4'!$AD32:$IM32="غياب بدون عذر")+('KG1-4'!$AD32:$IM32="غياب بعذر"))*('KG1-4'!$AD$7:$IM$7="✓"),'KG1-4'!$AD$5:$IM$5),20),""))</f>
        <v/>
      </c>
      <c r="E2281">
        <f>IF(D2281="","",INDEX('KG1-4'!$AD32:$IM32,MATCH(D2281,'KG1-4'!$AD$5:$IM$5,0)))</f>
        <v/>
      </c>
      <c r="F2281">
        <f>IF(D2281="","",COUNTIFS('KG1-4'!$AD32:$IM32,"غياب بدون عذر",'KG1-4'!$AD$7:$IM$7,"✓",'KG1-4'!$AD$5:$IM$5,"&lt;="&amp;D2281))</f>
        <v/>
      </c>
      <c r="G2281">
        <f>G2280+IF(D2281="",0,1)</f>
        <v/>
      </c>
    </row>
    <row r="2282">
      <c r="A2282">
        <f>IF('KG1-4'!$B33="","",'KG1-4'!$B33)</f>
        <v/>
      </c>
      <c r="B2282">
        <f>IF(A2282="","",'KG1-4'!$C33)</f>
        <v/>
      </c>
      <c r="C2282">
        <f>IF(A2282="","",'KG1-4'!$B$2)</f>
        <v/>
      </c>
      <c r="D2282" s="126">
        <f t="array" ref="D2282">IF(A2282="","",IFERROR(SMALL(IF((('KG1-4'!$AD33:$IM33="غياب بدون عذر")+('KG1-4'!$AD33:$IM33="غياب بعذر"))*('KG1-4'!$AD$7:$IM$7="✓"),'KG1-4'!$AD$5:$IM$5),1),""))</f>
        <v/>
      </c>
      <c r="E2282">
        <f>IF(D2282="","",INDEX('KG1-4'!$AD33:$IM33,MATCH(D2282,'KG1-4'!$AD$5:$IM$5,0)))</f>
        <v/>
      </c>
      <c r="F2282">
        <f>IF(D2282="","",COUNTIFS('KG1-4'!$AD33:$IM33,"غياب بدون عذر",'KG1-4'!$AD$7:$IM$7,"✓",'KG1-4'!$AD$5:$IM$5,"&lt;="&amp;D2282))</f>
        <v/>
      </c>
      <c r="G2282">
        <f>G2281+IF(D2282="",0,1)</f>
        <v/>
      </c>
    </row>
    <row r="2283">
      <c r="A2283">
        <f>IF('KG1-4'!$B33="","",'KG1-4'!$B33)</f>
        <v/>
      </c>
      <c r="B2283">
        <f>IF(A2283="","",'KG1-4'!$C33)</f>
        <v/>
      </c>
      <c r="C2283">
        <f>IF(A2283="","",'KG1-4'!$B$2)</f>
        <v/>
      </c>
      <c r="D2283" s="126">
        <f t="array" ref="D2283">IF(A2283="","",IFERROR(SMALL(IF((('KG1-4'!$AD33:$IM33="غياب بدون عذر")+('KG1-4'!$AD33:$IM33="غياب بعذر"))*('KG1-4'!$AD$7:$IM$7="✓"),'KG1-4'!$AD$5:$IM$5),2),""))</f>
        <v/>
      </c>
      <c r="E2283">
        <f>IF(D2283="","",INDEX('KG1-4'!$AD33:$IM33,MATCH(D2283,'KG1-4'!$AD$5:$IM$5,0)))</f>
        <v/>
      </c>
      <c r="F2283">
        <f>IF(D2283="","",COUNTIFS('KG1-4'!$AD33:$IM33,"غياب بدون عذر",'KG1-4'!$AD$7:$IM$7,"✓",'KG1-4'!$AD$5:$IM$5,"&lt;="&amp;D2283))</f>
        <v/>
      </c>
      <c r="G2283">
        <f>G2282+IF(D2283="",0,1)</f>
        <v/>
      </c>
    </row>
    <row r="2284">
      <c r="A2284">
        <f>IF('KG1-4'!$B33="","",'KG1-4'!$B33)</f>
        <v/>
      </c>
      <c r="B2284">
        <f>IF(A2284="","",'KG1-4'!$C33)</f>
        <v/>
      </c>
      <c r="C2284">
        <f>IF(A2284="","",'KG1-4'!$B$2)</f>
        <v/>
      </c>
      <c r="D2284" s="126">
        <f t="array" ref="D2284">IF(A2284="","",IFERROR(SMALL(IF((('KG1-4'!$AD33:$IM33="غياب بدون عذر")+('KG1-4'!$AD33:$IM33="غياب بعذر"))*('KG1-4'!$AD$7:$IM$7="✓"),'KG1-4'!$AD$5:$IM$5),3),""))</f>
        <v/>
      </c>
      <c r="E2284">
        <f>IF(D2284="","",INDEX('KG1-4'!$AD33:$IM33,MATCH(D2284,'KG1-4'!$AD$5:$IM$5,0)))</f>
        <v/>
      </c>
      <c r="F2284">
        <f>IF(D2284="","",COUNTIFS('KG1-4'!$AD33:$IM33,"غياب بدون عذر",'KG1-4'!$AD$7:$IM$7,"✓",'KG1-4'!$AD$5:$IM$5,"&lt;="&amp;D2284))</f>
        <v/>
      </c>
      <c r="G2284">
        <f>G2283+IF(D2284="",0,1)</f>
        <v/>
      </c>
    </row>
    <row r="2285">
      <c r="A2285">
        <f>IF('KG1-4'!$B33="","",'KG1-4'!$B33)</f>
        <v/>
      </c>
      <c r="B2285">
        <f>IF(A2285="","",'KG1-4'!$C33)</f>
        <v/>
      </c>
      <c r="C2285">
        <f>IF(A2285="","",'KG1-4'!$B$2)</f>
        <v/>
      </c>
      <c r="D2285" s="126">
        <f t="array" ref="D2285">IF(A2285="","",IFERROR(SMALL(IF((('KG1-4'!$AD33:$IM33="غياب بدون عذر")+('KG1-4'!$AD33:$IM33="غياب بعذر"))*('KG1-4'!$AD$7:$IM$7="✓"),'KG1-4'!$AD$5:$IM$5),4),""))</f>
        <v/>
      </c>
      <c r="E2285">
        <f>IF(D2285="","",INDEX('KG1-4'!$AD33:$IM33,MATCH(D2285,'KG1-4'!$AD$5:$IM$5,0)))</f>
        <v/>
      </c>
      <c r="F2285">
        <f>IF(D2285="","",COUNTIFS('KG1-4'!$AD33:$IM33,"غياب بدون عذر",'KG1-4'!$AD$7:$IM$7,"✓",'KG1-4'!$AD$5:$IM$5,"&lt;="&amp;D2285))</f>
        <v/>
      </c>
      <c r="G2285">
        <f>G2284+IF(D2285="",0,1)</f>
        <v/>
      </c>
    </row>
    <row r="2286">
      <c r="A2286">
        <f>IF('KG1-4'!$B33="","",'KG1-4'!$B33)</f>
        <v/>
      </c>
      <c r="B2286">
        <f>IF(A2286="","",'KG1-4'!$C33)</f>
        <v/>
      </c>
      <c r="C2286">
        <f>IF(A2286="","",'KG1-4'!$B$2)</f>
        <v/>
      </c>
      <c r="D2286" s="126">
        <f t="array" ref="D2286">IF(A2286="","",IFERROR(SMALL(IF((('KG1-4'!$AD33:$IM33="غياب بدون عذر")+('KG1-4'!$AD33:$IM33="غياب بعذر"))*('KG1-4'!$AD$7:$IM$7="✓"),'KG1-4'!$AD$5:$IM$5),5),""))</f>
        <v/>
      </c>
      <c r="E2286">
        <f>IF(D2286="","",INDEX('KG1-4'!$AD33:$IM33,MATCH(D2286,'KG1-4'!$AD$5:$IM$5,0)))</f>
        <v/>
      </c>
      <c r="F2286">
        <f>IF(D2286="","",COUNTIFS('KG1-4'!$AD33:$IM33,"غياب بدون عذر",'KG1-4'!$AD$7:$IM$7,"✓",'KG1-4'!$AD$5:$IM$5,"&lt;="&amp;D2286))</f>
        <v/>
      </c>
      <c r="G2286">
        <f>G2285+IF(D2286="",0,1)</f>
        <v/>
      </c>
    </row>
    <row r="2287">
      <c r="A2287">
        <f>IF('KG1-4'!$B33="","",'KG1-4'!$B33)</f>
        <v/>
      </c>
      <c r="B2287">
        <f>IF(A2287="","",'KG1-4'!$C33)</f>
        <v/>
      </c>
      <c r="C2287">
        <f>IF(A2287="","",'KG1-4'!$B$2)</f>
        <v/>
      </c>
      <c r="D2287" s="126">
        <f t="array" ref="D2287">IF(A2287="","",IFERROR(SMALL(IF((('KG1-4'!$AD33:$IM33="غياب بدون عذر")+('KG1-4'!$AD33:$IM33="غياب بعذر"))*('KG1-4'!$AD$7:$IM$7="✓"),'KG1-4'!$AD$5:$IM$5),6),""))</f>
        <v/>
      </c>
      <c r="E2287">
        <f>IF(D2287="","",INDEX('KG1-4'!$AD33:$IM33,MATCH(D2287,'KG1-4'!$AD$5:$IM$5,0)))</f>
        <v/>
      </c>
      <c r="F2287">
        <f>IF(D2287="","",COUNTIFS('KG1-4'!$AD33:$IM33,"غياب بدون عذر",'KG1-4'!$AD$7:$IM$7,"✓",'KG1-4'!$AD$5:$IM$5,"&lt;="&amp;D2287))</f>
        <v/>
      </c>
      <c r="G2287">
        <f>G2286+IF(D2287="",0,1)</f>
        <v/>
      </c>
    </row>
    <row r="2288">
      <c r="A2288">
        <f>IF('KG1-4'!$B33="","",'KG1-4'!$B33)</f>
        <v/>
      </c>
      <c r="B2288">
        <f>IF(A2288="","",'KG1-4'!$C33)</f>
        <v/>
      </c>
      <c r="C2288">
        <f>IF(A2288="","",'KG1-4'!$B$2)</f>
        <v/>
      </c>
      <c r="D2288" s="126">
        <f t="array" ref="D2288">IF(A2288="","",IFERROR(SMALL(IF((('KG1-4'!$AD33:$IM33="غياب بدون عذر")+('KG1-4'!$AD33:$IM33="غياب بعذر"))*('KG1-4'!$AD$7:$IM$7="✓"),'KG1-4'!$AD$5:$IM$5),7),""))</f>
        <v/>
      </c>
      <c r="E2288">
        <f>IF(D2288="","",INDEX('KG1-4'!$AD33:$IM33,MATCH(D2288,'KG1-4'!$AD$5:$IM$5,0)))</f>
        <v/>
      </c>
      <c r="F2288">
        <f>IF(D2288="","",COUNTIFS('KG1-4'!$AD33:$IM33,"غياب بدون عذر",'KG1-4'!$AD$7:$IM$7,"✓",'KG1-4'!$AD$5:$IM$5,"&lt;="&amp;D2288))</f>
        <v/>
      </c>
      <c r="G2288">
        <f>G2287+IF(D2288="",0,1)</f>
        <v/>
      </c>
    </row>
    <row r="2289">
      <c r="A2289">
        <f>IF('KG1-4'!$B33="","",'KG1-4'!$B33)</f>
        <v/>
      </c>
      <c r="B2289">
        <f>IF(A2289="","",'KG1-4'!$C33)</f>
        <v/>
      </c>
      <c r="C2289">
        <f>IF(A2289="","",'KG1-4'!$B$2)</f>
        <v/>
      </c>
      <c r="D2289" s="126">
        <f t="array" ref="D2289">IF(A2289="","",IFERROR(SMALL(IF((('KG1-4'!$AD33:$IM33="غياب بدون عذر")+('KG1-4'!$AD33:$IM33="غياب بعذر"))*('KG1-4'!$AD$7:$IM$7="✓"),'KG1-4'!$AD$5:$IM$5),8),""))</f>
        <v/>
      </c>
      <c r="E2289">
        <f>IF(D2289="","",INDEX('KG1-4'!$AD33:$IM33,MATCH(D2289,'KG1-4'!$AD$5:$IM$5,0)))</f>
        <v/>
      </c>
      <c r="F2289">
        <f>IF(D2289="","",COUNTIFS('KG1-4'!$AD33:$IM33,"غياب بدون عذر",'KG1-4'!$AD$7:$IM$7,"✓",'KG1-4'!$AD$5:$IM$5,"&lt;="&amp;D2289))</f>
        <v/>
      </c>
      <c r="G2289">
        <f>G2288+IF(D2289="",0,1)</f>
        <v/>
      </c>
    </row>
    <row r="2290">
      <c r="A2290">
        <f>IF('KG1-4'!$B33="","",'KG1-4'!$B33)</f>
        <v/>
      </c>
      <c r="B2290">
        <f>IF(A2290="","",'KG1-4'!$C33)</f>
        <v/>
      </c>
      <c r="C2290">
        <f>IF(A2290="","",'KG1-4'!$B$2)</f>
        <v/>
      </c>
      <c r="D2290" s="126">
        <f t="array" ref="D2290">IF(A2290="","",IFERROR(SMALL(IF((('KG1-4'!$AD33:$IM33="غياب بدون عذر")+('KG1-4'!$AD33:$IM33="غياب بعذر"))*('KG1-4'!$AD$7:$IM$7="✓"),'KG1-4'!$AD$5:$IM$5),9),""))</f>
        <v/>
      </c>
      <c r="E2290">
        <f>IF(D2290="","",INDEX('KG1-4'!$AD33:$IM33,MATCH(D2290,'KG1-4'!$AD$5:$IM$5,0)))</f>
        <v/>
      </c>
      <c r="F2290">
        <f>IF(D2290="","",COUNTIFS('KG1-4'!$AD33:$IM33,"غياب بدون عذر",'KG1-4'!$AD$7:$IM$7,"✓",'KG1-4'!$AD$5:$IM$5,"&lt;="&amp;D2290))</f>
        <v/>
      </c>
      <c r="G2290">
        <f>G2289+IF(D2290="",0,1)</f>
        <v/>
      </c>
    </row>
    <row r="2291">
      <c r="A2291">
        <f>IF('KG1-4'!$B33="","",'KG1-4'!$B33)</f>
        <v/>
      </c>
      <c r="B2291">
        <f>IF(A2291="","",'KG1-4'!$C33)</f>
        <v/>
      </c>
      <c r="C2291">
        <f>IF(A2291="","",'KG1-4'!$B$2)</f>
        <v/>
      </c>
      <c r="D2291" s="126">
        <f t="array" ref="D2291">IF(A2291="","",IFERROR(SMALL(IF((('KG1-4'!$AD33:$IM33="غياب بدون عذر")+('KG1-4'!$AD33:$IM33="غياب بعذر"))*('KG1-4'!$AD$7:$IM$7="✓"),'KG1-4'!$AD$5:$IM$5),10),""))</f>
        <v/>
      </c>
      <c r="E2291">
        <f>IF(D2291="","",INDEX('KG1-4'!$AD33:$IM33,MATCH(D2291,'KG1-4'!$AD$5:$IM$5,0)))</f>
        <v/>
      </c>
      <c r="F2291">
        <f>IF(D2291="","",COUNTIFS('KG1-4'!$AD33:$IM33,"غياب بدون عذر",'KG1-4'!$AD$7:$IM$7,"✓",'KG1-4'!$AD$5:$IM$5,"&lt;="&amp;D2291))</f>
        <v/>
      </c>
      <c r="G2291">
        <f>G2290+IF(D2291="",0,1)</f>
        <v/>
      </c>
    </row>
    <row r="2292">
      <c r="A2292">
        <f>IF('KG1-4'!$B33="","",'KG1-4'!$B33)</f>
        <v/>
      </c>
      <c r="B2292">
        <f>IF(A2292="","",'KG1-4'!$C33)</f>
        <v/>
      </c>
      <c r="C2292">
        <f>IF(A2292="","",'KG1-4'!$B$2)</f>
        <v/>
      </c>
      <c r="D2292" s="126">
        <f t="array" ref="D2292">IF(A2292="","",IFERROR(SMALL(IF((('KG1-4'!$AD33:$IM33="غياب بدون عذر")+('KG1-4'!$AD33:$IM33="غياب بعذر"))*('KG1-4'!$AD$7:$IM$7="✓"),'KG1-4'!$AD$5:$IM$5),11),""))</f>
        <v/>
      </c>
      <c r="E2292">
        <f>IF(D2292="","",INDEX('KG1-4'!$AD33:$IM33,MATCH(D2292,'KG1-4'!$AD$5:$IM$5,0)))</f>
        <v/>
      </c>
      <c r="F2292">
        <f>IF(D2292="","",COUNTIFS('KG1-4'!$AD33:$IM33,"غياب بدون عذر",'KG1-4'!$AD$7:$IM$7,"✓",'KG1-4'!$AD$5:$IM$5,"&lt;="&amp;D2292))</f>
        <v/>
      </c>
      <c r="G2292">
        <f>G2291+IF(D2292="",0,1)</f>
        <v/>
      </c>
    </row>
    <row r="2293">
      <c r="A2293">
        <f>IF('KG1-4'!$B33="","",'KG1-4'!$B33)</f>
        <v/>
      </c>
      <c r="B2293">
        <f>IF(A2293="","",'KG1-4'!$C33)</f>
        <v/>
      </c>
      <c r="C2293">
        <f>IF(A2293="","",'KG1-4'!$B$2)</f>
        <v/>
      </c>
      <c r="D2293" s="126">
        <f t="array" ref="D2293">IF(A2293="","",IFERROR(SMALL(IF((('KG1-4'!$AD33:$IM33="غياب بدون عذر")+('KG1-4'!$AD33:$IM33="غياب بعذر"))*('KG1-4'!$AD$7:$IM$7="✓"),'KG1-4'!$AD$5:$IM$5),12),""))</f>
        <v/>
      </c>
      <c r="E2293">
        <f>IF(D2293="","",INDEX('KG1-4'!$AD33:$IM33,MATCH(D2293,'KG1-4'!$AD$5:$IM$5,0)))</f>
        <v/>
      </c>
      <c r="F2293">
        <f>IF(D2293="","",COUNTIFS('KG1-4'!$AD33:$IM33,"غياب بدون عذر",'KG1-4'!$AD$7:$IM$7,"✓",'KG1-4'!$AD$5:$IM$5,"&lt;="&amp;D2293))</f>
        <v/>
      </c>
      <c r="G2293">
        <f>G2292+IF(D2293="",0,1)</f>
        <v/>
      </c>
    </row>
    <row r="2294">
      <c r="A2294">
        <f>IF('KG1-4'!$B33="","",'KG1-4'!$B33)</f>
        <v/>
      </c>
      <c r="B2294">
        <f>IF(A2294="","",'KG1-4'!$C33)</f>
        <v/>
      </c>
      <c r="C2294">
        <f>IF(A2294="","",'KG1-4'!$B$2)</f>
        <v/>
      </c>
      <c r="D2294" s="126">
        <f t="array" ref="D2294">IF(A2294="","",IFERROR(SMALL(IF((('KG1-4'!$AD33:$IM33="غياب بدون عذر")+('KG1-4'!$AD33:$IM33="غياب بعذر"))*('KG1-4'!$AD$7:$IM$7="✓"),'KG1-4'!$AD$5:$IM$5),13),""))</f>
        <v/>
      </c>
      <c r="E2294">
        <f>IF(D2294="","",INDEX('KG1-4'!$AD33:$IM33,MATCH(D2294,'KG1-4'!$AD$5:$IM$5,0)))</f>
        <v/>
      </c>
      <c r="F2294">
        <f>IF(D2294="","",COUNTIFS('KG1-4'!$AD33:$IM33,"غياب بدون عذر",'KG1-4'!$AD$7:$IM$7,"✓",'KG1-4'!$AD$5:$IM$5,"&lt;="&amp;D2294))</f>
        <v/>
      </c>
      <c r="G2294">
        <f>G2293+IF(D2294="",0,1)</f>
        <v/>
      </c>
    </row>
    <row r="2295">
      <c r="A2295">
        <f>IF('KG1-4'!$B33="","",'KG1-4'!$B33)</f>
        <v/>
      </c>
      <c r="B2295">
        <f>IF(A2295="","",'KG1-4'!$C33)</f>
        <v/>
      </c>
      <c r="C2295">
        <f>IF(A2295="","",'KG1-4'!$B$2)</f>
        <v/>
      </c>
      <c r="D2295" s="126">
        <f t="array" ref="D2295">IF(A2295="","",IFERROR(SMALL(IF((('KG1-4'!$AD33:$IM33="غياب بدون عذر")+('KG1-4'!$AD33:$IM33="غياب بعذر"))*('KG1-4'!$AD$7:$IM$7="✓"),'KG1-4'!$AD$5:$IM$5),14),""))</f>
        <v/>
      </c>
      <c r="E2295">
        <f>IF(D2295="","",INDEX('KG1-4'!$AD33:$IM33,MATCH(D2295,'KG1-4'!$AD$5:$IM$5,0)))</f>
        <v/>
      </c>
      <c r="F2295">
        <f>IF(D2295="","",COUNTIFS('KG1-4'!$AD33:$IM33,"غياب بدون عذر",'KG1-4'!$AD$7:$IM$7,"✓",'KG1-4'!$AD$5:$IM$5,"&lt;="&amp;D2295))</f>
        <v/>
      </c>
      <c r="G2295">
        <f>G2294+IF(D2295="",0,1)</f>
        <v/>
      </c>
    </row>
    <row r="2296">
      <c r="A2296">
        <f>IF('KG1-4'!$B33="","",'KG1-4'!$B33)</f>
        <v/>
      </c>
      <c r="B2296">
        <f>IF(A2296="","",'KG1-4'!$C33)</f>
        <v/>
      </c>
      <c r="C2296">
        <f>IF(A2296="","",'KG1-4'!$B$2)</f>
        <v/>
      </c>
      <c r="D2296" s="126">
        <f t="array" ref="D2296">IF(A2296="","",IFERROR(SMALL(IF((('KG1-4'!$AD33:$IM33="غياب بدون عذر")+('KG1-4'!$AD33:$IM33="غياب بعذر"))*('KG1-4'!$AD$7:$IM$7="✓"),'KG1-4'!$AD$5:$IM$5),15),""))</f>
        <v/>
      </c>
      <c r="E2296">
        <f>IF(D2296="","",INDEX('KG1-4'!$AD33:$IM33,MATCH(D2296,'KG1-4'!$AD$5:$IM$5,0)))</f>
        <v/>
      </c>
      <c r="F2296">
        <f>IF(D2296="","",COUNTIFS('KG1-4'!$AD33:$IM33,"غياب بدون عذر",'KG1-4'!$AD$7:$IM$7,"✓",'KG1-4'!$AD$5:$IM$5,"&lt;="&amp;D2296))</f>
        <v/>
      </c>
      <c r="G2296">
        <f>G2295+IF(D2296="",0,1)</f>
        <v/>
      </c>
    </row>
    <row r="2297">
      <c r="A2297">
        <f>IF('KG1-4'!$B33="","",'KG1-4'!$B33)</f>
        <v/>
      </c>
      <c r="B2297">
        <f>IF(A2297="","",'KG1-4'!$C33)</f>
        <v/>
      </c>
      <c r="C2297">
        <f>IF(A2297="","",'KG1-4'!$B$2)</f>
        <v/>
      </c>
      <c r="D2297" s="126">
        <f t="array" ref="D2297">IF(A2297="","",IFERROR(SMALL(IF((('KG1-4'!$AD33:$IM33="غياب بدون عذر")+('KG1-4'!$AD33:$IM33="غياب بعذر"))*('KG1-4'!$AD$7:$IM$7="✓"),'KG1-4'!$AD$5:$IM$5),16),""))</f>
        <v/>
      </c>
      <c r="E2297">
        <f>IF(D2297="","",INDEX('KG1-4'!$AD33:$IM33,MATCH(D2297,'KG1-4'!$AD$5:$IM$5,0)))</f>
        <v/>
      </c>
      <c r="F2297">
        <f>IF(D2297="","",COUNTIFS('KG1-4'!$AD33:$IM33,"غياب بدون عذر",'KG1-4'!$AD$7:$IM$7,"✓",'KG1-4'!$AD$5:$IM$5,"&lt;="&amp;D2297))</f>
        <v/>
      </c>
      <c r="G2297">
        <f>G2296+IF(D2297="",0,1)</f>
        <v/>
      </c>
    </row>
    <row r="2298">
      <c r="A2298">
        <f>IF('KG1-4'!$B33="","",'KG1-4'!$B33)</f>
        <v/>
      </c>
      <c r="B2298">
        <f>IF(A2298="","",'KG1-4'!$C33)</f>
        <v/>
      </c>
      <c r="C2298">
        <f>IF(A2298="","",'KG1-4'!$B$2)</f>
        <v/>
      </c>
      <c r="D2298" s="126">
        <f t="array" ref="D2298">IF(A2298="","",IFERROR(SMALL(IF((('KG1-4'!$AD33:$IM33="غياب بدون عذر")+('KG1-4'!$AD33:$IM33="غياب بعذر"))*('KG1-4'!$AD$7:$IM$7="✓"),'KG1-4'!$AD$5:$IM$5),17),""))</f>
        <v/>
      </c>
      <c r="E2298">
        <f>IF(D2298="","",INDEX('KG1-4'!$AD33:$IM33,MATCH(D2298,'KG1-4'!$AD$5:$IM$5,0)))</f>
        <v/>
      </c>
      <c r="F2298">
        <f>IF(D2298="","",COUNTIFS('KG1-4'!$AD33:$IM33,"غياب بدون عذر",'KG1-4'!$AD$7:$IM$7,"✓",'KG1-4'!$AD$5:$IM$5,"&lt;="&amp;D2298))</f>
        <v/>
      </c>
      <c r="G2298">
        <f>G2297+IF(D2298="",0,1)</f>
        <v/>
      </c>
    </row>
    <row r="2299">
      <c r="A2299">
        <f>IF('KG1-4'!$B33="","",'KG1-4'!$B33)</f>
        <v/>
      </c>
      <c r="B2299">
        <f>IF(A2299="","",'KG1-4'!$C33)</f>
        <v/>
      </c>
      <c r="C2299">
        <f>IF(A2299="","",'KG1-4'!$B$2)</f>
        <v/>
      </c>
      <c r="D2299" s="126">
        <f t="array" ref="D2299">IF(A2299="","",IFERROR(SMALL(IF((('KG1-4'!$AD33:$IM33="غياب بدون عذر")+('KG1-4'!$AD33:$IM33="غياب بعذر"))*('KG1-4'!$AD$7:$IM$7="✓"),'KG1-4'!$AD$5:$IM$5),18),""))</f>
        <v/>
      </c>
      <c r="E2299">
        <f>IF(D2299="","",INDEX('KG1-4'!$AD33:$IM33,MATCH(D2299,'KG1-4'!$AD$5:$IM$5,0)))</f>
        <v/>
      </c>
      <c r="F2299">
        <f>IF(D2299="","",COUNTIFS('KG1-4'!$AD33:$IM33,"غياب بدون عذر",'KG1-4'!$AD$7:$IM$7,"✓",'KG1-4'!$AD$5:$IM$5,"&lt;="&amp;D2299))</f>
        <v/>
      </c>
      <c r="G2299">
        <f>G2298+IF(D2299="",0,1)</f>
        <v/>
      </c>
    </row>
    <row r="2300">
      <c r="A2300">
        <f>IF('KG1-4'!$B33="","",'KG1-4'!$B33)</f>
        <v/>
      </c>
      <c r="B2300">
        <f>IF(A2300="","",'KG1-4'!$C33)</f>
        <v/>
      </c>
      <c r="C2300">
        <f>IF(A2300="","",'KG1-4'!$B$2)</f>
        <v/>
      </c>
      <c r="D2300" s="126">
        <f t="array" ref="D2300">IF(A2300="","",IFERROR(SMALL(IF((('KG1-4'!$AD33:$IM33="غياب بدون عذر")+('KG1-4'!$AD33:$IM33="غياب بعذر"))*('KG1-4'!$AD$7:$IM$7="✓"),'KG1-4'!$AD$5:$IM$5),19),""))</f>
        <v/>
      </c>
      <c r="E2300">
        <f>IF(D2300="","",INDEX('KG1-4'!$AD33:$IM33,MATCH(D2300,'KG1-4'!$AD$5:$IM$5,0)))</f>
        <v/>
      </c>
      <c r="F2300">
        <f>IF(D2300="","",COUNTIFS('KG1-4'!$AD33:$IM33,"غياب بدون عذر",'KG1-4'!$AD$7:$IM$7,"✓",'KG1-4'!$AD$5:$IM$5,"&lt;="&amp;D2300))</f>
        <v/>
      </c>
      <c r="G2300">
        <f>G2299+IF(D2300="",0,1)</f>
        <v/>
      </c>
    </row>
    <row r="2301">
      <c r="A2301">
        <f>IF('KG1-4'!$B33="","",'KG1-4'!$B33)</f>
        <v/>
      </c>
      <c r="B2301">
        <f>IF(A2301="","",'KG1-4'!$C33)</f>
        <v/>
      </c>
      <c r="C2301">
        <f>IF(A2301="","",'KG1-4'!$B$2)</f>
        <v/>
      </c>
      <c r="D2301" s="126">
        <f t="array" ref="D2301">IF(A2301="","",IFERROR(SMALL(IF((('KG1-4'!$AD33:$IM33="غياب بدون عذر")+('KG1-4'!$AD33:$IM33="غياب بعذر"))*('KG1-4'!$AD$7:$IM$7="✓"),'KG1-4'!$AD$5:$IM$5),20),""))</f>
        <v/>
      </c>
      <c r="E2301">
        <f>IF(D2301="","",INDEX('KG1-4'!$AD33:$IM33,MATCH(D2301,'KG1-4'!$AD$5:$IM$5,0)))</f>
        <v/>
      </c>
      <c r="F2301">
        <f>IF(D2301="","",COUNTIFS('KG1-4'!$AD33:$IM33,"غياب بدون عذر",'KG1-4'!$AD$7:$IM$7,"✓",'KG1-4'!$AD$5:$IM$5,"&lt;="&amp;D2301))</f>
        <v/>
      </c>
      <c r="G2301">
        <f>G2300+IF(D2301="",0,1)</f>
        <v/>
      </c>
    </row>
    <row r="2302">
      <c r="A2302">
        <f>IF('KG1-4'!$B34="","",'KG1-4'!$B34)</f>
        <v/>
      </c>
      <c r="B2302">
        <f>IF(A2302="","",'KG1-4'!$C34)</f>
        <v/>
      </c>
      <c r="C2302">
        <f>IF(A2302="","",'KG1-4'!$B$2)</f>
        <v/>
      </c>
      <c r="D2302" s="126">
        <f t="array" ref="D2302">IF(A2302="","",IFERROR(SMALL(IF((('KG1-4'!$AD34:$IM34="غياب بدون عذر")+('KG1-4'!$AD34:$IM34="غياب بعذر"))*('KG1-4'!$AD$7:$IM$7="✓"),'KG1-4'!$AD$5:$IM$5),1),""))</f>
        <v/>
      </c>
      <c r="E2302">
        <f>IF(D2302="","",INDEX('KG1-4'!$AD34:$IM34,MATCH(D2302,'KG1-4'!$AD$5:$IM$5,0)))</f>
        <v/>
      </c>
      <c r="F2302">
        <f>IF(D2302="","",COUNTIFS('KG1-4'!$AD34:$IM34,"غياب بدون عذر",'KG1-4'!$AD$7:$IM$7,"✓",'KG1-4'!$AD$5:$IM$5,"&lt;="&amp;D2302))</f>
        <v/>
      </c>
      <c r="G2302">
        <f>G2301+IF(D2302="",0,1)</f>
        <v/>
      </c>
    </row>
    <row r="2303">
      <c r="A2303">
        <f>IF('KG1-4'!$B34="","",'KG1-4'!$B34)</f>
        <v/>
      </c>
      <c r="B2303">
        <f>IF(A2303="","",'KG1-4'!$C34)</f>
        <v/>
      </c>
      <c r="C2303">
        <f>IF(A2303="","",'KG1-4'!$B$2)</f>
        <v/>
      </c>
      <c r="D2303" s="126">
        <f t="array" ref="D2303">IF(A2303="","",IFERROR(SMALL(IF((('KG1-4'!$AD34:$IM34="غياب بدون عذر")+('KG1-4'!$AD34:$IM34="غياب بعذر"))*('KG1-4'!$AD$7:$IM$7="✓"),'KG1-4'!$AD$5:$IM$5),2),""))</f>
        <v/>
      </c>
      <c r="E2303">
        <f>IF(D2303="","",INDEX('KG1-4'!$AD34:$IM34,MATCH(D2303,'KG1-4'!$AD$5:$IM$5,0)))</f>
        <v/>
      </c>
      <c r="F2303">
        <f>IF(D2303="","",COUNTIFS('KG1-4'!$AD34:$IM34,"غياب بدون عذر",'KG1-4'!$AD$7:$IM$7,"✓",'KG1-4'!$AD$5:$IM$5,"&lt;="&amp;D2303))</f>
        <v/>
      </c>
      <c r="G2303">
        <f>G2302+IF(D2303="",0,1)</f>
        <v/>
      </c>
    </row>
    <row r="2304">
      <c r="A2304">
        <f>IF('KG1-4'!$B34="","",'KG1-4'!$B34)</f>
        <v/>
      </c>
      <c r="B2304">
        <f>IF(A2304="","",'KG1-4'!$C34)</f>
        <v/>
      </c>
      <c r="C2304">
        <f>IF(A2304="","",'KG1-4'!$B$2)</f>
        <v/>
      </c>
      <c r="D2304" s="126">
        <f t="array" ref="D2304">IF(A2304="","",IFERROR(SMALL(IF((('KG1-4'!$AD34:$IM34="غياب بدون عذر")+('KG1-4'!$AD34:$IM34="غياب بعذر"))*('KG1-4'!$AD$7:$IM$7="✓"),'KG1-4'!$AD$5:$IM$5),3),""))</f>
        <v/>
      </c>
      <c r="E2304">
        <f>IF(D2304="","",INDEX('KG1-4'!$AD34:$IM34,MATCH(D2304,'KG1-4'!$AD$5:$IM$5,0)))</f>
        <v/>
      </c>
      <c r="F2304">
        <f>IF(D2304="","",COUNTIFS('KG1-4'!$AD34:$IM34,"غياب بدون عذر",'KG1-4'!$AD$7:$IM$7,"✓",'KG1-4'!$AD$5:$IM$5,"&lt;="&amp;D2304))</f>
        <v/>
      </c>
      <c r="G2304">
        <f>G2303+IF(D2304="",0,1)</f>
        <v/>
      </c>
    </row>
    <row r="2305">
      <c r="A2305">
        <f>IF('KG1-4'!$B34="","",'KG1-4'!$B34)</f>
        <v/>
      </c>
      <c r="B2305">
        <f>IF(A2305="","",'KG1-4'!$C34)</f>
        <v/>
      </c>
      <c r="C2305">
        <f>IF(A2305="","",'KG1-4'!$B$2)</f>
        <v/>
      </c>
      <c r="D2305" s="126">
        <f t="array" ref="D2305">IF(A2305="","",IFERROR(SMALL(IF((('KG1-4'!$AD34:$IM34="غياب بدون عذر")+('KG1-4'!$AD34:$IM34="غياب بعذر"))*('KG1-4'!$AD$7:$IM$7="✓"),'KG1-4'!$AD$5:$IM$5),4),""))</f>
        <v/>
      </c>
      <c r="E2305">
        <f>IF(D2305="","",INDEX('KG1-4'!$AD34:$IM34,MATCH(D2305,'KG1-4'!$AD$5:$IM$5,0)))</f>
        <v/>
      </c>
      <c r="F2305">
        <f>IF(D2305="","",COUNTIFS('KG1-4'!$AD34:$IM34,"غياب بدون عذر",'KG1-4'!$AD$7:$IM$7,"✓",'KG1-4'!$AD$5:$IM$5,"&lt;="&amp;D2305))</f>
        <v/>
      </c>
      <c r="G2305">
        <f>G2304+IF(D2305="",0,1)</f>
        <v/>
      </c>
    </row>
    <row r="2306">
      <c r="A2306">
        <f>IF('KG1-4'!$B34="","",'KG1-4'!$B34)</f>
        <v/>
      </c>
      <c r="B2306">
        <f>IF(A2306="","",'KG1-4'!$C34)</f>
        <v/>
      </c>
      <c r="C2306">
        <f>IF(A2306="","",'KG1-4'!$B$2)</f>
        <v/>
      </c>
      <c r="D2306" s="126">
        <f t="array" ref="D2306">IF(A2306="","",IFERROR(SMALL(IF((('KG1-4'!$AD34:$IM34="غياب بدون عذر")+('KG1-4'!$AD34:$IM34="غياب بعذر"))*('KG1-4'!$AD$7:$IM$7="✓"),'KG1-4'!$AD$5:$IM$5),5),""))</f>
        <v/>
      </c>
      <c r="E2306">
        <f>IF(D2306="","",INDEX('KG1-4'!$AD34:$IM34,MATCH(D2306,'KG1-4'!$AD$5:$IM$5,0)))</f>
        <v/>
      </c>
      <c r="F2306">
        <f>IF(D2306="","",COUNTIFS('KG1-4'!$AD34:$IM34,"غياب بدون عذر",'KG1-4'!$AD$7:$IM$7,"✓",'KG1-4'!$AD$5:$IM$5,"&lt;="&amp;D2306))</f>
        <v/>
      </c>
      <c r="G2306">
        <f>G2305+IF(D2306="",0,1)</f>
        <v/>
      </c>
    </row>
    <row r="2307">
      <c r="A2307">
        <f>IF('KG1-4'!$B34="","",'KG1-4'!$B34)</f>
        <v/>
      </c>
      <c r="B2307">
        <f>IF(A2307="","",'KG1-4'!$C34)</f>
        <v/>
      </c>
      <c r="C2307">
        <f>IF(A2307="","",'KG1-4'!$B$2)</f>
        <v/>
      </c>
      <c r="D2307" s="126">
        <f t="array" ref="D2307">IF(A2307="","",IFERROR(SMALL(IF((('KG1-4'!$AD34:$IM34="غياب بدون عذر")+('KG1-4'!$AD34:$IM34="غياب بعذر"))*('KG1-4'!$AD$7:$IM$7="✓"),'KG1-4'!$AD$5:$IM$5),6),""))</f>
        <v/>
      </c>
      <c r="E2307">
        <f>IF(D2307="","",INDEX('KG1-4'!$AD34:$IM34,MATCH(D2307,'KG1-4'!$AD$5:$IM$5,0)))</f>
        <v/>
      </c>
      <c r="F2307">
        <f>IF(D2307="","",COUNTIFS('KG1-4'!$AD34:$IM34,"غياب بدون عذر",'KG1-4'!$AD$7:$IM$7,"✓",'KG1-4'!$AD$5:$IM$5,"&lt;="&amp;D2307))</f>
        <v/>
      </c>
      <c r="G2307">
        <f>G2306+IF(D2307="",0,1)</f>
        <v/>
      </c>
    </row>
    <row r="2308">
      <c r="A2308">
        <f>IF('KG1-4'!$B34="","",'KG1-4'!$B34)</f>
        <v/>
      </c>
      <c r="B2308">
        <f>IF(A2308="","",'KG1-4'!$C34)</f>
        <v/>
      </c>
      <c r="C2308">
        <f>IF(A2308="","",'KG1-4'!$B$2)</f>
        <v/>
      </c>
      <c r="D2308" s="126">
        <f t="array" ref="D2308">IF(A2308="","",IFERROR(SMALL(IF((('KG1-4'!$AD34:$IM34="غياب بدون عذر")+('KG1-4'!$AD34:$IM34="غياب بعذر"))*('KG1-4'!$AD$7:$IM$7="✓"),'KG1-4'!$AD$5:$IM$5),7),""))</f>
        <v/>
      </c>
      <c r="E2308">
        <f>IF(D2308="","",INDEX('KG1-4'!$AD34:$IM34,MATCH(D2308,'KG1-4'!$AD$5:$IM$5,0)))</f>
        <v/>
      </c>
      <c r="F2308">
        <f>IF(D2308="","",COUNTIFS('KG1-4'!$AD34:$IM34,"غياب بدون عذر",'KG1-4'!$AD$7:$IM$7,"✓",'KG1-4'!$AD$5:$IM$5,"&lt;="&amp;D2308))</f>
        <v/>
      </c>
      <c r="G2308">
        <f>G2307+IF(D2308="",0,1)</f>
        <v/>
      </c>
    </row>
    <row r="2309">
      <c r="A2309">
        <f>IF('KG1-4'!$B34="","",'KG1-4'!$B34)</f>
        <v/>
      </c>
      <c r="B2309">
        <f>IF(A2309="","",'KG1-4'!$C34)</f>
        <v/>
      </c>
      <c r="C2309">
        <f>IF(A2309="","",'KG1-4'!$B$2)</f>
        <v/>
      </c>
      <c r="D2309" s="126">
        <f t="array" ref="D2309">IF(A2309="","",IFERROR(SMALL(IF((('KG1-4'!$AD34:$IM34="غياب بدون عذر")+('KG1-4'!$AD34:$IM34="غياب بعذر"))*('KG1-4'!$AD$7:$IM$7="✓"),'KG1-4'!$AD$5:$IM$5),8),""))</f>
        <v/>
      </c>
      <c r="E2309">
        <f>IF(D2309="","",INDEX('KG1-4'!$AD34:$IM34,MATCH(D2309,'KG1-4'!$AD$5:$IM$5,0)))</f>
        <v/>
      </c>
      <c r="F2309">
        <f>IF(D2309="","",COUNTIFS('KG1-4'!$AD34:$IM34,"غياب بدون عذر",'KG1-4'!$AD$7:$IM$7,"✓",'KG1-4'!$AD$5:$IM$5,"&lt;="&amp;D2309))</f>
        <v/>
      </c>
      <c r="G2309">
        <f>G2308+IF(D2309="",0,1)</f>
        <v/>
      </c>
    </row>
    <row r="2310">
      <c r="A2310">
        <f>IF('KG1-4'!$B34="","",'KG1-4'!$B34)</f>
        <v/>
      </c>
      <c r="B2310">
        <f>IF(A2310="","",'KG1-4'!$C34)</f>
        <v/>
      </c>
      <c r="C2310">
        <f>IF(A2310="","",'KG1-4'!$B$2)</f>
        <v/>
      </c>
      <c r="D2310" s="126">
        <f t="array" ref="D2310">IF(A2310="","",IFERROR(SMALL(IF((('KG1-4'!$AD34:$IM34="غياب بدون عذر")+('KG1-4'!$AD34:$IM34="غياب بعذر"))*('KG1-4'!$AD$7:$IM$7="✓"),'KG1-4'!$AD$5:$IM$5),9),""))</f>
        <v/>
      </c>
      <c r="E2310">
        <f>IF(D2310="","",INDEX('KG1-4'!$AD34:$IM34,MATCH(D2310,'KG1-4'!$AD$5:$IM$5,0)))</f>
        <v/>
      </c>
      <c r="F2310">
        <f>IF(D2310="","",COUNTIFS('KG1-4'!$AD34:$IM34,"غياب بدون عذر",'KG1-4'!$AD$7:$IM$7,"✓",'KG1-4'!$AD$5:$IM$5,"&lt;="&amp;D2310))</f>
        <v/>
      </c>
      <c r="G2310">
        <f>G2309+IF(D2310="",0,1)</f>
        <v/>
      </c>
    </row>
    <row r="2311">
      <c r="A2311">
        <f>IF('KG1-4'!$B34="","",'KG1-4'!$B34)</f>
        <v/>
      </c>
      <c r="B2311">
        <f>IF(A2311="","",'KG1-4'!$C34)</f>
        <v/>
      </c>
      <c r="C2311">
        <f>IF(A2311="","",'KG1-4'!$B$2)</f>
        <v/>
      </c>
      <c r="D2311" s="126">
        <f t="array" ref="D2311">IF(A2311="","",IFERROR(SMALL(IF((('KG1-4'!$AD34:$IM34="غياب بدون عذر")+('KG1-4'!$AD34:$IM34="غياب بعذر"))*('KG1-4'!$AD$7:$IM$7="✓"),'KG1-4'!$AD$5:$IM$5),10),""))</f>
        <v/>
      </c>
      <c r="E2311">
        <f>IF(D2311="","",INDEX('KG1-4'!$AD34:$IM34,MATCH(D2311,'KG1-4'!$AD$5:$IM$5,0)))</f>
        <v/>
      </c>
      <c r="F2311">
        <f>IF(D2311="","",COUNTIFS('KG1-4'!$AD34:$IM34,"غياب بدون عذر",'KG1-4'!$AD$7:$IM$7,"✓",'KG1-4'!$AD$5:$IM$5,"&lt;="&amp;D2311))</f>
        <v/>
      </c>
      <c r="G2311">
        <f>G2310+IF(D2311="",0,1)</f>
        <v/>
      </c>
    </row>
    <row r="2312">
      <c r="A2312">
        <f>IF('KG1-4'!$B34="","",'KG1-4'!$B34)</f>
        <v/>
      </c>
      <c r="B2312">
        <f>IF(A2312="","",'KG1-4'!$C34)</f>
        <v/>
      </c>
      <c r="C2312">
        <f>IF(A2312="","",'KG1-4'!$B$2)</f>
        <v/>
      </c>
      <c r="D2312" s="126">
        <f t="array" ref="D2312">IF(A2312="","",IFERROR(SMALL(IF((('KG1-4'!$AD34:$IM34="غياب بدون عذر")+('KG1-4'!$AD34:$IM34="غياب بعذر"))*('KG1-4'!$AD$7:$IM$7="✓"),'KG1-4'!$AD$5:$IM$5),11),""))</f>
        <v/>
      </c>
      <c r="E2312">
        <f>IF(D2312="","",INDEX('KG1-4'!$AD34:$IM34,MATCH(D2312,'KG1-4'!$AD$5:$IM$5,0)))</f>
        <v/>
      </c>
      <c r="F2312">
        <f>IF(D2312="","",COUNTIFS('KG1-4'!$AD34:$IM34,"غياب بدون عذر",'KG1-4'!$AD$7:$IM$7,"✓",'KG1-4'!$AD$5:$IM$5,"&lt;="&amp;D2312))</f>
        <v/>
      </c>
      <c r="G2312">
        <f>G2311+IF(D2312="",0,1)</f>
        <v/>
      </c>
    </row>
    <row r="2313">
      <c r="A2313">
        <f>IF('KG1-4'!$B34="","",'KG1-4'!$B34)</f>
        <v/>
      </c>
      <c r="B2313">
        <f>IF(A2313="","",'KG1-4'!$C34)</f>
        <v/>
      </c>
      <c r="C2313">
        <f>IF(A2313="","",'KG1-4'!$B$2)</f>
        <v/>
      </c>
      <c r="D2313" s="126">
        <f t="array" ref="D2313">IF(A2313="","",IFERROR(SMALL(IF((('KG1-4'!$AD34:$IM34="غياب بدون عذر")+('KG1-4'!$AD34:$IM34="غياب بعذر"))*('KG1-4'!$AD$7:$IM$7="✓"),'KG1-4'!$AD$5:$IM$5),12),""))</f>
        <v/>
      </c>
      <c r="E2313">
        <f>IF(D2313="","",INDEX('KG1-4'!$AD34:$IM34,MATCH(D2313,'KG1-4'!$AD$5:$IM$5,0)))</f>
        <v/>
      </c>
      <c r="F2313">
        <f>IF(D2313="","",COUNTIFS('KG1-4'!$AD34:$IM34,"غياب بدون عذر",'KG1-4'!$AD$7:$IM$7,"✓",'KG1-4'!$AD$5:$IM$5,"&lt;="&amp;D2313))</f>
        <v/>
      </c>
      <c r="G2313">
        <f>G2312+IF(D2313="",0,1)</f>
        <v/>
      </c>
    </row>
    <row r="2314">
      <c r="A2314">
        <f>IF('KG1-4'!$B34="","",'KG1-4'!$B34)</f>
        <v/>
      </c>
      <c r="B2314">
        <f>IF(A2314="","",'KG1-4'!$C34)</f>
        <v/>
      </c>
      <c r="C2314">
        <f>IF(A2314="","",'KG1-4'!$B$2)</f>
        <v/>
      </c>
      <c r="D2314" s="126">
        <f t="array" ref="D2314">IF(A2314="","",IFERROR(SMALL(IF((('KG1-4'!$AD34:$IM34="غياب بدون عذر")+('KG1-4'!$AD34:$IM34="غياب بعذر"))*('KG1-4'!$AD$7:$IM$7="✓"),'KG1-4'!$AD$5:$IM$5),13),""))</f>
        <v/>
      </c>
      <c r="E2314">
        <f>IF(D2314="","",INDEX('KG1-4'!$AD34:$IM34,MATCH(D2314,'KG1-4'!$AD$5:$IM$5,0)))</f>
        <v/>
      </c>
      <c r="F2314">
        <f>IF(D2314="","",COUNTIFS('KG1-4'!$AD34:$IM34,"غياب بدون عذر",'KG1-4'!$AD$7:$IM$7,"✓",'KG1-4'!$AD$5:$IM$5,"&lt;="&amp;D2314))</f>
        <v/>
      </c>
      <c r="G2314">
        <f>G2313+IF(D2314="",0,1)</f>
        <v/>
      </c>
    </row>
    <row r="2315">
      <c r="A2315">
        <f>IF('KG1-4'!$B34="","",'KG1-4'!$B34)</f>
        <v/>
      </c>
      <c r="B2315">
        <f>IF(A2315="","",'KG1-4'!$C34)</f>
        <v/>
      </c>
      <c r="C2315">
        <f>IF(A2315="","",'KG1-4'!$B$2)</f>
        <v/>
      </c>
      <c r="D2315" s="126">
        <f t="array" ref="D2315">IF(A2315="","",IFERROR(SMALL(IF((('KG1-4'!$AD34:$IM34="غياب بدون عذر")+('KG1-4'!$AD34:$IM34="غياب بعذر"))*('KG1-4'!$AD$7:$IM$7="✓"),'KG1-4'!$AD$5:$IM$5),14),""))</f>
        <v/>
      </c>
      <c r="E2315">
        <f>IF(D2315="","",INDEX('KG1-4'!$AD34:$IM34,MATCH(D2315,'KG1-4'!$AD$5:$IM$5,0)))</f>
        <v/>
      </c>
      <c r="F2315">
        <f>IF(D2315="","",COUNTIFS('KG1-4'!$AD34:$IM34,"غياب بدون عذر",'KG1-4'!$AD$7:$IM$7,"✓",'KG1-4'!$AD$5:$IM$5,"&lt;="&amp;D2315))</f>
        <v/>
      </c>
      <c r="G2315">
        <f>G2314+IF(D2315="",0,1)</f>
        <v/>
      </c>
    </row>
    <row r="2316">
      <c r="A2316">
        <f>IF('KG1-4'!$B34="","",'KG1-4'!$B34)</f>
        <v/>
      </c>
      <c r="B2316">
        <f>IF(A2316="","",'KG1-4'!$C34)</f>
        <v/>
      </c>
      <c r="C2316">
        <f>IF(A2316="","",'KG1-4'!$B$2)</f>
        <v/>
      </c>
      <c r="D2316" s="126">
        <f t="array" ref="D2316">IF(A2316="","",IFERROR(SMALL(IF((('KG1-4'!$AD34:$IM34="غياب بدون عذر")+('KG1-4'!$AD34:$IM34="غياب بعذر"))*('KG1-4'!$AD$7:$IM$7="✓"),'KG1-4'!$AD$5:$IM$5),15),""))</f>
        <v/>
      </c>
      <c r="E2316">
        <f>IF(D2316="","",INDEX('KG1-4'!$AD34:$IM34,MATCH(D2316,'KG1-4'!$AD$5:$IM$5,0)))</f>
        <v/>
      </c>
      <c r="F2316">
        <f>IF(D2316="","",COUNTIFS('KG1-4'!$AD34:$IM34,"غياب بدون عذر",'KG1-4'!$AD$7:$IM$7,"✓",'KG1-4'!$AD$5:$IM$5,"&lt;="&amp;D2316))</f>
        <v/>
      </c>
      <c r="G2316">
        <f>G2315+IF(D2316="",0,1)</f>
        <v/>
      </c>
    </row>
    <row r="2317">
      <c r="A2317">
        <f>IF('KG1-4'!$B34="","",'KG1-4'!$B34)</f>
        <v/>
      </c>
      <c r="B2317">
        <f>IF(A2317="","",'KG1-4'!$C34)</f>
        <v/>
      </c>
      <c r="C2317">
        <f>IF(A2317="","",'KG1-4'!$B$2)</f>
        <v/>
      </c>
      <c r="D2317" s="126">
        <f t="array" ref="D2317">IF(A2317="","",IFERROR(SMALL(IF((('KG1-4'!$AD34:$IM34="غياب بدون عذر")+('KG1-4'!$AD34:$IM34="غياب بعذر"))*('KG1-4'!$AD$7:$IM$7="✓"),'KG1-4'!$AD$5:$IM$5),16),""))</f>
        <v/>
      </c>
      <c r="E2317">
        <f>IF(D2317="","",INDEX('KG1-4'!$AD34:$IM34,MATCH(D2317,'KG1-4'!$AD$5:$IM$5,0)))</f>
        <v/>
      </c>
      <c r="F2317">
        <f>IF(D2317="","",COUNTIFS('KG1-4'!$AD34:$IM34,"غياب بدون عذر",'KG1-4'!$AD$7:$IM$7,"✓",'KG1-4'!$AD$5:$IM$5,"&lt;="&amp;D2317))</f>
        <v/>
      </c>
      <c r="G2317">
        <f>G2316+IF(D2317="",0,1)</f>
        <v/>
      </c>
    </row>
    <row r="2318">
      <c r="A2318">
        <f>IF('KG1-4'!$B34="","",'KG1-4'!$B34)</f>
        <v/>
      </c>
      <c r="B2318">
        <f>IF(A2318="","",'KG1-4'!$C34)</f>
        <v/>
      </c>
      <c r="C2318">
        <f>IF(A2318="","",'KG1-4'!$B$2)</f>
        <v/>
      </c>
      <c r="D2318" s="126">
        <f t="array" ref="D2318">IF(A2318="","",IFERROR(SMALL(IF((('KG1-4'!$AD34:$IM34="غياب بدون عذر")+('KG1-4'!$AD34:$IM34="غياب بعذر"))*('KG1-4'!$AD$7:$IM$7="✓"),'KG1-4'!$AD$5:$IM$5),17),""))</f>
        <v/>
      </c>
      <c r="E2318">
        <f>IF(D2318="","",INDEX('KG1-4'!$AD34:$IM34,MATCH(D2318,'KG1-4'!$AD$5:$IM$5,0)))</f>
        <v/>
      </c>
      <c r="F2318">
        <f>IF(D2318="","",COUNTIFS('KG1-4'!$AD34:$IM34,"غياب بدون عذر",'KG1-4'!$AD$7:$IM$7,"✓",'KG1-4'!$AD$5:$IM$5,"&lt;="&amp;D2318))</f>
        <v/>
      </c>
      <c r="G2318">
        <f>G2317+IF(D2318="",0,1)</f>
        <v/>
      </c>
    </row>
    <row r="2319">
      <c r="A2319">
        <f>IF('KG1-4'!$B34="","",'KG1-4'!$B34)</f>
        <v/>
      </c>
      <c r="B2319">
        <f>IF(A2319="","",'KG1-4'!$C34)</f>
        <v/>
      </c>
      <c r="C2319">
        <f>IF(A2319="","",'KG1-4'!$B$2)</f>
        <v/>
      </c>
      <c r="D2319" s="126">
        <f t="array" ref="D2319">IF(A2319="","",IFERROR(SMALL(IF((('KG1-4'!$AD34:$IM34="غياب بدون عذر")+('KG1-4'!$AD34:$IM34="غياب بعذر"))*('KG1-4'!$AD$7:$IM$7="✓"),'KG1-4'!$AD$5:$IM$5),18),""))</f>
        <v/>
      </c>
      <c r="E2319">
        <f>IF(D2319="","",INDEX('KG1-4'!$AD34:$IM34,MATCH(D2319,'KG1-4'!$AD$5:$IM$5,0)))</f>
        <v/>
      </c>
      <c r="F2319">
        <f>IF(D2319="","",COUNTIFS('KG1-4'!$AD34:$IM34,"غياب بدون عذر",'KG1-4'!$AD$7:$IM$7,"✓",'KG1-4'!$AD$5:$IM$5,"&lt;="&amp;D2319))</f>
        <v/>
      </c>
      <c r="G2319">
        <f>G2318+IF(D2319="",0,1)</f>
        <v/>
      </c>
    </row>
    <row r="2320">
      <c r="A2320">
        <f>IF('KG1-4'!$B34="","",'KG1-4'!$B34)</f>
        <v/>
      </c>
      <c r="B2320">
        <f>IF(A2320="","",'KG1-4'!$C34)</f>
        <v/>
      </c>
      <c r="C2320">
        <f>IF(A2320="","",'KG1-4'!$B$2)</f>
        <v/>
      </c>
      <c r="D2320" s="126">
        <f t="array" ref="D2320">IF(A2320="","",IFERROR(SMALL(IF((('KG1-4'!$AD34:$IM34="غياب بدون عذر")+('KG1-4'!$AD34:$IM34="غياب بعذر"))*('KG1-4'!$AD$7:$IM$7="✓"),'KG1-4'!$AD$5:$IM$5),19),""))</f>
        <v/>
      </c>
      <c r="E2320">
        <f>IF(D2320="","",INDEX('KG1-4'!$AD34:$IM34,MATCH(D2320,'KG1-4'!$AD$5:$IM$5,0)))</f>
        <v/>
      </c>
      <c r="F2320">
        <f>IF(D2320="","",COUNTIFS('KG1-4'!$AD34:$IM34,"غياب بدون عذر",'KG1-4'!$AD$7:$IM$7,"✓",'KG1-4'!$AD$5:$IM$5,"&lt;="&amp;D2320))</f>
        <v/>
      </c>
      <c r="G2320">
        <f>G2319+IF(D2320="",0,1)</f>
        <v/>
      </c>
    </row>
    <row r="2321">
      <c r="A2321">
        <f>IF('KG1-4'!$B34="","",'KG1-4'!$B34)</f>
        <v/>
      </c>
      <c r="B2321">
        <f>IF(A2321="","",'KG1-4'!$C34)</f>
        <v/>
      </c>
      <c r="C2321">
        <f>IF(A2321="","",'KG1-4'!$B$2)</f>
        <v/>
      </c>
      <c r="D2321" s="126">
        <f t="array" ref="D2321">IF(A2321="","",IFERROR(SMALL(IF((('KG1-4'!$AD34:$IM34="غياب بدون عذر")+('KG1-4'!$AD34:$IM34="غياب بعذر"))*('KG1-4'!$AD$7:$IM$7="✓"),'KG1-4'!$AD$5:$IM$5),20),""))</f>
        <v/>
      </c>
      <c r="E2321">
        <f>IF(D2321="","",INDEX('KG1-4'!$AD34:$IM34,MATCH(D2321,'KG1-4'!$AD$5:$IM$5,0)))</f>
        <v/>
      </c>
      <c r="F2321">
        <f>IF(D2321="","",COUNTIFS('KG1-4'!$AD34:$IM34,"غياب بدون عذر",'KG1-4'!$AD$7:$IM$7,"✓",'KG1-4'!$AD$5:$IM$5,"&lt;="&amp;D2321))</f>
        <v/>
      </c>
      <c r="G2321">
        <f>G2320+IF(D2321="",0,1)</f>
        <v/>
      </c>
    </row>
    <row r="2322">
      <c r="A2322">
        <f>IF('KG1-4'!$B35="","",'KG1-4'!$B35)</f>
        <v/>
      </c>
      <c r="B2322">
        <f>IF(A2322="","",'KG1-4'!$C35)</f>
        <v/>
      </c>
      <c r="C2322">
        <f>IF(A2322="","",'KG1-4'!$B$2)</f>
        <v/>
      </c>
      <c r="D2322" s="126">
        <f t="array" ref="D2322">IF(A2322="","",IFERROR(SMALL(IF((('KG1-4'!$AD35:$IM35="غياب بدون عذر")+('KG1-4'!$AD35:$IM35="غياب بعذر"))*('KG1-4'!$AD$7:$IM$7="✓"),'KG1-4'!$AD$5:$IM$5),1),""))</f>
        <v/>
      </c>
      <c r="E2322">
        <f>IF(D2322="","",INDEX('KG1-4'!$AD35:$IM35,MATCH(D2322,'KG1-4'!$AD$5:$IM$5,0)))</f>
        <v/>
      </c>
      <c r="F2322">
        <f>IF(D2322="","",COUNTIFS('KG1-4'!$AD35:$IM35,"غياب بدون عذر",'KG1-4'!$AD$7:$IM$7,"✓",'KG1-4'!$AD$5:$IM$5,"&lt;="&amp;D2322))</f>
        <v/>
      </c>
      <c r="G2322">
        <f>G2321+IF(D2322="",0,1)</f>
        <v/>
      </c>
    </row>
    <row r="2323">
      <c r="A2323">
        <f>IF('KG1-4'!$B35="","",'KG1-4'!$B35)</f>
        <v/>
      </c>
      <c r="B2323">
        <f>IF(A2323="","",'KG1-4'!$C35)</f>
        <v/>
      </c>
      <c r="C2323">
        <f>IF(A2323="","",'KG1-4'!$B$2)</f>
        <v/>
      </c>
      <c r="D2323" s="126">
        <f t="array" ref="D2323">IF(A2323="","",IFERROR(SMALL(IF((('KG1-4'!$AD35:$IM35="غياب بدون عذر")+('KG1-4'!$AD35:$IM35="غياب بعذر"))*('KG1-4'!$AD$7:$IM$7="✓"),'KG1-4'!$AD$5:$IM$5),2),""))</f>
        <v/>
      </c>
      <c r="E2323">
        <f>IF(D2323="","",INDEX('KG1-4'!$AD35:$IM35,MATCH(D2323,'KG1-4'!$AD$5:$IM$5,0)))</f>
        <v/>
      </c>
      <c r="F2323">
        <f>IF(D2323="","",COUNTIFS('KG1-4'!$AD35:$IM35,"غياب بدون عذر",'KG1-4'!$AD$7:$IM$7,"✓",'KG1-4'!$AD$5:$IM$5,"&lt;="&amp;D2323))</f>
        <v/>
      </c>
      <c r="G2323">
        <f>G2322+IF(D2323="",0,1)</f>
        <v/>
      </c>
    </row>
    <row r="2324">
      <c r="A2324">
        <f>IF('KG1-4'!$B35="","",'KG1-4'!$B35)</f>
        <v/>
      </c>
      <c r="B2324">
        <f>IF(A2324="","",'KG1-4'!$C35)</f>
        <v/>
      </c>
      <c r="C2324">
        <f>IF(A2324="","",'KG1-4'!$B$2)</f>
        <v/>
      </c>
      <c r="D2324" s="126">
        <f t="array" ref="D2324">IF(A2324="","",IFERROR(SMALL(IF((('KG1-4'!$AD35:$IM35="غياب بدون عذر")+('KG1-4'!$AD35:$IM35="غياب بعذر"))*('KG1-4'!$AD$7:$IM$7="✓"),'KG1-4'!$AD$5:$IM$5),3),""))</f>
        <v/>
      </c>
      <c r="E2324">
        <f>IF(D2324="","",INDEX('KG1-4'!$AD35:$IM35,MATCH(D2324,'KG1-4'!$AD$5:$IM$5,0)))</f>
        <v/>
      </c>
      <c r="F2324">
        <f>IF(D2324="","",COUNTIFS('KG1-4'!$AD35:$IM35,"غياب بدون عذر",'KG1-4'!$AD$7:$IM$7,"✓",'KG1-4'!$AD$5:$IM$5,"&lt;="&amp;D2324))</f>
        <v/>
      </c>
      <c r="G2324">
        <f>G2323+IF(D2324="",0,1)</f>
        <v/>
      </c>
    </row>
    <row r="2325">
      <c r="A2325">
        <f>IF('KG1-4'!$B35="","",'KG1-4'!$B35)</f>
        <v/>
      </c>
      <c r="B2325">
        <f>IF(A2325="","",'KG1-4'!$C35)</f>
        <v/>
      </c>
      <c r="C2325">
        <f>IF(A2325="","",'KG1-4'!$B$2)</f>
        <v/>
      </c>
      <c r="D2325" s="126">
        <f t="array" ref="D2325">IF(A2325="","",IFERROR(SMALL(IF((('KG1-4'!$AD35:$IM35="غياب بدون عذر")+('KG1-4'!$AD35:$IM35="غياب بعذر"))*('KG1-4'!$AD$7:$IM$7="✓"),'KG1-4'!$AD$5:$IM$5),4),""))</f>
        <v/>
      </c>
      <c r="E2325">
        <f>IF(D2325="","",INDEX('KG1-4'!$AD35:$IM35,MATCH(D2325,'KG1-4'!$AD$5:$IM$5,0)))</f>
        <v/>
      </c>
      <c r="F2325">
        <f>IF(D2325="","",COUNTIFS('KG1-4'!$AD35:$IM35,"غياب بدون عذر",'KG1-4'!$AD$7:$IM$7,"✓",'KG1-4'!$AD$5:$IM$5,"&lt;="&amp;D2325))</f>
        <v/>
      </c>
      <c r="G2325">
        <f>G2324+IF(D2325="",0,1)</f>
        <v/>
      </c>
    </row>
    <row r="2326">
      <c r="A2326">
        <f>IF('KG1-4'!$B35="","",'KG1-4'!$B35)</f>
        <v/>
      </c>
      <c r="B2326">
        <f>IF(A2326="","",'KG1-4'!$C35)</f>
        <v/>
      </c>
      <c r="C2326">
        <f>IF(A2326="","",'KG1-4'!$B$2)</f>
        <v/>
      </c>
      <c r="D2326" s="126">
        <f t="array" ref="D2326">IF(A2326="","",IFERROR(SMALL(IF((('KG1-4'!$AD35:$IM35="غياب بدون عذر")+('KG1-4'!$AD35:$IM35="غياب بعذر"))*('KG1-4'!$AD$7:$IM$7="✓"),'KG1-4'!$AD$5:$IM$5),5),""))</f>
        <v/>
      </c>
      <c r="E2326">
        <f>IF(D2326="","",INDEX('KG1-4'!$AD35:$IM35,MATCH(D2326,'KG1-4'!$AD$5:$IM$5,0)))</f>
        <v/>
      </c>
      <c r="F2326">
        <f>IF(D2326="","",COUNTIFS('KG1-4'!$AD35:$IM35,"غياب بدون عذر",'KG1-4'!$AD$7:$IM$7,"✓",'KG1-4'!$AD$5:$IM$5,"&lt;="&amp;D2326))</f>
        <v/>
      </c>
      <c r="G2326">
        <f>G2325+IF(D2326="",0,1)</f>
        <v/>
      </c>
    </row>
    <row r="2327">
      <c r="A2327">
        <f>IF('KG1-4'!$B35="","",'KG1-4'!$B35)</f>
        <v/>
      </c>
      <c r="B2327">
        <f>IF(A2327="","",'KG1-4'!$C35)</f>
        <v/>
      </c>
      <c r="C2327">
        <f>IF(A2327="","",'KG1-4'!$B$2)</f>
        <v/>
      </c>
      <c r="D2327" s="126">
        <f t="array" ref="D2327">IF(A2327="","",IFERROR(SMALL(IF((('KG1-4'!$AD35:$IM35="غياب بدون عذر")+('KG1-4'!$AD35:$IM35="غياب بعذر"))*('KG1-4'!$AD$7:$IM$7="✓"),'KG1-4'!$AD$5:$IM$5),6),""))</f>
        <v/>
      </c>
      <c r="E2327">
        <f>IF(D2327="","",INDEX('KG1-4'!$AD35:$IM35,MATCH(D2327,'KG1-4'!$AD$5:$IM$5,0)))</f>
        <v/>
      </c>
      <c r="F2327">
        <f>IF(D2327="","",COUNTIFS('KG1-4'!$AD35:$IM35,"غياب بدون عذر",'KG1-4'!$AD$7:$IM$7,"✓",'KG1-4'!$AD$5:$IM$5,"&lt;="&amp;D2327))</f>
        <v/>
      </c>
      <c r="G2327">
        <f>G2326+IF(D2327="",0,1)</f>
        <v/>
      </c>
    </row>
    <row r="2328">
      <c r="A2328">
        <f>IF('KG1-4'!$B35="","",'KG1-4'!$B35)</f>
        <v/>
      </c>
      <c r="B2328">
        <f>IF(A2328="","",'KG1-4'!$C35)</f>
        <v/>
      </c>
      <c r="C2328">
        <f>IF(A2328="","",'KG1-4'!$B$2)</f>
        <v/>
      </c>
      <c r="D2328" s="126">
        <f t="array" ref="D2328">IF(A2328="","",IFERROR(SMALL(IF((('KG1-4'!$AD35:$IM35="غياب بدون عذر")+('KG1-4'!$AD35:$IM35="غياب بعذر"))*('KG1-4'!$AD$7:$IM$7="✓"),'KG1-4'!$AD$5:$IM$5),7),""))</f>
        <v/>
      </c>
      <c r="E2328">
        <f>IF(D2328="","",INDEX('KG1-4'!$AD35:$IM35,MATCH(D2328,'KG1-4'!$AD$5:$IM$5,0)))</f>
        <v/>
      </c>
      <c r="F2328">
        <f>IF(D2328="","",COUNTIFS('KG1-4'!$AD35:$IM35,"غياب بدون عذر",'KG1-4'!$AD$7:$IM$7,"✓",'KG1-4'!$AD$5:$IM$5,"&lt;="&amp;D2328))</f>
        <v/>
      </c>
      <c r="G2328">
        <f>G2327+IF(D2328="",0,1)</f>
        <v/>
      </c>
    </row>
    <row r="2329">
      <c r="A2329">
        <f>IF('KG1-4'!$B35="","",'KG1-4'!$B35)</f>
        <v/>
      </c>
      <c r="B2329">
        <f>IF(A2329="","",'KG1-4'!$C35)</f>
        <v/>
      </c>
      <c r="C2329">
        <f>IF(A2329="","",'KG1-4'!$B$2)</f>
        <v/>
      </c>
      <c r="D2329" s="126">
        <f t="array" ref="D2329">IF(A2329="","",IFERROR(SMALL(IF((('KG1-4'!$AD35:$IM35="غياب بدون عذر")+('KG1-4'!$AD35:$IM35="غياب بعذر"))*('KG1-4'!$AD$7:$IM$7="✓"),'KG1-4'!$AD$5:$IM$5),8),""))</f>
        <v/>
      </c>
      <c r="E2329">
        <f>IF(D2329="","",INDEX('KG1-4'!$AD35:$IM35,MATCH(D2329,'KG1-4'!$AD$5:$IM$5,0)))</f>
        <v/>
      </c>
      <c r="F2329">
        <f>IF(D2329="","",COUNTIFS('KG1-4'!$AD35:$IM35,"غياب بدون عذر",'KG1-4'!$AD$7:$IM$7,"✓",'KG1-4'!$AD$5:$IM$5,"&lt;="&amp;D2329))</f>
        <v/>
      </c>
      <c r="G2329">
        <f>G2328+IF(D2329="",0,1)</f>
        <v/>
      </c>
    </row>
    <row r="2330">
      <c r="A2330">
        <f>IF('KG1-4'!$B35="","",'KG1-4'!$B35)</f>
        <v/>
      </c>
      <c r="B2330">
        <f>IF(A2330="","",'KG1-4'!$C35)</f>
        <v/>
      </c>
      <c r="C2330">
        <f>IF(A2330="","",'KG1-4'!$B$2)</f>
        <v/>
      </c>
      <c r="D2330" s="126">
        <f t="array" ref="D2330">IF(A2330="","",IFERROR(SMALL(IF((('KG1-4'!$AD35:$IM35="غياب بدون عذر")+('KG1-4'!$AD35:$IM35="غياب بعذر"))*('KG1-4'!$AD$7:$IM$7="✓"),'KG1-4'!$AD$5:$IM$5),9),""))</f>
        <v/>
      </c>
      <c r="E2330">
        <f>IF(D2330="","",INDEX('KG1-4'!$AD35:$IM35,MATCH(D2330,'KG1-4'!$AD$5:$IM$5,0)))</f>
        <v/>
      </c>
      <c r="F2330">
        <f>IF(D2330="","",COUNTIFS('KG1-4'!$AD35:$IM35,"غياب بدون عذر",'KG1-4'!$AD$7:$IM$7,"✓",'KG1-4'!$AD$5:$IM$5,"&lt;="&amp;D2330))</f>
        <v/>
      </c>
      <c r="G2330">
        <f>G2329+IF(D2330="",0,1)</f>
        <v/>
      </c>
    </row>
    <row r="2331">
      <c r="A2331">
        <f>IF('KG1-4'!$B35="","",'KG1-4'!$B35)</f>
        <v/>
      </c>
      <c r="B2331">
        <f>IF(A2331="","",'KG1-4'!$C35)</f>
        <v/>
      </c>
      <c r="C2331">
        <f>IF(A2331="","",'KG1-4'!$B$2)</f>
        <v/>
      </c>
      <c r="D2331" s="126">
        <f t="array" ref="D2331">IF(A2331="","",IFERROR(SMALL(IF((('KG1-4'!$AD35:$IM35="غياب بدون عذر")+('KG1-4'!$AD35:$IM35="غياب بعذر"))*('KG1-4'!$AD$7:$IM$7="✓"),'KG1-4'!$AD$5:$IM$5),10),""))</f>
        <v/>
      </c>
      <c r="E2331">
        <f>IF(D2331="","",INDEX('KG1-4'!$AD35:$IM35,MATCH(D2331,'KG1-4'!$AD$5:$IM$5,0)))</f>
        <v/>
      </c>
      <c r="F2331">
        <f>IF(D2331="","",COUNTIFS('KG1-4'!$AD35:$IM35,"غياب بدون عذر",'KG1-4'!$AD$7:$IM$7,"✓",'KG1-4'!$AD$5:$IM$5,"&lt;="&amp;D2331))</f>
        <v/>
      </c>
      <c r="G2331">
        <f>G2330+IF(D2331="",0,1)</f>
        <v/>
      </c>
    </row>
    <row r="2332">
      <c r="A2332">
        <f>IF('KG1-4'!$B35="","",'KG1-4'!$B35)</f>
        <v/>
      </c>
      <c r="B2332">
        <f>IF(A2332="","",'KG1-4'!$C35)</f>
        <v/>
      </c>
      <c r="C2332">
        <f>IF(A2332="","",'KG1-4'!$B$2)</f>
        <v/>
      </c>
      <c r="D2332" s="126">
        <f t="array" ref="D2332">IF(A2332="","",IFERROR(SMALL(IF((('KG1-4'!$AD35:$IM35="غياب بدون عذر")+('KG1-4'!$AD35:$IM35="غياب بعذر"))*('KG1-4'!$AD$7:$IM$7="✓"),'KG1-4'!$AD$5:$IM$5),11),""))</f>
        <v/>
      </c>
      <c r="E2332">
        <f>IF(D2332="","",INDEX('KG1-4'!$AD35:$IM35,MATCH(D2332,'KG1-4'!$AD$5:$IM$5,0)))</f>
        <v/>
      </c>
      <c r="F2332">
        <f>IF(D2332="","",COUNTIFS('KG1-4'!$AD35:$IM35,"غياب بدون عذر",'KG1-4'!$AD$7:$IM$7,"✓",'KG1-4'!$AD$5:$IM$5,"&lt;="&amp;D2332))</f>
        <v/>
      </c>
      <c r="G2332">
        <f>G2331+IF(D2332="",0,1)</f>
        <v/>
      </c>
    </row>
    <row r="2333">
      <c r="A2333">
        <f>IF('KG1-4'!$B35="","",'KG1-4'!$B35)</f>
        <v/>
      </c>
      <c r="B2333">
        <f>IF(A2333="","",'KG1-4'!$C35)</f>
        <v/>
      </c>
      <c r="C2333">
        <f>IF(A2333="","",'KG1-4'!$B$2)</f>
        <v/>
      </c>
      <c r="D2333" s="126">
        <f t="array" ref="D2333">IF(A2333="","",IFERROR(SMALL(IF((('KG1-4'!$AD35:$IM35="غياب بدون عذر")+('KG1-4'!$AD35:$IM35="غياب بعذر"))*('KG1-4'!$AD$7:$IM$7="✓"),'KG1-4'!$AD$5:$IM$5),12),""))</f>
        <v/>
      </c>
      <c r="E2333">
        <f>IF(D2333="","",INDEX('KG1-4'!$AD35:$IM35,MATCH(D2333,'KG1-4'!$AD$5:$IM$5,0)))</f>
        <v/>
      </c>
      <c r="F2333">
        <f>IF(D2333="","",COUNTIFS('KG1-4'!$AD35:$IM35,"غياب بدون عذر",'KG1-4'!$AD$7:$IM$7,"✓",'KG1-4'!$AD$5:$IM$5,"&lt;="&amp;D2333))</f>
        <v/>
      </c>
      <c r="G2333">
        <f>G2332+IF(D2333="",0,1)</f>
        <v/>
      </c>
    </row>
    <row r="2334">
      <c r="A2334">
        <f>IF('KG1-4'!$B35="","",'KG1-4'!$B35)</f>
        <v/>
      </c>
      <c r="B2334">
        <f>IF(A2334="","",'KG1-4'!$C35)</f>
        <v/>
      </c>
      <c r="C2334">
        <f>IF(A2334="","",'KG1-4'!$B$2)</f>
        <v/>
      </c>
      <c r="D2334" s="126">
        <f t="array" ref="D2334">IF(A2334="","",IFERROR(SMALL(IF((('KG1-4'!$AD35:$IM35="غياب بدون عذر")+('KG1-4'!$AD35:$IM35="غياب بعذر"))*('KG1-4'!$AD$7:$IM$7="✓"),'KG1-4'!$AD$5:$IM$5),13),""))</f>
        <v/>
      </c>
      <c r="E2334">
        <f>IF(D2334="","",INDEX('KG1-4'!$AD35:$IM35,MATCH(D2334,'KG1-4'!$AD$5:$IM$5,0)))</f>
        <v/>
      </c>
      <c r="F2334">
        <f>IF(D2334="","",COUNTIFS('KG1-4'!$AD35:$IM35,"غياب بدون عذر",'KG1-4'!$AD$7:$IM$7,"✓",'KG1-4'!$AD$5:$IM$5,"&lt;="&amp;D2334))</f>
        <v/>
      </c>
      <c r="G2334">
        <f>G2333+IF(D2334="",0,1)</f>
        <v/>
      </c>
    </row>
    <row r="2335">
      <c r="A2335">
        <f>IF('KG1-4'!$B35="","",'KG1-4'!$B35)</f>
        <v/>
      </c>
      <c r="B2335">
        <f>IF(A2335="","",'KG1-4'!$C35)</f>
        <v/>
      </c>
      <c r="C2335">
        <f>IF(A2335="","",'KG1-4'!$B$2)</f>
        <v/>
      </c>
      <c r="D2335" s="126">
        <f t="array" ref="D2335">IF(A2335="","",IFERROR(SMALL(IF((('KG1-4'!$AD35:$IM35="غياب بدون عذر")+('KG1-4'!$AD35:$IM35="غياب بعذر"))*('KG1-4'!$AD$7:$IM$7="✓"),'KG1-4'!$AD$5:$IM$5),14),""))</f>
        <v/>
      </c>
      <c r="E2335">
        <f>IF(D2335="","",INDEX('KG1-4'!$AD35:$IM35,MATCH(D2335,'KG1-4'!$AD$5:$IM$5,0)))</f>
        <v/>
      </c>
      <c r="F2335">
        <f>IF(D2335="","",COUNTIFS('KG1-4'!$AD35:$IM35,"غياب بدون عذر",'KG1-4'!$AD$7:$IM$7,"✓",'KG1-4'!$AD$5:$IM$5,"&lt;="&amp;D2335))</f>
        <v/>
      </c>
      <c r="G2335">
        <f>G2334+IF(D2335="",0,1)</f>
        <v/>
      </c>
    </row>
    <row r="2336">
      <c r="A2336">
        <f>IF('KG1-4'!$B35="","",'KG1-4'!$B35)</f>
        <v/>
      </c>
      <c r="B2336">
        <f>IF(A2336="","",'KG1-4'!$C35)</f>
        <v/>
      </c>
      <c r="C2336">
        <f>IF(A2336="","",'KG1-4'!$B$2)</f>
        <v/>
      </c>
      <c r="D2336" s="126">
        <f t="array" ref="D2336">IF(A2336="","",IFERROR(SMALL(IF((('KG1-4'!$AD35:$IM35="غياب بدون عذر")+('KG1-4'!$AD35:$IM35="غياب بعذر"))*('KG1-4'!$AD$7:$IM$7="✓"),'KG1-4'!$AD$5:$IM$5),15),""))</f>
        <v/>
      </c>
      <c r="E2336">
        <f>IF(D2336="","",INDEX('KG1-4'!$AD35:$IM35,MATCH(D2336,'KG1-4'!$AD$5:$IM$5,0)))</f>
        <v/>
      </c>
      <c r="F2336">
        <f>IF(D2336="","",COUNTIFS('KG1-4'!$AD35:$IM35,"غياب بدون عذر",'KG1-4'!$AD$7:$IM$7,"✓",'KG1-4'!$AD$5:$IM$5,"&lt;="&amp;D2336))</f>
        <v/>
      </c>
      <c r="G2336">
        <f>G2335+IF(D2336="",0,1)</f>
        <v/>
      </c>
    </row>
    <row r="2337">
      <c r="A2337">
        <f>IF('KG1-4'!$B35="","",'KG1-4'!$B35)</f>
        <v/>
      </c>
      <c r="B2337">
        <f>IF(A2337="","",'KG1-4'!$C35)</f>
        <v/>
      </c>
      <c r="C2337">
        <f>IF(A2337="","",'KG1-4'!$B$2)</f>
        <v/>
      </c>
      <c r="D2337" s="126">
        <f t="array" ref="D2337">IF(A2337="","",IFERROR(SMALL(IF((('KG1-4'!$AD35:$IM35="غياب بدون عذر")+('KG1-4'!$AD35:$IM35="غياب بعذر"))*('KG1-4'!$AD$7:$IM$7="✓"),'KG1-4'!$AD$5:$IM$5),16),""))</f>
        <v/>
      </c>
      <c r="E2337">
        <f>IF(D2337="","",INDEX('KG1-4'!$AD35:$IM35,MATCH(D2337,'KG1-4'!$AD$5:$IM$5,0)))</f>
        <v/>
      </c>
      <c r="F2337">
        <f>IF(D2337="","",COUNTIFS('KG1-4'!$AD35:$IM35,"غياب بدون عذر",'KG1-4'!$AD$7:$IM$7,"✓",'KG1-4'!$AD$5:$IM$5,"&lt;="&amp;D2337))</f>
        <v/>
      </c>
      <c r="G2337">
        <f>G2336+IF(D2337="",0,1)</f>
        <v/>
      </c>
    </row>
    <row r="2338">
      <c r="A2338">
        <f>IF('KG1-4'!$B35="","",'KG1-4'!$B35)</f>
        <v/>
      </c>
      <c r="B2338">
        <f>IF(A2338="","",'KG1-4'!$C35)</f>
        <v/>
      </c>
      <c r="C2338">
        <f>IF(A2338="","",'KG1-4'!$B$2)</f>
        <v/>
      </c>
      <c r="D2338" s="126">
        <f t="array" ref="D2338">IF(A2338="","",IFERROR(SMALL(IF((('KG1-4'!$AD35:$IM35="غياب بدون عذر")+('KG1-4'!$AD35:$IM35="غياب بعذر"))*('KG1-4'!$AD$7:$IM$7="✓"),'KG1-4'!$AD$5:$IM$5),17),""))</f>
        <v/>
      </c>
      <c r="E2338">
        <f>IF(D2338="","",INDEX('KG1-4'!$AD35:$IM35,MATCH(D2338,'KG1-4'!$AD$5:$IM$5,0)))</f>
        <v/>
      </c>
      <c r="F2338">
        <f>IF(D2338="","",COUNTIFS('KG1-4'!$AD35:$IM35,"غياب بدون عذر",'KG1-4'!$AD$7:$IM$7,"✓",'KG1-4'!$AD$5:$IM$5,"&lt;="&amp;D2338))</f>
        <v/>
      </c>
      <c r="G2338">
        <f>G2337+IF(D2338="",0,1)</f>
        <v/>
      </c>
    </row>
    <row r="2339">
      <c r="A2339">
        <f>IF('KG1-4'!$B35="","",'KG1-4'!$B35)</f>
        <v/>
      </c>
      <c r="B2339">
        <f>IF(A2339="","",'KG1-4'!$C35)</f>
        <v/>
      </c>
      <c r="C2339">
        <f>IF(A2339="","",'KG1-4'!$B$2)</f>
        <v/>
      </c>
      <c r="D2339" s="126">
        <f t="array" ref="D2339">IF(A2339="","",IFERROR(SMALL(IF((('KG1-4'!$AD35:$IM35="غياب بدون عذر")+('KG1-4'!$AD35:$IM35="غياب بعذر"))*('KG1-4'!$AD$7:$IM$7="✓"),'KG1-4'!$AD$5:$IM$5),18),""))</f>
        <v/>
      </c>
      <c r="E2339">
        <f>IF(D2339="","",INDEX('KG1-4'!$AD35:$IM35,MATCH(D2339,'KG1-4'!$AD$5:$IM$5,0)))</f>
        <v/>
      </c>
      <c r="F2339">
        <f>IF(D2339="","",COUNTIFS('KG1-4'!$AD35:$IM35,"غياب بدون عذر",'KG1-4'!$AD$7:$IM$7,"✓",'KG1-4'!$AD$5:$IM$5,"&lt;="&amp;D2339))</f>
        <v/>
      </c>
      <c r="G2339">
        <f>G2338+IF(D2339="",0,1)</f>
        <v/>
      </c>
    </row>
    <row r="2340">
      <c r="A2340">
        <f>IF('KG1-4'!$B35="","",'KG1-4'!$B35)</f>
        <v/>
      </c>
      <c r="B2340">
        <f>IF(A2340="","",'KG1-4'!$C35)</f>
        <v/>
      </c>
      <c r="C2340">
        <f>IF(A2340="","",'KG1-4'!$B$2)</f>
        <v/>
      </c>
      <c r="D2340" s="126">
        <f t="array" ref="D2340">IF(A2340="","",IFERROR(SMALL(IF((('KG1-4'!$AD35:$IM35="غياب بدون عذر")+('KG1-4'!$AD35:$IM35="غياب بعذر"))*('KG1-4'!$AD$7:$IM$7="✓"),'KG1-4'!$AD$5:$IM$5),19),""))</f>
        <v/>
      </c>
      <c r="E2340">
        <f>IF(D2340="","",INDEX('KG1-4'!$AD35:$IM35,MATCH(D2340,'KG1-4'!$AD$5:$IM$5,0)))</f>
        <v/>
      </c>
      <c r="F2340">
        <f>IF(D2340="","",COUNTIFS('KG1-4'!$AD35:$IM35,"غياب بدون عذر",'KG1-4'!$AD$7:$IM$7,"✓",'KG1-4'!$AD$5:$IM$5,"&lt;="&amp;D2340))</f>
        <v/>
      </c>
      <c r="G2340">
        <f>G2339+IF(D2340="",0,1)</f>
        <v/>
      </c>
    </row>
    <row r="2341">
      <c r="A2341">
        <f>IF('KG1-4'!$B35="","",'KG1-4'!$B35)</f>
        <v/>
      </c>
      <c r="B2341">
        <f>IF(A2341="","",'KG1-4'!$C35)</f>
        <v/>
      </c>
      <c r="C2341">
        <f>IF(A2341="","",'KG1-4'!$B$2)</f>
        <v/>
      </c>
      <c r="D2341" s="126">
        <f t="array" ref="D2341">IF(A2341="","",IFERROR(SMALL(IF((('KG1-4'!$AD35:$IM35="غياب بدون عذر")+('KG1-4'!$AD35:$IM35="غياب بعذر"))*('KG1-4'!$AD$7:$IM$7="✓"),'KG1-4'!$AD$5:$IM$5),20),""))</f>
        <v/>
      </c>
      <c r="E2341">
        <f>IF(D2341="","",INDEX('KG1-4'!$AD35:$IM35,MATCH(D2341,'KG1-4'!$AD$5:$IM$5,0)))</f>
        <v/>
      </c>
      <c r="F2341">
        <f>IF(D2341="","",COUNTIFS('KG1-4'!$AD35:$IM35,"غياب بدون عذر",'KG1-4'!$AD$7:$IM$7,"✓",'KG1-4'!$AD$5:$IM$5,"&lt;="&amp;D2341))</f>
        <v/>
      </c>
      <c r="G2341">
        <f>G2340+IF(D2341="",0,1)</f>
        <v/>
      </c>
    </row>
    <row r="2342">
      <c r="A2342">
        <f>IF('KG1-4'!$B36="","",'KG1-4'!$B36)</f>
        <v/>
      </c>
      <c r="B2342">
        <f>IF(A2342="","",'KG1-4'!$C36)</f>
        <v/>
      </c>
      <c r="C2342">
        <f>IF(A2342="","",'KG1-4'!$B$2)</f>
        <v/>
      </c>
      <c r="D2342" s="126">
        <f t="array" ref="D2342">IF(A2342="","",IFERROR(SMALL(IF((('KG1-4'!$AD36:$IM36="غياب بدون عذر")+('KG1-4'!$AD36:$IM36="غياب بعذر"))*('KG1-4'!$AD$7:$IM$7="✓"),'KG1-4'!$AD$5:$IM$5),1),""))</f>
        <v/>
      </c>
      <c r="E2342">
        <f>IF(D2342="","",INDEX('KG1-4'!$AD36:$IM36,MATCH(D2342,'KG1-4'!$AD$5:$IM$5,0)))</f>
        <v/>
      </c>
      <c r="F2342">
        <f>IF(D2342="","",COUNTIFS('KG1-4'!$AD36:$IM36,"غياب بدون عذر",'KG1-4'!$AD$7:$IM$7,"✓",'KG1-4'!$AD$5:$IM$5,"&lt;="&amp;D2342))</f>
        <v/>
      </c>
      <c r="G2342">
        <f>G2341+IF(D2342="",0,1)</f>
        <v/>
      </c>
    </row>
    <row r="2343">
      <c r="A2343">
        <f>IF('KG1-4'!$B36="","",'KG1-4'!$B36)</f>
        <v/>
      </c>
      <c r="B2343">
        <f>IF(A2343="","",'KG1-4'!$C36)</f>
        <v/>
      </c>
      <c r="C2343">
        <f>IF(A2343="","",'KG1-4'!$B$2)</f>
        <v/>
      </c>
      <c r="D2343" s="126">
        <f t="array" ref="D2343">IF(A2343="","",IFERROR(SMALL(IF((('KG1-4'!$AD36:$IM36="غياب بدون عذر")+('KG1-4'!$AD36:$IM36="غياب بعذر"))*('KG1-4'!$AD$7:$IM$7="✓"),'KG1-4'!$AD$5:$IM$5),2),""))</f>
        <v/>
      </c>
      <c r="E2343">
        <f>IF(D2343="","",INDEX('KG1-4'!$AD36:$IM36,MATCH(D2343,'KG1-4'!$AD$5:$IM$5,0)))</f>
        <v/>
      </c>
      <c r="F2343">
        <f>IF(D2343="","",COUNTIFS('KG1-4'!$AD36:$IM36,"غياب بدون عذر",'KG1-4'!$AD$7:$IM$7,"✓",'KG1-4'!$AD$5:$IM$5,"&lt;="&amp;D2343))</f>
        <v/>
      </c>
      <c r="G2343">
        <f>G2342+IF(D2343="",0,1)</f>
        <v/>
      </c>
    </row>
    <row r="2344">
      <c r="A2344">
        <f>IF('KG1-4'!$B36="","",'KG1-4'!$B36)</f>
        <v/>
      </c>
      <c r="B2344">
        <f>IF(A2344="","",'KG1-4'!$C36)</f>
        <v/>
      </c>
      <c r="C2344">
        <f>IF(A2344="","",'KG1-4'!$B$2)</f>
        <v/>
      </c>
      <c r="D2344" s="126">
        <f t="array" ref="D2344">IF(A2344="","",IFERROR(SMALL(IF((('KG1-4'!$AD36:$IM36="غياب بدون عذر")+('KG1-4'!$AD36:$IM36="غياب بعذر"))*('KG1-4'!$AD$7:$IM$7="✓"),'KG1-4'!$AD$5:$IM$5),3),""))</f>
        <v/>
      </c>
      <c r="E2344">
        <f>IF(D2344="","",INDEX('KG1-4'!$AD36:$IM36,MATCH(D2344,'KG1-4'!$AD$5:$IM$5,0)))</f>
        <v/>
      </c>
      <c r="F2344">
        <f>IF(D2344="","",COUNTIFS('KG1-4'!$AD36:$IM36,"غياب بدون عذر",'KG1-4'!$AD$7:$IM$7,"✓",'KG1-4'!$AD$5:$IM$5,"&lt;="&amp;D2344))</f>
        <v/>
      </c>
      <c r="G2344">
        <f>G2343+IF(D2344="",0,1)</f>
        <v/>
      </c>
    </row>
    <row r="2345">
      <c r="A2345">
        <f>IF('KG1-4'!$B36="","",'KG1-4'!$B36)</f>
        <v/>
      </c>
      <c r="B2345">
        <f>IF(A2345="","",'KG1-4'!$C36)</f>
        <v/>
      </c>
      <c r="C2345">
        <f>IF(A2345="","",'KG1-4'!$B$2)</f>
        <v/>
      </c>
      <c r="D2345" s="126">
        <f t="array" ref="D2345">IF(A2345="","",IFERROR(SMALL(IF((('KG1-4'!$AD36:$IM36="غياب بدون عذر")+('KG1-4'!$AD36:$IM36="غياب بعذر"))*('KG1-4'!$AD$7:$IM$7="✓"),'KG1-4'!$AD$5:$IM$5),4),""))</f>
        <v/>
      </c>
      <c r="E2345">
        <f>IF(D2345="","",INDEX('KG1-4'!$AD36:$IM36,MATCH(D2345,'KG1-4'!$AD$5:$IM$5,0)))</f>
        <v/>
      </c>
      <c r="F2345">
        <f>IF(D2345="","",COUNTIFS('KG1-4'!$AD36:$IM36,"غياب بدون عذر",'KG1-4'!$AD$7:$IM$7,"✓",'KG1-4'!$AD$5:$IM$5,"&lt;="&amp;D2345))</f>
        <v/>
      </c>
      <c r="G2345">
        <f>G2344+IF(D2345="",0,1)</f>
        <v/>
      </c>
    </row>
    <row r="2346">
      <c r="A2346">
        <f>IF('KG1-4'!$B36="","",'KG1-4'!$B36)</f>
        <v/>
      </c>
      <c r="B2346">
        <f>IF(A2346="","",'KG1-4'!$C36)</f>
        <v/>
      </c>
      <c r="C2346">
        <f>IF(A2346="","",'KG1-4'!$B$2)</f>
        <v/>
      </c>
      <c r="D2346" s="126">
        <f t="array" ref="D2346">IF(A2346="","",IFERROR(SMALL(IF((('KG1-4'!$AD36:$IM36="غياب بدون عذر")+('KG1-4'!$AD36:$IM36="غياب بعذر"))*('KG1-4'!$AD$7:$IM$7="✓"),'KG1-4'!$AD$5:$IM$5),5),""))</f>
        <v/>
      </c>
      <c r="E2346">
        <f>IF(D2346="","",INDEX('KG1-4'!$AD36:$IM36,MATCH(D2346,'KG1-4'!$AD$5:$IM$5,0)))</f>
        <v/>
      </c>
      <c r="F2346">
        <f>IF(D2346="","",COUNTIFS('KG1-4'!$AD36:$IM36,"غياب بدون عذر",'KG1-4'!$AD$7:$IM$7,"✓",'KG1-4'!$AD$5:$IM$5,"&lt;="&amp;D2346))</f>
        <v/>
      </c>
      <c r="G2346">
        <f>G2345+IF(D2346="",0,1)</f>
        <v/>
      </c>
    </row>
    <row r="2347">
      <c r="A2347">
        <f>IF('KG1-4'!$B36="","",'KG1-4'!$B36)</f>
        <v/>
      </c>
      <c r="B2347">
        <f>IF(A2347="","",'KG1-4'!$C36)</f>
        <v/>
      </c>
      <c r="C2347">
        <f>IF(A2347="","",'KG1-4'!$B$2)</f>
        <v/>
      </c>
      <c r="D2347" s="126">
        <f t="array" ref="D2347">IF(A2347="","",IFERROR(SMALL(IF((('KG1-4'!$AD36:$IM36="غياب بدون عذر")+('KG1-4'!$AD36:$IM36="غياب بعذر"))*('KG1-4'!$AD$7:$IM$7="✓"),'KG1-4'!$AD$5:$IM$5),6),""))</f>
        <v/>
      </c>
      <c r="E2347">
        <f>IF(D2347="","",INDEX('KG1-4'!$AD36:$IM36,MATCH(D2347,'KG1-4'!$AD$5:$IM$5,0)))</f>
        <v/>
      </c>
      <c r="F2347">
        <f>IF(D2347="","",COUNTIFS('KG1-4'!$AD36:$IM36,"غياب بدون عذر",'KG1-4'!$AD$7:$IM$7,"✓",'KG1-4'!$AD$5:$IM$5,"&lt;="&amp;D2347))</f>
        <v/>
      </c>
      <c r="G2347">
        <f>G2346+IF(D2347="",0,1)</f>
        <v/>
      </c>
    </row>
    <row r="2348">
      <c r="A2348">
        <f>IF('KG1-4'!$B36="","",'KG1-4'!$B36)</f>
        <v/>
      </c>
      <c r="B2348">
        <f>IF(A2348="","",'KG1-4'!$C36)</f>
        <v/>
      </c>
      <c r="C2348">
        <f>IF(A2348="","",'KG1-4'!$B$2)</f>
        <v/>
      </c>
      <c r="D2348" s="126">
        <f t="array" ref="D2348">IF(A2348="","",IFERROR(SMALL(IF((('KG1-4'!$AD36:$IM36="غياب بدون عذر")+('KG1-4'!$AD36:$IM36="غياب بعذر"))*('KG1-4'!$AD$7:$IM$7="✓"),'KG1-4'!$AD$5:$IM$5),7),""))</f>
        <v/>
      </c>
      <c r="E2348">
        <f>IF(D2348="","",INDEX('KG1-4'!$AD36:$IM36,MATCH(D2348,'KG1-4'!$AD$5:$IM$5,0)))</f>
        <v/>
      </c>
      <c r="F2348">
        <f>IF(D2348="","",COUNTIFS('KG1-4'!$AD36:$IM36,"غياب بدون عذر",'KG1-4'!$AD$7:$IM$7,"✓",'KG1-4'!$AD$5:$IM$5,"&lt;="&amp;D2348))</f>
        <v/>
      </c>
      <c r="G2348">
        <f>G2347+IF(D2348="",0,1)</f>
        <v/>
      </c>
    </row>
    <row r="2349">
      <c r="A2349">
        <f>IF('KG1-4'!$B36="","",'KG1-4'!$B36)</f>
        <v/>
      </c>
      <c r="B2349">
        <f>IF(A2349="","",'KG1-4'!$C36)</f>
        <v/>
      </c>
      <c r="C2349">
        <f>IF(A2349="","",'KG1-4'!$B$2)</f>
        <v/>
      </c>
      <c r="D2349" s="126">
        <f t="array" ref="D2349">IF(A2349="","",IFERROR(SMALL(IF((('KG1-4'!$AD36:$IM36="غياب بدون عذر")+('KG1-4'!$AD36:$IM36="غياب بعذر"))*('KG1-4'!$AD$7:$IM$7="✓"),'KG1-4'!$AD$5:$IM$5),8),""))</f>
        <v/>
      </c>
      <c r="E2349">
        <f>IF(D2349="","",INDEX('KG1-4'!$AD36:$IM36,MATCH(D2349,'KG1-4'!$AD$5:$IM$5,0)))</f>
        <v/>
      </c>
      <c r="F2349">
        <f>IF(D2349="","",COUNTIFS('KG1-4'!$AD36:$IM36,"غياب بدون عذر",'KG1-4'!$AD$7:$IM$7,"✓",'KG1-4'!$AD$5:$IM$5,"&lt;="&amp;D2349))</f>
        <v/>
      </c>
      <c r="G2349">
        <f>G2348+IF(D2349="",0,1)</f>
        <v/>
      </c>
    </row>
    <row r="2350">
      <c r="A2350">
        <f>IF('KG1-4'!$B36="","",'KG1-4'!$B36)</f>
        <v/>
      </c>
      <c r="B2350">
        <f>IF(A2350="","",'KG1-4'!$C36)</f>
        <v/>
      </c>
      <c r="C2350">
        <f>IF(A2350="","",'KG1-4'!$B$2)</f>
        <v/>
      </c>
      <c r="D2350" s="126">
        <f t="array" ref="D2350">IF(A2350="","",IFERROR(SMALL(IF((('KG1-4'!$AD36:$IM36="غياب بدون عذر")+('KG1-4'!$AD36:$IM36="غياب بعذر"))*('KG1-4'!$AD$7:$IM$7="✓"),'KG1-4'!$AD$5:$IM$5),9),""))</f>
        <v/>
      </c>
      <c r="E2350">
        <f>IF(D2350="","",INDEX('KG1-4'!$AD36:$IM36,MATCH(D2350,'KG1-4'!$AD$5:$IM$5,0)))</f>
        <v/>
      </c>
      <c r="F2350">
        <f>IF(D2350="","",COUNTIFS('KG1-4'!$AD36:$IM36,"غياب بدون عذر",'KG1-4'!$AD$7:$IM$7,"✓",'KG1-4'!$AD$5:$IM$5,"&lt;="&amp;D2350))</f>
        <v/>
      </c>
      <c r="G2350">
        <f>G2349+IF(D2350="",0,1)</f>
        <v/>
      </c>
    </row>
    <row r="2351">
      <c r="A2351">
        <f>IF('KG1-4'!$B36="","",'KG1-4'!$B36)</f>
        <v/>
      </c>
      <c r="B2351">
        <f>IF(A2351="","",'KG1-4'!$C36)</f>
        <v/>
      </c>
      <c r="C2351">
        <f>IF(A2351="","",'KG1-4'!$B$2)</f>
        <v/>
      </c>
      <c r="D2351" s="126">
        <f t="array" ref="D2351">IF(A2351="","",IFERROR(SMALL(IF((('KG1-4'!$AD36:$IM36="غياب بدون عذر")+('KG1-4'!$AD36:$IM36="غياب بعذر"))*('KG1-4'!$AD$7:$IM$7="✓"),'KG1-4'!$AD$5:$IM$5),10),""))</f>
        <v/>
      </c>
      <c r="E2351">
        <f>IF(D2351="","",INDEX('KG1-4'!$AD36:$IM36,MATCH(D2351,'KG1-4'!$AD$5:$IM$5,0)))</f>
        <v/>
      </c>
      <c r="F2351">
        <f>IF(D2351="","",COUNTIFS('KG1-4'!$AD36:$IM36,"غياب بدون عذر",'KG1-4'!$AD$7:$IM$7,"✓",'KG1-4'!$AD$5:$IM$5,"&lt;="&amp;D2351))</f>
        <v/>
      </c>
      <c r="G2351">
        <f>G2350+IF(D2351="",0,1)</f>
        <v/>
      </c>
    </row>
    <row r="2352">
      <c r="A2352">
        <f>IF('KG1-4'!$B36="","",'KG1-4'!$B36)</f>
        <v/>
      </c>
      <c r="B2352">
        <f>IF(A2352="","",'KG1-4'!$C36)</f>
        <v/>
      </c>
      <c r="C2352">
        <f>IF(A2352="","",'KG1-4'!$B$2)</f>
        <v/>
      </c>
      <c r="D2352" s="126">
        <f t="array" ref="D2352">IF(A2352="","",IFERROR(SMALL(IF((('KG1-4'!$AD36:$IM36="غياب بدون عذر")+('KG1-4'!$AD36:$IM36="غياب بعذر"))*('KG1-4'!$AD$7:$IM$7="✓"),'KG1-4'!$AD$5:$IM$5),11),""))</f>
        <v/>
      </c>
      <c r="E2352">
        <f>IF(D2352="","",INDEX('KG1-4'!$AD36:$IM36,MATCH(D2352,'KG1-4'!$AD$5:$IM$5,0)))</f>
        <v/>
      </c>
      <c r="F2352">
        <f>IF(D2352="","",COUNTIFS('KG1-4'!$AD36:$IM36,"غياب بدون عذر",'KG1-4'!$AD$7:$IM$7,"✓",'KG1-4'!$AD$5:$IM$5,"&lt;="&amp;D2352))</f>
        <v/>
      </c>
      <c r="G2352">
        <f>G2351+IF(D2352="",0,1)</f>
        <v/>
      </c>
    </row>
    <row r="2353">
      <c r="A2353">
        <f>IF('KG1-4'!$B36="","",'KG1-4'!$B36)</f>
        <v/>
      </c>
      <c r="B2353">
        <f>IF(A2353="","",'KG1-4'!$C36)</f>
        <v/>
      </c>
      <c r="C2353">
        <f>IF(A2353="","",'KG1-4'!$B$2)</f>
        <v/>
      </c>
      <c r="D2353" s="126">
        <f t="array" ref="D2353">IF(A2353="","",IFERROR(SMALL(IF((('KG1-4'!$AD36:$IM36="غياب بدون عذر")+('KG1-4'!$AD36:$IM36="غياب بعذر"))*('KG1-4'!$AD$7:$IM$7="✓"),'KG1-4'!$AD$5:$IM$5),12),""))</f>
        <v/>
      </c>
      <c r="E2353">
        <f>IF(D2353="","",INDEX('KG1-4'!$AD36:$IM36,MATCH(D2353,'KG1-4'!$AD$5:$IM$5,0)))</f>
        <v/>
      </c>
      <c r="F2353">
        <f>IF(D2353="","",COUNTIFS('KG1-4'!$AD36:$IM36,"غياب بدون عذر",'KG1-4'!$AD$7:$IM$7,"✓",'KG1-4'!$AD$5:$IM$5,"&lt;="&amp;D2353))</f>
        <v/>
      </c>
      <c r="G2353">
        <f>G2352+IF(D2353="",0,1)</f>
        <v/>
      </c>
    </row>
    <row r="2354">
      <c r="A2354">
        <f>IF('KG1-4'!$B36="","",'KG1-4'!$B36)</f>
        <v/>
      </c>
      <c r="B2354">
        <f>IF(A2354="","",'KG1-4'!$C36)</f>
        <v/>
      </c>
      <c r="C2354">
        <f>IF(A2354="","",'KG1-4'!$B$2)</f>
        <v/>
      </c>
      <c r="D2354" s="126">
        <f t="array" ref="D2354">IF(A2354="","",IFERROR(SMALL(IF((('KG1-4'!$AD36:$IM36="غياب بدون عذر")+('KG1-4'!$AD36:$IM36="غياب بعذر"))*('KG1-4'!$AD$7:$IM$7="✓"),'KG1-4'!$AD$5:$IM$5),13),""))</f>
        <v/>
      </c>
      <c r="E2354">
        <f>IF(D2354="","",INDEX('KG1-4'!$AD36:$IM36,MATCH(D2354,'KG1-4'!$AD$5:$IM$5,0)))</f>
        <v/>
      </c>
      <c r="F2354">
        <f>IF(D2354="","",COUNTIFS('KG1-4'!$AD36:$IM36,"غياب بدون عذر",'KG1-4'!$AD$7:$IM$7,"✓",'KG1-4'!$AD$5:$IM$5,"&lt;="&amp;D2354))</f>
        <v/>
      </c>
      <c r="G2354">
        <f>G2353+IF(D2354="",0,1)</f>
        <v/>
      </c>
    </row>
    <row r="2355">
      <c r="A2355">
        <f>IF('KG1-4'!$B36="","",'KG1-4'!$B36)</f>
        <v/>
      </c>
      <c r="B2355">
        <f>IF(A2355="","",'KG1-4'!$C36)</f>
        <v/>
      </c>
      <c r="C2355">
        <f>IF(A2355="","",'KG1-4'!$B$2)</f>
        <v/>
      </c>
      <c r="D2355" s="126">
        <f t="array" ref="D2355">IF(A2355="","",IFERROR(SMALL(IF((('KG1-4'!$AD36:$IM36="غياب بدون عذر")+('KG1-4'!$AD36:$IM36="غياب بعذر"))*('KG1-4'!$AD$7:$IM$7="✓"),'KG1-4'!$AD$5:$IM$5),14),""))</f>
        <v/>
      </c>
      <c r="E2355">
        <f>IF(D2355="","",INDEX('KG1-4'!$AD36:$IM36,MATCH(D2355,'KG1-4'!$AD$5:$IM$5,0)))</f>
        <v/>
      </c>
      <c r="F2355">
        <f>IF(D2355="","",COUNTIFS('KG1-4'!$AD36:$IM36,"غياب بدون عذر",'KG1-4'!$AD$7:$IM$7,"✓",'KG1-4'!$AD$5:$IM$5,"&lt;="&amp;D2355))</f>
        <v/>
      </c>
      <c r="G2355">
        <f>G2354+IF(D2355="",0,1)</f>
        <v/>
      </c>
    </row>
    <row r="2356">
      <c r="A2356">
        <f>IF('KG1-4'!$B36="","",'KG1-4'!$B36)</f>
        <v/>
      </c>
      <c r="B2356">
        <f>IF(A2356="","",'KG1-4'!$C36)</f>
        <v/>
      </c>
      <c r="C2356">
        <f>IF(A2356="","",'KG1-4'!$B$2)</f>
        <v/>
      </c>
      <c r="D2356" s="126">
        <f t="array" ref="D2356">IF(A2356="","",IFERROR(SMALL(IF((('KG1-4'!$AD36:$IM36="غياب بدون عذر")+('KG1-4'!$AD36:$IM36="غياب بعذر"))*('KG1-4'!$AD$7:$IM$7="✓"),'KG1-4'!$AD$5:$IM$5),15),""))</f>
        <v/>
      </c>
      <c r="E2356">
        <f>IF(D2356="","",INDEX('KG1-4'!$AD36:$IM36,MATCH(D2356,'KG1-4'!$AD$5:$IM$5,0)))</f>
        <v/>
      </c>
      <c r="F2356">
        <f>IF(D2356="","",COUNTIFS('KG1-4'!$AD36:$IM36,"غياب بدون عذر",'KG1-4'!$AD$7:$IM$7,"✓",'KG1-4'!$AD$5:$IM$5,"&lt;="&amp;D2356))</f>
        <v/>
      </c>
      <c r="G2356">
        <f>G2355+IF(D2356="",0,1)</f>
        <v/>
      </c>
    </row>
    <row r="2357">
      <c r="A2357">
        <f>IF('KG1-4'!$B36="","",'KG1-4'!$B36)</f>
        <v/>
      </c>
      <c r="B2357">
        <f>IF(A2357="","",'KG1-4'!$C36)</f>
        <v/>
      </c>
      <c r="C2357">
        <f>IF(A2357="","",'KG1-4'!$B$2)</f>
        <v/>
      </c>
      <c r="D2357" s="126">
        <f t="array" ref="D2357">IF(A2357="","",IFERROR(SMALL(IF((('KG1-4'!$AD36:$IM36="غياب بدون عذر")+('KG1-4'!$AD36:$IM36="غياب بعذر"))*('KG1-4'!$AD$7:$IM$7="✓"),'KG1-4'!$AD$5:$IM$5),16),""))</f>
        <v/>
      </c>
      <c r="E2357">
        <f>IF(D2357="","",INDEX('KG1-4'!$AD36:$IM36,MATCH(D2357,'KG1-4'!$AD$5:$IM$5,0)))</f>
        <v/>
      </c>
      <c r="F2357">
        <f>IF(D2357="","",COUNTIFS('KG1-4'!$AD36:$IM36,"غياب بدون عذر",'KG1-4'!$AD$7:$IM$7,"✓",'KG1-4'!$AD$5:$IM$5,"&lt;="&amp;D2357))</f>
        <v/>
      </c>
      <c r="G2357">
        <f>G2356+IF(D2357="",0,1)</f>
        <v/>
      </c>
    </row>
    <row r="2358">
      <c r="A2358">
        <f>IF('KG1-4'!$B36="","",'KG1-4'!$B36)</f>
        <v/>
      </c>
      <c r="B2358">
        <f>IF(A2358="","",'KG1-4'!$C36)</f>
        <v/>
      </c>
      <c r="C2358">
        <f>IF(A2358="","",'KG1-4'!$B$2)</f>
        <v/>
      </c>
      <c r="D2358" s="126">
        <f t="array" ref="D2358">IF(A2358="","",IFERROR(SMALL(IF((('KG1-4'!$AD36:$IM36="غياب بدون عذر")+('KG1-4'!$AD36:$IM36="غياب بعذر"))*('KG1-4'!$AD$7:$IM$7="✓"),'KG1-4'!$AD$5:$IM$5),17),""))</f>
        <v/>
      </c>
      <c r="E2358">
        <f>IF(D2358="","",INDEX('KG1-4'!$AD36:$IM36,MATCH(D2358,'KG1-4'!$AD$5:$IM$5,0)))</f>
        <v/>
      </c>
      <c r="F2358">
        <f>IF(D2358="","",COUNTIFS('KG1-4'!$AD36:$IM36,"غياب بدون عذر",'KG1-4'!$AD$7:$IM$7,"✓",'KG1-4'!$AD$5:$IM$5,"&lt;="&amp;D2358))</f>
        <v/>
      </c>
      <c r="G2358">
        <f>G2357+IF(D2358="",0,1)</f>
        <v/>
      </c>
    </row>
    <row r="2359">
      <c r="A2359">
        <f>IF('KG1-4'!$B36="","",'KG1-4'!$B36)</f>
        <v/>
      </c>
      <c r="B2359">
        <f>IF(A2359="","",'KG1-4'!$C36)</f>
        <v/>
      </c>
      <c r="C2359">
        <f>IF(A2359="","",'KG1-4'!$B$2)</f>
        <v/>
      </c>
      <c r="D2359" s="126">
        <f t="array" ref="D2359">IF(A2359="","",IFERROR(SMALL(IF((('KG1-4'!$AD36:$IM36="غياب بدون عذر")+('KG1-4'!$AD36:$IM36="غياب بعذر"))*('KG1-4'!$AD$7:$IM$7="✓"),'KG1-4'!$AD$5:$IM$5),18),""))</f>
        <v/>
      </c>
      <c r="E2359">
        <f>IF(D2359="","",INDEX('KG1-4'!$AD36:$IM36,MATCH(D2359,'KG1-4'!$AD$5:$IM$5,0)))</f>
        <v/>
      </c>
      <c r="F2359">
        <f>IF(D2359="","",COUNTIFS('KG1-4'!$AD36:$IM36,"غياب بدون عذر",'KG1-4'!$AD$7:$IM$7,"✓",'KG1-4'!$AD$5:$IM$5,"&lt;="&amp;D2359))</f>
        <v/>
      </c>
      <c r="G2359">
        <f>G2358+IF(D2359="",0,1)</f>
        <v/>
      </c>
    </row>
    <row r="2360">
      <c r="A2360">
        <f>IF('KG1-4'!$B36="","",'KG1-4'!$B36)</f>
        <v/>
      </c>
      <c r="B2360">
        <f>IF(A2360="","",'KG1-4'!$C36)</f>
        <v/>
      </c>
      <c r="C2360">
        <f>IF(A2360="","",'KG1-4'!$B$2)</f>
        <v/>
      </c>
      <c r="D2360" s="126">
        <f t="array" ref="D2360">IF(A2360="","",IFERROR(SMALL(IF((('KG1-4'!$AD36:$IM36="غياب بدون عذر")+('KG1-4'!$AD36:$IM36="غياب بعذر"))*('KG1-4'!$AD$7:$IM$7="✓"),'KG1-4'!$AD$5:$IM$5),19),""))</f>
        <v/>
      </c>
      <c r="E2360">
        <f>IF(D2360="","",INDEX('KG1-4'!$AD36:$IM36,MATCH(D2360,'KG1-4'!$AD$5:$IM$5,0)))</f>
        <v/>
      </c>
      <c r="F2360">
        <f>IF(D2360="","",COUNTIFS('KG1-4'!$AD36:$IM36,"غياب بدون عذر",'KG1-4'!$AD$7:$IM$7,"✓",'KG1-4'!$AD$5:$IM$5,"&lt;="&amp;D2360))</f>
        <v/>
      </c>
      <c r="G2360">
        <f>G2359+IF(D2360="",0,1)</f>
        <v/>
      </c>
    </row>
    <row r="2361">
      <c r="A2361">
        <f>IF('KG1-4'!$B36="","",'KG1-4'!$B36)</f>
        <v/>
      </c>
      <c r="B2361">
        <f>IF(A2361="","",'KG1-4'!$C36)</f>
        <v/>
      </c>
      <c r="C2361">
        <f>IF(A2361="","",'KG1-4'!$B$2)</f>
        <v/>
      </c>
      <c r="D2361" s="126">
        <f t="array" ref="D2361">IF(A2361="","",IFERROR(SMALL(IF((('KG1-4'!$AD36:$IM36="غياب بدون عذر")+('KG1-4'!$AD36:$IM36="غياب بعذر"))*('KG1-4'!$AD$7:$IM$7="✓"),'KG1-4'!$AD$5:$IM$5),20),""))</f>
        <v/>
      </c>
      <c r="E2361">
        <f>IF(D2361="","",INDEX('KG1-4'!$AD36:$IM36,MATCH(D2361,'KG1-4'!$AD$5:$IM$5,0)))</f>
        <v/>
      </c>
      <c r="F2361">
        <f>IF(D2361="","",COUNTIFS('KG1-4'!$AD36:$IM36,"غياب بدون عذر",'KG1-4'!$AD$7:$IM$7,"✓",'KG1-4'!$AD$5:$IM$5,"&lt;="&amp;D2361))</f>
        <v/>
      </c>
      <c r="G2361">
        <f>G2360+IF(D2361="",0,1)</f>
        <v/>
      </c>
    </row>
    <row r="2362">
      <c r="A2362">
        <f>IF('KG1-4'!$B37="","",'KG1-4'!$B37)</f>
        <v/>
      </c>
      <c r="B2362">
        <f>IF(A2362="","",'KG1-4'!$C37)</f>
        <v/>
      </c>
      <c r="C2362">
        <f>IF(A2362="","",'KG1-4'!$B$2)</f>
        <v/>
      </c>
      <c r="D2362" s="126">
        <f t="array" ref="D2362">IF(A2362="","",IFERROR(SMALL(IF((('KG1-4'!$AD37:$IM37="غياب بدون عذر")+('KG1-4'!$AD37:$IM37="غياب بعذر"))*('KG1-4'!$AD$7:$IM$7="✓"),'KG1-4'!$AD$5:$IM$5),1),""))</f>
        <v/>
      </c>
      <c r="E2362">
        <f>IF(D2362="","",INDEX('KG1-4'!$AD37:$IM37,MATCH(D2362,'KG1-4'!$AD$5:$IM$5,0)))</f>
        <v/>
      </c>
      <c r="F2362">
        <f>IF(D2362="","",COUNTIFS('KG1-4'!$AD37:$IM37,"غياب بدون عذر",'KG1-4'!$AD$7:$IM$7,"✓",'KG1-4'!$AD$5:$IM$5,"&lt;="&amp;D2362))</f>
        <v/>
      </c>
      <c r="G2362">
        <f>G2361+IF(D2362="",0,1)</f>
        <v/>
      </c>
    </row>
    <row r="2363">
      <c r="A2363">
        <f>IF('KG1-4'!$B37="","",'KG1-4'!$B37)</f>
        <v/>
      </c>
      <c r="B2363">
        <f>IF(A2363="","",'KG1-4'!$C37)</f>
        <v/>
      </c>
      <c r="C2363">
        <f>IF(A2363="","",'KG1-4'!$B$2)</f>
        <v/>
      </c>
      <c r="D2363" s="126">
        <f t="array" ref="D2363">IF(A2363="","",IFERROR(SMALL(IF((('KG1-4'!$AD37:$IM37="غياب بدون عذر")+('KG1-4'!$AD37:$IM37="غياب بعذر"))*('KG1-4'!$AD$7:$IM$7="✓"),'KG1-4'!$AD$5:$IM$5),2),""))</f>
        <v/>
      </c>
      <c r="E2363">
        <f>IF(D2363="","",INDEX('KG1-4'!$AD37:$IM37,MATCH(D2363,'KG1-4'!$AD$5:$IM$5,0)))</f>
        <v/>
      </c>
      <c r="F2363">
        <f>IF(D2363="","",COUNTIFS('KG1-4'!$AD37:$IM37,"غياب بدون عذر",'KG1-4'!$AD$7:$IM$7,"✓",'KG1-4'!$AD$5:$IM$5,"&lt;="&amp;D2363))</f>
        <v/>
      </c>
      <c r="G2363">
        <f>G2362+IF(D2363="",0,1)</f>
        <v/>
      </c>
    </row>
    <row r="2364">
      <c r="A2364">
        <f>IF('KG1-4'!$B37="","",'KG1-4'!$B37)</f>
        <v/>
      </c>
      <c r="B2364">
        <f>IF(A2364="","",'KG1-4'!$C37)</f>
        <v/>
      </c>
      <c r="C2364">
        <f>IF(A2364="","",'KG1-4'!$B$2)</f>
        <v/>
      </c>
      <c r="D2364" s="126">
        <f t="array" ref="D2364">IF(A2364="","",IFERROR(SMALL(IF((('KG1-4'!$AD37:$IM37="غياب بدون عذر")+('KG1-4'!$AD37:$IM37="غياب بعذر"))*('KG1-4'!$AD$7:$IM$7="✓"),'KG1-4'!$AD$5:$IM$5),3),""))</f>
        <v/>
      </c>
      <c r="E2364">
        <f>IF(D2364="","",INDEX('KG1-4'!$AD37:$IM37,MATCH(D2364,'KG1-4'!$AD$5:$IM$5,0)))</f>
        <v/>
      </c>
      <c r="F2364">
        <f>IF(D2364="","",COUNTIFS('KG1-4'!$AD37:$IM37,"غياب بدون عذر",'KG1-4'!$AD$7:$IM$7,"✓",'KG1-4'!$AD$5:$IM$5,"&lt;="&amp;D2364))</f>
        <v/>
      </c>
      <c r="G2364">
        <f>G2363+IF(D2364="",0,1)</f>
        <v/>
      </c>
    </row>
    <row r="2365">
      <c r="A2365">
        <f>IF('KG1-4'!$B37="","",'KG1-4'!$B37)</f>
        <v/>
      </c>
      <c r="B2365">
        <f>IF(A2365="","",'KG1-4'!$C37)</f>
        <v/>
      </c>
      <c r="C2365">
        <f>IF(A2365="","",'KG1-4'!$B$2)</f>
        <v/>
      </c>
      <c r="D2365" s="126">
        <f t="array" ref="D2365">IF(A2365="","",IFERROR(SMALL(IF((('KG1-4'!$AD37:$IM37="غياب بدون عذر")+('KG1-4'!$AD37:$IM37="غياب بعذر"))*('KG1-4'!$AD$7:$IM$7="✓"),'KG1-4'!$AD$5:$IM$5),4),""))</f>
        <v/>
      </c>
      <c r="E2365">
        <f>IF(D2365="","",INDEX('KG1-4'!$AD37:$IM37,MATCH(D2365,'KG1-4'!$AD$5:$IM$5,0)))</f>
        <v/>
      </c>
      <c r="F2365">
        <f>IF(D2365="","",COUNTIFS('KG1-4'!$AD37:$IM37,"غياب بدون عذر",'KG1-4'!$AD$7:$IM$7,"✓",'KG1-4'!$AD$5:$IM$5,"&lt;="&amp;D2365))</f>
        <v/>
      </c>
      <c r="G2365">
        <f>G2364+IF(D2365="",0,1)</f>
        <v/>
      </c>
    </row>
    <row r="2366">
      <c r="A2366">
        <f>IF('KG1-4'!$B37="","",'KG1-4'!$B37)</f>
        <v/>
      </c>
      <c r="B2366">
        <f>IF(A2366="","",'KG1-4'!$C37)</f>
        <v/>
      </c>
      <c r="C2366">
        <f>IF(A2366="","",'KG1-4'!$B$2)</f>
        <v/>
      </c>
      <c r="D2366" s="126">
        <f t="array" ref="D2366">IF(A2366="","",IFERROR(SMALL(IF((('KG1-4'!$AD37:$IM37="غياب بدون عذر")+('KG1-4'!$AD37:$IM37="غياب بعذر"))*('KG1-4'!$AD$7:$IM$7="✓"),'KG1-4'!$AD$5:$IM$5),5),""))</f>
        <v/>
      </c>
      <c r="E2366">
        <f>IF(D2366="","",INDEX('KG1-4'!$AD37:$IM37,MATCH(D2366,'KG1-4'!$AD$5:$IM$5,0)))</f>
        <v/>
      </c>
      <c r="F2366">
        <f>IF(D2366="","",COUNTIFS('KG1-4'!$AD37:$IM37,"غياب بدون عذر",'KG1-4'!$AD$7:$IM$7,"✓",'KG1-4'!$AD$5:$IM$5,"&lt;="&amp;D2366))</f>
        <v/>
      </c>
      <c r="G2366">
        <f>G2365+IF(D2366="",0,1)</f>
        <v/>
      </c>
    </row>
    <row r="2367">
      <c r="A2367">
        <f>IF('KG1-4'!$B37="","",'KG1-4'!$B37)</f>
        <v/>
      </c>
      <c r="B2367">
        <f>IF(A2367="","",'KG1-4'!$C37)</f>
        <v/>
      </c>
      <c r="C2367">
        <f>IF(A2367="","",'KG1-4'!$B$2)</f>
        <v/>
      </c>
      <c r="D2367" s="126">
        <f t="array" ref="D2367">IF(A2367="","",IFERROR(SMALL(IF((('KG1-4'!$AD37:$IM37="غياب بدون عذر")+('KG1-4'!$AD37:$IM37="غياب بعذر"))*('KG1-4'!$AD$7:$IM$7="✓"),'KG1-4'!$AD$5:$IM$5),6),""))</f>
        <v/>
      </c>
      <c r="E2367">
        <f>IF(D2367="","",INDEX('KG1-4'!$AD37:$IM37,MATCH(D2367,'KG1-4'!$AD$5:$IM$5,0)))</f>
        <v/>
      </c>
      <c r="F2367">
        <f>IF(D2367="","",COUNTIFS('KG1-4'!$AD37:$IM37,"غياب بدون عذر",'KG1-4'!$AD$7:$IM$7,"✓",'KG1-4'!$AD$5:$IM$5,"&lt;="&amp;D2367))</f>
        <v/>
      </c>
      <c r="G2367">
        <f>G2366+IF(D2367="",0,1)</f>
        <v/>
      </c>
    </row>
    <row r="2368">
      <c r="A2368">
        <f>IF('KG1-4'!$B37="","",'KG1-4'!$B37)</f>
        <v/>
      </c>
      <c r="B2368">
        <f>IF(A2368="","",'KG1-4'!$C37)</f>
        <v/>
      </c>
      <c r="C2368">
        <f>IF(A2368="","",'KG1-4'!$B$2)</f>
        <v/>
      </c>
      <c r="D2368" s="126">
        <f t="array" ref="D2368">IF(A2368="","",IFERROR(SMALL(IF((('KG1-4'!$AD37:$IM37="غياب بدون عذر")+('KG1-4'!$AD37:$IM37="غياب بعذر"))*('KG1-4'!$AD$7:$IM$7="✓"),'KG1-4'!$AD$5:$IM$5),7),""))</f>
        <v/>
      </c>
      <c r="E2368">
        <f>IF(D2368="","",INDEX('KG1-4'!$AD37:$IM37,MATCH(D2368,'KG1-4'!$AD$5:$IM$5,0)))</f>
        <v/>
      </c>
      <c r="F2368">
        <f>IF(D2368="","",COUNTIFS('KG1-4'!$AD37:$IM37,"غياب بدون عذر",'KG1-4'!$AD$7:$IM$7,"✓",'KG1-4'!$AD$5:$IM$5,"&lt;="&amp;D2368))</f>
        <v/>
      </c>
      <c r="G2368">
        <f>G2367+IF(D2368="",0,1)</f>
        <v/>
      </c>
    </row>
    <row r="2369">
      <c r="A2369">
        <f>IF('KG1-4'!$B37="","",'KG1-4'!$B37)</f>
        <v/>
      </c>
      <c r="B2369">
        <f>IF(A2369="","",'KG1-4'!$C37)</f>
        <v/>
      </c>
      <c r="C2369">
        <f>IF(A2369="","",'KG1-4'!$B$2)</f>
        <v/>
      </c>
      <c r="D2369" s="126">
        <f t="array" ref="D2369">IF(A2369="","",IFERROR(SMALL(IF((('KG1-4'!$AD37:$IM37="غياب بدون عذر")+('KG1-4'!$AD37:$IM37="غياب بعذر"))*('KG1-4'!$AD$7:$IM$7="✓"),'KG1-4'!$AD$5:$IM$5),8),""))</f>
        <v/>
      </c>
      <c r="E2369">
        <f>IF(D2369="","",INDEX('KG1-4'!$AD37:$IM37,MATCH(D2369,'KG1-4'!$AD$5:$IM$5,0)))</f>
        <v/>
      </c>
      <c r="F2369">
        <f>IF(D2369="","",COUNTIFS('KG1-4'!$AD37:$IM37,"غياب بدون عذر",'KG1-4'!$AD$7:$IM$7,"✓",'KG1-4'!$AD$5:$IM$5,"&lt;="&amp;D2369))</f>
        <v/>
      </c>
      <c r="G2369">
        <f>G2368+IF(D2369="",0,1)</f>
        <v/>
      </c>
    </row>
    <row r="2370">
      <c r="A2370">
        <f>IF('KG1-4'!$B37="","",'KG1-4'!$B37)</f>
        <v/>
      </c>
      <c r="B2370">
        <f>IF(A2370="","",'KG1-4'!$C37)</f>
        <v/>
      </c>
      <c r="C2370">
        <f>IF(A2370="","",'KG1-4'!$B$2)</f>
        <v/>
      </c>
      <c r="D2370" s="126">
        <f t="array" ref="D2370">IF(A2370="","",IFERROR(SMALL(IF((('KG1-4'!$AD37:$IM37="غياب بدون عذر")+('KG1-4'!$AD37:$IM37="غياب بعذر"))*('KG1-4'!$AD$7:$IM$7="✓"),'KG1-4'!$AD$5:$IM$5),9),""))</f>
        <v/>
      </c>
      <c r="E2370">
        <f>IF(D2370="","",INDEX('KG1-4'!$AD37:$IM37,MATCH(D2370,'KG1-4'!$AD$5:$IM$5,0)))</f>
        <v/>
      </c>
      <c r="F2370">
        <f>IF(D2370="","",COUNTIFS('KG1-4'!$AD37:$IM37,"غياب بدون عذر",'KG1-4'!$AD$7:$IM$7,"✓",'KG1-4'!$AD$5:$IM$5,"&lt;="&amp;D2370))</f>
        <v/>
      </c>
      <c r="G2370">
        <f>G2369+IF(D2370="",0,1)</f>
        <v/>
      </c>
    </row>
    <row r="2371">
      <c r="A2371">
        <f>IF('KG1-4'!$B37="","",'KG1-4'!$B37)</f>
        <v/>
      </c>
      <c r="B2371">
        <f>IF(A2371="","",'KG1-4'!$C37)</f>
        <v/>
      </c>
      <c r="C2371">
        <f>IF(A2371="","",'KG1-4'!$B$2)</f>
        <v/>
      </c>
      <c r="D2371" s="126">
        <f t="array" ref="D2371">IF(A2371="","",IFERROR(SMALL(IF((('KG1-4'!$AD37:$IM37="غياب بدون عذر")+('KG1-4'!$AD37:$IM37="غياب بعذر"))*('KG1-4'!$AD$7:$IM$7="✓"),'KG1-4'!$AD$5:$IM$5),10),""))</f>
        <v/>
      </c>
      <c r="E2371">
        <f>IF(D2371="","",INDEX('KG1-4'!$AD37:$IM37,MATCH(D2371,'KG1-4'!$AD$5:$IM$5,0)))</f>
        <v/>
      </c>
      <c r="F2371">
        <f>IF(D2371="","",COUNTIFS('KG1-4'!$AD37:$IM37,"غياب بدون عذر",'KG1-4'!$AD$7:$IM$7,"✓",'KG1-4'!$AD$5:$IM$5,"&lt;="&amp;D2371))</f>
        <v/>
      </c>
      <c r="G2371">
        <f>G2370+IF(D2371="",0,1)</f>
        <v/>
      </c>
    </row>
    <row r="2372">
      <c r="A2372">
        <f>IF('KG1-4'!$B37="","",'KG1-4'!$B37)</f>
        <v/>
      </c>
      <c r="B2372">
        <f>IF(A2372="","",'KG1-4'!$C37)</f>
        <v/>
      </c>
      <c r="C2372">
        <f>IF(A2372="","",'KG1-4'!$B$2)</f>
        <v/>
      </c>
      <c r="D2372" s="126">
        <f t="array" ref="D2372">IF(A2372="","",IFERROR(SMALL(IF((('KG1-4'!$AD37:$IM37="غياب بدون عذر")+('KG1-4'!$AD37:$IM37="غياب بعذر"))*('KG1-4'!$AD$7:$IM$7="✓"),'KG1-4'!$AD$5:$IM$5),11),""))</f>
        <v/>
      </c>
      <c r="E2372">
        <f>IF(D2372="","",INDEX('KG1-4'!$AD37:$IM37,MATCH(D2372,'KG1-4'!$AD$5:$IM$5,0)))</f>
        <v/>
      </c>
      <c r="F2372">
        <f>IF(D2372="","",COUNTIFS('KG1-4'!$AD37:$IM37,"غياب بدون عذر",'KG1-4'!$AD$7:$IM$7,"✓",'KG1-4'!$AD$5:$IM$5,"&lt;="&amp;D2372))</f>
        <v/>
      </c>
      <c r="G2372">
        <f>G2371+IF(D2372="",0,1)</f>
        <v/>
      </c>
    </row>
    <row r="2373">
      <c r="A2373">
        <f>IF('KG1-4'!$B37="","",'KG1-4'!$B37)</f>
        <v/>
      </c>
      <c r="B2373">
        <f>IF(A2373="","",'KG1-4'!$C37)</f>
        <v/>
      </c>
      <c r="C2373">
        <f>IF(A2373="","",'KG1-4'!$B$2)</f>
        <v/>
      </c>
      <c r="D2373" s="126">
        <f t="array" ref="D2373">IF(A2373="","",IFERROR(SMALL(IF((('KG1-4'!$AD37:$IM37="غياب بدون عذر")+('KG1-4'!$AD37:$IM37="غياب بعذر"))*('KG1-4'!$AD$7:$IM$7="✓"),'KG1-4'!$AD$5:$IM$5),12),""))</f>
        <v/>
      </c>
      <c r="E2373">
        <f>IF(D2373="","",INDEX('KG1-4'!$AD37:$IM37,MATCH(D2373,'KG1-4'!$AD$5:$IM$5,0)))</f>
        <v/>
      </c>
      <c r="F2373">
        <f>IF(D2373="","",COUNTIFS('KG1-4'!$AD37:$IM37,"غياب بدون عذر",'KG1-4'!$AD$7:$IM$7,"✓",'KG1-4'!$AD$5:$IM$5,"&lt;="&amp;D2373))</f>
        <v/>
      </c>
      <c r="G2373">
        <f>G2372+IF(D2373="",0,1)</f>
        <v/>
      </c>
    </row>
    <row r="2374">
      <c r="A2374">
        <f>IF('KG1-4'!$B37="","",'KG1-4'!$B37)</f>
        <v/>
      </c>
      <c r="B2374">
        <f>IF(A2374="","",'KG1-4'!$C37)</f>
        <v/>
      </c>
      <c r="C2374">
        <f>IF(A2374="","",'KG1-4'!$B$2)</f>
        <v/>
      </c>
      <c r="D2374" s="126">
        <f t="array" ref="D2374">IF(A2374="","",IFERROR(SMALL(IF((('KG1-4'!$AD37:$IM37="غياب بدون عذر")+('KG1-4'!$AD37:$IM37="غياب بعذر"))*('KG1-4'!$AD$7:$IM$7="✓"),'KG1-4'!$AD$5:$IM$5),13),""))</f>
        <v/>
      </c>
      <c r="E2374">
        <f>IF(D2374="","",INDEX('KG1-4'!$AD37:$IM37,MATCH(D2374,'KG1-4'!$AD$5:$IM$5,0)))</f>
        <v/>
      </c>
      <c r="F2374">
        <f>IF(D2374="","",COUNTIFS('KG1-4'!$AD37:$IM37,"غياب بدون عذر",'KG1-4'!$AD$7:$IM$7,"✓",'KG1-4'!$AD$5:$IM$5,"&lt;="&amp;D2374))</f>
        <v/>
      </c>
      <c r="G2374">
        <f>G2373+IF(D2374="",0,1)</f>
        <v/>
      </c>
    </row>
    <row r="2375">
      <c r="A2375">
        <f>IF('KG1-4'!$B37="","",'KG1-4'!$B37)</f>
        <v/>
      </c>
      <c r="B2375">
        <f>IF(A2375="","",'KG1-4'!$C37)</f>
        <v/>
      </c>
      <c r="C2375">
        <f>IF(A2375="","",'KG1-4'!$B$2)</f>
        <v/>
      </c>
      <c r="D2375" s="126">
        <f t="array" ref="D2375">IF(A2375="","",IFERROR(SMALL(IF((('KG1-4'!$AD37:$IM37="غياب بدون عذر")+('KG1-4'!$AD37:$IM37="غياب بعذر"))*('KG1-4'!$AD$7:$IM$7="✓"),'KG1-4'!$AD$5:$IM$5),14),""))</f>
        <v/>
      </c>
      <c r="E2375">
        <f>IF(D2375="","",INDEX('KG1-4'!$AD37:$IM37,MATCH(D2375,'KG1-4'!$AD$5:$IM$5,0)))</f>
        <v/>
      </c>
      <c r="F2375">
        <f>IF(D2375="","",COUNTIFS('KG1-4'!$AD37:$IM37,"غياب بدون عذر",'KG1-4'!$AD$7:$IM$7,"✓",'KG1-4'!$AD$5:$IM$5,"&lt;="&amp;D2375))</f>
        <v/>
      </c>
      <c r="G2375">
        <f>G2374+IF(D2375="",0,1)</f>
        <v/>
      </c>
    </row>
    <row r="2376">
      <c r="A2376">
        <f>IF('KG1-4'!$B37="","",'KG1-4'!$B37)</f>
        <v/>
      </c>
      <c r="B2376">
        <f>IF(A2376="","",'KG1-4'!$C37)</f>
        <v/>
      </c>
      <c r="C2376">
        <f>IF(A2376="","",'KG1-4'!$B$2)</f>
        <v/>
      </c>
      <c r="D2376" s="126">
        <f t="array" ref="D2376">IF(A2376="","",IFERROR(SMALL(IF((('KG1-4'!$AD37:$IM37="غياب بدون عذر")+('KG1-4'!$AD37:$IM37="غياب بعذر"))*('KG1-4'!$AD$7:$IM$7="✓"),'KG1-4'!$AD$5:$IM$5),15),""))</f>
        <v/>
      </c>
      <c r="E2376">
        <f>IF(D2376="","",INDEX('KG1-4'!$AD37:$IM37,MATCH(D2376,'KG1-4'!$AD$5:$IM$5,0)))</f>
        <v/>
      </c>
      <c r="F2376">
        <f>IF(D2376="","",COUNTIFS('KG1-4'!$AD37:$IM37,"غياب بدون عذر",'KG1-4'!$AD$7:$IM$7,"✓",'KG1-4'!$AD$5:$IM$5,"&lt;="&amp;D2376))</f>
        <v/>
      </c>
      <c r="G2376">
        <f>G2375+IF(D2376="",0,1)</f>
        <v/>
      </c>
    </row>
    <row r="2377">
      <c r="A2377">
        <f>IF('KG1-4'!$B37="","",'KG1-4'!$B37)</f>
        <v/>
      </c>
      <c r="B2377">
        <f>IF(A2377="","",'KG1-4'!$C37)</f>
        <v/>
      </c>
      <c r="C2377">
        <f>IF(A2377="","",'KG1-4'!$B$2)</f>
        <v/>
      </c>
      <c r="D2377" s="126">
        <f t="array" ref="D2377">IF(A2377="","",IFERROR(SMALL(IF((('KG1-4'!$AD37:$IM37="غياب بدون عذر")+('KG1-4'!$AD37:$IM37="غياب بعذر"))*('KG1-4'!$AD$7:$IM$7="✓"),'KG1-4'!$AD$5:$IM$5),16),""))</f>
        <v/>
      </c>
      <c r="E2377">
        <f>IF(D2377="","",INDEX('KG1-4'!$AD37:$IM37,MATCH(D2377,'KG1-4'!$AD$5:$IM$5,0)))</f>
        <v/>
      </c>
      <c r="F2377">
        <f>IF(D2377="","",COUNTIFS('KG1-4'!$AD37:$IM37,"غياب بدون عذر",'KG1-4'!$AD$7:$IM$7,"✓",'KG1-4'!$AD$5:$IM$5,"&lt;="&amp;D2377))</f>
        <v/>
      </c>
      <c r="G2377">
        <f>G2376+IF(D2377="",0,1)</f>
        <v/>
      </c>
    </row>
    <row r="2378">
      <c r="A2378">
        <f>IF('KG1-4'!$B37="","",'KG1-4'!$B37)</f>
        <v/>
      </c>
      <c r="B2378">
        <f>IF(A2378="","",'KG1-4'!$C37)</f>
        <v/>
      </c>
      <c r="C2378">
        <f>IF(A2378="","",'KG1-4'!$B$2)</f>
        <v/>
      </c>
      <c r="D2378" s="126">
        <f t="array" ref="D2378">IF(A2378="","",IFERROR(SMALL(IF((('KG1-4'!$AD37:$IM37="غياب بدون عذر")+('KG1-4'!$AD37:$IM37="غياب بعذر"))*('KG1-4'!$AD$7:$IM$7="✓"),'KG1-4'!$AD$5:$IM$5),17),""))</f>
        <v/>
      </c>
      <c r="E2378">
        <f>IF(D2378="","",INDEX('KG1-4'!$AD37:$IM37,MATCH(D2378,'KG1-4'!$AD$5:$IM$5,0)))</f>
        <v/>
      </c>
      <c r="F2378">
        <f>IF(D2378="","",COUNTIFS('KG1-4'!$AD37:$IM37,"غياب بدون عذر",'KG1-4'!$AD$7:$IM$7,"✓",'KG1-4'!$AD$5:$IM$5,"&lt;="&amp;D2378))</f>
        <v/>
      </c>
      <c r="G2378">
        <f>G2377+IF(D2378="",0,1)</f>
        <v/>
      </c>
    </row>
    <row r="2379">
      <c r="A2379">
        <f>IF('KG1-4'!$B37="","",'KG1-4'!$B37)</f>
        <v/>
      </c>
      <c r="B2379">
        <f>IF(A2379="","",'KG1-4'!$C37)</f>
        <v/>
      </c>
      <c r="C2379">
        <f>IF(A2379="","",'KG1-4'!$B$2)</f>
        <v/>
      </c>
      <c r="D2379" s="126">
        <f t="array" ref="D2379">IF(A2379="","",IFERROR(SMALL(IF((('KG1-4'!$AD37:$IM37="غياب بدون عذر")+('KG1-4'!$AD37:$IM37="غياب بعذر"))*('KG1-4'!$AD$7:$IM$7="✓"),'KG1-4'!$AD$5:$IM$5),18),""))</f>
        <v/>
      </c>
      <c r="E2379">
        <f>IF(D2379="","",INDEX('KG1-4'!$AD37:$IM37,MATCH(D2379,'KG1-4'!$AD$5:$IM$5,0)))</f>
        <v/>
      </c>
      <c r="F2379">
        <f>IF(D2379="","",COUNTIFS('KG1-4'!$AD37:$IM37,"غياب بدون عذر",'KG1-4'!$AD$7:$IM$7,"✓",'KG1-4'!$AD$5:$IM$5,"&lt;="&amp;D2379))</f>
        <v/>
      </c>
      <c r="G2379">
        <f>G2378+IF(D2379="",0,1)</f>
        <v/>
      </c>
    </row>
    <row r="2380">
      <c r="A2380">
        <f>IF('KG1-4'!$B37="","",'KG1-4'!$B37)</f>
        <v/>
      </c>
      <c r="B2380">
        <f>IF(A2380="","",'KG1-4'!$C37)</f>
        <v/>
      </c>
      <c r="C2380">
        <f>IF(A2380="","",'KG1-4'!$B$2)</f>
        <v/>
      </c>
      <c r="D2380" s="126">
        <f t="array" ref="D2380">IF(A2380="","",IFERROR(SMALL(IF((('KG1-4'!$AD37:$IM37="غياب بدون عذر")+('KG1-4'!$AD37:$IM37="غياب بعذر"))*('KG1-4'!$AD$7:$IM$7="✓"),'KG1-4'!$AD$5:$IM$5),19),""))</f>
        <v/>
      </c>
      <c r="E2380">
        <f>IF(D2380="","",INDEX('KG1-4'!$AD37:$IM37,MATCH(D2380,'KG1-4'!$AD$5:$IM$5,0)))</f>
        <v/>
      </c>
      <c r="F2380">
        <f>IF(D2380="","",COUNTIFS('KG1-4'!$AD37:$IM37,"غياب بدون عذر",'KG1-4'!$AD$7:$IM$7,"✓",'KG1-4'!$AD$5:$IM$5,"&lt;="&amp;D2380))</f>
        <v/>
      </c>
      <c r="G2380">
        <f>G2379+IF(D2380="",0,1)</f>
        <v/>
      </c>
    </row>
    <row r="2381">
      <c r="A2381">
        <f>IF('KG1-4'!$B37="","",'KG1-4'!$B37)</f>
        <v/>
      </c>
      <c r="B2381">
        <f>IF(A2381="","",'KG1-4'!$C37)</f>
        <v/>
      </c>
      <c r="C2381">
        <f>IF(A2381="","",'KG1-4'!$B$2)</f>
        <v/>
      </c>
      <c r="D2381" s="126">
        <f t="array" ref="D2381">IF(A2381="","",IFERROR(SMALL(IF((('KG1-4'!$AD37:$IM37="غياب بدون عذر")+('KG1-4'!$AD37:$IM37="غياب بعذر"))*('KG1-4'!$AD$7:$IM$7="✓"),'KG1-4'!$AD$5:$IM$5),20),""))</f>
        <v/>
      </c>
      <c r="E2381">
        <f>IF(D2381="","",INDEX('KG1-4'!$AD37:$IM37,MATCH(D2381,'KG1-4'!$AD$5:$IM$5,0)))</f>
        <v/>
      </c>
      <c r="F2381">
        <f>IF(D2381="","",COUNTIFS('KG1-4'!$AD37:$IM37,"غياب بدون عذر",'KG1-4'!$AD$7:$IM$7,"✓",'KG1-4'!$AD$5:$IM$5,"&lt;="&amp;D2381))</f>
        <v/>
      </c>
      <c r="G2381">
        <f>G2380+IF(D2381="",0,1)</f>
        <v/>
      </c>
    </row>
    <row r="2382">
      <c r="A2382">
        <f>IF('KG1-4'!$B38="","",'KG1-4'!$B38)</f>
        <v/>
      </c>
      <c r="B2382">
        <f>IF(A2382="","",'KG1-4'!$C38)</f>
        <v/>
      </c>
      <c r="C2382">
        <f>IF(A2382="","",'KG1-4'!$B$2)</f>
        <v/>
      </c>
      <c r="D2382" s="126">
        <f t="array" ref="D2382">IF(A2382="","",IFERROR(SMALL(IF((('KG1-4'!$AD38:$IM38="غياب بدون عذر")+('KG1-4'!$AD38:$IM38="غياب بعذر"))*('KG1-4'!$AD$7:$IM$7="✓"),'KG1-4'!$AD$5:$IM$5),1),""))</f>
        <v/>
      </c>
      <c r="E2382">
        <f>IF(D2382="","",INDEX('KG1-4'!$AD38:$IM38,MATCH(D2382,'KG1-4'!$AD$5:$IM$5,0)))</f>
        <v/>
      </c>
      <c r="F2382">
        <f>IF(D2382="","",COUNTIFS('KG1-4'!$AD38:$IM38,"غياب بدون عذر",'KG1-4'!$AD$7:$IM$7,"✓",'KG1-4'!$AD$5:$IM$5,"&lt;="&amp;D2382))</f>
        <v/>
      </c>
      <c r="G2382">
        <f>G2381+IF(D2382="",0,1)</f>
        <v/>
      </c>
    </row>
    <row r="2383">
      <c r="A2383">
        <f>IF('KG1-4'!$B38="","",'KG1-4'!$B38)</f>
        <v/>
      </c>
      <c r="B2383">
        <f>IF(A2383="","",'KG1-4'!$C38)</f>
        <v/>
      </c>
      <c r="C2383">
        <f>IF(A2383="","",'KG1-4'!$B$2)</f>
        <v/>
      </c>
      <c r="D2383" s="126">
        <f t="array" ref="D2383">IF(A2383="","",IFERROR(SMALL(IF((('KG1-4'!$AD38:$IM38="غياب بدون عذر")+('KG1-4'!$AD38:$IM38="غياب بعذر"))*('KG1-4'!$AD$7:$IM$7="✓"),'KG1-4'!$AD$5:$IM$5),2),""))</f>
        <v/>
      </c>
      <c r="E2383">
        <f>IF(D2383="","",INDEX('KG1-4'!$AD38:$IM38,MATCH(D2383,'KG1-4'!$AD$5:$IM$5,0)))</f>
        <v/>
      </c>
      <c r="F2383">
        <f>IF(D2383="","",COUNTIFS('KG1-4'!$AD38:$IM38,"غياب بدون عذر",'KG1-4'!$AD$7:$IM$7,"✓",'KG1-4'!$AD$5:$IM$5,"&lt;="&amp;D2383))</f>
        <v/>
      </c>
      <c r="G2383">
        <f>G2382+IF(D2383="",0,1)</f>
        <v/>
      </c>
    </row>
    <row r="2384">
      <c r="A2384">
        <f>IF('KG1-4'!$B38="","",'KG1-4'!$B38)</f>
        <v/>
      </c>
      <c r="B2384">
        <f>IF(A2384="","",'KG1-4'!$C38)</f>
        <v/>
      </c>
      <c r="C2384">
        <f>IF(A2384="","",'KG1-4'!$B$2)</f>
        <v/>
      </c>
      <c r="D2384" s="126">
        <f t="array" ref="D2384">IF(A2384="","",IFERROR(SMALL(IF((('KG1-4'!$AD38:$IM38="غياب بدون عذر")+('KG1-4'!$AD38:$IM38="غياب بعذر"))*('KG1-4'!$AD$7:$IM$7="✓"),'KG1-4'!$AD$5:$IM$5),3),""))</f>
        <v/>
      </c>
      <c r="E2384">
        <f>IF(D2384="","",INDEX('KG1-4'!$AD38:$IM38,MATCH(D2384,'KG1-4'!$AD$5:$IM$5,0)))</f>
        <v/>
      </c>
      <c r="F2384">
        <f>IF(D2384="","",COUNTIFS('KG1-4'!$AD38:$IM38,"غياب بدون عذر",'KG1-4'!$AD$7:$IM$7,"✓",'KG1-4'!$AD$5:$IM$5,"&lt;="&amp;D2384))</f>
        <v/>
      </c>
      <c r="G2384">
        <f>G2383+IF(D2384="",0,1)</f>
        <v/>
      </c>
    </row>
    <row r="2385">
      <c r="A2385">
        <f>IF('KG1-4'!$B38="","",'KG1-4'!$B38)</f>
        <v/>
      </c>
      <c r="B2385">
        <f>IF(A2385="","",'KG1-4'!$C38)</f>
        <v/>
      </c>
      <c r="C2385">
        <f>IF(A2385="","",'KG1-4'!$B$2)</f>
        <v/>
      </c>
      <c r="D2385" s="126">
        <f t="array" ref="D2385">IF(A2385="","",IFERROR(SMALL(IF((('KG1-4'!$AD38:$IM38="غياب بدون عذر")+('KG1-4'!$AD38:$IM38="غياب بعذر"))*('KG1-4'!$AD$7:$IM$7="✓"),'KG1-4'!$AD$5:$IM$5),4),""))</f>
        <v/>
      </c>
      <c r="E2385">
        <f>IF(D2385="","",INDEX('KG1-4'!$AD38:$IM38,MATCH(D2385,'KG1-4'!$AD$5:$IM$5,0)))</f>
        <v/>
      </c>
      <c r="F2385">
        <f>IF(D2385="","",COUNTIFS('KG1-4'!$AD38:$IM38,"غياب بدون عذر",'KG1-4'!$AD$7:$IM$7,"✓",'KG1-4'!$AD$5:$IM$5,"&lt;="&amp;D2385))</f>
        <v/>
      </c>
      <c r="G2385">
        <f>G2384+IF(D2385="",0,1)</f>
        <v/>
      </c>
    </row>
    <row r="2386">
      <c r="A2386">
        <f>IF('KG1-4'!$B38="","",'KG1-4'!$B38)</f>
        <v/>
      </c>
      <c r="B2386">
        <f>IF(A2386="","",'KG1-4'!$C38)</f>
        <v/>
      </c>
      <c r="C2386">
        <f>IF(A2386="","",'KG1-4'!$B$2)</f>
        <v/>
      </c>
      <c r="D2386" s="126">
        <f t="array" ref="D2386">IF(A2386="","",IFERROR(SMALL(IF((('KG1-4'!$AD38:$IM38="غياب بدون عذر")+('KG1-4'!$AD38:$IM38="غياب بعذر"))*('KG1-4'!$AD$7:$IM$7="✓"),'KG1-4'!$AD$5:$IM$5),5),""))</f>
        <v/>
      </c>
      <c r="E2386">
        <f>IF(D2386="","",INDEX('KG1-4'!$AD38:$IM38,MATCH(D2386,'KG1-4'!$AD$5:$IM$5,0)))</f>
        <v/>
      </c>
      <c r="F2386">
        <f>IF(D2386="","",COUNTIFS('KG1-4'!$AD38:$IM38,"غياب بدون عذر",'KG1-4'!$AD$7:$IM$7,"✓",'KG1-4'!$AD$5:$IM$5,"&lt;="&amp;D2386))</f>
        <v/>
      </c>
      <c r="G2386">
        <f>G2385+IF(D2386="",0,1)</f>
        <v/>
      </c>
    </row>
    <row r="2387">
      <c r="A2387">
        <f>IF('KG1-4'!$B38="","",'KG1-4'!$B38)</f>
        <v/>
      </c>
      <c r="B2387">
        <f>IF(A2387="","",'KG1-4'!$C38)</f>
        <v/>
      </c>
      <c r="C2387">
        <f>IF(A2387="","",'KG1-4'!$B$2)</f>
        <v/>
      </c>
      <c r="D2387" s="126">
        <f t="array" ref="D2387">IF(A2387="","",IFERROR(SMALL(IF((('KG1-4'!$AD38:$IM38="غياب بدون عذر")+('KG1-4'!$AD38:$IM38="غياب بعذر"))*('KG1-4'!$AD$7:$IM$7="✓"),'KG1-4'!$AD$5:$IM$5),6),""))</f>
        <v/>
      </c>
      <c r="E2387">
        <f>IF(D2387="","",INDEX('KG1-4'!$AD38:$IM38,MATCH(D2387,'KG1-4'!$AD$5:$IM$5,0)))</f>
        <v/>
      </c>
      <c r="F2387">
        <f>IF(D2387="","",COUNTIFS('KG1-4'!$AD38:$IM38,"غياب بدون عذر",'KG1-4'!$AD$7:$IM$7,"✓",'KG1-4'!$AD$5:$IM$5,"&lt;="&amp;D2387))</f>
        <v/>
      </c>
      <c r="G2387">
        <f>G2386+IF(D2387="",0,1)</f>
        <v/>
      </c>
    </row>
    <row r="2388">
      <c r="A2388">
        <f>IF('KG1-4'!$B38="","",'KG1-4'!$B38)</f>
        <v/>
      </c>
      <c r="B2388">
        <f>IF(A2388="","",'KG1-4'!$C38)</f>
        <v/>
      </c>
      <c r="C2388">
        <f>IF(A2388="","",'KG1-4'!$B$2)</f>
        <v/>
      </c>
      <c r="D2388" s="126">
        <f t="array" ref="D2388">IF(A2388="","",IFERROR(SMALL(IF((('KG1-4'!$AD38:$IM38="غياب بدون عذر")+('KG1-4'!$AD38:$IM38="غياب بعذر"))*('KG1-4'!$AD$7:$IM$7="✓"),'KG1-4'!$AD$5:$IM$5),7),""))</f>
        <v/>
      </c>
      <c r="E2388">
        <f>IF(D2388="","",INDEX('KG1-4'!$AD38:$IM38,MATCH(D2388,'KG1-4'!$AD$5:$IM$5,0)))</f>
        <v/>
      </c>
      <c r="F2388">
        <f>IF(D2388="","",COUNTIFS('KG1-4'!$AD38:$IM38,"غياب بدون عذر",'KG1-4'!$AD$7:$IM$7,"✓",'KG1-4'!$AD$5:$IM$5,"&lt;="&amp;D2388))</f>
        <v/>
      </c>
      <c r="G2388">
        <f>G2387+IF(D2388="",0,1)</f>
        <v/>
      </c>
    </row>
    <row r="2389">
      <c r="A2389">
        <f>IF('KG1-4'!$B38="","",'KG1-4'!$B38)</f>
        <v/>
      </c>
      <c r="B2389">
        <f>IF(A2389="","",'KG1-4'!$C38)</f>
        <v/>
      </c>
      <c r="C2389">
        <f>IF(A2389="","",'KG1-4'!$B$2)</f>
        <v/>
      </c>
      <c r="D2389" s="126">
        <f t="array" ref="D2389">IF(A2389="","",IFERROR(SMALL(IF((('KG1-4'!$AD38:$IM38="غياب بدون عذر")+('KG1-4'!$AD38:$IM38="غياب بعذر"))*('KG1-4'!$AD$7:$IM$7="✓"),'KG1-4'!$AD$5:$IM$5),8),""))</f>
        <v/>
      </c>
      <c r="E2389">
        <f>IF(D2389="","",INDEX('KG1-4'!$AD38:$IM38,MATCH(D2389,'KG1-4'!$AD$5:$IM$5,0)))</f>
        <v/>
      </c>
      <c r="F2389">
        <f>IF(D2389="","",COUNTIFS('KG1-4'!$AD38:$IM38,"غياب بدون عذر",'KG1-4'!$AD$7:$IM$7,"✓",'KG1-4'!$AD$5:$IM$5,"&lt;="&amp;D2389))</f>
        <v/>
      </c>
      <c r="G2389">
        <f>G2388+IF(D2389="",0,1)</f>
        <v/>
      </c>
    </row>
    <row r="2390">
      <c r="A2390">
        <f>IF('KG1-4'!$B38="","",'KG1-4'!$B38)</f>
        <v/>
      </c>
      <c r="B2390">
        <f>IF(A2390="","",'KG1-4'!$C38)</f>
        <v/>
      </c>
      <c r="C2390">
        <f>IF(A2390="","",'KG1-4'!$B$2)</f>
        <v/>
      </c>
      <c r="D2390" s="126">
        <f t="array" ref="D2390">IF(A2390="","",IFERROR(SMALL(IF((('KG1-4'!$AD38:$IM38="غياب بدون عذر")+('KG1-4'!$AD38:$IM38="غياب بعذر"))*('KG1-4'!$AD$7:$IM$7="✓"),'KG1-4'!$AD$5:$IM$5),9),""))</f>
        <v/>
      </c>
      <c r="E2390">
        <f>IF(D2390="","",INDEX('KG1-4'!$AD38:$IM38,MATCH(D2390,'KG1-4'!$AD$5:$IM$5,0)))</f>
        <v/>
      </c>
      <c r="F2390">
        <f>IF(D2390="","",COUNTIFS('KG1-4'!$AD38:$IM38,"غياب بدون عذر",'KG1-4'!$AD$7:$IM$7,"✓",'KG1-4'!$AD$5:$IM$5,"&lt;="&amp;D2390))</f>
        <v/>
      </c>
      <c r="G2390">
        <f>G2389+IF(D2390="",0,1)</f>
        <v/>
      </c>
    </row>
    <row r="2391">
      <c r="A2391">
        <f>IF('KG1-4'!$B38="","",'KG1-4'!$B38)</f>
        <v/>
      </c>
      <c r="B2391">
        <f>IF(A2391="","",'KG1-4'!$C38)</f>
        <v/>
      </c>
      <c r="C2391">
        <f>IF(A2391="","",'KG1-4'!$B$2)</f>
        <v/>
      </c>
      <c r="D2391" s="126">
        <f t="array" ref="D2391">IF(A2391="","",IFERROR(SMALL(IF((('KG1-4'!$AD38:$IM38="غياب بدون عذر")+('KG1-4'!$AD38:$IM38="غياب بعذر"))*('KG1-4'!$AD$7:$IM$7="✓"),'KG1-4'!$AD$5:$IM$5),10),""))</f>
        <v/>
      </c>
      <c r="E2391">
        <f>IF(D2391="","",INDEX('KG1-4'!$AD38:$IM38,MATCH(D2391,'KG1-4'!$AD$5:$IM$5,0)))</f>
        <v/>
      </c>
      <c r="F2391">
        <f>IF(D2391="","",COUNTIFS('KG1-4'!$AD38:$IM38,"غياب بدون عذر",'KG1-4'!$AD$7:$IM$7,"✓",'KG1-4'!$AD$5:$IM$5,"&lt;="&amp;D2391))</f>
        <v/>
      </c>
      <c r="G2391">
        <f>G2390+IF(D2391="",0,1)</f>
        <v/>
      </c>
    </row>
    <row r="2392">
      <c r="A2392">
        <f>IF('KG1-4'!$B38="","",'KG1-4'!$B38)</f>
        <v/>
      </c>
      <c r="B2392">
        <f>IF(A2392="","",'KG1-4'!$C38)</f>
        <v/>
      </c>
      <c r="C2392">
        <f>IF(A2392="","",'KG1-4'!$B$2)</f>
        <v/>
      </c>
      <c r="D2392" s="126">
        <f t="array" ref="D2392">IF(A2392="","",IFERROR(SMALL(IF((('KG1-4'!$AD38:$IM38="غياب بدون عذر")+('KG1-4'!$AD38:$IM38="غياب بعذر"))*('KG1-4'!$AD$7:$IM$7="✓"),'KG1-4'!$AD$5:$IM$5),11),""))</f>
        <v/>
      </c>
      <c r="E2392">
        <f>IF(D2392="","",INDEX('KG1-4'!$AD38:$IM38,MATCH(D2392,'KG1-4'!$AD$5:$IM$5,0)))</f>
        <v/>
      </c>
      <c r="F2392">
        <f>IF(D2392="","",COUNTIFS('KG1-4'!$AD38:$IM38,"غياب بدون عذر",'KG1-4'!$AD$7:$IM$7,"✓",'KG1-4'!$AD$5:$IM$5,"&lt;="&amp;D2392))</f>
        <v/>
      </c>
      <c r="G2392">
        <f>G2391+IF(D2392="",0,1)</f>
        <v/>
      </c>
    </row>
    <row r="2393">
      <c r="A2393">
        <f>IF('KG1-4'!$B38="","",'KG1-4'!$B38)</f>
        <v/>
      </c>
      <c r="B2393">
        <f>IF(A2393="","",'KG1-4'!$C38)</f>
        <v/>
      </c>
      <c r="C2393">
        <f>IF(A2393="","",'KG1-4'!$B$2)</f>
        <v/>
      </c>
      <c r="D2393" s="126">
        <f t="array" ref="D2393">IF(A2393="","",IFERROR(SMALL(IF((('KG1-4'!$AD38:$IM38="غياب بدون عذر")+('KG1-4'!$AD38:$IM38="غياب بعذر"))*('KG1-4'!$AD$7:$IM$7="✓"),'KG1-4'!$AD$5:$IM$5),12),""))</f>
        <v/>
      </c>
      <c r="E2393">
        <f>IF(D2393="","",INDEX('KG1-4'!$AD38:$IM38,MATCH(D2393,'KG1-4'!$AD$5:$IM$5,0)))</f>
        <v/>
      </c>
      <c r="F2393">
        <f>IF(D2393="","",COUNTIFS('KG1-4'!$AD38:$IM38,"غياب بدون عذر",'KG1-4'!$AD$7:$IM$7,"✓",'KG1-4'!$AD$5:$IM$5,"&lt;="&amp;D2393))</f>
        <v/>
      </c>
      <c r="G2393">
        <f>G2392+IF(D2393="",0,1)</f>
        <v/>
      </c>
    </row>
    <row r="2394">
      <c r="A2394">
        <f>IF('KG1-4'!$B38="","",'KG1-4'!$B38)</f>
        <v/>
      </c>
      <c r="B2394">
        <f>IF(A2394="","",'KG1-4'!$C38)</f>
        <v/>
      </c>
      <c r="C2394">
        <f>IF(A2394="","",'KG1-4'!$B$2)</f>
        <v/>
      </c>
      <c r="D2394" s="126">
        <f t="array" ref="D2394">IF(A2394="","",IFERROR(SMALL(IF((('KG1-4'!$AD38:$IM38="غياب بدون عذر")+('KG1-4'!$AD38:$IM38="غياب بعذر"))*('KG1-4'!$AD$7:$IM$7="✓"),'KG1-4'!$AD$5:$IM$5),13),""))</f>
        <v/>
      </c>
      <c r="E2394">
        <f>IF(D2394="","",INDEX('KG1-4'!$AD38:$IM38,MATCH(D2394,'KG1-4'!$AD$5:$IM$5,0)))</f>
        <v/>
      </c>
      <c r="F2394">
        <f>IF(D2394="","",COUNTIFS('KG1-4'!$AD38:$IM38,"غياب بدون عذر",'KG1-4'!$AD$7:$IM$7,"✓",'KG1-4'!$AD$5:$IM$5,"&lt;="&amp;D2394))</f>
        <v/>
      </c>
      <c r="G2394">
        <f>G2393+IF(D2394="",0,1)</f>
        <v/>
      </c>
    </row>
    <row r="2395">
      <c r="A2395">
        <f>IF('KG1-4'!$B38="","",'KG1-4'!$B38)</f>
        <v/>
      </c>
      <c r="B2395">
        <f>IF(A2395="","",'KG1-4'!$C38)</f>
        <v/>
      </c>
      <c r="C2395">
        <f>IF(A2395="","",'KG1-4'!$B$2)</f>
        <v/>
      </c>
      <c r="D2395" s="126">
        <f t="array" ref="D2395">IF(A2395="","",IFERROR(SMALL(IF((('KG1-4'!$AD38:$IM38="غياب بدون عذر")+('KG1-4'!$AD38:$IM38="غياب بعذر"))*('KG1-4'!$AD$7:$IM$7="✓"),'KG1-4'!$AD$5:$IM$5),14),""))</f>
        <v/>
      </c>
      <c r="E2395">
        <f>IF(D2395="","",INDEX('KG1-4'!$AD38:$IM38,MATCH(D2395,'KG1-4'!$AD$5:$IM$5,0)))</f>
        <v/>
      </c>
      <c r="F2395">
        <f>IF(D2395="","",COUNTIFS('KG1-4'!$AD38:$IM38,"غياب بدون عذر",'KG1-4'!$AD$7:$IM$7,"✓",'KG1-4'!$AD$5:$IM$5,"&lt;="&amp;D2395))</f>
        <v/>
      </c>
      <c r="G2395">
        <f>G2394+IF(D2395="",0,1)</f>
        <v/>
      </c>
    </row>
    <row r="2396">
      <c r="A2396">
        <f>IF('KG1-4'!$B38="","",'KG1-4'!$B38)</f>
        <v/>
      </c>
      <c r="B2396">
        <f>IF(A2396="","",'KG1-4'!$C38)</f>
        <v/>
      </c>
      <c r="C2396">
        <f>IF(A2396="","",'KG1-4'!$B$2)</f>
        <v/>
      </c>
      <c r="D2396" s="126">
        <f t="array" ref="D2396">IF(A2396="","",IFERROR(SMALL(IF((('KG1-4'!$AD38:$IM38="غياب بدون عذر")+('KG1-4'!$AD38:$IM38="غياب بعذر"))*('KG1-4'!$AD$7:$IM$7="✓"),'KG1-4'!$AD$5:$IM$5),15),""))</f>
        <v/>
      </c>
      <c r="E2396">
        <f>IF(D2396="","",INDEX('KG1-4'!$AD38:$IM38,MATCH(D2396,'KG1-4'!$AD$5:$IM$5,0)))</f>
        <v/>
      </c>
      <c r="F2396">
        <f>IF(D2396="","",COUNTIFS('KG1-4'!$AD38:$IM38,"غياب بدون عذر",'KG1-4'!$AD$7:$IM$7,"✓",'KG1-4'!$AD$5:$IM$5,"&lt;="&amp;D2396))</f>
        <v/>
      </c>
      <c r="G2396">
        <f>G2395+IF(D2396="",0,1)</f>
        <v/>
      </c>
    </row>
    <row r="2397">
      <c r="A2397">
        <f>IF('KG1-4'!$B38="","",'KG1-4'!$B38)</f>
        <v/>
      </c>
      <c r="B2397">
        <f>IF(A2397="","",'KG1-4'!$C38)</f>
        <v/>
      </c>
      <c r="C2397">
        <f>IF(A2397="","",'KG1-4'!$B$2)</f>
        <v/>
      </c>
      <c r="D2397" s="126">
        <f t="array" ref="D2397">IF(A2397="","",IFERROR(SMALL(IF((('KG1-4'!$AD38:$IM38="غياب بدون عذر")+('KG1-4'!$AD38:$IM38="غياب بعذر"))*('KG1-4'!$AD$7:$IM$7="✓"),'KG1-4'!$AD$5:$IM$5),16),""))</f>
        <v/>
      </c>
      <c r="E2397">
        <f>IF(D2397="","",INDEX('KG1-4'!$AD38:$IM38,MATCH(D2397,'KG1-4'!$AD$5:$IM$5,0)))</f>
        <v/>
      </c>
      <c r="F2397">
        <f>IF(D2397="","",COUNTIFS('KG1-4'!$AD38:$IM38,"غياب بدون عذر",'KG1-4'!$AD$7:$IM$7,"✓",'KG1-4'!$AD$5:$IM$5,"&lt;="&amp;D2397))</f>
        <v/>
      </c>
      <c r="G2397">
        <f>G2396+IF(D2397="",0,1)</f>
        <v/>
      </c>
    </row>
    <row r="2398">
      <c r="A2398">
        <f>IF('KG1-4'!$B38="","",'KG1-4'!$B38)</f>
        <v/>
      </c>
      <c r="B2398">
        <f>IF(A2398="","",'KG1-4'!$C38)</f>
        <v/>
      </c>
      <c r="C2398">
        <f>IF(A2398="","",'KG1-4'!$B$2)</f>
        <v/>
      </c>
      <c r="D2398" s="126">
        <f t="array" ref="D2398">IF(A2398="","",IFERROR(SMALL(IF((('KG1-4'!$AD38:$IM38="غياب بدون عذر")+('KG1-4'!$AD38:$IM38="غياب بعذر"))*('KG1-4'!$AD$7:$IM$7="✓"),'KG1-4'!$AD$5:$IM$5),17),""))</f>
        <v/>
      </c>
      <c r="E2398">
        <f>IF(D2398="","",INDEX('KG1-4'!$AD38:$IM38,MATCH(D2398,'KG1-4'!$AD$5:$IM$5,0)))</f>
        <v/>
      </c>
      <c r="F2398">
        <f>IF(D2398="","",COUNTIFS('KG1-4'!$AD38:$IM38,"غياب بدون عذر",'KG1-4'!$AD$7:$IM$7,"✓",'KG1-4'!$AD$5:$IM$5,"&lt;="&amp;D2398))</f>
        <v/>
      </c>
      <c r="G2398">
        <f>G2397+IF(D2398="",0,1)</f>
        <v/>
      </c>
    </row>
    <row r="2399">
      <c r="A2399">
        <f>IF('KG1-4'!$B38="","",'KG1-4'!$B38)</f>
        <v/>
      </c>
      <c r="B2399">
        <f>IF(A2399="","",'KG1-4'!$C38)</f>
        <v/>
      </c>
      <c r="C2399">
        <f>IF(A2399="","",'KG1-4'!$B$2)</f>
        <v/>
      </c>
      <c r="D2399" s="126">
        <f t="array" ref="D2399">IF(A2399="","",IFERROR(SMALL(IF((('KG1-4'!$AD38:$IM38="غياب بدون عذر")+('KG1-4'!$AD38:$IM38="غياب بعذر"))*('KG1-4'!$AD$7:$IM$7="✓"),'KG1-4'!$AD$5:$IM$5),18),""))</f>
        <v/>
      </c>
      <c r="E2399">
        <f>IF(D2399="","",INDEX('KG1-4'!$AD38:$IM38,MATCH(D2399,'KG1-4'!$AD$5:$IM$5,0)))</f>
        <v/>
      </c>
      <c r="F2399">
        <f>IF(D2399="","",COUNTIFS('KG1-4'!$AD38:$IM38,"غياب بدون عذر",'KG1-4'!$AD$7:$IM$7,"✓",'KG1-4'!$AD$5:$IM$5,"&lt;="&amp;D2399))</f>
        <v/>
      </c>
      <c r="G2399">
        <f>G2398+IF(D2399="",0,1)</f>
        <v/>
      </c>
    </row>
    <row r="2400">
      <c r="A2400">
        <f>IF('KG1-4'!$B38="","",'KG1-4'!$B38)</f>
        <v/>
      </c>
      <c r="B2400">
        <f>IF(A2400="","",'KG1-4'!$C38)</f>
        <v/>
      </c>
      <c r="C2400">
        <f>IF(A2400="","",'KG1-4'!$B$2)</f>
        <v/>
      </c>
      <c r="D2400" s="126">
        <f t="array" ref="D2400">IF(A2400="","",IFERROR(SMALL(IF((('KG1-4'!$AD38:$IM38="غياب بدون عذر")+('KG1-4'!$AD38:$IM38="غياب بعذر"))*('KG1-4'!$AD$7:$IM$7="✓"),'KG1-4'!$AD$5:$IM$5),19),""))</f>
        <v/>
      </c>
      <c r="E2400">
        <f>IF(D2400="","",INDEX('KG1-4'!$AD38:$IM38,MATCH(D2400,'KG1-4'!$AD$5:$IM$5,0)))</f>
        <v/>
      </c>
      <c r="F2400">
        <f>IF(D2400="","",COUNTIFS('KG1-4'!$AD38:$IM38,"غياب بدون عذر",'KG1-4'!$AD$7:$IM$7,"✓",'KG1-4'!$AD$5:$IM$5,"&lt;="&amp;D2400))</f>
        <v/>
      </c>
      <c r="G2400">
        <f>G2399+IF(D2400="",0,1)</f>
        <v/>
      </c>
    </row>
    <row r="2401">
      <c r="A2401">
        <f>IF('KG1-4'!$B38="","",'KG1-4'!$B38)</f>
        <v/>
      </c>
      <c r="B2401">
        <f>IF(A2401="","",'KG1-4'!$C38)</f>
        <v/>
      </c>
      <c r="C2401">
        <f>IF(A2401="","",'KG1-4'!$B$2)</f>
        <v/>
      </c>
      <c r="D2401" s="126">
        <f t="array" ref="D2401">IF(A2401="","",IFERROR(SMALL(IF((('KG1-4'!$AD38:$IM38="غياب بدون عذر")+('KG1-4'!$AD38:$IM38="غياب بعذر"))*('KG1-4'!$AD$7:$IM$7="✓"),'KG1-4'!$AD$5:$IM$5),20),""))</f>
        <v/>
      </c>
      <c r="E2401">
        <f>IF(D2401="","",INDEX('KG1-4'!$AD38:$IM38,MATCH(D2401,'KG1-4'!$AD$5:$IM$5,0)))</f>
        <v/>
      </c>
      <c r="F2401">
        <f>IF(D2401="","",COUNTIFS('KG1-4'!$AD38:$IM38,"غياب بدون عذر",'KG1-4'!$AD$7:$IM$7,"✓",'KG1-4'!$AD$5:$IM$5,"&lt;="&amp;D2401))</f>
        <v/>
      </c>
      <c r="G2401">
        <f>G2400+IF(D2401="",0,1)</f>
        <v/>
      </c>
    </row>
    <row r="2402">
      <c r="A2402">
        <f>IF('KG1-5'!$B9="","",'KG1-5'!$B9)</f>
        <v/>
      </c>
      <c r="B2402">
        <f>IF(A2402="","",'KG1-5'!$C9)</f>
        <v/>
      </c>
      <c r="C2402">
        <f>IF(A2402="","",'KG1-5'!$B$2)</f>
        <v/>
      </c>
      <c r="D2402" s="126">
        <f t="array" ref="D2402">IF(A2402="","",IFERROR(SMALL(IF((('KG1-5'!$AD9:$IM9="غياب بدون عذر")+('KG1-5'!$AD9:$IM9="غياب بعذر"))*('KG1-5'!$AD$7:$IM$7="✓"),'KG1-5'!$AD$5:$IM$5),1),""))</f>
        <v/>
      </c>
      <c r="E2402">
        <f>IF(D2402="","",INDEX('KG1-5'!$AD9:$IM9,MATCH(D2402,'KG1-5'!$AD$5:$IM$5,0)))</f>
        <v/>
      </c>
      <c r="F2402">
        <f>IF(D2402="","",COUNTIFS('KG1-5'!$AD9:$IM9,"غياب بدون عذر",'KG1-5'!$AD$7:$IM$7,"✓",'KG1-5'!$AD$5:$IM$5,"&lt;="&amp;D2402))</f>
        <v/>
      </c>
      <c r="G2402">
        <f>G2401+IF(D2402="",0,1)</f>
        <v/>
      </c>
    </row>
    <row r="2403">
      <c r="A2403">
        <f>IF('KG1-5'!$B9="","",'KG1-5'!$B9)</f>
        <v/>
      </c>
      <c r="B2403">
        <f>IF(A2403="","",'KG1-5'!$C9)</f>
        <v/>
      </c>
      <c r="C2403">
        <f>IF(A2403="","",'KG1-5'!$B$2)</f>
        <v/>
      </c>
      <c r="D2403" s="126">
        <f t="array" ref="D2403">IF(A2403="","",IFERROR(SMALL(IF((('KG1-5'!$AD9:$IM9="غياب بدون عذر")+('KG1-5'!$AD9:$IM9="غياب بعذر"))*('KG1-5'!$AD$7:$IM$7="✓"),'KG1-5'!$AD$5:$IM$5),2),""))</f>
        <v/>
      </c>
      <c r="E2403">
        <f>IF(D2403="","",INDEX('KG1-5'!$AD9:$IM9,MATCH(D2403,'KG1-5'!$AD$5:$IM$5,0)))</f>
        <v/>
      </c>
      <c r="F2403">
        <f>IF(D2403="","",COUNTIFS('KG1-5'!$AD9:$IM9,"غياب بدون عذر",'KG1-5'!$AD$7:$IM$7,"✓",'KG1-5'!$AD$5:$IM$5,"&lt;="&amp;D2403))</f>
        <v/>
      </c>
      <c r="G2403">
        <f>G2402+IF(D2403="",0,1)</f>
        <v/>
      </c>
    </row>
    <row r="2404">
      <c r="A2404">
        <f>IF('KG1-5'!$B9="","",'KG1-5'!$B9)</f>
        <v/>
      </c>
      <c r="B2404">
        <f>IF(A2404="","",'KG1-5'!$C9)</f>
        <v/>
      </c>
      <c r="C2404">
        <f>IF(A2404="","",'KG1-5'!$B$2)</f>
        <v/>
      </c>
      <c r="D2404" s="126">
        <f t="array" ref="D2404">IF(A2404="","",IFERROR(SMALL(IF((('KG1-5'!$AD9:$IM9="غياب بدون عذر")+('KG1-5'!$AD9:$IM9="غياب بعذر"))*('KG1-5'!$AD$7:$IM$7="✓"),'KG1-5'!$AD$5:$IM$5),3),""))</f>
        <v/>
      </c>
      <c r="E2404">
        <f>IF(D2404="","",INDEX('KG1-5'!$AD9:$IM9,MATCH(D2404,'KG1-5'!$AD$5:$IM$5,0)))</f>
        <v/>
      </c>
      <c r="F2404">
        <f>IF(D2404="","",COUNTIFS('KG1-5'!$AD9:$IM9,"غياب بدون عذر",'KG1-5'!$AD$7:$IM$7,"✓",'KG1-5'!$AD$5:$IM$5,"&lt;="&amp;D2404))</f>
        <v/>
      </c>
      <c r="G2404">
        <f>G2403+IF(D2404="",0,1)</f>
        <v/>
      </c>
    </row>
    <row r="2405">
      <c r="A2405">
        <f>IF('KG1-5'!$B9="","",'KG1-5'!$B9)</f>
        <v/>
      </c>
      <c r="B2405">
        <f>IF(A2405="","",'KG1-5'!$C9)</f>
        <v/>
      </c>
      <c r="C2405">
        <f>IF(A2405="","",'KG1-5'!$B$2)</f>
        <v/>
      </c>
      <c r="D2405" s="126">
        <f t="array" ref="D2405">IF(A2405="","",IFERROR(SMALL(IF((('KG1-5'!$AD9:$IM9="غياب بدون عذر")+('KG1-5'!$AD9:$IM9="غياب بعذر"))*('KG1-5'!$AD$7:$IM$7="✓"),'KG1-5'!$AD$5:$IM$5),4),""))</f>
        <v/>
      </c>
      <c r="E2405">
        <f>IF(D2405="","",INDEX('KG1-5'!$AD9:$IM9,MATCH(D2405,'KG1-5'!$AD$5:$IM$5,0)))</f>
        <v/>
      </c>
      <c r="F2405">
        <f>IF(D2405="","",COUNTIFS('KG1-5'!$AD9:$IM9,"غياب بدون عذر",'KG1-5'!$AD$7:$IM$7,"✓",'KG1-5'!$AD$5:$IM$5,"&lt;="&amp;D2405))</f>
        <v/>
      </c>
      <c r="G2405">
        <f>G2404+IF(D2405="",0,1)</f>
        <v/>
      </c>
    </row>
    <row r="2406">
      <c r="A2406">
        <f>IF('KG1-5'!$B9="","",'KG1-5'!$B9)</f>
        <v/>
      </c>
      <c r="B2406">
        <f>IF(A2406="","",'KG1-5'!$C9)</f>
        <v/>
      </c>
      <c r="C2406">
        <f>IF(A2406="","",'KG1-5'!$B$2)</f>
        <v/>
      </c>
      <c r="D2406" s="126">
        <f t="array" ref="D2406">IF(A2406="","",IFERROR(SMALL(IF((('KG1-5'!$AD9:$IM9="غياب بدون عذر")+('KG1-5'!$AD9:$IM9="غياب بعذر"))*('KG1-5'!$AD$7:$IM$7="✓"),'KG1-5'!$AD$5:$IM$5),5),""))</f>
        <v/>
      </c>
      <c r="E2406">
        <f>IF(D2406="","",INDEX('KG1-5'!$AD9:$IM9,MATCH(D2406,'KG1-5'!$AD$5:$IM$5,0)))</f>
        <v/>
      </c>
      <c r="F2406">
        <f>IF(D2406="","",COUNTIFS('KG1-5'!$AD9:$IM9,"غياب بدون عذر",'KG1-5'!$AD$7:$IM$7,"✓",'KG1-5'!$AD$5:$IM$5,"&lt;="&amp;D2406))</f>
        <v/>
      </c>
      <c r="G2406">
        <f>G2405+IF(D2406="",0,1)</f>
        <v/>
      </c>
    </row>
    <row r="2407">
      <c r="A2407">
        <f>IF('KG1-5'!$B9="","",'KG1-5'!$B9)</f>
        <v/>
      </c>
      <c r="B2407">
        <f>IF(A2407="","",'KG1-5'!$C9)</f>
        <v/>
      </c>
      <c r="C2407">
        <f>IF(A2407="","",'KG1-5'!$B$2)</f>
        <v/>
      </c>
      <c r="D2407" s="126">
        <f t="array" ref="D2407">IF(A2407="","",IFERROR(SMALL(IF((('KG1-5'!$AD9:$IM9="غياب بدون عذر")+('KG1-5'!$AD9:$IM9="غياب بعذر"))*('KG1-5'!$AD$7:$IM$7="✓"),'KG1-5'!$AD$5:$IM$5),6),""))</f>
        <v/>
      </c>
      <c r="E2407">
        <f>IF(D2407="","",INDEX('KG1-5'!$AD9:$IM9,MATCH(D2407,'KG1-5'!$AD$5:$IM$5,0)))</f>
        <v/>
      </c>
      <c r="F2407">
        <f>IF(D2407="","",COUNTIFS('KG1-5'!$AD9:$IM9,"غياب بدون عذر",'KG1-5'!$AD$7:$IM$7,"✓",'KG1-5'!$AD$5:$IM$5,"&lt;="&amp;D2407))</f>
        <v/>
      </c>
      <c r="G2407">
        <f>G2406+IF(D2407="",0,1)</f>
        <v/>
      </c>
    </row>
    <row r="2408">
      <c r="A2408">
        <f>IF('KG1-5'!$B9="","",'KG1-5'!$B9)</f>
        <v/>
      </c>
      <c r="B2408">
        <f>IF(A2408="","",'KG1-5'!$C9)</f>
        <v/>
      </c>
      <c r="C2408">
        <f>IF(A2408="","",'KG1-5'!$B$2)</f>
        <v/>
      </c>
      <c r="D2408" s="126">
        <f t="array" ref="D2408">IF(A2408="","",IFERROR(SMALL(IF((('KG1-5'!$AD9:$IM9="غياب بدون عذر")+('KG1-5'!$AD9:$IM9="غياب بعذر"))*('KG1-5'!$AD$7:$IM$7="✓"),'KG1-5'!$AD$5:$IM$5),7),""))</f>
        <v/>
      </c>
      <c r="E2408">
        <f>IF(D2408="","",INDEX('KG1-5'!$AD9:$IM9,MATCH(D2408,'KG1-5'!$AD$5:$IM$5,0)))</f>
        <v/>
      </c>
      <c r="F2408">
        <f>IF(D2408="","",COUNTIFS('KG1-5'!$AD9:$IM9,"غياب بدون عذر",'KG1-5'!$AD$7:$IM$7,"✓",'KG1-5'!$AD$5:$IM$5,"&lt;="&amp;D2408))</f>
        <v/>
      </c>
      <c r="G2408">
        <f>G2407+IF(D2408="",0,1)</f>
        <v/>
      </c>
    </row>
    <row r="2409">
      <c r="A2409">
        <f>IF('KG1-5'!$B9="","",'KG1-5'!$B9)</f>
        <v/>
      </c>
      <c r="B2409">
        <f>IF(A2409="","",'KG1-5'!$C9)</f>
        <v/>
      </c>
      <c r="C2409">
        <f>IF(A2409="","",'KG1-5'!$B$2)</f>
        <v/>
      </c>
      <c r="D2409" s="126">
        <f t="array" ref="D2409">IF(A2409="","",IFERROR(SMALL(IF((('KG1-5'!$AD9:$IM9="غياب بدون عذر")+('KG1-5'!$AD9:$IM9="غياب بعذر"))*('KG1-5'!$AD$7:$IM$7="✓"),'KG1-5'!$AD$5:$IM$5),8),""))</f>
        <v/>
      </c>
      <c r="E2409">
        <f>IF(D2409="","",INDEX('KG1-5'!$AD9:$IM9,MATCH(D2409,'KG1-5'!$AD$5:$IM$5,0)))</f>
        <v/>
      </c>
      <c r="F2409">
        <f>IF(D2409="","",COUNTIFS('KG1-5'!$AD9:$IM9,"غياب بدون عذر",'KG1-5'!$AD$7:$IM$7,"✓",'KG1-5'!$AD$5:$IM$5,"&lt;="&amp;D2409))</f>
        <v/>
      </c>
      <c r="G2409">
        <f>G2408+IF(D2409="",0,1)</f>
        <v/>
      </c>
    </row>
    <row r="2410">
      <c r="A2410">
        <f>IF('KG1-5'!$B9="","",'KG1-5'!$B9)</f>
        <v/>
      </c>
      <c r="B2410">
        <f>IF(A2410="","",'KG1-5'!$C9)</f>
        <v/>
      </c>
      <c r="C2410">
        <f>IF(A2410="","",'KG1-5'!$B$2)</f>
        <v/>
      </c>
      <c r="D2410" s="126">
        <f t="array" ref="D2410">IF(A2410="","",IFERROR(SMALL(IF((('KG1-5'!$AD9:$IM9="غياب بدون عذر")+('KG1-5'!$AD9:$IM9="غياب بعذر"))*('KG1-5'!$AD$7:$IM$7="✓"),'KG1-5'!$AD$5:$IM$5),9),""))</f>
        <v/>
      </c>
      <c r="E2410">
        <f>IF(D2410="","",INDEX('KG1-5'!$AD9:$IM9,MATCH(D2410,'KG1-5'!$AD$5:$IM$5,0)))</f>
        <v/>
      </c>
      <c r="F2410">
        <f>IF(D2410="","",COUNTIFS('KG1-5'!$AD9:$IM9,"غياب بدون عذر",'KG1-5'!$AD$7:$IM$7,"✓",'KG1-5'!$AD$5:$IM$5,"&lt;="&amp;D2410))</f>
        <v/>
      </c>
      <c r="G2410">
        <f>G2409+IF(D2410="",0,1)</f>
        <v/>
      </c>
    </row>
    <row r="2411">
      <c r="A2411">
        <f>IF('KG1-5'!$B9="","",'KG1-5'!$B9)</f>
        <v/>
      </c>
      <c r="B2411">
        <f>IF(A2411="","",'KG1-5'!$C9)</f>
        <v/>
      </c>
      <c r="C2411">
        <f>IF(A2411="","",'KG1-5'!$B$2)</f>
        <v/>
      </c>
      <c r="D2411" s="126">
        <f t="array" ref="D2411">IF(A2411="","",IFERROR(SMALL(IF((('KG1-5'!$AD9:$IM9="غياب بدون عذر")+('KG1-5'!$AD9:$IM9="غياب بعذر"))*('KG1-5'!$AD$7:$IM$7="✓"),'KG1-5'!$AD$5:$IM$5),10),""))</f>
        <v/>
      </c>
      <c r="E2411">
        <f>IF(D2411="","",INDEX('KG1-5'!$AD9:$IM9,MATCH(D2411,'KG1-5'!$AD$5:$IM$5,0)))</f>
        <v/>
      </c>
      <c r="F2411">
        <f>IF(D2411="","",COUNTIFS('KG1-5'!$AD9:$IM9,"غياب بدون عذر",'KG1-5'!$AD$7:$IM$7,"✓",'KG1-5'!$AD$5:$IM$5,"&lt;="&amp;D2411))</f>
        <v/>
      </c>
      <c r="G2411">
        <f>G2410+IF(D2411="",0,1)</f>
        <v/>
      </c>
    </row>
    <row r="2412">
      <c r="A2412">
        <f>IF('KG1-5'!$B9="","",'KG1-5'!$B9)</f>
        <v/>
      </c>
      <c r="B2412">
        <f>IF(A2412="","",'KG1-5'!$C9)</f>
        <v/>
      </c>
      <c r="C2412">
        <f>IF(A2412="","",'KG1-5'!$B$2)</f>
        <v/>
      </c>
      <c r="D2412" s="126">
        <f t="array" ref="D2412">IF(A2412="","",IFERROR(SMALL(IF((('KG1-5'!$AD9:$IM9="غياب بدون عذر")+('KG1-5'!$AD9:$IM9="غياب بعذر"))*('KG1-5'!$AD$7:$IM$7="✓"),'KG1-5'!$AD$5:$IM$5),11),""))</f>
        <v/>
      </c>
      <c r="E2412">
        <f>IF(D2412="","",INDEX('KG1-5'!$AD9:$IM9,MATCH(D2412,'KG1-5'!$AD$5:$IM$5,0)))</f>
        <v/>
      </c>
      <c r="F2412">
        <f>IF(D2412="","",COUNTIFS('KG1-5'!$AD9:$IM9,"غياب بدون عذر",'KG1-5'!$AD$7:$IM$7,"✓",'KG1-5'!$AD$5:$IM$5,"&lt;="&amp;D2412))</f>
        <v/>
      </c>
      <c r="G2412">
        <f>G2411+IF(D2412="",0,1)</f>
        <v/>
      </c>
    </row>
    <row r="2413">
      <c r="A2413">
        <f>IF('KG1-5'!$B9="","",'KG1-5'!$B9)</f>
        <v/>
      </c>
      <c r="B2413">
        <f>IF(A2413="","",'KG1-5'!$C9)</f>
        <v/>
      </c>
      <c r="C2413">
        <f>IF(A2413="","",'KG1-5'!$B$2)</f>
        <v/>
      </c>
      <c r="D2413" s="126">
        <f t="array" ref="D2413">IF(A2413="","",IFERROR(SMALL(IF((('KG1-5'!$AD9:$IM9="غياب بدون عذر")+('KG1-5'!$AD9:$IM9="غياب بعذر"))*('KG1-5'!$AD$7:$IM$7="✓"),'KG1-5'!$AD$5:$IM$5),12),""))</f>
        <v/>
      </c>
      <c r="E2413">
        <f>IF(D2413="","",INDEX('KG1-5'!$AD9:$IM9,MATCH(D2413,'KG1-5'!$AD$5:$IM$5,0)))</f>
        <v/>
      </c>
      <c r="F2413">
        <f>IF(D2413="","",COUNTIFS('KG1-5'!$AD9:$IM9,"غياب بدون عذر",'KG1-5'!$AD$7:$IM$7,"✓",'KG1-5'!$AD$5:$IM$5,"&lt;="&amp;D2413))</f>
        <v/>
      </c>
      <c r="G2413">
        <f>G2412+IF(D2413="",0,1)</f>
        <v/>
      </c>
    </row>
    <row r="2414">
      <c r="A2414">
        <f>IF('KG1-5'!$B9="","",'KG1-5'!$B9)</f>
        <v/>
      </c>
      <c r="B2414">
        <f>IF(A2414="","",'KG1-5'!$C9)</f>
        <v/>
      </c>
      <c r="C2414">
        <f>IF(A2414="","",'KG1-5'!$B$2)</f>
        <v/>
      </c>
      <c r="D2414" s="126">
        <f t="array" ref="D2414">IF(A2414="","",IFERROR(SMALL(IF((('KG1-5'!$AD9:$IM9="غياب بدون عذر")+('KG1-5'!$AD9:$IM9="غياب بعذر"))*('KG1-5'!$AD$7:$IM$7="✓"),'KG1-5'!$AD$5:$IM$5),13),""))</f>
        <v/>
      </c>
      <c r="E2414">
        <f>IF(D2414="","",INDEX('KG1-5'!$AD9:$IM9,MATCH(D2414,'KG1-5'!$AD$5:$IM$5,0)))</f>
        <v/>
      </c>
      <c r="F2414">
        <f>IF(D2414="","",COUNTIFS('KG1-5'!$AD9:$IM9,"غياب بدون عذر",'KG1-5'!$AD$7:$IM$7,"✓",'KG1-5'!$AD$5:$IM$5,"&lt;="&amp;D2414))</f>
        <v/>
      </c>
      <c r="G2414">
        <f>G2413+IF(D2414="",0,1)</f>
        <v/>
      </c>
    </row>
    <row r="2415">
      <c r="A2415">
        <f>IF('KG1-5'!$B9="","",'KG1-5'!$B9)</f>
        <v/>
      </c>
      <c r="B2415">
        <f>IF(A2415="","",'KG1-5'!$C9)</f>
        <v/>
      </c>
      <c r="C2415">
        <f>IF(A2415="","",'KG1-5'!$B$2)</f>
        <v/>
      </c>
      <c r="D2415" s="126">
        <f t="array" ref="D2415">IF(A2415="","",IFERROR(SMALL(IF((('KG1-5'!$AD9:$IM9="غياب بدون عذر")+('KG1-5'!$AD9:$IM9="غياب بعذر"))*('KG1-5'!$AD$7:$IM$7="✓"),'KG1-5'!$AD$5:$IM$5),14),""))</f>
        <v/>
      </c>
      <c r="E2415">
        <f>IF(D2415="","",INDEX('KG1-5'!$AD9:$IM9,MATCH(D2415,'KG1-5'!$AD$5:$IM$5,0)))</f>
        <v/>
      </c>
      <c r="F2415">
        <f>IF(D2415="","",COUNTIFS('KG1-5'!$AD9:$IM9,"غياب بدون عذر",'KG1-5'!$AD$7:$IM$7,"✓",'KG1-5'!$AD$5:$IM$5,"&lt;="&amp;D2415))</f>
        <v/>
      </c>
      <c r="G2415">
        <f>G2414+IF(D2415="",0,1)</f>
        <v/>
      </c>
    </row>
    <row r="2416">
      <c r="A2416">
        <f>IF('KG1-5'!$B9="","",'KG1-5'!$B9)</f>
        <v/>
      </c>
      <c r="B2416">
        <f>IF(A2416="","",'KG1-5'!$C9)</f>
        <v/>
      </c>
      <c r="C2416">
        <f>IF(A2416="","",'KG1-5'!$B$2)</f>
        <v/>
      </c>
      <c r="D2416" s="126">
        <f t="array" ref="D2416">IF(A2416="","",IFERROR(SMALL(IF((('KG1-5'!$AD9:$IM9="غياب بدون عذر")+('KG1-5'!$AD9:$IM9="غياب بعذر"))*('KG1-5'!$AD$7:$IM$7="✓"),'KG1-5'!$AD$5:$IM$5),15),""))</f>
        <v/>
      </c>
      <c r="E2416">
        <f>IF(D2416="","",INDEX('KG1-5'!$AD9:$IM9,MATCH(D2416,'KG1-5'!$AD$5:$IM$5,0)))</f>
        <v/>
      </c>
      <c r="F2416">
        <f>IF(D2416="","",COUNTIFS('KG1-5'!$AD9:$IM9,"غياب بدون عذر",'KG1-5'!$AD$7:$IM$7,"✓",'KG1-5'!$AD$5:$IM$5,"&lt;="&amp;D2416))</f>
        <v/>
      </c>
      <c r="G2416">
        <f>G2415+IF(D2416="",0,1)</f>
        <v/>
      </c>
    </row>
    <row r="2417">
      <c r="A2417">
        <f>IF('KG1-5'!$B9="","",'KG1-5'!$B9)</f>
        <v/>
      </c>
      <c r="B2417">
        <f>IF(A2417="","",'KG1-5'!$C9)</f>
        <v/>
      </c>
      <c r="C2417">
        <f>IF(A2417="","",'KG1-5'!$B$2)</f>
        <v/>
      </c>
      <c r="D2417" s="126">
        <f t="array" ref="D2417">IF(A2417="","",IFERROR(SMALL(IF((('KG1-5'!$AD9:$IM9="غياب بدون عذر")+('KG1-5'!$AD9:$IM9="غياب بعذر"))*('KG1-5'!$AD$7:$IM$7="✓"),'KG1-5'!$AD$5:$IM$5),16),""))</f>
        <v/>
      </c>
      <c r="E2417">
        <f>IF(D2417="","",INDEX('KG1-5'!$AD9:$IM9,MATCH(D2417,'KG1-5'!$AD$5:$IM$5,0)))</f>
        <v/>
      </c>
      <c r="F2417">
        <f>IF(D2417="","",COUNTIFS('KG1-5'!$AD9:$IM9,"غياب بدون عذر",'KG1-5'!$AD$7:$IM$7,"✓",'KG1-5'!$AD$5:$IM$5,"&lt;="&amp;D2417))</f>
        <v/>
      </c>
      <c r="G2417">
        <f>G2416+IF(D2417="",0,1)</f>
        <v/>
      </c>
    </row>
    <row r="2418">
      <c r="A2418">
        <f>IF('KG1-5'!$B9="","",'KG1-5'!$B9)</f>
        <v/>
      </c>
      <c r="B2418">
        <f>IF(A2418="","",'KG1-5'!$C9)</f>
        <v/>
      </c>
      <c r="C2418">
        <f>IF(A2418="","",'KG1-5'!$B$2)</f>
        <v/>
      </c>
      <c r="D2418" s="126">
        <f t="array" ref="D2418">IF(A2418="","",IFERROR(SMALL(IF((('KG1-5'!$AD9:$IM9="غياب بدون عذر")+('KG1-5'!$AD9:$IM9="غياب بعذر"))*('KG1-5'!$AD$7:$IM$7="✓"),'KG1-5'!$AD$5:$IM$5),17),""))</f>
        <v/>
      </c>
      <c r="E2418">
        <f>IF(D2418="","",INDEX('KG1-5'!$AD9:$IM9,MATCH(D2418,'KG1-5'!$AD$5:$IM$5,0)))</f>
        <v/>
      </c>
      <c r="F2418">
        <f>IF(D2418="","",COUNTIFS('KG1-5'!$AD9:$IM9,"غياب بدون عذر",'KG1-5'!$AD$7:$IM$7,"✓",'KG1-5'!$AD$5:$IM$5,"&lt;="&amp;D2418))</f>
        <v/>
      </c>
      <c r="G2418">
        <f>G2417+IF(D2418="",0,1)</f>
        <v/>
      </c>
    </row>
    <row r="2419">
      <c r="A2419">
        <f>IF('KG1-5'!$B9="","",'KG1-5'!$B9)</f>
        <v/>
      </c>
      <c r="B2419">
        <f>IF(A2419="","",'KG1-5'!$C9)</f>
        <v/>
      </c>
      <c r="C2419">
        <f>IF(A2419="","",'KG1-5'!$B$2)</f>
        <v/>
      </c>
      <c r="D2419" s="126">
        <f t="array" ref="D2419">IF(A2419="","",IFERROR(SMALL(IF((('KG1-5'!$AD9:$IM9="غياب بدون عذر")+('KG1-5'!$AD9:$IM9="غياب بعذر"))*('KG1-5'!$AD$7:$IM$7="✓"),'KG1-5'!$AD$5:$IM$5),18),""))</f>
        <v/>
      </c>
      <c r="E2419">
        <f>IF(D2419="","",INDEX('KG1-5'!$AD9:$IM9,MATCH(D2419,'KG1-5'!$AD$5:$IM$5,0)))</f>
        <v/>
      </c>
      <c r="F2419">
        <f>IF(D2419="","",COUNTIFS('KG1-5'!$AD9:$IM9,"غياب بدون عذر",'KG1-5'!$AD$7:$IM$7,"✓",'KG1-5'!$AD$5:$IM$5,"&lt;="&amp;D2419))</f>
        <v/>
      </c>
      <c r="G2419">
        <f>G2418+IF(D2419="",0,1)</f>
        <v/>
      </c>
    </row>
    <row r="2420">
      <c r="A2420">
        <f>IF('KG1-5'!$B9="","",'KG1-5'!$B9)</f>
        <v/>
      </c>
      <c r="B2420">
        <f>IF(A2420="","",'KG1-5'!$C9)</f>
        <v/>
      </c>
      <c r="C2420">
        <f>IF(A2420="","",'KG1-5'!$B$2)</f>
        <v/>
      </c>
      <c r="D2420" s="126">
        <f t="array" ref="D2420">IF(A2420="","",IFERROR(SMALL(IF((('KG1-5'!$AD9:$IM9="غياب بدون عذر")+('KG1-5'!$AD9:$IM9="غياب بعذر"))*('KG1-5'!$AD$7:$IM$7="✓"),'KG1-5'!$AD$5:$IM$5),19),""))</f>
        <v/>
      </c>
      <c r="E2420">
        <f>IF(D2420="","",INDEX('KG1-5'!$AD9:$IM9,MATCH(D2420,'KG1-5'!$AD$5:$IM$5,0)))</f>
        <v/>
      </c>
      <c r="F2420">
        <f>IF(D2420="","",COUNTIFS('KG1-5'!$AD9:$IM9,"غياب بدون عذر",'KG1-5'!$AD$7:$IM$7,"✓",'KG1-5'!$AD$5:$IM$5,"&lt;="&amp;D2420))</f>
        <v/>
      </c>
      <c r="G2420">
        <f>G2419+IF(D2420="",0,1)</f>
        <v/>
      </c>
    </row>
    <row r="2421">
      <c r="A2421">
        <f>IF('KG1-5'!$B9="","",'KG1-5'!$B9)</f>
        <v/>
      </c>
      <c r="B2421">
        <f>IF(A2421="","",'KG1-5'!$C9)</f>
        <v/>
      </c>
      <c r="C2421">
        <f>IF(A2421="","",'KG1-5'!$B$2)</f>
        <v/>
      </c>
      <c r="D2421" s="126">
        <f t="array" ref="D2421">IF(A2421="","",IFERROR(SMALL(IF((('KG1-5'!$AD9:$IM9="غياب بدون عذر")+('KG1-5'!$AD9:$IM9="غياب بعذر"))*('KG1-5'!$AD$7:$IM$7="✓"),'KG1-5'!$AD$5:$IM$5),20),""))</f>
        <v/>
      </c>
      <c r="E2421">
        <f>IF(D2421="","",INDEX('KG1-5'!$AD9:$IM9,MATCH(D2421,'KG1-5'!$AD$5:$IM$5,0)))</f>
        <v/>
      </c>
      <c r="F2421">
        <f>IF(D2421="","",COUNTIFS('KG1-5'!$AD9:$IM9,"غياب بدون عذر",'KG1-5'!$AD$7:$IM$7,"✓",'KG1-5'!$AD$5:$IM$5,"&lt;="&amp;D2421))</f>
        <v/>
      </c>
      <c r="G2421">
        <f>G2420+IF(D2421="",0,1)</f>
        <v/>
      </c>
    </row>
    <row r="2422">
      <c r="A2422">
        <f>IF('KG1-5'!$B10="","",'KG1-5'!$B10)</f>
        <v/>
      </c>
      <c r="B2422">
        <f>IF(A2422="","",'KG1-5'!$C10)</f>
        <v/>
      </c>
      <c r="C2422">
        <f>IF(A2422="","",'KG1-5'!$B$2)</f>
        <v/>
      </c>
      <c r="D2422" s="126">
        <f t="array" ref="D2422">IF(A2422="","",IFERROR(SMALL(IF((('KG1-5'!$AD10:$IM10="غياب بدون عذر")+('KG1-5'!$AD10:$IM10="غياب بعذر"))*('KG1-5'!$AD$7:$IM$7="✓"),'KG1-5'!$AD$5:$IM$5),1),""))</f>
        <v/>
      </c>
      <c r="E2422">
        <f>IF(D2422="","",INDEX('KG1-5'!$AD10:$IM10,MATCH(D2422,'KG1-5'!$AD$5:$IM$5,0)))</f>
        <v/>
      </c>
      <c r="F2422">
        <f>IF(D2422="","",COUNTIFS('KG1-5'!$AD10:$IM10,"غياب بدون عذر",'KG1-5'!$AD$7:$IM$7,"✓",'KG1-5'!$AD$5:$IM$5,"&lt;="&amp;D2422))</f>
        <v/>
      </c>
      <c r="G2422">
        <f>G2421+IF(D2422="",0,1)</f>
        <v/>
      </c>
    </row>
    <row r="2423">
      <c r="A2423">
        <f>IF('KG1-5'!$B10="","",'KG1-5'!$B10)</f>
        <v/>
      </c>
      <c r="B2423">
        <f>IF(A2423="","",'KG1-5'!$C10)</f>
        <v/>
      </c>
      <c r="C2423">
        <f>IF(A2423="","",'KG1-5'!$B$2)</f>
        <v/>
      </c>
      <c r="D2423" s="126">
        <f t="array" ref="D2423">IF(A2423="","",IFERROR(SMALL(IF((('KG1-5'!$AD10:$IM10="غياب بدون عذر")+('KG1-5'!$AD10:$IM10="غياب بعذر"))*('KG1-5'!$AD$7:$IM$7="✓"),'KG1-5'!$AD$5:$IM$5),2),""))</f>
        <v/>
      </c>
      <c r="E2423">
        <f>IF(D2423="","",INDEX('KG1-5'!$AD10:$IM10,MATCH(D2423,'KG1-5'!$AD$5:$IM$5,0)))</f>
        <v/>
      </c>
      <c r="F2423">
        <f>IF(D2423="","",COUNTIFS('KG1-5'!$AD10:$IM10,"غياب بدون عذر",'KG1-5'!$AD$7:$IM$7,"✓",'KG1-5'!$AD$5:$IM$5,"&lt;="&amp;D2423))</f>
        <v/>
      </c>
      <c r="G2423">
        <f>G2422+IF(D2423="",0,1)</f>
        <v/>
      </c>
    </row>
    <row r="2424">
      <c r="A2424">
        <f>IF('KG1-5'!$B10="","",'KG1-5'!$B10)</f>
        <v/>
      </c>
      <c r="B2424">
        <f>IF(A2424="","",'KG1-5'!$C10)</f>
        <v/>
      </c>
      <c r="C2424">
        <f>IF(A2424="","",'KG1-5'!$B$2)</f>
        <v/>
      </c>
      <c r="D2424" s="126">
        <f t="array" ref="D2424">IF(A2424="","",IFERROR(SMALL(IF((('KG1-5'!$AD10:$IM10="غياب بدون عذر")+('KG1-5'!$AD10:$IM10="غياب بعذر"))*('KG1-5'!$AD$7:$IM$7="✓"),'KG1-5'!$AD$5:$IM$5),3),""))</f>
        <v/>
      </c>
      <c r="E2424">
        <f>IF(D2424="","",INDEX('KG1-5'!$AD10:$IM10,MATCH(D2424,'KG1-5'!$AD$5:$IM$5,0)))</f>
        <v/>
      </c>
      <c r="F2424">
        <f>IF(D2424="","",COUNTIFS('KG1-5'!$AD10:$IM10,"غياب بدون عذر",'KG1-5'!$AD$7:$IM$7,"✓",'KG1-5'!$AD$5:$IM$5,"&lt;="&amp;D2424))</f>
        <v/>
      </c>
      <c r="G2424">
        <f>G2423+IF(D2424="",0,1)</f>
        <v/>
      </c>
    </row>
    <row r="2425">
      <c r="A2425">
        <f>IF('KG1-5'!$B10="","",'KG1-5'!$B10)</f>
        <v/>
      </c>
      <c r="B2425">
        <f>IF(A2425="","",'KG1-5'!$C10)</f>
        <v/>
      </c>
      <c r="C2425">
        <f>IF(A2425="","",'KG1-5'!$B$2)</f>
        <v/>
      </c>
      <c r="D2425" s="126">
        <f t="array" ref="D2425">IF(A2425="","",IFERROR(SMALL(IF((('KG1-5'!$AD10:$IM10="غياب بدون عذر")+('KG1-5'!$AD10:$IM10="غياب بعذر"))*('KG1-5'!$AD$7:$IM$7="✓"),'KG1-5'!$AD$5:$IM$5),4),""))</f>
        <v/>
      </c>
      <c r="E2425">
        <f>IF(D2425="","",INDEX('KG1-5'!$AD10:$IM10,MATCH(D2425,'KG1-5'!$AD$5:$IM$5,0)))</f>
        <v/>
      </c>
      <c r="F2425">
        <f>IF(D2425="","",COUNTIFS('KG1-5'!$AD10:$IM10,"غياب بدون عذر",'KG1-5'!$AD$7:$IM$7,"✓",'KG1-5'!$AD$5:$IM$5,"&lt;="&amp;D2425))</f>
        <v/>
      </c>
      <c r="G2425">
        <f>G2424+IF(D2425="",0,1)</f>
        <v/>
      </c>
    </row>
    <row r="2426">
      <c r="A2426">
        <f>IF('KG1-5'!$B10="","",'KG1-5'!$B10)</f>
        <v/>
      </c>
      <c r="B2426">
        <f>IF(A2426="","",'KG1-5'!$C10)</f>
        <v/>
      </c>
      <c r="C2426">
        <f>IF(A2426="","",'KG1-5'!$B$2)</f>
        <v/>
      </c>
      <c r="D2426" s="126">
        <f t="array" ref="D2426">IF(A2426="","",IFERROR(SMALL(IF((('KG1-5'!$AD10:$IM10="غياب بدون عذر")+('KG1-5'!$AD10:$IM10="غياب بعذر"))*('KG1-5'!$AD$7:$IM$7="✓"),'KG1-5'!$AD$5:$IM$5),5),""))</f>
        <v/>
      </c>
      <c r="E2426">
        <f>IF(D2426="","",INDEX('KG1-5'!$AD10:$IM10,MATCH(D2426,'KG1-5'!$AD$5:$IM$5,0)))</f>
        <v/>
      </c>
      <c r="F2426">
        <f>IF(D2426="","",COUNTIFS('KG1-5'!$AD10:$IM10,"غياب بدون عذر",'KG1-5'!$AD$7:$IM$7,"✓",'KG1-5'!$AD$5:$IM$5,"&lt;="&amp;D2426))</f>
        <v/>
      </c>
      <c r="G2426">
        <f>G2425+IF(D2426="",0,1)</f>
        <v/>
      </c>
    </row>
    <row r="2427">
      <c r="A2427">
        <f>IF('KG1-5'!$B10="","",'KG1-5'!$B10)</f>
        <v/>
      </c>
      <c r="B2427">
        <f>IF(A2427="","",'KG1-5'!$C10)</f>
        <v/>
      </c>
      <c r="C2427">
        <f>IF(A2427="","",'KG1-5'!$B$2)</f>
        <v/>
      </c>
      <c r="D2427" s="126">
        <f t="array" ref="D2427">IF(A2427="","",IFERROR(SMALL(IF((('KG1-5'!$AD10:$IM10="غياب بدون عذر")+('KG1-5'!$AD10:$IM10="غياب بعذر"))*('KG1-5'!$AD$7:$IM$7="✓"),'KG1-5'!$AD$5:$IM$5),6),""))</f>
        <v/>
      </c>
      <c r="E2427">
        <f>IF(D2427="","",INDEX('KG1-5'!$AD10:$IM10,MATCH(D2427,'KG1-5'!$AD$5:$IM$5,0)))</f>
        <v/>
      </c>
      <c r="F2427">
        <f>IF(D2427="","",COUNTIFS('KG1-5'!$AD10:$IM10,"غياب بدون عذر",'KG1-5'!$AD$7:$IM$7,"✓",'KG1-5'!$AD$5:$IM$5,"&lt;="&amp;D2427))</f>
        <v/>
      </c>
      <c r="G2427">
        <f>G2426+IF(D2427="",0,1)</f>
        <v/>
      </c>
    </row>
    <row r="2428">
      <c r="A2428">
        <f>IF('KG1-5'!$B10="","",'KG1-5'!$B10)</f>
        <v/>
      </c>
      <c r="B2428">
        <f>IF(A2428="","",'KG1-5'!$C10)</f>
        <v/>
      </c>
      <c r="C2428">
        <f>IF(A2428="","",'KG1-5'!$B$2)</f>
        <v/>
      </c>
      <c r="D2428" s="126">
        <f t="array" ref="D2428">IF(A2428="","",IFERROR(SMALL(IF((('KG1-5'!$AD10:$IM10="غياب بدون عذر")+('KG1-5'!$AD10:$IM10="غياب بعذر"))*('KG1-5'!$AD$7:$IM$7="✓"),'KG1-5'!$AD$5:$IM$5),7),""))</f>
        <v/>
      </c>
      <c r="E2428">
        <f>IF(D2428="","",INDEX('KG1-5'!$AD10:$IM10,MATCH(D2428,'KG1-5'!$AD$5:$IM$5,0)))</f>
        <v/>
      </c>
      <c r="F2428">
        <f>IF(D2428="","",COUNTIFS('KG1-5'!$AD10:$IM10,"غياب بدون عذر",'KG1-5'!$AD$7:$IM$7,"✓",'KG1-5'!$AD$5:$IM$5,"&lt;="&amp;D2428))</f>
        <v/>
      </c>
      <c r="G2428">
        <f>G2427+IF(D2428="",0,1)</f>
        <v/>
      </c>
    </row>
    <row r="2429">
      <c r="A2429">
        <f>IF('KG1-5'!$B10="","",'KG1-5'!$B10)</f>
        <v/>
      </c>
      <c r="B2429">
        <f>IF(A2429="","",'KG1-5'!$C10)</f>
        <v/>
      </c>
      <c r="C2429">
        <f>IF(A2429="","",'KG1-5'!$B$2)</f>
        <v/>
      </c>
      <c r="D2429" s="126">
        <f t="array" ref="D2429">IF(A2429="","",IFERROR(SMALL(IF((('KG1-5'!$AD10:$IM10="غياب بدون عذر")+('KG1-5'!$AD10:$IM10="غياب بعذر"))*('KG1-5'!$AD$7:$IM$7="✓"),'KG1-5'!$AD$5:$IM$5),8),""))</f>
        <v/>
      </c>
      <c r="E2429">
        <f>IF(D2429="","",INDEX('KG1-5'!$AD10:$IM10,MATCH(D2429,'KG1-5'!$AD$5:$IM$5,0)))</f>
        <v/>
      </c>
      <c r="F2429">
        <f>IF(D2429="","",COUNTIFS('KG1-5'!$AD10:$IM10,"غياب بدون عذر",'KG1-5'!$AD$7:$IM$7,"✓",'KG1-5'!$AD$5:$IM$5,"&lt;="&amp;D2429))</f>
        <v/>
      </c>
      <c r="G2429">
        <f>G2428+IF(D2429="",0,1)</f>
        <v/>
      </c>
    </row>
    <row r="2430">
      <c r="A2430">
        <f>IF('KG1-5'!$B10="","",'KG1-5'!$B10)</f>
        <v/>
      </c>
      <c r="B2430">
        <f>IF(A2430="","",'KG1-5'!$C10)</f>
        <v/>
      </c>
      <c r="C2430">
        <f>IF(A2430="","",'KG1-5'!$B$2)</f>
        <v/>
      </c>
      <c r="D2430" s="126">
        <f t="array" ref="D2430">IF(A2430="","",IFERROR(SMALL(IF((('KG1-5'!$AD10:$IM10="غياب بدون عذر")+('KG1-5'!$AD10:$IM10="غياب بعذر"))*('KG1-5'!$AD$7:$IM$7="✓"),'KG1-5'!$AD$5:$IM$5),9),""))</f>
        <v/>
      </c>
      <c r="E2430">
        <f>IF(D2430="","",INDEX('KG1-5'!$AD10:$IM10,MATCH(D2430,'KG1-5'!$AD$5:$IM$5,0)))</f>
        <v/>
      </c>
      <c r="F2430">
        <f>IF(D2430="","",COUNTIFS('KG1-5'!$AD10:$IM10,"غياب بدون عذر",'KG1-5'!$AD$7:$IM$7,"✓",'KG1-5'!$AD$5:$IM$5,"&lt;="&amp;D2430))</f>
        <v/>
      </c>
      <c r="G2430">
        <f>G2429+IF(D2430="",0,1)</f>
        <v/>
      </c>
    </row>
    <row r="2431">
      <c r="A2431">
        <f>IF('KG1-5'!$B10="","",'KG1-5'!$B10)</f>
        <v/>
      </c>
      <c r="B2431">
        <f>IF(A2431="","",'KG1-5'!$C10)</f>
        <v/>
      </c>
      <c r="C2431">
        <f>IF(A2431="","",'KG1-5'!$B$2)</f>
        <v/>
      </c>
      <c r="D2431" s="126">
        <f t="array" ref="D2431">IF(A2431="","",IFERROR(SMALL(IF((('KG1-5'!$AD10:$IM10="غياب بدون عذر")+('KG1-5'!$AD10:$IM10="غياب بعذر"))*('KG1-5'!$AD$7:$IM$7="✓"),'KG1-5'!$AD$5:$IM$5),10),""))</f>
        <v/>
      </c>
      <c r="E2431">
        <f>IF(D2431="","",INDEX('KG1-5'!$AD10:$IM10,MATCH(D2431,'KG1-5'!$AD$5:$IM$5,0)))</f>
        <v/>
      </c>
      <c r="F2431">
        <f>IF(D2431="","",COUNTIFS('KG1-5'!$AD10:$IM10,"غياب بدون عذر",'KG1-5'!$AD$7:$IM$7,"✓",'KG1-5'!$AD$5:$IM$5,"&lt;="&amp;D2431))</f>
        <v/>
      </c>
      <c r="G2431">
        <f>G2430+IF(D2431="",0,1)</f>
        <v/>
      </c>
    </row>
    <row r="2432">
      <c r="A2432">
        <f>IF('KG1-5'!$B10="","",'KG1-5'!$B10)</f>
        <v/>
      </c>
      <c r="B2432">
        <f>IF(A2432="","",'KG1-5'!$C10)</f>
        <v/>
      </c>
      <c r="C2432">
        <f>IF(A2432="","",'KG1-5'!$B$2)</f>
        <v/>
      </c>
      <c r="D2432" s="126">
        <f t="array" ref="D2432">IF(A2432="","",IFERROR(SMALL(IF((('KG1-5'!$AD10:$IM10="غياب بدون عذر")+('KG1-5'!$AD10:$IM10="غياب بعذر"))*('KG1-5'!$AD$7:$IM$7="✓"),'KG1-5'!$AD$5:$IM$5),11),""))</f>
        <v/>
      </c>
      <c r="E2432">
        <f>IF(D2432="","",INDEX('KG1-5'!$AD10:$IM10,MATCH(D2432,'KG1-5'!$AD$5:$IM$5,0)))</f>
        <v/>
      </c>
      <c r="F2432">
        <f>IF(D2432="","",COUNTIFS('KG1-5'!$AD10:$IM10,"غياب بدون عذر",'KG1-5'!$AD$7:$IM$7,"✓",'KG1-5'!$AD$5:$IM$5,"&lt;="&amp;D2432))</f>
        <v/>
      </c>
      <c r="G2432">
        <f>G2431+IF(D2432="",0,1)</f>
        <v/>
      </c>
    </row>
    <row r="2433">
      <c r="A2433">
        <f>IF('KG1-5'!$B10="","",'KG1-5'!$B10)</f>
        <v/>
      </c>
      <c r="B2433">
        <f>IF(A2433="","",'KG1-5'!$C10)</f>
        <v/>
      </c>
      <c r="C2433">
        <f>IF(A2433="","",'KG1-5'!$B$2)</f>
        <v/>
      </c>
      <c r="D2433" s="126">
        <f t="array" ref="D2433">IF(A2433="","",IFERROR(SMALL(IF((('KG1-5'!$AD10:$IM10="غياب بدون عذر")+('KG1-5'!$AD10:$IM10="غياب بعذر"))*('KG1-5'!$AD$7:$IM$7="✓"),'KG1-5'!$AD$5:$IM$5),12),""))</f>
        <v/>
      </c>
      <c r="E2433">
        <f>IF(D2433="","",INDEX('KG1-5'!$AD10:$IM10,MATCH(D2433,'KG1-5'!$AD$5:$IM$5,0)))</f>
        <v/>
      </c>
      <c r="F2433">
        <f>IF(D2433="","",COUNTIFS('KG1-5'!$AD10:$IM10,"غياب بدون عذر",'KG1-5'!$AD$7:$IM$7,"✓",'KG1-5'!$AD$5:$IM$5,"&lt;="&amp;D2433))</f>
        <v/>
      </c>
      <c r="G2433">
        <f>G2432+IF(D2433="",0,1)</f>
        <v/>
      </c>
    </row>
    <row r="2434">
      <c r="A2434">
        <f>IF('KG1-5'!$B10="","",'KG1-5'!$B10)</f>
        <v/>
      </c>
      <c r="B2434">
        <f>IF(A2434="","",'KG1-5'!$C10)</f>
        <v/>
      </c>
      <c r="C2434">
        <f>IF(A2434="","",'KG1-5'!$B$2)</f>
        <v/>
      </c>
      <c r="D2434" s="126">
        <f t="array" ref="D2434">IF(A2434="","",IFERROR(SMALL(IF((('KG1-5'!$AD10:$IM10="غياب بدون عذر")+('KG1-5'!$AD10:$IM10="غياب بعذر"))*('KG1-5'!$AD$7:$IM$7="✓"),'KG1-5'!$AD$5:$IM$5),13),""))</f>
        <v/>
      </c>
      <c r="E2434">
        <f>IF(D2434="","",INDEX('KG1-5'!$AD10:$IM10,MATCH(D2434,'KG1-5'!$AD$5:$IM$5,0)))</f>
        <v/>
      </c>
      <c r="F2434">
        <f>IF(D2434="","",COUNTIFS('KG1-5'!$AD10:$IM10,"غياب بدون عذر",'KG1-5'!$AD$7:$IM$7,"✓",'KG1-5'!$AD$5:$IM$5,"&lt;="&amp;D2434))</f>
        <v/>
      </c>
      <c r="G2434">
        <f>G2433+IF(D2434="",0,1)</f>
        <v/>
      </c>
    </row>
    <row r="2435">
      <c r="A2435">
        <f>IF('KG1-5'!$B10="","",'KG1-5'!$B10)</f>
        <v/>
      </c>
      <c r="B2435">
        <f>IF(A2435="","",'KG1-5'!$C10)</f>
        <v/>
      </c>
      <c r="C2435">
        <f>IF(A2435="","",'KG1-5'!$B$2)</f>
        <v/>
      </c>
      <c r="D2435" s="126">
        <f t="array" ref="D2435">IF(A2435="","",IFERROR(SMALL(IF((('KG1-5'!$AD10:$IM10="غياب بدون عذر")+('KG1-5'!$AD10:$IM10="غياب بعذر"))*('KG1-5'!$AD$7:$IM$7="✓"),'KG1-5'!$AD$5:$IM$5),14),""))</f>
        <v/>
      </c>
      <c r="E2435">
        <f>IF(D2435="","",INDEX('KG1-5'!$AD10:$IM10,MATCH(D2435,'KG1-5'!$AD$5:$IM$5,0)))</f>
        <v/>
      </c>
      <c r="F2435">
        <f>IF(D2435="","",COUNTIFS('KG1-5'!$AD10:$IM10,"غياب بدون عذر",'KG1-5'!$AD$7:$IM$7,"✓",'KG1-5'!$AD$5:$IM$5,"&lt;="&amp;D2435))</f>
        <v/>
      </c>
      <c r="G2435">
        <f>G2434+IF(D2435="",0,1)</f>
        <v/>
      </c>
    </row>
    <row r="2436">
      <c r="A2436">
        <f>IF('KG1-5'!$B10="","",'KG1-5'!$B10)</f>
        <v/>
      </c>
      <c r="B2436">
        <f>IF(A2436="","",'KG1-5'!$C10)</f>
        <v/>
      </c>
      <c r="C2436">
        <f>IF(A2436="","",'KG1-5'!$B$2)</f>
        <v/>
      </c>
      <c r="D2436" s="126">
        <f t="array" ref="D2436">IF(A2436="","",IFERROR(SMALL(IF((('KG1-5'!$AD10:$IM10="غياب بدون عذر")+('KG1-5'!$AD10:$IM10="غياب بعذر"))*('KG1-5'!$AD$7:$IM$7="✓"),'KG1-5'!$AD$5:$IM$5),15),""))</f>
        <v/>
      </c>
      <c r="E2436">
        <f>IF(D2436="","",INDEX('KG1-5'!$AD10:$IM10,MATCH(D2436,'KG1-5'!$AD$5:$IM$5,0)))</f>
        <v/>
      </c>
      <c r="F2436">
        <f>IF(D2436="","",COUNTIFS('KG1-5'!$AD10:$IM10,"غياب بدون عذر",'KG1-5'!$AD$7:$IM$7,"✓",'KG1-5'!$AD$5:$IM$5,"&lt;="&amp;D2436))</f>
        <v/>
      </c>
      <c r="G2436">
        <f>G2435+IF(D2436="",0,1)</f>
        <v/>
      </c>
    </row>
    <row r="2437">
      <c r="A2437">
        <f>IF('KG1-5'!$B10="","",'KG1-5'!$B10)</f>
        <v/>
      </c>
      <c r="B2437">
        <f>IF(A2437="","",'KG1-5'!$C10)</f>
        <v/>
      </c>
      <c r="C2437">
        <f>IF(A2437="","",'KG1-5'!$B$2)</f>
        <v/>
      </c>
      <c r="D2437" s="126">
        <f t="array" ref="D2437">IF(A2437="","",IFERROR(SMALL(IF((('KG1-5'!$AD10:$IM10="غياب بدون عذر")+('KG1-5'!$AD10:$IM10="غياب بعذر"))*('KG1-5'!$AD$7:$IM$7="✓"),'KG1-5'!$AD$5:$IM$5),16),""))</f>
        <v/>
      </c>
      <c r="E2437">
        <f>IF(D2437="","",INDEX('KG1-5'!$AD10:$IM10,MATCH(D2437,'KG1-5'!$AD$5:$IM$5,0)))</f>
        <v/>
      </c>
      <c r="F2437">
        <f>IF(D2437="","",COUNTIFS('KG1-5'!$AD10:$IM10,"غياب بدون عذر",'KG1-5'!$AD$7:$IM$7,"✓",'KG1-5'!$AD$5:$IM$5,"&lt;="&amp;D2437))</f>
        <v/>
      </c>
      <c r="G2437">
        <f>G2436+IF(D2437="",0,1)</f>
        <v/>
      </c>
    </row>
    <row r="2438">
      <c r="A2438">
        <f>IF('KG1-5'!$B10="","",'KG1-5'!$B10)</f>
        <v/>
      </c>
      <c r="B2438">
        <f>IF(A2438="","",'KG1-5'!$C10)</f>
        <v/>
      </c>
      <c r="C2438">
        <f>IF(A2438="","",'KG1-5'!$B$2)</f>
        <v/>
      </c>
      <c r="D2438" s="126">
        <f t="array" ref="D2438">IF(A2438="","",IFERROR(SMALL(IF((('KG1-5'!$AD10:$IM10="غياب بدون عذر")+('KG1-5'!$AD10:$IM10="غياب بعذر"))*('KG1-5'!$AD$7:$IM$7="✓"),'KG1-5'!$AD$5:$IM$5),17),""))</f>
        <v/>
      </c>
      <c r="E2438">
        <f>IF(D2438="","",INDEX('KG1-5'!$AD10:$IM10,MATCH(D2438,'KG1-5'!$AD$5:$IM$5,0)))</f>
        <v/>
      </c>
      <c r="F2438">
        <f>IF(D2438="","",COUNTIFS('KG1-5'!$AD10:$IM10,"غياب بدون عذر",'KG1-5'!$AD$7:$IM$7,"✓",'KG1-5'!$AD$5:$IM$5,"&lt;="&amp;D2438))</f>
        <v/>
      </c>
      <c r="G2438">
        <f>G2437+IF(D2438="",0,1)</f>
        <v/>
      </c>
    </row>
    <row r="2439">
      <c r="A2439">
        <f>IF('KG1-5'!$B10="","",'KG1-5'!$B10)</f>
        <v/>
      </c>
      <c r="B2439">
        <f>IF(A2439="","",'KG1-5'!$C10)</f>
        <v/>
      </c>
      <c r="C2439">
        <f>IF(A2439="","",'KG1-5'!$B$2)</f>
        <v/>
      </c>
      <c r="D2439" s="126">
        <f t="array" ref="D2439">IF(A2439="","",IFERROR(SMALL(IF((('KG1-5'!$AD10:$IM10="غياب بدون عذر")+('KG1-5'!$AD10:$IM10="غياب بعذر"))*('KG1-5'!$AD$7:$IM$7="✓"),'KG1-5'!$AD$5:$IM$5),18),""))</f>
        <v/>
      </c>
      <c r="E2439">
        <f>IF(D2439="","",INDEX('KG1-5'!$AD10:$IM10,MATCH(D2439,'KG1-5'!$AD$5:$IM$5,0)))</f>
        <v/>
      </c>
      <c r="F2439">
        <f>IF(D2439="","",COUNTIFS('KG1-5'!$AD10:$IM10,"غياب بدون عذر",'KG1-5'!$AD$7:$IM$7,"✓",'KG1-5'!$AD$5:$IM$5,"&lt;="&amp;D2439))</f>
        <v/>
      </c>
      <c r="G2439">
        <f>G2438+IF(D2439="",0,1)</f>
        <v/>
      </c>
    </row>
    <row r="2440">
      <c r="A2440">
        <f>IF('KG1-5'!$B10="","",'KG1-5'!$B10)</f>
        <v/>
      </c>
      <c r="B2440">
        <f>IF(A2440="","",'KG1-5'!$C10)</f>
        <v/>
      </c>
      <c r="C2440">
        <f>IF(A2440="","",'KG1-5'!$B$2)</f>
        <v/>
      </c>
      <c r="D2440" s="126">
        <f t="array" ref="D2440">IF(A2440="","",IFERROR(SMALL(IF((('KG1-5'!$AD10:$IM10="غياب بدون عذر")+('KG1-5'!$AD10:$IM10="غياب بعذر"))*('KG1-5'!$AD$7:$IM$7="✓"),'KG1-5'!$AD$5:$IM$5),19),""))</f>
        <v/>
      </c>
      <c r="E2440">
        <f>IF(D2440="","",INDEX('KG1-5'!$AD10:$IM10,MATCH(D2440,'KG1-5'!$AD$5:$IM$5,0)))</f>
        <v/>
      </c>
      <c r="F2440">
        <f>IF(D2440="","",COUNTIFS('KG1-5'!$AD10:$IM10,"غياب بدون عذر",'KG1-5'!$AD$7:$IM$7,"✓",'KG1-5'!$AD$5:$IM$5,"&lt;="&amp;D2440))</f>
        <v/>
      </c>
      <c r="G2440">
        <f>G2439+IF(D2440="",0,1)</f>
        <v/>
      </c>
    </row>
    <row r="2441">
      <c r="A2441">
        <f>IF('KG1-5'!$B10="","",'KG1-5'!$B10)</f>
        <v/>
      </c>
      <c r="B2441">
        <f>IF(A2441="","",'KG1-5'!$C10)</f>
        <v/>
      </c>
      <c r="C2441">
        <f>IF(A2441="","",'KG1-5'!$B$2)</f>
        <v/>
      </c>
      <c r="D2441" s="126">
        <f t="array" ref="D2441">IF(A2441="","",IFERROR(SMALL(IF((('KG1-5'!$AD10:$IM10="غياب بدون عذر")+('KG1-5'!$AD10:$IM10="غياب بعذر"))*('KG1-5'!$AD$7:$IM$7="✓"),'KG1-5'!$AD$5:$IM$5),20),""))</f>
        <v/>
      </c>
      <c r="E2441">
        <f>IF(D2441="","",INDEX('KG1-5'!$AD10:$IM10,MATCH(D2441,'KG1-5'!$AD$5:$IM$5,0)))</f>
        <v/>
      </c>
      <c r="F2441">
        <f>IF(D2441="","",COUNTIFS('KG1-5'!$AD10:$IM10,"غياب بدون عذر",'KG1-5'!$AD$7:$IM$7,"✓",'KG1-5'!$AD$5:$IM$5,"&lt;="&amp;D2441))</f>
        <v/>
      </c>
      <c r="G2441">
        <f>G2440+IF(D2441="",0,1)</f>
        <v/>
      </c>
    </row>
    <row r="2442">
      <c r="A2442">
        <f>IF('KG1-5'!$B11="","",'KG1-5'!$B11)</f>
        <v/>
      </c>
      <c r="B2442">
        <f>IF(A2442="","",'KG1-5'!$C11)</f>
        <v/>
      </c>
      <c r="C2442">
        <f>IF(A2442="","",'KG1-5'!$B$2)</f>
        <v/>
      </c>
      <c r="D2442" s="126">
        <f t="array" ref="D2442">IF(A2442="","",IFERROR(SMALL(IF((('KG1-5'!$AD11:$IM11="غياب بدون عذر")+('KG1-5'!$AD11:$IM11="غياب بعذر"))*('KG1-5'!$AD$7:$IM$7="✓"),'KG1-5'!$AD$5:$IM$5),1),""))</f>
        <v/>
      </c>
      <c r="E2442">
        <f>IF(D2442="","",INDEX('KG1-5'!$AD11:$IM11,MATCH(D2442,'KG1-5'!$AD$5:$IM$5,0)))</f>
        <v/>
      </c>
      <c r="F2442">
        <f>IF(D2442="","",COUNTIFS('KG1-5'!$AD11:$IM11,"غياب بدون عذر",'KG1-5'!$AD$7:$IM$7,"✓",'KG1-5'!$AD$5:$IM$5,"&lt;="&amp;D2442))</f>
        <v/>
      </c>
      <c r="G2442">
        <f>G2441+IF(D2442="",0,1)</f>
        <v/>
      </c>
    </row>
    <row r="2443">
      <c r="A2443">
        <f>IF('KG1-5'!$B11="","",'KG1-5'!$B11)</f>
        <v/>
      </c>
      <c r="B2443">
        <f>IF(A2443="","",'KG1-5'!$C11)</f>
        <v/>
      </c>
      <c r="C2443">
        <f>IF(A2443="","",'KG1-5'!$B$2)</f>
        <v/>
      </c>
      <c r="D2443" s="126">
        <f t="array" ref="D2443">IF(A2443="","",IFERROR(SMALL(IF((('KG1-5'!$AD11:$IM11="غياب بدون عذر")+('KG1-5'!$AD11:$IM11="غياب بعذر"))*('KG1-5'!$AD$7:$IM$7="✓"),'KG1-5'!$AD$5:$IM$5),2),""))</f>
        <v/>
      </c>
      <c r="E2443">
        <f>IF(D2443="","",INDEX('KG1-5'!$AD11:$IM11,MATCH(D2443,'KG1-5'!$AD$5:$IM$5,0)))</f>
        <v/>
      </c>
      <c r="F2443">
        <f>IF(D2443="","",COUNTIFS('KG1-5'!$AD11:$IM11,"غياب بدون عذر",'KG1-5'!$AD$7:$IM$7,"✓",'KG1-5'!$AD$5:$IM$5,"&lt;="&amp;D2443))</f>
        <v/>
      </c>
      <c r="G2443">
        <f>G2442+IF(D2443="",0,1)</f>
        <v/>
      </c>
    </row>
    <row r="2444">
      <c r="A2444">
        <f>IF('KG1-5'!$B11="","",'KG1-5'!$B11)</f>
        <v/>
      </c>
      <c r="B2444">
        <f>IF(A2444="","",'KG1-5'!$C11)</f>
        <v/>
      </c>
      <c r="C2444">
        <f>IF(A2444="","",'KG1-5'!$B$2)</f>
        <v/>
      </c>
      <c r="D2444" s="126">
        <f t="array" ref="D2444">IF(A2444="","",IFERROR(SMALL(IF((('KG1-5'!$AD11:$IM11="غياب بدون عذر")+('KG1-5'!$AD11:$IM11="غياب بعذر"))*('KG1-5'!$AD$7:$IM$7="✓"),'KG1-5'!$AD$5:$IM$5),3),""))</f>
        <v/>
      </c>
      <c r="E2444">
        <f>IF(D2444="","",INDEX('KG1-5'!$AD11:$IM11,MATCH(D2444,'KG1-5'!$AD$5:$IM$5,0)))</f>
        <v/>
      </c>
      <c r="F2444">
        <f>IF(D2444="","",COUNTIFS('KG1-5'!$AD11:$IM11,"غياب بدون عذر",'KG1-5'!$AD$7:$IM$7,"✓",'KG1-5'!$AD$5:$IM$5,"&lt;="&amp;D2444))</f>
        <v/>
      </c>
      <c r="G2444">
        <f>G2443+IF(D2444="",0,1)</f>
        <v/>
      </c>
    </row>
    <row r="2445">
      <c r="A2445">
        <f>IF('KG1-5'!$B11="","",'KG1-5'!$B11)</f>
        <v/>
      </c>
      <c r="B2445">
        <f>IF(A2445="","",'KG1-5'!$C11)</f>
        <v/>
      </c>
      <c r="C2445">
        <f>IF(A2445="","",'KG1-5'!$B$2)</f>
        <v/>
      </c>
      <c r="D2445" s="126">
        <f t="array" ref="D2445">IF(A2445="","",IFERROR(SMALL(IF((('KG1-5'!$AD11:$IM11="غياب بدون عذر")+('KG1-5'!$AD11:$IM11="غياب بعذر"))*('KG1-5'!$AD$7:$IM$7="✓"),'KG1-5'!$AD$5:$IM$5),4),""))</f>
        <v/>
      </c>
      <c r="E2445">
        <f>IF(D2445="","",INDEX('KG1-5'!$AD11:$IM11,MATCH(D2445,'KG1-5'!$AD$5:$IM$5,0)))</f>
        <v/>
      </c>
      <c r="F2445">
        <f>IF(D2445="","",COUNTIFS('KG1-5'!$AD11:$IM11,"غياب بدون عذر",'KG1-5'!$AD$7:$IM$7,"✓",'KG1-5'!$AD$5:$IM$5,"&lt;="&amp;D2445))</f>
        <v/>
      </c>
      <c r="G2445">
        <f>G2444+IF(D2445="",0,1)</f>
        <v/>
      </c>
    </row>
    <row r="2446">
      <c r="A2446">
        <f>IF('KG1-5'!$B11="","",'KG1-5'!$B11)</f>
        <v/>
      </c>
      <c r="B2446">
        <f>IF(A2446="","",'KG1-5'!$C11)</f>
        <v/>
      </c>
      <c r="C2446">
        <f>IF(A2446="","",'KG1-5'!$B$2)</f>
        <v/>
      </c>
      <c r="D2446" s="126">
        <f t="array" ref="D2446">IF(A2446="","",IFERROR(SMALL(IF((('KG1-5'!$AD11:$IM11="غياب بدون عذر")+('KG1-5'!$AD11:$IM11="غياب بعذر"))*('KG1-5'!$AD$7:$IM$7="✓"),'KG1-5'!$AD$5:$IM$5),5),""))</f>
        <v/>
      </c>
      <c r="E2446">
        <f>IF(D2446="","",INDEX('KG1-5'!$AD11:$IM11,MATCH(D2446,'KG1-5'!$AD$5:$IM$5,0)))</f>
        <v/>
      </c>
      <c r="F2446">
        <f>IF(D2446="","",COUNTIFS('KG1-5'!$AD11:$IM11,"غياب بدون عذر",'KG1-5'!$AD$7:$IM$7,"✓",'KG1-5'!$AD$5:$IM$5,"&lt;="&amp;D2446))</f>
        <v/>
      </c>
      <c r="G2446">
        <f>G2445+IF(D2446="",0,1)</f>
        <v/>
      </c>
    </row>
    <row r="2447">
      <c r="A2447">
        <f>IF('KG1-5'!$B11="","",'KG1-5'!$B11)</f>
        <v/>
      </c>
      <c r="B2447">
        <f>IF(A2447="","",'KG1-5'!$C11)</f>
        <v/>
      </c>
      <c r="C2447">
        <f>IF(A2447="","",'KG1-5'!$B$2)</f>
        <v/>
      </c>
      <c r="D2447" s="126">
        <f t="array" ref="D2447">IF(A2447="","",IFERROR(SMALL(IF((('KG1-5'!$AD11:$IM11="غياب بدون عذر")+('KG1-5'!$AD11:$IM11="غياب بعذر"))*('KG1-5'!$AD$7:$IM$7="✓"),'KG1-5'!$AD$5:$IM$5),6),""))</f>
        <v/>
      </c>
      <c r="E2447">
        <f>IF(D2447="","",INDEX('KG1-5'!$AD11:$IM11,MATCH(D2447,'KG1-5'!$AD$5:$IM$5,0)))</f>
        <v/>
      </c>
      <c r="F2447">
        <f>IF(D2447="","",COUNTIFS('KG1-5'!$AD11:$IM11,"غياب بدون عذر",'KG1-5'!$AD$7:$IM$7,"✓",'KG1-5'!$AD$5:$IM$5,"&lt;="&amp;D2447))</f>
        <v/>
      </c>
      <c r="G2447">
        <f>G2446+IF(D2447="",0,1)</f>
        <v/>
      </c>
    </row>
    <row r="2448">
      <c r="A2448">
        <f>IF('KG1-5'!$B11="","",'KG1-5'!$B11)</f>
        <v/>
      </c>
      <c r="B2448">
        <f>IF(A2448="","",'KG1-5'!$C11)</f>
        <v/>
      </c>
      <c r="C2448">
        <f>IF(A2448="","",'KG1-5'!$B$2)</f>
        <v/>
      </c>
      <c r="D2448" s="126">
        <f t="array" ref="D2448">IF(A2448="","",IFERROR(SMALL(IF((('KG1-5'!$AD11:$IM11="غياب بدون عذر")+('KG1-5'!$AD11:$IM11="غياب بعذر"))*('KG1-5'!$AD$7:$IM$7="✓"),'KG1-5'!$AD$5:$IM$5),7),""))</f>
        <v/>
      </c>
      <c r="E2448">
        <f>IF(D2448="","",INDEX('KG1-5'!$AD11:$IM11,MATCH(D2448,'KG1-5'!$AD$5:$IM$5,0)))</f>
        <v/>
      </c>
      <c r="F2448">
        <f>IF(D2448="","",COUNTIFS('KG1-5'!$AD11:$IM11,"غياب بدون عذر",'KG1-5'!$AD$7:$IM$7,"✓",'KG1-5'!$AD$5:$IM$5,"&lt;="&amp;D2448))</f>
        <v/>
      </c>
      <c r="G2448">
        <f>G2447+IF(D2448="",0,1)</f>
        <v/>
      </c>
    </row>
    <row r="2449">
      <c r="A2449">
        <f>IF('KG1-5'!$B11="","",'KG1-5'!$B11)</f>
        <v/>
      </c>
      <c r="B2449">
        <f>IF(A2449="","",'KG1-5'!$C11)</f>
        <v/>
      </c>
      <c r="C2449">
        <f>IF(A2449="","",'KG1-5'!$B$2)</f>
        <v/>
      </c>
      <c r="D2449" s="126">
        <f t="array" ref="D2449">IF(A2449="","",IFERROR(SMALL(IF((('KG1-5'!$AD11:$IM11="غياب بدون عذر")+('KG1-5'!$AD11:$IM11="غياب بعذر"))*('KG1-5'!$AD$7:$IM$7="✓"),'KG1-5'!$AD$5:$IM$5),8),""))</f>
        <v/>
      </c>
      <c r="E2449">
        <f>IF(D2449="","",INDEX('KG1-5'!$AD11:$IM11,MATCH(D2449,'KG1-5'!$AD$5:$IM$5,0)))</f>
        <v/>
      </c>
      <c r="F2449">
        <f>IF(D2449="","",COUNTIFS('KG1-5'!$AD11:$IM11,"غياب بدون عذر",'KG1-5'!$AD$7:$IM$7,"✓",'KG1-5'!$AD$5:$IM$5,"&lt;="&amp;D2449))</f>
        <v/>
      </c>
      <c r="G2449">
        <f>G2448+IF(D2449="",0,1)</f>
        <v/>
      </c>
    </row>
    <row r="2450">
      <c r="A2450">
        <f>IF('KG1-5'!$B11="","",'KG1-5'!$B11)</f>
        <v/>
      </c>
      <c r="B2450">
        <f>IF(A2450="","",'KG1-5'!$C11)</f>
        <v/>
      </c>
      <c r="C2450">
        <f>IF(A2450="","",'KG1-5'!$B$2)</f>
        <v/>
      </c>
      <c r="D2450" s="126">
        <f t="array" ref="D2450">IF(A2450="","",IFERROR(SMALL(IF((('KG1-5'!$AD11:$IM11="غياب بدون عذر")+('KG1-5'!$AD11:$IM11="غياب بعذر"))*('KG1-5'!$AD$7:$IM$7="✓"),'KG1-5'!$AD$5:$IM$5),9),""))</f>
        <v/>
      </c>
      <c r="E2450">
        <f>IF(D2450="","",INDEX('KG1-5'!$AD11:$IM11,MATCH(D2450,'KG1-5'!$AD$5:$IM$5,0)))</f>
        <v/>
      </c>
      <c r="F2450">
        <f>IF(D2450="","",COUNTIFS('KG1-5'!$AD11:$IM11,"غياب بدون عذر",'KG1-5'!$AD$7:$IM$7,"✓",'KG1-5'!$AD$5:$IM$5,"&lt;="&amp;D2450))</f>
        <v/>
      </c>
      <c r="G2450">
        <f>G2449+IF(D2450="",0,1)</f>
        <v/>
      </c>
    </row>
    <row r="2451">
      <c r="A2451">
        <f>IF('KG1-5'!$B11="","",'KG1-5'!$B11)</f>
        <v/>
      </c>
      <c r="B2451">
        <f>IF(A2451="","",'KG1-5'!$C11)</f>
        <v/>
      </c>
      <c r="C2451">
        <f>IF(A2451="","",'KG1-5'!$B$2)</f>
        <v/>
      </c>
      <c r="D2451" s="126">
        <f t="array" ref="D2451">IF(A2451="","",IFERROR(SMALL(IF((('KG1-5'!$AD11:$IM11="غياب بدون عذر")+('KG1-5'!$AD11:$IM11="غياب بعذر"))*('KG1-5'!$AD$7:$IM$7="✓"),'KG1-5'!$AD$5:$IM$5),10),""))</f>
        <v/>
      </c>
      <c r="E2451">
        <f>IF(D2451="","",INDEX('KG1-5'!$AD11:$IM11,MATCH(D2451,'KG1-5'!$AD$5:$IM$5,0)))</f>
        <v/>
      </c>
      <c r="F2451">
        <f>IF(D2451="","",COUNTIFS('KG1-5'!$AD11:$IM11,"غياب بدون عذر",'KG1-5'!$AD$7:$IM$7,"✓",'KG1-5'!$AD$5:$IM$5,"&lt;="&amp;D2451))</f>
        <v/>
      </c>
      <c r="G2451">
        <f>G2450+IF(D2451="",0,1)</f>
        <v/>
      </c>
    </row>
    <row r="2452">
      <c r="A2452">
        <f>IF('KG1-5'!$B11="","",'KG1-5'!$B11)</f>
        <v/>
      </c>
      <c r="B2452">
        <f>IF(A2452="","",'KG1-5'!$C11)</f>
        <v/>
      </c>
      <c r="C2452">
        <f>IF(A2452="","",'KG1-5'!$B$2)</f>
        <v/>
      </c>
      <c r="D2452" s="126">
        <f t="array" ref="D2452">IF(A2452="","",IFERROR(SMALL(IF((('KG1-5'!$AD11:$IM11="غياب بدون عذر")+('KG1-5'!$AD11:$IM11="غياب بعذر"))*('KG1-5'!$AD$7:$IM$7="✓"),'KG1-5'!$AD$5:$IM$5),11),""))</f>
        <v/>
      </c>
      <c r="E2452">
        <f>IF(D2452="","",INDEX('KG1-5'!$AD11:$IM11,MATCH(D2452,'KG1-5'!$AD$5:$IM$5,0)))</f>
        <v/>
      </c>
      <c r="F2452">
        <f>IF(D2452="","",COUNTIFS('KG1-5'!$AD11:$IM11,"غياب بدون عذر",'KG1-5'!$AD$7:$IM$7,"✓",'KG1-5'!$AD$5:$IM$5,"&lt;="&amp;D2452))</f>
        <v/>
      </c>
      <c r="G2452">
        <f>G2451+IF(D2452="",0,1)</f>
        <v/>
      </c>
    </row>
    <row r="2453">
      <c r="A2453">
        <f>IF('KG1-5'!$B11="","",'KG1-5'!$B11)</f>
        <v/>
      </c>
      <c r="B2453">
        <f>IF(A2453="","",'KG1-5'!$C11)</f>
        <v/>
      </c>
      <c r="C2453">
        <f>IF(A2453="","",'KG1-5'!$B$2)</f>
        <v/>
      </c>
      <c r="D2453" s="126">
        <f t="array" ref="D2453">IF(A2453="","",IFERROR(SMALL(IF((('KG1-5'!$AD11:$IM11="غياب بدون عذر")+('KG1-5'!$AD11:$IM11="غياب بعذر"))*('KG1-5'!$AD$7:$IM$7="✓"),'KG1-5'!$AD$5:$IM$5),12),""))</f>
        <v/>
      </c>
      <c r="E2453">
        <f>IF(D2453="","",INDEX('KG1-5'!$AD11:$IM11,MATCH(D2453,'KG1-5'!$AD$5:$IM$5,0)))</f>
        <v/>
      </c>
      <c r="F2453">
        <f>IF(D2453="","",COUNTIFS('KG1-5'!$AD11:$IM11,"غياب بدون عذر",'KG1-5'!$AD$7:$IM$7,"✓",'KG1-5'!$AD$5:$IM$5,"&lt;="&amp;D2453))</f>
        <v/>
      </c>
      <c r="G2453">
        <f>G2452+IF(D2453="",0,1)</f>
        <v/>
      </c>
    </row>
    <row r="2454">
      <c r="A2454">
        <f>IF('KG1-5'!$B11="","",'KG1-5'!$B11)</f>
        <v/>
      </c>
      <c r="B2454">
        <f>IF(A2454="","",'KG1-5'!$C11)</f>
        <v/>
      </c>
      <c r="C2454">
        <f>IF(A2454="","",'KG1-5'!$B$2)</f>
        <v/>
      </c>
      <c r="D2454" s="126">
        <f t="array" ref="D2454">IF(A2454="","",IFERROR(SMALL(IF((('KG1-5'!$AD11:$IM11="غياب بدون عذر")+('KG1-5'!$AD11:$IM11="غياب بعذر"))*('KG1-5'!$AD$7:$IM$7="✓"),'KG1-5'!$AD$5:$IM$5),13),""))</f>
        <v/>
      </c>
      <c r="E2454">
        <f>IF(D2454="","",INDEX('KG1-5'!$AD11:$IM11,MATCH(D2454,'KG1-5'!$AD$5:$IM$5,0)))</f>
        <v/>
      </c>
      <c r="F2454">
        <f>IF(D2454="","",COUNTIFS('KG1-5'!$AD11:$IM11,"غياب بدون عذر",'KG1-5'!$AD$7:$IM$7,"✓",'KG1-5'!$AD$5:$IM$5,"&lt;="&amp;D2454))</f>
        <v/>
      </c>
      <c r="G2454">
        <f>G2453+IF(D2454="",0,1)</f>
        <v/>
      </c>
    </row>
    <row r="2455">
      <c r="A2455">
        <f>IF('KG1-5'!$B11="","",'KG1-5'!$B11)</f>
        <v/>
      </c>
      <c r="B2455">
        <f>IF(A2455="","",'KG1-5'!$C11)</f>
        <v/>
      </c>
      <c r="C2455">
        <f>IF(A2455="","",'KG1-5'!$B$2)</f>
        <v/>
      </c>
      <c r="D2455" s="126">
        <f t="array" ref="D2455">IF(A2455="","",IFERROR(SMALL(IF((('KG1-5'!$AD11:$IM11="غياب بدون عذر")+('KG1-5'!$AD11:$IM11="غياب بعذر"))*('KG1-5'!$AD$7:$IM$7="✓"),'KG1-5'!$AD$5:$IM$5),14),""))</f>
        <v/>
      </c>
      <c r="E2455">
        <f>IF(D2455="","",INDEX('KG1-5'!$AD11:$IM11,MATCH(D2455,'KG1-5'!$AD$5:$IM$5,0)))</f>
        <v/>
      </c>
      <c r="F2455">
        <f>IF(D2455="","",COUNTIFS('KG1-5'!$AD11:$IM11,"غياب بدون عذر",'KG1-5'!$AD$7:$IM$7,"✓",'KG1-5'!$AD$5:$IM$5,"&lt;="&amp;D2455))</f>
        <v/>
      </c>
      <c r="G2455">
        <f>G2454+IF(D2455="",0,1)</f>
        <v/>
      </c>
    </row>
    <row r="2456">
      <c r="A2456">
        <f>IF('KG1-5'!$B11="","",'KG1-5'!$B11)</f>
        <v/>
      </c>
      <c r="B2456">
        <f>IF(A2456="","",'KG1-5'!$C11)</f>
        <v/>
      </c>
      <c r="C2456">
        <f>IF(A2456="","",'KG1-5'!$B$2)</f>
        <v/>
      </c>
      <c r="D2456" s="126">
        <f t="array" ref="D2456">IF(A2456="","",IFERROR(SMALL(IF((('KG1-5'!$AD11:$IM11="غياب بدون عذر")+('KG1-5'!$AD11:$IM11="غياب بعذر"))*('KG1-5'!$AD$7:$IM$7="✓"),'KG1-5'!$AD$5:$IM$5),15),""))</f>
        <v/>
      </c>
      <c r="E2456">
        <f>IF(D2456="","",INDEX('KG1-5'!$AD11:$IM11,MATCH(D2456,'KG1-5'!$AD$5:$IM$5,0)))</f>
        <v/>
      </c>
      <c r="F2456">
        <f>IF(D2456="","",COUNTIFS('KG1-5'!$AD11:$IM11,"غياب بدون عذر",'KG1-5'!$AD$7:$IM$7,"✓",'KG1-5'!$AD$5:$IM$5,"&lt;="&amp;D2456))</f>
        <v/>
      </c>
      <c r="G2456">
        <f>G2455+IF(D2456="",0,1)</f>
        <v/>
      </c>
    </row>
    <row r="2457">
      <c r="A2457">
        <f>IF('KG1-5'!$B11="","",'KG1-5'!$B11)</f>
        <v/>
      </c>
      <c r="B2457">
        <f>IF(A2457="","",'KG1-5'!$C11)</f>
        <v/>
      </c>
      <c r="C2457">
        <f>IF(A2457="","",'KG1-5'!$B$2)</f>
        <v/>
      </c>
      <c r="D2457" s="126">
        <f t="array" ref="D2457">IF(A2457="","",IFERROR(SMALL(IF((('KG1-5'!$AD11:$IM11="غياب بدون عذر")+('KG1-5'!$AD11:$IM11="غياب بعذر"))*('KG1-5'!$AD$7:$IM$7="✓"),'KG1-5'!$AD$5:$IM$5),16),""))</f>
        <v/>
      </c>
      <c r="E2457">
        <f>IF(D2457="","",INDEX('KG1-5'!$AD11:$IM11,MATCH(D2457,'KG1-5'!$AD$5:$IM$5,0)))</f>
        <v/>
      </c>
      <c r="F2457">
        <f>IF(D2457="","",COUNTIFS('KG1-5'!$AD11:$IM11,"غياب بدون عذر",'KG1-5'!$AD$7:$IM$7,"✓",'KG1-5'!$AD$5:$IM$5,"&lt;="&amp;D2457))</f>
        <v/>
      </c>
      <c r="G2457">
        <f>G2456+IF(D2457="",0,1)</f>
        <v/>
      </c>
    </row>
    <row r="2458">
      <c r="A2458">
        <f>IF('KG1-5'!$B11="","",'KG1-5'!$B11)</f>
        <v/>
      </c>
      <c r="B2458">
        <f>IF(A2458="","",'KG1-5'!$C11)</f>
        <v/>
      </c>
      <c r="C2458">
        <f>IF(A2458="","",'KG1-5'!$B$2)</f>
        <v/>
      </c>
      <c r="D2458" s="126">
        <f t="array" ref="D2458">IF(A2458="","",IFERROR(SMALL(IF((('KG1-5'!$AD11:$IM11="غياب بدون عذر")+('KG1-5'!$AD11:$IM11="غياب بعذر"))*('KG1-5'!$AD$7:$IM$7="✓"),'KG1-5'!$AD$5:$IM$5),17),""))</f>
        <v/>
      </c>
      <c r="E2458">
        <f>IF(D2458="","",INDEX('KG1-5'!$AD11:$IM11,MATCH(D2458,'KG1-5'!$AD$5:$IM$5,0)))</f>
        <v/>
      </c>
      <c r="F2458">
        <f>IF(D2458="","",COUNTIFS('KG1-5'!$AD11:$IM11,"غياب بدون عذر",'KG1-5'!$AD$7:$IM$7,"✓",'KG1-5'!$AD$5:$IM$5,"&lt;="&amp;D2458))</f>
        <v/>
      </c>
      <c r="G2458">
        <f>G2457+IF(D2458="",0,1)</f>
        <v/>
      </c>
    </row>
    <row r="2459">
      <c r="A2459">
        <f>IF('KG1-5'!$B11="","",'KG1-5'!$B11)</f>
        <v/>
      </c>
      <c r="B2459">
        <f>IF(A2459="","",'KG1-5'!$C11)</f>
        <v/>
      </c>
      <c r="C2459">
        <f>IF(A2459="","",'KG1-5'!$B$2)</f>
        <v/>
      </c>
      <c r="D2459" s="126">
        <f t="array" ref="D2459">IF(A2459="","",IFERROR(SMALL(IF((('KG1-5'!$AD11:$IM11="غياب بدون عذر")+('KG1-5'!$AD11:$IM11="غياب بعذر"))*('KG1-5'!$AD$7:$IM$7="✓"),'KG1-5'!$AD$5:$IM$5),18),""))</f>
        <v/>
      </c>
      <c r="E2459">
        <f>IF(D2459="","",INDEX('KG1-5'!$AD11:$IM11,MATCH(D2459,'KG1-5'!$AD$5:$IM$5,0)))</f>
        <v/>
      </c>
      <c r="F2459">
        <f>IF(D2459="","",COUNTIFS('KG1-5'!$AD11:$IM11,"غياب بدون عذر",'KG1-5'!$AD$7:$IM$7,"✓",'KG1-5'!$AD$5:$IM$5,"&lt;="&amp;D2459))</f>
        <v/>
      </c>
      <c r="G2459">
        <f>G2458+IF(D2459="",0,1)</f>
        <v/>
      </c>
    </row>
    <row r="2460">
      <c r="A2460">
        <f>IF('KG1-5'!$B11="","",'KG1-5'!$B11)</f>
        <v/>
      </c>
      <c r="B2460">
        <f>IF(A2460="","",'KG1-5'!$C11)</f>
        <v/>
      </c>
      <c r="C2460">
        <f>IF(A2460="","",'KG1-5'!$B$2)</f>
        <v/>
      </c>
      <c r="D2460" s="126">
        <f t="array" ref="D2460">IF(A2460="","",IFERROR(SMALL(IF((('KG1-5'!$AD11:$IM11="غياب بدون عذر")+('KG1-5'!$AD11:$IM11="غياب بعذر"))*('KG1-5'!$AD$7:$IM$7="✓"),'KG1-5'!$AD$5:$IM$5),19),""))</f>
        <v/>
      </c>
      <c r="E2460">
        <f>IF(D2460="","",INDEX('KG1-5'!$AD11:$IM11,MATCH(D2460,'KG1-5'!$AD$5:$IM$5,0)))</f>
        <v/>
      </c>
      <c r="F2460">
        <f>IF(D2460="","",COUNTIFS('KG1-5'!$AD11:$IM11,"غياب بدون عذر",'KG1-5'!$AD$7:$IM$7,"✓",'KG1-5'!$AD$5:$IM$5,"&lt;="&amp;D2460))</f>
        <v/>
      </c>
      <c r="G2460">
        <f>G2459+IF(D2460="",0,1)</f>
        <v/>
      </c>
    </row>
    <row r="2461">
      <c r="A2461">
        <f>IF('KG1-5'!$B11="","",'KG1-5'!$B11)</f>
        <v/>
      </c>
      <c r="B2461">
        <f>IF(A2461="","",'KG1-5'!$C11)</f>
        <v/>
      </c>
      <c r="C2461">
        <f>IF(A2461="","",'KG1-5'!$B$2)</f>
        <v/>
      </c>
      <c r="D2461" s="126">
        <f t="array" ref="D2461">IF(A2461="","",IFERROR(SMALL(IF((('KG1-5'!$AD11:$IM11="غياب بدون عذر")+('KG1-5'!$AD11:$IM11="غياب بعذر"))*('KG1-5'!$AD$7:$IM$7="✓"),'KG1-5'!$AD$5:$IM$5),20),""))</f>
        <v/>
      </c>
      <c r="E2461">
        <f>IF(D2461="","",INDEX('KG1-5'!$AD11:$IM11,MATCH(D2461,'KG1-5'!$AD$5:$IM$5,0)))</f>
        <v/>
      </c>
      <c r="F2461">
        <f>IF(D2461="","",COUNTIFS('KG1-5'!$AD11:$IM11,"غياب بدون عذر",'KG1-5'!$AD$7:$IM$7,"✓",'KG1-5'!$AD$5:$IM$5,"&lt;="&amp;D2461))</f>
        <v/>
      </c>
      <c r="G2461">
        <f>G2460+IF(D2461="",0,1)</f>
        <v/>
      </c>
    </row>
    <row r="2462">
      <c r="A2462">
        <f>IF('KG1-5'!$B12="","",'KG1-5'!$B12)</f>
        <v/>
      </c>
      <c r="B2462">
        <f>IF(A2462="","",'KG1-5'!$C12)</f>
        <v/>
      </c>
      <c r="C2462">
        <f>IF(A2462="","",'KG1-5'!$B$2)</f>
        <v/>
      </c>
      <c r="D2462" s="126">
        <f t="array" ref="D2462">IF(A2462="","",IFERROR(SMALL(IF((('KG1-5'!$AD12:$IM12="غياب بدون عذر")+('KG1-5'!$AD12:$IM12="غياب بعذر"))*('KG1-5'!$AD$7:$IM$7="✓"),'KG1-5'!$AD$5:$IM$5),1),""))</f>
        <v/>
      </c>
      <c r="E2462">
        <f>IF(D2462="","",INDEX('KG1-5'!$AD12:$IM12,MATCH(D2462,'KG1-5'!$AD$5:$IM$5,0)))</f>
        <v/>
      </c>
      <c r="F2462">
        <f>IF(D2462="","",COUNTIFS('KG1-5'!$AD12:$IM12,"غياب بدون عذر",'KG1-5'!$AD$7:$IM$7,"✓",'KG1-5'!$AD$5:$IM$5,"&lt;="&amp;D2462))</f>
        <v/>
      </c>
      <c r="G2462">
        <f>G2461+IF(D2462="",0,1)</f>
        <v/>
      </c>
    </row>
    <row r="2463">
      <c r="A2463">
        <f>IF('KG1-5'!$B12="","",'KG1-5'!$B12)</f>
        <v/>
      </c>
      <c r="B2463">
        <f>IF(A2463="","",'KG1-5'!$C12)</f>
        <v/>
      </c>
      <c r="C2463">
        <f>IF(A2463="","",'KG1-5'!$B$2)</f>
        <v/>
      </c>
      <c r="D2463" s="126">
        <f t="array" ref="D2463">IF(A2463="","",IFERROR(SMALL(IF((('KG1-5'!$AD12:$IM12="غياب بدون عذر")+('KG1-5'!$AD12:$IM12="غياب بعذر"))*('KG1-5'!$AD$7:$IM$7="✓"),'KG1-5'!$AD$5:$IM$5),2),""))</f>
        <v/>
      </c>
      <c r="E2463">
        <f>IF(D2463="","",INDEX('KG1-5'!$AD12:$IM12,MATCH(D2463,'KG1-5'!$AD$5:$IM$5,0)))</f>
        <v/>
      </c>
      <c r="F2463">
        <f>IF(D2463="","",COUNTIFS('KG1-5'!$AD12:$IM12,"غياب بدون عذر",'KG1-5'!$AD$7:$IM$7,"✓",'KG1-5'!$AD$5:$IM$5,"&lt;="&amp;D2463))</f>
        <v/>
      </c>
      <c r="G2463">
        <f>G2462+IF(D2463="",0,1)</f>
        <v/>
      </c>
    </row>
    <row r="2464">
      <c r="A2464">
        <f>IF('KG1-5'!$B12="","",'KG1-5'!$B12)</f>
        <v/>
      </c>
      <c r="B2464">
        <f>IF(A2464="","",'KG1-5'!$C12)</f>
        <v/>
      </c>
      <c r="C2464">
        <f>IF(A2464="","",'KG1-5'!$B$2)</f>
        <v/>
      </c>
      <c r="D2464" s="126">
        <f t="array" ref="D2464">IF(A2464="","",IFERROR(SMALL(IF((('KG1-5'!$AD12:$IM12="غياب بدون عذر")+('KG1-5'!$AD12:$IM12="غياب بعذر"))*('KG1-5'!$AD$7:$IM$7="✓"),'KG1-5'!$AD$5:$IM$5),3),""))</f>
        <v/>
      </c>
      <c r="E2464">
        <f>IF(D2464="","",INDEX('KG1-5'!$AD12:$IM12,MATCH(D2464,'KG1-5'!$AD$5:$IM$5,0)))</f>
        <v/>
      </c>
      <c r="F2464">
        <f>IF(D2464="","",COUNTIFS('KG1-5'!$AD12:$IM12,"غياب بدون عذر",'KG1-5'!$AD$7:$IM$7,"✓",'KG1-5'!$AD$5:$IM$5,"&lt;="&amp;D2464))</f>
        <v/>
      </c>
      <c r="G2464">
        <f>G2463+IF(D2464="",0,1)</f>
        <v/>
      </c>
    </row>
    <row r="2465">
      <c r="A2465">
        <f>IF('KG1-5'!$B12="","",'KG1-5'!$B12)</f>
        <v/>
      </c>
      <c r="B2465">
        <f>IF(A2465="","",'KG1-5'!$C12)</f>
        <v/>
      </c>
      <c r="C2465">
        <f>IF(A2465="","",'KG1-5'!$B$2)</f>
        <v/>
      </c>
      <c r="D2465" s="126">
        <f t="array" ref="D2465">IF(A2465="","",IFERROR(SMALL(IF((('KG1-5'!$AD12:$IM12="غياب بدون عذر")+('KG1-5'!$AD12:$IM12="غياب بعذر"))*('KG1-5'!$AD$7:$IM$7="✓"),'KG1-5'!$AD$5:$IM$5),4),""))</f>
        <v/>
      </c>
      <c r="E2465">
        <f>IF(D2465="","",INDEX('KG1-5'!$AD12:$IM12,MATCH(D2465,'KG1-5'!$AD$5:$IM$5,0)))</f>
        <v/>
      </c>
      <c r="F2465">
        <f>IF(D2465="","",COUNTIFS('KG1-5'!$AD12:$IM12,"غياب بدون عذر",'KG1-5'!$AD$7:$IM$7,"✓",'KG1-5'!$AD$5:$IM$5,"&lt;="&amp;D2465))</f>
        <v/>
      </c>
      <c r="G2465">
        <f>G2464+IF(D2465="",0,1)</f>
        <v/>
      </c>
    </row>
    <row r="2466">
      <c r="A2466">
        <f>IF('KG1-5'!$B12="","",'KG1-5'!$B12)</f>
        <v/>
      </c>
      <c r="B2466">
        <f>IF(A2466="","",'KG1-5'!$C12)</f>
        <v/>
      </c>
      <c r="C2466">
        <f>IF(A2466="","",'KG1-5'!$B$2)</f>
        <v/>
      </c>
      <c r="D2466" s="126">
        <f t="array" ref="D2466">IF(A2466="","",IFERROR(SMALL(IF((('KG1-5'!$AD12:$IM12="غياب بدون عذر")+('KG1-5'!$AD12:$IM12="غياب بعذر"))*('KG1-5'!$AD$7:$IM$7="✓"),'KG1-5'!$AD$5:$IM$5),5),""))</f>
        <v/>
      </c>
      <c r="E2466">
        <f>IF(D2466="","",INDEX('KG1-5'!$AD12:$IM12,MATCH(D2466,'KG1-5'!$AD$5:$IM$5,0)))</f>
        <v/>
      </c>
      <c r="F2466">
        <f>IF(D2466="","",COUNTIFS('KG1-5'!$AD12:$IM12,"غياب بدون عذر",'KG1-5'!$AD$7:$IM$7,"✓",'KG1-5'!$AD$5:$IM$5,"&lt;="&amp;D2466))</f>
        <v/>
      </c>
      <c r="G2466">
        <f>G2465+IF(D2466="",0,1)</f>
        <v/>
      </c>
    </row>
    <row r="2467">
      <c r="A2467">
        <f>IF('KG1-5'!$B12="","",'KG1-5'!$B12)</f>
        <v/>
      </c>
      <c r="B2467">
        <f>IF(A2467="","",'KG1-5'!$C12)</f>
        <v/>
      </c>
      <c r="C2467">
        <f>IF(A2467="","",'KG1-5'!$B$2)</f>
        <v/>
      </c>
      <c r="D2467" s="126">
        <f t="array" ref="D2467">IF(A2467="","",IFERROR(SMALL(IF((('KG1-5'!$AD12:$IM12="غياب بدون عذر")+('KG1-5'!$AD12:$IM12="غياب بعذر"))*('KG1-5'!$AD$7:$IM$7="✓"),'KG1-5'!$AD$5:$IM$5),6),""))</f>
        <v/>
      </c>
      <c r="E2467">
        <f>IF(D2467="","",INDEX('KG1-5'!$AD12:$IM12,MATCH(D2467,'KG1-5'!$AD$5:$IM$5,0)))</f>
        <v/>
      </c>
      <c r="F2467">
        <f>IF(D2467="","",COUNTIFS('KG1-5'!$AD12:$IM12,"غياب بدون عذر",'KG1-5'!$AD$7:$IM$7,"✓",'KG1-5'!$AD$5:$IM$5,"&lt;="&amp;D2467))</f>
        <v/>
      </c>
      <c r="G2467">
        <f>G2466+IF(D2467="",0,1)</f>
        <v/>
      </c>
    </row>
    <row r="2468">
      <c r="A2468">
        <f>IF('KG1-5'!$B12="","",'KG1-5'!$B12)</f>
        <v/>
      </c>
      <c r="B2468">
        <f>IF(A2468="","",'KG1-5'!$C12)</f>
        <v/>
      </c>
      <c r="C2468">
        <f>IF(A2468="","",'KG1-5'!$B$2)</f>
        <v/>
      </c>
      <c r="D2468" s="126">
        <f t="array" ref="D2468">IF(A2468="","",IFERROR(SMALL(IF((('KG1-5'!$AD12:$IM12="غياب بدون عذر")+('KG1-5'!$AD12:$IM12="غياب بعذر"))*('KG1-5'!$AD$7:$IM$7="✓"),'KG1-5'!$AD$5:$IM$5),7),""))</f>
        <v/>
      </c>
      <c r="E2468">
        <f>IF(D2468="","",INDEX('KG1-5'!$AD12:$IM12,MATCH(D2468,'KG1-5'!$AD$5:$IM$5,0)))</f>
        <v/>
      </c>
      <c r="F2468">
        <f>IF(D2468="","",COUNTIFS('KG1-5'!$AD12:$IM12,"غياب بدون عذر",'KG1-5'!$AD$7:$IM$7,"✓",'KG1-5'!$AD$5:$IM$5,"&lt;="&amp;D2468))</f>
        <v/>
      </c>
      <c r="G2468">
        <f>G2467+IF(D2468="",0,1)</f>
        <v/>
      </c>
    </row>
    <row r="2469">
      <c r="A2469">
        <f>IF('KG1-5'!$B12="","",'KG1-5'!$B12)</f>
        <v/>
      </c>
      <c r="B2469">
        <f>IF(A2469="","",'KG1-5'!$C12)</f>
        <v/>
      </c>
      <c r="C2469">
        <f>IF(A2469="","",'KG1-5'!$B$2)</f>
        <v/>
      </c>
      <c r="D2469" s="126">
        <f t="array" ref="D2469">IF(A2469="","",IFERROR(SMALL(IF((('KG1-5'!$AD12:$IM12="غياب بدون عذر")+('KG1-5'!$AD12:$IM12="غياب بعذر"))*('KG1-5'!$AD$7:$IM$7="✓"),'KG1-5'!$AD$5:$IM$5),8),""))</f>
        <v/>
      </c>
      <c r="E2469">
        <f>IF(D2469="","",INDEX('KG1-5'!$AD12:$IM12,MATCH(D2469,'KG1-5'!$AD$5:$IM$5,0)))</f>
        <v/>
      </c>
      <c r="F2469">
        <f>IF(D2469="","",COUNTIFS('KG1-5'!$AD12:$IM12,"غياب بدون عذر",'KG1-5'!$AD$7:$IM$7,"✓",'KG1-5'!$AD$5:$IM$5,"&lt;="&amp;D2469))</f>
        <v/>
      </c>
      <c r="G2469">
        <f>G2468+IF(D2469="",0,1)</f>
        <v/>
      </c>
    </row>
    <row r="2470">
      <c r="A2470">
        <f>IF('KG1-5'!$B12="","",'KG1-5'!$B12)</f>
        <v/>
      </c>
      <c r="B2470">
        <f>IF(A2470="","",'KG1-5'!$C12)</f>
        <v/>
      </c>
      <c r="C2470">
        <f>IF(A2470="","",'KG1-5'!$B$2)</f>
        <v/>
      </c>
      <c r="D2470" s="126">
        <f t="array" ref="D2470">IF(A2470="","",IFERROR(SMALL(IF((('KG1-5'!$AD12:$IM12="غياب بدون عذر")+('KG1-5'!$AD12:$IM12="غياب بعذر"))*('KG1-5'!$AD$7:$IM$7="✓"),'KG1-5'!$AD$5:$IM$5),9),""))</f>
        <v/>
      </c>
      <c r="E2470">
        <f>IF(D2470="","",INDEX('KG1-5'!$AD12:$IM12,MATCH(D2470,'KG1-5'!$AD$5:$IM$5,0)))</f>
        <v/>
      </c>
      <c r="F2470">
        <f>IF(D2470="","",COUNTIFS('KG1-5'!$AD12:$IM12,"غياب بدون عذر",'KG1-5'!$AD$7:$IM$7,"✓",'KG1-5'!$AD$5:$IM$5,"&lt;="&amp;D2470))</f>
        <v/>
      </c>
      <c r="G2470">
        <f>G2469+IF(D2470="",0,1)</f>
        <v/>
      </c>
    </row>
    <row r="2471">
      <c r="A2471">
        <f>IF('KG1-5'!$B12="","",'KG1-5'!$B12)</f>
        <v/>
      </c>
      <c r="B2471">
        <f>IF(A2471="","",'KG1-5'!$C12)</f>
        <v/>
      </c>
      <c r="C2471">
        <f>IF(A2471="","",'KG1-5'!$B$2)</f>
        <v/>
      </c>
      <c r="D2471" s="126">
        <f t="array" ref="D2471">IF(A2471="","",IFERROR(SMALL(IF((('KG1-5'!$AD12:$IM12="غياب بدون عذر")+('KG1-5'!$AD12:$IM12="غياب بعذر"))*('KG1-5'!$AD$7:$IM$7="✓"),'KG1-5'!$AD$5:$IM$5),10),""))</f>
        <v/>
      </c>
      <c r="E2471">
        <f>IF(D2471="","",INDEX('KG1-5'!$AD12:$IM12,MATCH(D2471,'KG1-5'!$AD$5:$IM$5,0)))</f>
        <v/>
      </c>
      <c r="F2471">
        <f>IF(D2471="","",COUNTIFS('KG1-5'!$AD12:$IM12,"غياب بدون عذر",'KG1-5'!$AD$7:$IM$7,"✓",'KG1-5'!$AD$5:$IM$5,"&lt;="&amp;D2471))</f>
        <v/>
      </c>
      <c r="G2471">
        <f>G2470+IF(D2471="",0,1)</f>
        <v/>
      </c>
    </row>
    <row r="2472">
      <c r="A2472">
        <f>IF('KG1-5'!$B12="","",'KG1-5'!$B12)</f>
        <v/>
      </c>
      <c r="B2472">
        <f>IF(A2472="","",'KG1-5'!$C12)</f>
        <v/>
      </c>
      <c r="C2472">
        <f>IF(A2472="","",'KG1-5'!$B$2)</f>
        <v/>
      </c>
      <c r="D2472" s="126">
        <f t="array" ref="D2472">IF(A2472="","",IFERROR(SMALL(IF((('KG1-5'!$AD12:$IM12="غياب بدون عذر")+('KG1-5'!$AD12:$IM12="غياب بعذر"))*('KG1-5'!$AD$7:$IM$7="✓"),'KG1-5'!$AD$5:$IM$5),11),""))</f>
        <v/>
      </c>
      <c r="E2472">
        <f>IF(D2472="","",INDEX('KG1-5'!$AD12:$IM12,MATCH(D2472,'KG1-5'!$AD$5:$IM$5,0)))</f>
        <v/>
      </c>
      <c r="F2472">
        <f>IF(D2472="","",COUNTIFS('KG1-5'!$AD12:$IM12,"غياب بدون عذر",'KG1-5'!$AD$7:$IM$7,"✓",'KG1-5'!$AD$5:$IM$5,"&lt;="&amp;D2472))</f>
        <v/>
      </c>
      <c r="G2472">
        <f>G2471+IF(D2472="",0,1)</f>
        <v/>
      </c>
    </row>
    <row r="2473">
      <c r="A2473">
        <f>IF('KG1-5'!$B12="","",'KG1-5'!$B12)</f>
        <v/>
      </c>
      <c r="B2473">
        <f>IF(A2473="","",'KG1-5'!$C12)</f>
        <v/>
      </c>
      <c r="C2473">
        <f>IF(A2473="","",'KG1-5'!$B$2)</f>
        <v/>
      </c>
      <c r="D2473" s="126">
        <f t="array" ref="D2473">IF(A2473="","",IFERROR(SMALL(IF((('KG1-5'!$AD12:$IM12="غياب بدون عذر")+('KG1-5'!$AD12:$IM12="غياب بعذر"))*('KG1-5'!$AD$7:$IM$7="✓"),'KG1-5'!$AD$5:$IM$5),12),""))</f>
        <v/>
      </c>
      <c r="E2473">
        <f>IF(D2473="","",INDEX('KG1-5'!$AD12:$IM12,MATCH(D2473,'KG1-5'!$AD$5:$IM$5,0)))</f>
        <v/>
      </c>
      <c r="F2473">
        <f>IF(D2473="","",COUNTIFS('KG1-5'!$AD12:$IM12,"غياب بدون عذر",'KG1-5'!$AD$7:$IM$7,"✓",'KG1-5'!$AD$5:$IM$5,"&lt;="&amp;D2473))</f>
        <v/>
      </c>
      <c r="G2473">
        <f>G2472+IF(D2473="",0,1)</f>
        <v/>
      </c>
    </row>
    <row r="2474">
      <c r="A2474">
        <f>IF('KG1-5'!$B12="","",'KG1-5'!$B12)</f>
        <v/>
      </c>
      <c r="B2474">
        <f>IF(A2474="","",'KG1-5'!$C12)</f>
        <v/>
      </c>
      <c r="C2474">
        <f>IF(A2474="","",'KG1-5'!$B$2)</f>
        <v/>
      </c>
      <c r="D2474" s="126">
        <f t="array" ref="D2474">IF(A2474="","",IFERROR(SMALL(IF((('KG1-5'!$AD12:$IM12="غياب بدون عذر")+('KG1-5'!$AD12:$IM12="غياب بعذر"))*('KG1-5'!$AD$7:$IM$7="✓"),'KG1-5'!$AD$5:$IM$5),13),""))</f>
        <v/>
      </c>
      <c r="E2474">
        <f>IF(D2474="","",INDEX('KG1-5'!$AD12:$IM12,MATCH(D2474,'KG1-5'!$AD$5:$IM$5,0)))</f>
        <v/>
      </c>
      <c r="F2474">
        <f>IF(D2474="","",COUNTIFS('KG1-5'!$AD12:$IM12,"غياب بدون عذر",'KG1-5'!$AD$7:$IM$7,"✓",'KG1-5'!$AD$5:$IM$5,"&lt;="&amp;D2474))</f>
        <v/>
      </c>
      <c r="G2474">
        <f>G2473+IF(D2474="",0,1)</f>
        <v/>
      </c>
    </row>
    <row r="2475">
      <c r="A2475">
        <f>IF('KG1-5'!$B12="","",'KG1-5'!$B12)</f>
        <v/>
      </c>
      <c r="B2475">
        <f>IF(A2475="","",'KG1-5'!$C12)</f>
        <v/>
      </c>
      <c r="C2475">
        <f>IF(A2475="","",'KG1-5'!$B$2)</f>
        <v/>
      </c>
      <c r="D2475" s="126">
        <f t="array" ref="D2475">IF(A2475="","",IFERROR(SMALL(IF((('KG1-5'!$AD12:$IM12="غياب بدون عذر")+('KG1-5'!$AD12:$IM12="غياب بعذر"))*('KG1-5'!$AD$7:$IM$7="✓"),'KG1-5'!$AD$5:$IM$5),14),""))</f>
        <v/>
      </c>
      <c r="E2475">
        <f>IF(D2475="","",INDEX('KG1-5'!$AD12:$IM12,MATCH(D2475,'KG1-5'!$AD$5:$IM$5,0)))</f>
        <v/>
      </c>
      <c r="F2475">
        <f>IF(D2475="","",COUNTIFS('KG1-5'!$AD12:$IM12,"غياب بدون عذر",'KG1-5'!$AD$7:$IM$7,"✓",'KG1-5'!$AD$5:$IM$5,"&lt;="&amp;D2475))</f>
        <v/>
      </c>
      <c r="G2475">
        <f>G2474+IF(D2475="",0,1)</f>
        <v/>
      </c>
    </row>
    <row r="2476">
      <c r="A2476">
        <f>IF('KG1-5'!$B12="","",'KG1-5'!$B12)</f>
        <v/>
      </c>
      <c r="B2476">
        <f>IF(A2476="","",'KG1-5'!$C12)</f>
        <v/>
      </c>
      <c r="C2476">
        <f>IF(A2476="","",'KG1-5'!$B$2)</f>
        <v/>
      </c>
      <c r="D2476" s="126">
        <f t="array" ref="D2476">IF(A2476="","",IFERROR(SMALL(IF((('KG1-5'!$AD12:$IM12="غياب بدون عذر")+('KG1-5'!$AD12:$IM12="غياب بعذر"))*('KG1-5'!$AD$7:$IM$7="✓"),'KG1-5'!$AD$5:$IM$5),15),""))</f>
        <v/>
      </c>
      <c r="E2476">
        <f>IF(D2476="","",INDEX('KG1-5'!$AD12:$IM12,MATCH(D2476,'KG1-5'!$AD$5:$IM$5,0)))</f>
        <v/>
      </c>
      <c r="F2476">
        <f>IF(D2476="","",COUNTIFS('KG1-5'!$AD12:$IM12,"غياب بدون عذر",'KG1-5'!$AD$7:$IM$7,"✓",'KG1-5'!$AD$5:$IM$5,"&lt;="&amp;D2476))</f>
        <v/>
      </c>
      <c r="G2476">
        <f>G2475+IF(D2476="",0,1)</f>
        <v/>
      </c>
    </row>
    <row r="2477">
      <c r="A2477">
        <f>IF('KG1-5'!$B12="","",'KG1-5'!$B12)</f>
        <v/>
      </c>
      <c r="B2477">
        <f>IF(A2477="","",'KG1-5'!$C12)</f>
        <v/>
      </c>
      <c r="C2477">
        <f>IF(A2477="","",'KG1-5'!$B$2)</f>
        <v/>
      </c>
      <c r="D2477" s="126">
        <f t="array" ref="D2477">IF(A2477="","",IFERROR(SMALL(IF((('KG1-5'!$AD12:$IM12="غياب بدون عذر")+('KG1-5'!$AD12:$IM12="غياب بعذر"))*('KG1-5'!$AD$7:$IM$7="✓"),'KG1-5'!$AD$5:$IM$5),16),""))</f>
        <v/>
      </c>
      <c r="E2477">
        <f>IF(D2477="","",INDEX('KG1-5'!$AD12:$IM12,MATCH(D2477,'KG1-5'!$AD$5:$IM$5,0)))</f>
        <v/>
      </c>
      <c r="F2477">
        <f>IF(D2477="","",COUNTIFS('KG1-5'!$AD12:$IM12,"غياب بدون عذر",'KG1-5'!$AD$7:$IM$7,"✓",'KG1-5'!$AD$5:$IM$5,"&lt;="&amp;D2477))</f>
        <v/>
      </c>
      <c r="G2477">
        <f>G2476+IF(D2477="",0,1)</f>
        <v/>
      </c>
    </row>
    <row r="2478">
      <c r="A2478">
        <f>IF('KG1-5'!$B12="","",'KG1-5'!$B12)</f>
        <v/>
      </c>
      <c r="B2478">
        <f>IF(A2478="","",'KG1-5'!$C12)</f>
        <v/>
      </c>
      <c r="C2478">
        <f>IF(A2478="","",'KG1-5'!$B$2)</f>
        <v/>
      </c>
      <c r="D2478" s="126">
        <f t="array" ref="D2478">IF(A2478="","",IFERROR(SMALL(IF((('KG1-5'!$AD12:$IM12="غياب بدون عذر")+('KG1-5'!$AD12:$IM12="غياب بعذر"))*('KG1-5'!$AD$7:$IM$7="✓"),'KG1-5'!$AD$5:$IM$5),17),""))</f>
        <v/>
      </c>
      <c r="E2478">
        <f>IF(D2478="","",INDEX('KG1-5'!$AD12:$IM12,MATCH(D2478,'KG1-5'!$AD$5:$IM$5,0)))</f>
        <v/>
      </c>
      <c r="F2478">
        <f>IF(D2478="","",COUNTIFS('KG1-5'!$AD12:$IM12,"غياب بدون عذر",'KG1-5'!$AD$7:$IM$7,"✓",'KG1-5'!$AD$5:$IM$5,"&lt;="&amp;D2478))</f>
        <v/>
      </c>
      <c r="G2478">
        <f>G2477+IF(D2478="",0,1)</f>
        <v/>
      </c>
    </row>
    <row r="2479">
      <c r="A2479">
        <f>IF('KG1-5'!$B12="","",'KG1-5'!$B12)</f>
        <v/>
      </c>
      <c r="B2479">
        <f>IF(A2479="","",'KG1-5'!$C12)</f>
        <v/>
      </c>
      <c r="C2479">
        <f>IF(A2479="","",'KG1-5'!$B$2)</f>
        <v/>
      </c>
      <c r="D2479" s="126">
        <f t="array" ref="D2479">IF(A2479="","",IFERROR(SMALL(IF((('KG1-5'!$AD12:$IM12="غياب بدون عذر")+('KG1-5'!$AD12:$IM12="غياب بعذر"))*('KG1-5'!$AD$7:$IM$7="✓"),'KG1-5'!$AD$5:$IM$5),18),""))</f>
        <v/>
      </c>
      <c r="E2479">
        <f>IF(D2479="","",INDEX('KG1-5'!$AD12:$IM12,MATCH(D2479,'KG1-5'!$AD$5:$IM$5,0)))</f>
        <v/>
      </c>
      <c r="F2479">
        <f>IF(D2479="","",COUNTIFS('KG1-5'!$AD12:$IM12,"غياب بدون عذر",'KG1-5'!$AD$7:$IM$7,"✓",'KG1-5'!$AD$5:$IM$5,"&lt;="&amp;D2479))</f>
        <v/>
      </c>
      <c r="G2479">
        <f>G2478+IF(D2479="",0,1)</f>
        <v/>
      </c>
    </row>
    <row r="2480">
      <c r="A2480">
        <f>IF('KG1-5'!$B12="","",'KG1-5'!$B12)</f>
        <v/>
      </c>
      <c r="B2480">
        <f>IF(A2480="","",'KG1-5'!$C12)</f>
        <v/>
      </c>
      <c r="C2480">
        <f>IF(A2480="","",'KG1-5'!$B$2)</f>
        <v/>
      </c>
      <c r="D2480" s="126">
        <f t="array" ref="D2480">IF(A2480="","",IFERROR(SMALL(IF((('KG1-5'!$AD12:$IM12="غياب بدون عذر")+('KG1-5'!$AD12:$IM12="غياب بعذر"))*('KG1-5'!$AD$7:$IM$7="✓"),'KG1-5'!$AD$5:$IM$5),19),""))</f>
        <v/>
      </c>
      <c r="E2480">
        <f>IF(D2480="","",INDEX('KG1-5'!$AD12:$IM12,MATCH(D2480,'KG1-5'!$AD$5:$IM$5,0)))</f>
        <v/>
      </c>
      <c r="F2480">
        <f>IF(D2480="","",COUNTIFS('KG1-5'!$AD12:$IM12,"غياب بدون عذر",'KG1-5'!$AD$7:$IM$7,"✓",'KG1-5'!$AD$5:$IM$5,"&lt;="&amp;D2480))</f>
        <v/>
      </c>
      <c r="G2480">
        <f>G2479+IF(D2480="",0,1)</f>
        <v/>
      </c>
    </row>
    <row r="2481">
      <c r="A2481">
        <f>IF('KG1-5'!$B12="","",'KG1-5'!$B12)</f>
        <v/>
      </c>
      <c r="B2481">
        <f>IF(A2481="","",'KG1-5'!$C12)</f>
        <v/>
      </c>
      <c r="C2481">
        <f>IF(A2481="","",'KG1-5'!$B$2)</f>
        <v/>
      </c>
      <c r="D2481" s="126">
        <f t="array" ref="D2481">IF(A2481="","",IFERROR(SMALL(IF((('KG1-5'!$AD12:$IM12="غياب بدون عذر")+('KG1-5'!$AD12:$IM12="غياب بعذر"))*('KG1-5'!$AD$7:$IM$7="✓"),'KG1-5'!$AD$5:$IM$5),20),""))</f>
        <v/>
      </c>
      <c r="E2481">
        <f>IF(D2481="","",INDEX('KG1-5'!$AD12:$IM12,MATCH(D2481,'KG1-5'!$AD$5:$IM$5,0)))</f>
        <v/>
      </c>
      <c r="F2481">
        <f>IF(D2481="","",COUNTIFS('KG1-5'!$AD12:$IM12,"غياب بدون عذر",'KG1-5'!$AD$7:$IM$7,"✓",'KG1-5'!$AD$5:$IM$5,"&lt;="&amp;D2481))</f>
        <v/>
      </c>
      <c r="G2481">
        <f>G2480+IF(D2481="",0,1)</f>
        <v/>
      </c>
    </row>
    <row r="2482">
      <c r="A2482">
        <f>IF('KG1-5'!$B13="","",'KG1-5'!$B13)</f>
        <v/>
      </c>
      <c r="B2482">
        <f>IF(A2482="","",'KG1-5'!$C13)</f>
        <v/>
      </c>
      <c r="C2482">
        <f>IF(A2482="","",'KG1-5'!$B$2)</f>
        <v/>
      </c>
      <c r="D2482" s="126">
        <f t="array" ref="D2482">IF(A2482="","",IFERROR(SMALL(IF((('KG1-5'!$AD13:$IM13="غياب بدون عذر")+('KG1-5'!$AD13:$IM13="غياب بعذر"))*('KG1-5'!$AD$7:$IM$7="✓"),'KG1-5'!$AD$5:$IM$5),1),""))</f>
        <v/>
      </c>
      <c r="E2482">
        <f>IF(D2482="","",INDEX('KG1-5'!$AD13:$IM13,MATCH(D2482,'KG1-5'!$AD$5:$IM$5,0)))</f>
        <v/>
      </c>
      <c r="F2482">
        <f>IF(D2482="","",COUNTIFS('KG1-5'!$AD13:$IM13,"غياب بدون عذر",'KG1-5'!$AD$7:$IM$7,"✓",'KG1-5'!$AD$5:$IM$5,"&lt;="&amp;D2482))</f>
        <v/>
      </c>
      <c r="G2482">
        <f>G2481+IF(D2482="",0,1)</f>
        <v/>
      </c>
    </row>
    <row r="2483">
      <c r="A2483">
        <f>IF('KG1-5'!$B13="","",'KG1-5'!$B13)</f>
        <v/>
      </c>
      <c r="B2483">
        <f>IF(A2483="","",'KG1-5'!$C13)</f>
        <v/>
      </c>
      <c r="C2483">
        <f>IF(A2483="","",'KG1-5'!$B$2)</f>
        <v/>
      </c>
      <c r="D2483" s="126">
        <f t="array" ref="D2483">IF(A2483="","",IFERROR(SMALL(IF((('KG1-5'!$AD13:$IM13="غياب بدون عذر")+('KG1-5'!$AD13:$IM13="غياب بعذر"))*('KG1-5'!$AD$7:$IM$7="✓"),'KG1-5'!$AD$5:$IM$5),2),""))</f>
        <v/>
      </c>
      <c r="E2483">
        <f>IF(D2483="","",INDEX('KG1-5'!$AD13:$IM13,MATCH(D2483,'KG1-5'!$AD$5:$IM$5,0)))</f>
        <v/>
      </c>
      <c r="F2483">
        <f>IF(D2483="","",COUNTIFS('KG1-5'!$AD13:$IM13,"غياب بدون عذر",'KG1-5'!$AD$7:$IM$7,"✓",'KG1-5'!$AD$5:$IM$5,"&lt;="&amp;D2483))</f>
        <v/>
      </c>
      <c r="G2483">
        <f>G2482+IF(D2483="",0,1)</f>
        <v/>
      </c>
    </row>
    <row r="2484">
      <c r="A2484">
        <f>IF('KG1-5'!$B13="","",'KG1-5'!$B13)</f>
        <v/>
      </c>
      <c r="B2484">
        <f>IF(A2484="","",'KG1-5'!$C13)</f>
        <v/>
      </c>
      <c r="C2484">
        <f>IF(A2484="","",'KG1-5'!$B$2)</f>
        <v/>
      </c>
      <c r="D2484" s="126">
        <f t="array" ref="D2484">IF(A2484="","",IFERROR(SMALL(IF((('KG1-5'!$AD13:$IM13="غياب بدون عذر")+('KG1-5'!$AD13:$IM13="غياب بعذر"))*('KG1-5'!$AD$7:$IM$7="✓"),'KG1-5'!$AD$5:$IM$5),3),""))</f>
        <v/>
      </c>
      <c r="E2484">
        <f>IF(D2484="","",INDEX('KG1-5'!$AD13:$IM13,MATCH(D2484,'KG1-5'!$AD$5:$IM$5,0)))</f>
        <v/>
      </c>
      <c r="F2484">
        <f>IF(D2484="","",COUNTIFS('KG1-5'!$AD13:$IM13,"غياب بدون عذر",'KG1-5'!$AD$7:$IM$7,"✓",'KG1-5'!$AD$5:$IM$5,"&lt;="&amp;D2484))</f>
        <v/>
      </c>
      <c r="G2484">
        <f>G2483+IF(D2484="",0,1)</f>
        <v/>
      </c>
    </row>
    <row r="2485">
      <c r="A2485">
        <f>IF('KG1-5'!$B13="","",'KG1-5'!$B13)</f>
        <v/>
      </c>
      <c r="B2485">
        <f>IF(A2485="","",'KG1-5'!$C13)</f>
        <v/>
      </c>
      <c r="C2485">
        <f>IF(A2485="","",'KG1-5'!$B$2)</f>
        <v/>
      </c>
      <c r="D2485" s="126">
        <f t="array" ref="D2485">IF(A2485="","",IFERROR(SMALL(IF((('KG1-5'!$AD13:$IM13="غياب بدون عذر")+('KG1-5'!$AD13:$IM13="غياب بعذر"))*('KG1-5'!$AD$7:$IM$7="✓"),'KG1-5'!$AD$5:$IM$5),4),""))</f>
        <v/>
      </c>
      <c r="E2485">
        <f>IF(D2485="","",INDEX('KG1-5'!$AD13:$IM13,MATCH(D2485,'KG1-5'!$AD$5:$IM$5,0)))</f>
        <v/>
      </c>
      <c r="F2485">
        <f>IF(D2485="","",COUNTIFS('KG1-5'!$AD13:$IM13,"غياب بدون عذر",'KG1-5'!$AD$7:$IM$7,"✓",'KG1-5'!$AD$5:$IM$5,"&lt;="&amp;D2485))</f>
        <v/>
      </c>
      <c r="G2485">
        <f>G2484+IF(D2485="",0,1)</f>
        <v/>
      </c>
    </row>
    <row r="2486">
      <c r="A2486">
        <f>IF('KG1-5'!$B13="","",'KG1-5'!$B13)</f>
        <v/>
      </c>
      <c r="B2486">
        <f>IF(A2486="","",'KG1-5'!$C13)</f>
        <v/>
      </c>
      <c r="C2486">
        <f>IF(A2486="","",'KG1-5'!$B$2)</f>
        <v/>
      </c>
      <c r="D2486" s="126">
        <f t="array" ref="D2486">IF(A2486="","",IFERROR(SMALL(IF((('KG1-5'!$AD13:$IM13="غياب بدون عذر")+('KG1-5'!$AD13:$IM13="غياب بعذر"))*('KG1-5'!$AD$7:$IM$7="✓"),'KG1-5'!$AD$5:$IM$5),5),""))</f>
        <v/>
      </c>
      <c r="E2486">
        <f>IF(D2486="","",INDEX('KG1-5'!$AD13:$IM13,MATCH(D2486,'KG1-5'!$AD$5:$IM$5,0)))</f>
        <v/>
      </c>
      <c r="F2486">
        <f>IF(D2486="","",COUNTIFS('KG1-5'!$AD13:$IM13,"غياب بدون عذر",'KG1-5'!$AD$7:$IM$7,"✓",'KG1-5'!$AD$5:$IM$5,"&lt;="&amp;D2486))</f>
        <v/>
      </c>
      <c r="G2486">
        <f>G2485+IF(D2486="",0,1)</f>
        <v/>
      </c>
    </row>
    <row r="2487">
      <c r="A2487">
        <f>IF('KG1-5'!$B13="","",'KG1-5'!$B13)</f>
        <v/>
      </c>
      <c r="B2487">
        <f>IF(A2487="","",'KG1-5'!$C13)</f>
        <v/>
      </c>
      <c r="C2487">
        <f>IF(A2487="","",'KG1-5'!$B$2)</f>
        <v/>
      </c>
      <c r="D2487" s="126">
        <f t="array" ref="D2487">IF(A2487="","",IFERROR(SMALL(IF((('KG1-5'!$AD13:$IM13="غياب بدون عذر")+('KG1-5'!$AD13:$IM13="غياب بعذر"))*('KG1-5'!$AD$7:$IM$7="✓"),'KG1-5'!$AD$5:$IM$5),6),""))</f>
        <v/>
      </c>
      <c r="E2487">
        <f>IF(D2487="","",INDEX('KG1-5'!$AD13:$IM13,MATCH(D2487,'KG1-5'!$AD$5:$IM$5,0)))</f>
        <v/>
      </c>
      <c r="F2487">
        <f>IF(D2487="","",COUNTIFS('KG1-5'!$AD13:$IM13,"غياب بدون عذر",'KG1-5'!$AD$7:$IM$7,"✓",'KG1-5'!$AD$5:$IM$5,"&lt;="&amp;D2487))</f>
        <v/>
      </c>
      <c r="G2487">
        <f>G2486+IF(D2487="",0,1)</f>
        <v/>
      </c>
    </row>
    <row r="2488">
      <c r="A2488">
        <f>IF('KG1-5'!$B13="","",'KG1-5'!$B13)</f>
        <v/>
      </c>
      <c r="B2488">
        <f>IF(A2488="","",'KG1-5'!$C13)</f>
        <v/>
      </c>
      <c r="C2488">
        <f>IF(A2488="","",'KG1-5'!$B$2)</f>
        <v/>
      </c>
      <c r="D2488" s="126">
        <f t="array" ref="D2488">IF(A2488="","",IFERROR(SMALL(IF((('KG1-5'!$AD13:$IM13="غياب بدون عذر")+('KG1-5'!$AD13:$IM13="غياب بعذر"))*('KG1-5'!$AD$7:$IM$7="✓"),'KG1-5'!$AD$5:$IM$5),7),""))</f>
        <v/>
      </c>
      <c r="E2488">
        <f>IF(D2488="","",INDEX('KG1-5'!$AD13:$IM13,MATCH(D2488,'KG1-5'!$AD$5:$IM$5,0)))</f>
        <v/>
      </c>
      <c r="F2488">
        <f>IF(D2488="","",COUNTIFS('KG1-5'!$AD13:$IM13,"غياب بدون عذر",'KG1-5'!$AD$7:$IM$7,"✓",'KG1-5'!$AD$5:$IM$5,"&lt;="&amp;D2488))</f>
        <v/>
      </c>
      <c r="G2488">
        <f>G2487+IF(D2488="",0,1)</f>
        <v/>
      </c>
    </row>
    <row r="2489">
      <c r="A2489">
        <f>IF('KG1-5'!$B13="","",'KG1-5'!$B13)</f>
        <v/>
      </c>
      <c r="B2489">
        <f>IF(A2489="","",'KG1-5'!$C13)</f>
        <v/>
      </c>
      <c r="C2489">
        <f>IF(A2489="","",'KG1-5'!$B$2)</f>
        <v/>
      </c>
      <c r="D2489" s="126">
        <f t="array" ref="D2489">IF(A2489="","",IFERROR(SMALL(IF((('KG1-5'!$AD13:$IM13="غياب بدون عذر")+('KG1-5'!$AD13:$IM13="غياب بعذر"))*('KG1-5'!$AD$7:$IM$7="✓"),'KG1-5'!$AD$5:$IM$5),8),""))</f>
        <v/>
      </c>
      <c r="E2489">
        <f>IF(D2489="","",INDEX('KG1-5'!$AD13:$IM13,MATCH(D2489,'KG1-5'!$AD$5:$IM$5,0)))</f>
        <v/>
      </c>
      <c r="F2489">
        <f>IF(D2489="","",COUNTIFS('KG1-5'!$AD13:$IM13,"غياب بدون عذر",'KG1-5'!$AD$7:$IM$7,"✓",'KG1-5'!$AD$5:$IM$5,"&lt;="&amp;D2489))</f>
        <v/>
      </c>
      <c r="G2489">
        <f>G2488+IF(D2489="",0,1)</f>
        <v/>
      </c>
    </row>
    <row r="2490">
      <c r="A2490">
        <f>IF('KG1-5'!$B13="","",'KG1-5'!$B13)</f>
        <v/>
      </c>
      <c r="B2490">
        <f>IF(A2490="","",'KG1-5'!$C13)</f>
        <v/>
      </c>
      <c r="C2490">
        <f>IF(A2490="","",'KG1-5'!$B$2)</f>
        <v/>
      </c>
      <c r="D2490" s="126">
        <f t="array" ref="D2490">IF(A2490="","",IFERROR(SMALL(IF((('KG1-5'!$AD13:$IM13="غياب بدون عذر")+('KG1-5'!$AD13:$IM13="غياب بعذر"))*('KG1-5'!$AD$7:$IM$7="✓"),'KG1-5'!$AD$5:$IM$5),9),""))</f>
        <v/>
      </c>
      <c r="E2490">
        <f>IF(D2490="","",INDEX('KG1-5'!$AD13:$IM13,MATCH(D2490,'KG1-5'!$AD$5:$IM$5,0)))</f>
        <v/>
      </c>
      <c r="F2490">
        <f>IF(D2490="","",COUNTIFS('KG1-5'!$AD13:$IM13,"غياب بدون عذر",'KG1-5'!$AD$7:$IM$7,"✓",'KG1-5'!$AD$5:$IM$5,"&lt;="&amp;D2490))</f>
        <v/>
      </c>
      <c r="G2490">
        <f>G2489+IF(D2490="",0,1)</f>
        <v/>
      </c>
    </row>
    <row r="2491">
      <c r="A2491">
        <f>IF('KG1-5'!$B13="","",'KG1-5'!$B13)</f>
        <v/>
      </c>
      <c r="B2491">
        <f>IF(A2491="","",'KG1-5'!$C13)</f>
        <v/>
      </c>
      <c r="C2491">
        <f>IF(A2491="","",'KG1-5'!$B$2)</f>
        <v/>
      </c>
      <c r="D2491" s="126">
        <f t="array" ref="D2491">IF(A2491="","",IFERROR(SMALL(IF((('KG1-5'!$AD13:$IM13="غياب بدون عذر")+('KG1-5'!$AD13:$IM13="غياب بعذر"))*('KG1-5'!$AD$7:$IM$7="✓"),'KG1-5'!$AD$5:$IM$5),10),""))</f>
        <v/>
      </c>
      <c r="E2491">
        <f>IF(D2491="","",INDEX('KG1-5'!$AD13:$IM13,MATCH(D2491,'KG1-5'!$AD$5:$IM$5,0)))</f>
        <v/>
      </c>
      <c r="F2491">
        <f>IF(D2491="","",COUNTIFS('KG1-5'!$AD13:$IM13,"غياب بدون عذر",'KG1-5'!$AD$7:$IM$7,"✓",'KG1-5'!$AD$5:$IM$5,"&lt;="&amp;D2491))</f>
        <v/>
      </c>
      <c r="G2491">
        <f>G2490+IF(D2491="",0,1)</f>
        <v/>
      </c>
    </row>
    <row r="2492">
      <c r="A2492">
        <f>IF('KG1-5'!$B13="","",'KG1-5'!$B13)</f>
        <v/>
      </c>
      <c r="B2492">
        <f>IF(A2492="","",'KG1-5'!$C13)</f>
        <v/>
      </c>
      <c r="C2492">
        <f>IF(A2492="","",'KG1-5'!$B$2)</f>
        <v/>
      </c>
      <c r="D2492" s="126">
        <f t="array" ref="D2492">IF(A2492="","",IFERROR(SMALL(IF((('KG1-5'!$AD13:$IM13="غياب بدون عذر")+('KG1-5'!$AD13:$IM13="غياب بعذر"))*('KG1-5'!$AD$7:$IM$7="✓"),'KG1-5'!$AD$5:$IM$5),11),""))</f>
        <v/>
      </c>
      <c r="E2492">
        <f>IF(D2492="","",INDEX('KG1-5'!$AD13:$IM13,MATCH(D2492,'KG1-5'!$AD$5:$IM$5,0)))</f>
        <v/>
      </c>
      <c r="F2492">
        <f>IF(D2492="","",COUNTIFS('KG1-5'!$AD13:$IM13,"غياب بدون عذر",'KG1-5'!$AD$7:$IM$7,"✓",'KG1-5'!$AD$5:$IM$5,"&lt;="&amp;D2492))</f>
        <v/>
      </c>
      <c r="G2492">
        <f>G2491+IF(D2492="",0,1)</f>
        <v/>
      </c>
    </row>
    <row r="2493">
      <c r="A2493">
        <f>IF('KG1-5'!$B13="","",'KG1-5'!$B13)</f>
        <v/>
      </c>
      <c r="B2493">
        <f>IF(A2493="","",'KG1-5'!$C13)</f>
        <v/>
      </c>
      <c r="C2493">
        <f>IF(A2493="","",'KG1-5'!$B$2)</f>
        <v/>
      </c>
      <c r="D2493" s="126">
        <f t="array" ref="D2493">IF(A2493="","",IFERROR(SMALL(IF((('KG1-5'!$AD13:$IM13="غياب بدون عذر")+('KG1-5'!$AD13:$IM13="غياب بعذر"))*('KG1-5'!$AD$7:$IM$7="✓"),'KG1-5'!$AD$5:$IM$5),12),""))</f>
        <v/>
      </c>
      <c r="E2493">
        <f>IF(D2493="","",INDEX('KG1-5'!$AD13:$IM13,MATCH(D2493,'KG1-5'!$AD$5:$IM$5,0)))</f>
        <v/>
      </c>
      <c r="F2493">
        <f>IF(D2493="","",COUNTIFS('KG1-5'!$AD13:$IM13,"غياب بدون عذر",'KG1-5'!$AD$7:$IM$7,"✓",'KG1-5'!$AD$5:$IM$5,"&lt;="&amp;D2493))</f>
        <v/>
      </c>
      <c r="G2493">
        <f>G2492+IF(D2493="",0,1)</f>
        <v/>
      </c>
    </row>
    <row r="2494">
      <c r="A2494">
        <f>IF('KG1-5'!$B13="","",'KG1-5'!$B13)</f>
        <v/>
      </c>
      <c r="B2494">
        <f>IF(A2494="","",'KG1-5'!$C13)</f>
        <v/>
      </c>
      <c r="C2494">
        <f>IF(A2494="","",'KG1-5'!$B$2)</f>
        <v/>
      </c>
      <c r="D2494" s="126">
        <f t="array" ref="D2494">IF(A2494="","",IFERROR(SMALL(IF((('KG1-5'!$AD13:$IM13="غياب بدون عذر")+('KG1-5'!$AD13:$IM13="غياب بعذر"))*('KG1-5'!$AD$7:$IM$7="✓"),'KG1-5'!$AD$5:$IM$5),13),""))</f>
        <v/>
      </c>
      <c r="E2494">
        <f>IF(D2494="","",INDEX('KG1-5'!$AD13:$IM13,MATCH(D2494,'KG1-5'!$AD$5:$IM$5,0)))</f>
        <v/>
      </c>
      <c r="F2494">
        <f>IF(D2494="","",COUNTIFS('KG1-5'!$AD13:$IM13,"غياب بدون عذر",'KG1-5'!$AD$7:$IM$7,"✓",'KG1-5'!$AD$5:$IM$5,"&lt;="&amp;D2494))</f>
        <v/>
      </c>
      <c r="G2494">
        <f>G2493+IF(D2494="",0,1)</f>
        <v/>
      </c>
    </row>
    <row r="2495">
      <c r="A2495">
        <f>IF('KG1-5'!$B13="","",'KG1-5'!$B13)</f>
        <v/>
      </c>
      <c r="B2495">
        <f>IF(A2495="","",'KG1-5'!$C13)</f>
        <v/>
      </c>
      <c r="C2495">
        <f>IF(A2495="","",'KG1-5'!$B$2)</f>
        <v/>
      </c>
      <c r="D2495" s="126">
        <f t="array" ref="D2495">IF(A2495="","",IFERROR(SMALL(IF((('KG1-5'!$AD13:$IM13="غياب بدون عذر")+('KG1-5'!$AD13:$IM13="غياب بعذر"))*('KG1-5'!$AD$7:$IM$7="✓"),'KG1-5'!$AD$5:$IM$5),14),""))</f>
        <v/>
      </c>
      <c r="E2495">
        <f>IF(D2495="","",INDEX('KG1-5'!$AD13:$IM13,MATCH(D2495,'KG1-5'!$AD$5:$IM$5,0)))</f>
        <v/>
      </c>
      <c r="F2495">
        <f>IF(D2495="","",COUNTIFS('KG1-5'!$AD13:$IM13,"غياب بدون عذر",'KG1-5'!$AD$7:$IM$7,"✓",'KG1-5'!$AD$5:$IM$5,"&lt;="&amp;D2495))</f>
        <v/>
      </c>
      <c r="G2495">
        <f>G2494+IF(D2495="",0,1)</f>
        <v/>
      </c>
    </row>
    <row r="2496">
      <c r="A2496">
        <f>IF('KG1-5'!$B13="","",'KG1-5'!$B13)</f>
        <v/>
      </c>
      <c r="B2496">
        <f>IF(A2496="","",'KG1-5'!$C13)</f>
        <v/>
      </c>
      <c r="C2496">
        <f>IF(A2496="","",'KG1-5'!$B$2)</f>
        <v/>
      </c>
      <c r="D2496" s="126">
        <f t="array" ref="D2496">IF(A2496="","",IFERROR(SMALL(IF((('KG1-5'!$AD13:$IM13="غياب بدون عذر")+('KG1-5'!$AD13:$IM13="غياب بعذر"))*('KG1-5'!$AD$7:$IM$7="✓"),'KG1-5'!$AD$5:$IM$5),15),""))</f>
        <v/>
      </c>
      <c r="E2496">
        <f>IF(D2496="","",INDEX('KG1-5'!$AD13:$IM13,MATCH(D2496,'KG1-5'!$AD$5:$IM$5,0)))</f>
        <v/>
      </c>
      <c r="F2496">
        <f>IF(D2496="","",COUNTIFS('KG1-5'!$AD13:$IM13,"غياب بدون عذر",'KG1-5'!$AD$7:$IM$7,"✓",'KG1-5'!$AD$5:$IM$5,"&lt;="&amp;D2496))</f>
        <v/>
      </c>
      <c r="G2496">
        <f>G2495+IF(D2496="",0,1)</f>
        <v/>
      </c>
    </row>
    <row r="2497">
      <c r="A2497">
        <f>IF('KG1-5'!$B13="","",'KG1-5'!$B13)</f>
        <v/>
      </c>
      <c r="B2497">
        <f>IF(A2497="","",'KG1-5'!$C13)</f>
        <v/>
      </c>
      <c r="C2497">
        <f>IF(A2497="","",'KG1-5'!$B$2)</f>
        <v/>
      </c>
      <c r="D2497" s="126">
        <f t="array" ref="D2497">IF(A2497="","",IFERROR(SMALL(IF((('KG1-5'!$AD13:$IM13="غياب بدون عذر")+('KG1-5'!$AD13:$IM13="غياب بعذر"))*('KG1-5'!$AD$7:$IM$7="✓"),'KG1-5'!$AD$5:$IM$5),16),""))</f>
        <v/>
      </c>
      <c r="E2497">
        <f>IF(D2497="","",INDEX('KG1-5'!$AD13:$IM13,MATCH(D2497,'KG1-5'!$AD$5:$IM$5,0)))</f>
        <v/>
      </c>
      <c r="F2497">
        <f>IF(D2497="","",COUNTIFS('KG1-5'!$AD13:$IM13,"غياب بدون عذر",'KG1-5'!$AD$7:$IM$7,"✓",'KG1-5'!$AD$5:$IM$5,"&lt;="&amp;D2497))</f>
        <v/>
      </c>
      <c r="G2497">
        <f>G2496+IF(D2497="",0,1)</f>
        <v/>
      </c>
    </row>
    <row r="2498">
      <c r="A2498">
        <f>IF('KG1-5'!$B13="","",'KG1-5'!$B13)</f>
        <v/>
      </c>
      <c r="B2498">
        <f>IF(A2498="","",'KG1-5'!$C13)</f>
        <v/>
      </c>
      <c r="C2498">
        <f>IF(A2498="","",'KG1-5'!$B$2)</f>
        <v/>
      </c>
      <c r="D2498" s="126">
        <f t="array" ref="D2498">IF(A2498="","",IFERROR(SMALL(IF((('KG1-5'!$AD13:$IM13="غياب بدون عذر")+('KG1-5'!$AD13:$IM13="غياب بعذر"))*('KG1-5'!$AD$7:$IM$7="✓"),'KG1-5'!$AD$5:$IM$5),17),""))</f>
        <v/>
      </c>
      <c r="E2498">
        <f>IF(D2498="","",INDEX('KG1-5'!$AD13:$IM13,MATCH(D2498,'KG1-5'!$AD$5:$IM$5,0)))</f>
        <v/>
      </c>
      <c r="F2498">
        <f>IF(D2498="","",COUNTIFS('KG1-5'!$AD13:$IM13,"غياب بدون عذر",'KG1-5'!$AD$7:$IM$7,"✓",'KG1-5'!$AD$5:$IM$5,"&lt;="&amp;D2498))</f>
        <v/>
      </c>
      <c r="G2498">
        <f>G2497+IF(D2498="",0,1)</f>
        <v/>
      </c>
    </row>
    <row r="2499">
      <c r="A2499">
        <f>IF('KG1-5'!$B13="","",'KG1-5'!$B13)</f>
        <v/>
      </c>
      <c r="B2499">
        <f>IF(A2499="","",'KG1-5'!$C13)</f>
        <v/>
      </c>
      <c r="C2499">
        <f>IF(A2499="","",'KG1-5'!$B$2)</f>
        <v/>
      </c>
      <c r="D2499" s="126">
        <f t="array" ref="D2499">IF(A2499="","",IFERROR(SMALL(IF((('KG1-5'!$AD13:$IM13="غياب بدون عذر")+('KG1-5'!$AD13:$IM13="غياب بعذر"))*('KG1-5'!$AD$7:$IM$7="✓"),'KG1-5'!$AD$5:$IM$5),18),""))</f>
        <v/>
      </c>
      <c r="E2499">
        <f>IF(D2499="","",INDEX('KG1-5'!$AD13:$IM13,MATCH(D2499,'KG1-5'!$AD$5:$IM$5,0)))</f>
        <v/>
      </c>
      <c r="F2499">
        <f>IF(D2499="","",COUNTIFS('KG1-5'!$AD13:$IM13,"غياب بدون عذر",'KG1-5'!$AD$7:$IM$7,"✓",'KG1-5'!$AD$5:$IM$5,"&lt;="&amp;D2499))</f>
        <v/>
      </c>
      <c r="G2499">
        <f>G2498+IF(D2499="",0,1)</f>
        <v/>
      </c>
    </row>
    <row r="2500">
      <c r="A2500">
        <f>IF('KG1-5'!$B13="","",'KG1-5'!$B13)</f>
        <v/>
      </c>
      <c r="B2500">
        <f>IF(A2500="","",'KG1-5'!$C13)</f>
        <v/>
      </c>
      <c r="C2500">
        <f>IF(A2500="","",'KG1-5'!$B$2)</f>
        <v/>
      </c>
      <c r="D2500" s="126">
        <f t="array" ref="D2500">IF(A2500="","",IFERROR(SMALL(IF((('KG1-5'!$AD13:$IM13="غياب بدون عذر")+('KG1-5'!$AD13:$IM13="غياب بعذر"))*('KG1-5'!$AD$7:$IM$7="✓"),'KG1-5'!$AD$5:$IM$5),19),""))</f>
        <v/>
      </c>
      <c r="E2500">
        <f>IF(D2500="","",INDEX('KG1-5'!$AD13:$IM13,MATCH(D2500,'KG1-5'!$AD$5:$IM$5,0)))</f>
        <v/>
      </c>
      <c r="F2500">
        <f>IF(D2500="","",COUNTIFS('KG1-5'!$AD13:$IM13,"غياب بدون عذر",'KG1-5'!$AD$7:$IM$7,"✓",'KG1-5'!$AD$5:$IM$5,"&lt;="&amp;D2500))</f>
        <v/>
      </c>
      <c r="G2500">
        <f>G2499+IF(D2500="",0,1)</f>
        <v/>
      </c>
    </row>
    <row r="2501">
      <c r="A2501">
        <f>IF('KG1-5'!$B13="","",'KG1-5'!$B13)</f>
        <v/>
      </c>
      <c r="B2501">
        <f>IF(A2501="","",'KG1-5'!$C13)</f>
        <v/>
      </c>
      <c r="C2501">
        <f>IF(A2501="","",'KG1-5'!$B$2)</f>
        <v/>
      </c>
      <c r="D2501" s="126">
        <f t="array" ref="D2501">IF(A2501="","",IFERROR(SMALL(IF((('KG1-5'!$AD13:$IM13="غياب بدون عذر")+('KG1-5'!$AD13:$IM13="غياب بعذر"))*('KG1-5'!$AD$7:$IM$7="✓"),'KG1-5'!$AD$5:$IM$5),20),""))</f>
        <v/>
      </c>
      <c r="E2501">
        <f>IF(D2501="","",INDEX('KG1-5'!$AD13:$IM13,MATCH(D2501,'KG1-5'!$AD$5:$IM$5,0)))</f>
        <v/>
      </c>
      <c r="F2501">
        <f>IF(D2501="","",COUNTIFS('KG1-5'!$AD13:$IM13,"غياب بدون عذر",'KG1-5'!$AD$7:$IM$7,"✓",'KG1-5'!$AD$5:$IM$5,"&lt;="&amp;D2501))</f>
        <v/>
      </c>
      <c r="G2501">
        <f>G2500+IF(D2501="",0,1)</f>
        <v/>
      </c>
    </row>
    <row r="2502">
      <c r="A2502">
        <f>IF('KG1-5'!$B14="","",'KG1-5'!$B14)</f>
        <v/>
      </c>
      <c r="B2502">
        <f>IF(A2502="","",'KG1-5'!$C14)</f>
        <v/>
      </c>
      <c r="C2502">
        <f>IF(A2502="","",'KG1-5'!$B$2)</f>
        <v/>
      </c>
      <c r="D2502" s="126">
        <f t="array" ref="D2502">IF(A2502="","",IFERROR(SMALL(IF((('KG1-5'!$AD14:$IM14="غياب بدون عذر")+('KG1-5'!$AD14:$IM14="غياب بعذر"))*('KG1-5'!$AD$7:$IM$7="✓"),'KG1-5'!$AD$5:$IM$5),1),""))</f>
        <v/>
      </c>
      <c r="E2502">
        <f>IF(D2502="","",INDEX('KG1-5'!$AD14:$IM14,MATCH(D2502,'KG1-5'!$AD$5:$IM$5,0)))</f>
        <v/>
      </c>
      <c r="F2502">
        <f>IF(D2502="","",COUNTIFS('KG1-5'!$AD14:$IM14,"غياب بدون عذر",'KG1-5'!$AD$7:$IM$7,"✓",'KG1-5'!$AD$5:$IM$5,"&lt;="&amp;D2502))</f>
        <v/>
      </c>
      <c r="G2502">
        <f>G2501+IF(D2502="",0,1)</f>
        <v/>
      </c>
    </row>
    <row r="2503">
      <c r="A2503">
        <f>IF('KG1-5'!$B14="","",'KG1-5'!$B14)</f>
        <v/>
      </c>
      <c r="B2503">
        <f>IF(A2503="","",'KG1-5'!$C14)</f>
        <v/>
      </c>
      <c r="C2503">
        <f>IF(A2503="","",'KG1-5'!$B$2)</f>
        <v/>
      </c>
      <c r="D2503" s="126">
        <f t="array" ref="D2503">IF(A2503="","",IFERROR(SMALL(IF((('KG1-5'!$AD14:$IM14="غياب بدون عذر")+('KG1-5'!$AD14:$IM14="غياب بعذر"))*('KG1-5'!$AD$7:$IM$7="✓"),'KG1-5'!$AD$5:$IM$5),2),""))</f>
        <v/>
      </c>
      <c r="E2503">
        <f>IF(D2503="","",INDEX('KG1-5'!$AD14:$IM14,MATCH(D2503,'KG1-5'!$AD$5:$IM$5,0)))</f>
        <v/>
      </c>
      <c r="F2503">
        <f>IF(D2503="","",COUNTIFS('KG1-5'!$AD14:$IM14,"غياب بدون عذر",'KG1-5'!$AD$7:$IM$7,"✓",'KG1-5'!$AD$5:$IM$5,"&lt;="&amp;D2503))</f>
        <v/>
      </c>
      <c r="G2503">
        <f>G2502+IF(D2503="",0,1)</f>
        <v/>
      </c>
    </row>
    <row r="2504">
      <c r="A2504">
        <f>IF('KG1-5'!$B14="","",'KG1-5'!$B14)</f>
        <v/>
      </c>
      <c r="B2504">
        <f>IF(A2504="","",'KG1-5'!$C14)</f>
        <v/>
      </c>
      <c r="C2504">
        <f>IF(A2504="","",'KG1-5'!$B$2)</f>
        <v/>
      </c>
      <c r="D2504" s="126">
        <f t="array" ref="D2504">IF(A2504="","",IFERROR(SMALL(IF((('KG1-5'!$AD14:$IM14="غياب بدون عذر")+('KG1-5'!$AD14:$IM14="غياب بعذر"))*('KG1-5'!$AD$7:$IM$7="✓"),'KG1-5'!$AD$5:$IM$5),3),""))</f>
        <v/>
      </c>
      <c r="E2504">
        <f>IF(D2504="","",INDEX('KG1-5'!$AD14:$IM14,MATCH(D2504,'KG1-5'!$AD$5:$IM$5,0)))</f>
        <v/>
      </c>
      <c r="F2504">
        <f>IF(D2504="","",COUNTIFS('KG1-5'!$AD14:$IM14,"غياب بدون عذر",'KG1-5'!$AD$7:$IM$7,"✓",'KG1-5'!$AD$5:$IM$5,"&lt;="&amp;D2504))</f>
        <v/>
      </c>
      <c r="G2504">
        <f>G2503+IF(D2504="",0,1)</f>
        <v/>
      </c>
    </row>
    <row r="2505">
      <c r="A2505">
        <f>IF('KG1-5'!$B14="","",'KG1-5'!$B14)</f>
        <v/>
      </c>
      <c r="B2505">
        <f>IF(A2505="","",'KG1-5'!$C14)</f>
        <v/>
      </c>
      <c r="C2505">
        <f>IF(A2505="","",'KG1-5'!$B$2)</f>
        <v/>
      </c>
      <c r="D2505" s="126">
        <f t="array" ref="D2505">IF(A2505="","",IFERROR(SMALL(IF((('KG1-5'!$AD14:$IM14="غياب بدون عذر")+('KG1-5'!$AD14:$IM14="غياب بعذر"))*('KG1-5'!$AD$7:$IM$7="✓"),'KG1-5'!$AD$5:$IM$5),4),""))</f>
        <v/>
      </c>
      <c r="E2505">
        <f>IF(D2505="","",INDEX('KG1-5'!$AD14:$IM14,MATCH(D2505,'KG1-5'!$AD$5:$IM$5,0)))</f>
        <v/>
      </c>
      <c r="F2505">
        <f>IF(D2505="","",COUNTIFS('KG1-5'!$AD14:$IM14,"غياب بدون عذر",'KG1-5'!$AD$7:$IM$7,"✓",'KG1-5'!$AD$5:$IM$5,"&lt;="&amp;D2505))</f>
        <v/>
      </c>
      <c r="G2505">
        <f>G2504+IF(D2505="",0,1)</f>
        <v/>
      </c>
    </row>
    <row r="2506">
      <c r="A2506">
        <f>IF('KG1-5'!$B14="","",'KG1-5'!$B14)</f>
        <v/>
      </c>
      <c r="B2506">
        <f>IF(A2506="","",'KG1-5'!$C14)</f>
        <v/>
      </c>
      <c r="C2506">
        <f>IF(A2506="","",'KG1-5'!$B$2)</f>
        <v/>
      </c>
      <c r="D2506" s="126">
        <f t="array" ref="D2506">IF(A2506="","",IFERROR(SMALL(IF((('KG1-5'!$AD14:$IM14="غياب بدون عذر")+('KG1-5'!$AD14:$IM14="غياب بعذر"))*('KG1-5'!$AD$7:$IM$7="✓"),'KG1-5'!$AD$5:$IM$5),5),""))</f>
        <v/>
      </c>
      <c r="E2506">
        <f>IF(D2506="","",INDEX('KG1-5'!$AD14:$IM14,MATCH(D2506,'KG1-5'!$AD$5:$IM$5,0)))</f>
        <v/>
      </c>
      <c r="F2506">
        <f>IF(D2506="","",COUNTIFS('KG1-5'!$AD14:$IM14,"غياب بدون عذر",'KG1-5'!$AD$7:$IM$7,"✓",'KG1-5'!$AD$5:$IM$5,"&lt;="&amp;D2506))</f>
        <v/>
      </c>
      <c r="G2506">
        <f>G2505+IF(D2506="",0,1)</f>
        <v/>
      </c>
    </row>
    <row r="2507">
      <c r="A2507">
        <f>IF('KG1-5'!$B14="","",'KG1-5'!$B14)</f>
        <v/>
      </c>
      <c r="B2507">
        <f>IF(A2507="","",'KG1-5'!$C14)</f>
        <v/>
      </c>
      <c r="C2507">
        <f>IF(A2507="","",'KG1-5'!$B$2)</f>
        <v/>
      </c>
      <c r="D2507" s="126">
        <f t="array" ref="D2507">IF(A2507="","",IFERROR(SMALL(IF((('KG1-5'!$AD14:$IM14="غياب بدون عذر")+('KG1-5'!$AD14:$IM14="غياب بعذر"))*('KG1-5'!$AD$7:$IM$7="✓"),'KG1-5'!$AD$5:$IM$5),6),""))</f>
        <v/>
      </c>
      <c r="E2507">
        <f>IF(D2507="","",INDEX('KG1-5'!$AD14:$IM14,MATCH(D2507,'KG1-5'!$AD$5:$IM$5,0)))</f>
        <v/>
      </c>
      <c r="F2507">
        <f>IF(D2507="","",COUNTIFS('KG1-5'!$AD14:$IM14,"غياب بدون عذر",'KG1-5'!$AD$7:$IM$7,"✓",'KG1-5'!$AD$5:$IM$5,"&lt;="&amp;D2507))</f>
        <v/>
      </c>
      <c r="G2507">
        <f>G2506+IF(D2507="",0,1)</f>
        <v/>
      </c>
    </row>
    <row r="2508">
      <c r="A2508">
        <f>IF('KG1-5'!$B14="","",'KG1-5'!$B14)</f>
        <v/>
      </c>
      <c r="B2508">
        <f>IF(A2508="","",'KG1-5'!$C14)</f>
        <v/>
      </c>
      <c r="C2508">
        <f>IF(A2508="","",'KG1-5'!$B$2)</f>
        <v/>
      </c>
      <c r="D2508" s="126">
        <f t="array" ref="D2508">IF(A2508="","",IFERROR(SMALL(IF((('KG1-5'!$AD14:$IM14="غياب بدون عذر")+('KG1-5'!$AD14:$IM14="غياب بعذر"))*('KG1-5'!$AD$7:$IM$7="✓"),'KG1-5'!$AD$5:$IM$5),7),""))</f>
        <v/>
      </c>
      <c r="E2508">
        <f>IF(D2508="","",INDEX('KG1-5'!$AD14:$IM14,MATCH(D2508,'KG1-5'!$AD$5:$IM$5,0)))</f>
        <v/>
      </c>
      <c r="F2508">
        <f>IF(D2508="","",COUNTIFS('KG1-5'!$AD14:$IM14,"غياب بدون عذر",'KG1-5'!$AD$7:$IM$7,"✓",'KG1-5'!$AD$5:$IM$5,"&lt;="&amp;D2508))</f>
        <v/>
      </c>
      <c r="G2508">
        <f>G2507+IF(D2508="",0,1)</f>
        <v/>
      </c>
    </row>
    <row r="2509">
      <c r="A2509">
        <f>IF('KG1-5'!$B14="","",'KG1-5'!$B14)</f>
        <v/>
      </c>
      <c r="B2509">
        <f>IF(A2509="","",'KG1-5'!$C14)</f>
        <v/>
      </c>
      <c r="C2509">
        <f>IF(A2509="","",'KG1-5'!$B$2)</f>
        <v/>
      </c>
      <c r="D2509" s="126">
        <f t="array" ref="D2509">IF(A2509="","",IFERROR(SMALL(IF((('KG1-5'!$AD14:$IM14="غياب بدون عذر")+('KG1-5'!$AD14:$IM14="غياب بعذر"))*('KG1-5'!$AD$7:$IM$7="✓"),'KG1-5'!$AD$5:$IM$5),8),""))</f>
        <v/>
      </c>
      <c r="E2509">
        <f>IF(D2509="","",INDEX('KG1-5'!$AD14:$IM14,MATCH(D2509,'KG1-5'!$AD$5:$IM$5,0)))</f>
        <v/>
      </c>
      <c r="F2509">
        <f>IF(D2509="","",COUNTIFS('KG1-5'!$AD14:$IM14,"غياب بدون عذر",'KG1-5'!$AD$7:$IM$7,"✓",'KG1-5'!$AD$5:$IM$5,"&lt;="&amp;D2509))</f>
        <v/>
      </c>
      <c r="G2509">
        <f>G2508+IF(D2509="",0,1)</f>
        <v/>
      </c>
    </row>
    <row r="2510">
      <c r="A2510">
        <f>IF('KG1-5'!$B14="","",'KG1-5'!$B14)</f>
        <v/>
      </c>
      <c r="B2510">
        <f>IF(A2510="","",'KG1-5'!$C14)</f>
        <v/>
      </c>
      <c r="C2510">
        <f>IF(A2510="","",'KG1-5'!$B$2)</f>
        <v/>
      </c>
      <c r="D2510" s="126">
        <f t="array" ref="D2510">IF(A2510="","",IFERROR(SMALL(IF((('KG1-5'!$AD14:$IM14="غياب بدون عذر")+('KG1-5'!$AD14:$IM14="غياب بعذر"))*('KG1-5'!$AD$7:$IM$7="✓"),'KG1-5'!$AD$5:$IM$5),9),""))</f>
        <v/>
      </c>
      <c r="E2510">
        <f>IF(D2510="","",INDEX('KG1-5'!$AD14:$IM14,MATCH(D2510,'KG1-5'!$AD$5:$IM$5,0)))</f>
        <v/>
      </c>
      <c r="F2510">
        <f>IF(D2510="","",COUNTIFS('KG1-5'!$AD14:$IM14,"غياب بدون عذر",'KG1-5'!$AD$7:$IM$7,"✓",'KG1-5'!$AD$5:$IM$5,"&lt;="&amp;D2510))</f>
        <v/>
      </c>
      <c r="G2510">
        <f>G2509+IF(D2510="",0,1)</f>
        <v/>
      </c>
    </row>
    <row r="2511">
      <c r="A2511">
        <f>IF('KG1-5'!$B14="","",'KG1-5'!$B14)</f>
        <v/>
      </c>
      <c r="B2511">
        <f>IF(A2511="","",'KG1-5'!$C14)</f>
        <v/>
      </c>
      <c r="C2511">
        <f>IF(A2511="","",'KG1-5'!$B$2)</f>
        <v/>
      </c>
      <c r="D2511" s="126">
        <f t="array" ref="D2511">IF(A2511="","",IFERROR(SMALL(IF((('KG1-5'!$AD14:$IM14="غياب بدون عذر")+('KG1-5'!$AD14:$IM14="غياب بعذر"))*('KG1-5'!$AD$7:$IM$7="✓"),'KG1-5'!$AD$5:$IM$5),10),""))</f>
        <v/>
      </c>
      <c r="E2511">
        <f>IF(D2511="","",INDEX('KG1-5'!$AD14:$IM14,MATCH(D2511,'KG1-5'!$AD$5:$IM$5,0)))</f>
        <v/>
      </c>
      <c r="F2511">
        <f>IF(D2511="","",COUNTIFS('KG1-5'!$AD14:$IM14,"غياب بدون عذر",'KG1-5'!$AD$7:$IM$7,"✓",'KG1-5'!$AD$5:$IM$5,"&lt;="&amp;D2511))</f>
        <v/>
      </c>
      <c r="G2511">
        <f>G2510+IF(D2511="",0,1)</f>
        <v/>
      </c>
    </row>
    <row r="2512">
      <c r="A2512">
        <f>IF('KG1-5'!$B14="","",'KG1-5'!$B14)</f>
        <v/>
      </c>
      <c r="B2512">
        <f>IF(A2512="","",'KG1-5'!$C14)</f>
        <v/>
      </c>
      <c r="C2512">
        <f>IF(A2512="","",'KG1-5'!$B$2)</f>
        <v/>
      </c>
      <c r="D2512" s="126">
        <f t="array" ref="D2512">IF(A2512="","",IFERROR(SMALL(IF((('KG1-5'!$AD14:$IM14="غياب بدون عذر")+('KG1-5'!$AD14:$IM14="غياب بعذر"))*('KG1-5'!$AD$7:$IM$7="✓"),'KG1-5'!$AD$5:$IM$5),11),""))</f>
        <v/>
      </c>
      <c r="E2512">
        <f>IF(D2512="","",INDEX('KG1-5'!$AD14:$IM14,MATCH(D2512,'KG1-5'!$AD$5:$IM$5,0)))</f>
        <v/>
      </c>
      <c r="F2512">
        <f>IF(D2512="","",COUNTIFS('KG1-5'!$AD14:$IM14,"غياب بدون عذر",'KG1-5'!$AD$7:$IM$7,"✓",'KG1-5'!$AD$5:$IM$5,"&lt;="&amp;D2512))</f>
        <v/>
      </c>
      <c r="G2512">
        <f>G2511+IF(D2512="",0,1)</f>
        <v/>
      </c>
    </row>
    <row r="2513">
      <c r="A2513">
        <f>IF('KG1-5'!$B14="","",'KG1-5'!$B14)</f>
        <v/>
      </c>
      <c r="B2513">
        <f>IF(A2513="","",'KG1-5'!$C14)</f>
        <v/>
      </c>
      <c r="C2513">
        <f>IF(A2513="","",'KG1-5'!$B$2)</f>
        <v/>
      </c>
      <c r="D2513" s="126">
        <f t="array" ref="D2513">IF(A2513="","",IFERROR(SMALL(IF((('KG1-5'!$AD14:$IM14="غياب بدون عذر")+('KG1-5'!$AD14:$IM14="غياب بعذر"))*('KG1-5'!$AD$7:$IM$7="✓"),'KG1-5'!$AD$5:$IM$5),12),""))</f>
        <v/>
      </c>
      <c r="E2513">
        <f>IF(D2513="","",INDEX('KG1-5'!$AD14:$IM14,MATCH(D2513,'KG1-5'!$AD$5:$IM$5,0)))</f>
        <v/>
      </c>
      <c r="F2513">
        <f>IF(D2513="","",COUNTIFS('KG1-5'!$AD14:$IM14,"غياب بدون عذر",'KG1-5'!$AD$7:$IM$7,"✓",'KG1-5'!$AD$5:$IM$5,"&lt;="&amp;D2513))</f>
        <v/>
      </c>
      <c r="G2513">
        <f>G2512+IF(D2513="",0,1)</f>
        <v/>
      </c>
    </row>
    <row r="2514">
      <c r="A2514">
        <f>IF('KG1-5'!$B14="","",'KG1-5'!$B14)</f>
        <v/>
      </c>
      <c r="B2514">
        <f>IF(A2514="","",'KG1-5'!$C14)</f>
        <v/>
      </c>
      <c r="C2514">
        <f>IF(A2514="","",'KG1-5'!$B$2)</f>
        <v/>
      </c>
      <c r="D2514" s="126">
        <f t="array" ref="D2514">IF(A2514="","",IFERROR(SMALL(IF((('KG1-5'!$AD14:$IM14="غياب بدون عذر")+('KG1-5'!$AD14:$IM14="غياب بعذر"))*('KG1-5'!$AD$7:$IM$7="✓"),'KG1-5'!$AD$5:$IM$5),13),""))</f>
        <v/>
      </c>
      <c r="E2514">
        <f>IF(D2514="","",INDEX('KG1-5'!$AD14:$IM14,MATCH(D2514,'KG1-5'!$AD$5:$IM$5,0)))</f>
        <v/>
      </c>
      <c r="F2514">
        <f>IF(D2514="","",COUNTIFS('KG1-5'!$AD14:$IM14,"غياب بدون عذر",'KG1-5'!$AD$7:$IM$7,"✓",'KG1-5'!$AD$5:$IM$5,"&lt;="&amp;D2514))</f>
        <v/>
      </c>
      <c r="G2514">
        <f>G2513+IF(D2514="",0,1)</f>
        <v/>
      </c>
    </row>
    <row r="2515">
      <c r="A2515">
        <f>IF('KG1-5'!$B14="","",'KG1-5'!$B14)</f>
        <v/>
      </c>
      <c r="B2515">
        <f>IF(A2515="","",'KG1-5'!$C14)</f>
        <v/>
      </c>
      <c r="C2515">
        <f>IF(A2515="","",'KG1-5'!$B$2)</f>
        <v/>
      </c>
      <c r="D2515" s="126">
        <f t="array" ref="D2515">IF(A2515="","",IFERROR(SMALL(IF((('KG1-5'!$AD14:$IM14="غياب بدون عذر")+('KG1-5'!$AD14:$IM14="غياب بعذر"))*('KG1-5'!$AD$7:$IM$7="✓"),'KG1-5'!$AD$5:$IM$5),14),""))</f>
        <v/>
      </c>
      <c r="E2515">
        <f>IF(D2515="","",INDEX('KG1-5'!$AD14:$IM14,MATCH(D2515,'KG1-5'!$AD$5:$IM$5,0)))</f>
        <v/>
      </c>
      <c r="F2515">
        <f>IF(D2515="","",COUNTIFS('KG1-5'!$AD14:$IM14,"غياب بدون عذر",'KG1-5'!$AD$7:$IM$7,"✓",'KG1-5'!$AD$5:$IM$5,"&lt;="&amp;D2515))</f>
        <v/>
      </c>
      <c r="G2515">
        <f>G2514+IF(D2515="",0,1)</f>
        <v/>
      </c>
    </row>
    <row r="2516">
      <c r="A2516">
        <f>IF('KG1-5'!$B14="","",'KG1-5'!$B14)</f>
        <v/>
      </c>
      <c r="B2516">
        <f>IF(A2516="","",'KG1-5'!$C14)</f>
        <v/>
      </c>
      <c r="C2516">
        <f>IF(A2516="","",'KG1-5'!$B$2)</f>
        <v/>
      </c>
      <c r="D2516" s="126">
        <f t="array" ref="D2516">IF(A2516="","",IFERROR(SMALL(IF((('KG1-5'!$AD14:$IM14="غياب بدون عذر")+('KG1-5'!$AD14:$IM14="غياب بعذر"))*('KG1-5'!$AD$7:$IM$7="✓"),'KG1-5'!$AD$5:$IM$5),15),""))</f>
        <v/>
      </c>
      <c r="E2516">
        <f>IF(D2516="","",INDEX('KG1-5'!$AD14:$IM14,MATCH(D2516,'KG1-5'!$AD$5:$IM$5,0)))</f>
        <v/>
      </c>
      <c r="F2516">
        <f>IF(D2516="","",COUNTIFS('KG1-5'!$AD14:$IM14,"غياب بدون عذر",'KG1-5'!$AD$7:$IM$7,"✓",'KG1-5'!$AD$5:$IM$5,"&lt;="&amp;D2516))</f>
        <v/>
      </c>
      <c r="G2516">
        <f>G2515+IF(D2516="",0,1)</f>
        <v/>
      </c>
    </row>
    <row r="2517">
      <c r="A2517">
        <f>IF('KG1-5'!$B14="","",'KG1-5'!$B14)</f>
        <v/>
      </c>
      <c r="B2517">
        <f>IF(A2517="","",'KG1-5'!$C14)</f>
        <v/>
      </c>
      <c r="C2517">
        <f>IF(A2517="","",'KG1-5'!$B$2)</f>
        <v/>
      </c>
      <c r="D2517" s="126">
        <f t="array" ref="D2517">IF(A2517="","",IFERROR(SMALL(IF((('KG1-5'!$AD14:$IM14="غياب بدون عذر")+('KG1-5'!$AD14:$IM14="غياب بعذر"))*('KG1-5'!$AD$7:$IM$7="✓"),'KG1-5'!$AD$5:$IM$5),16),""))</f>
        <v/>
      </c>
      <c r="E2517">
        <f>IF(D2517="","",INDEX('KG1-5'!$AD14:$IM14,MATCH(D2517,'KG1-5'!$AD$5:$IM$5,0)))</f>
        <v/>
      </c>
      <c r="F2517">
        <f>IF(D2517="","",COUNTIFS('KG1-5'!$AD14:$IM14,"غياب بدون عذر",'KG1-5'!$AD$7:$IM$7,"✓",'KG1-5'!$AD$5:$IM$5,"&lt;="&amp;D2517))</f>
        <v/>
      </c>
      <c r="G2517">
        <f>G2516+IF(D2517="",0,1)</f>
        <v/>
      </c>
    </row>
    <row r="2518">
      <c r="A2518">
        <f>IF('KG1-5'!$B14="","",'KG1-5'!$B14)</f>
        <v/>
      </c>
      <c r="B2518">
        <f>IF(A2518="","",'KG1-5'!$C14)</f>
        <v/>
      </c>
      <c r="C2518">
        <f>IF(A2518="","",'KG1-5'!$B$2)</f>
        <v/>
      </c>
      <c r="D2518" s="126">
        <f t="array" ref="D2518">IF(A2518="","",IFERROR(SMALL(IF((('KG1-5'!$AD14:$IM14="غياب بدون عذر")+('KG1-5'!$AD14:$IM14="غياب بعذر"))*('KG1-5'!$AD$7:$IM$7="✓"),'KG1-5'!$AD$5:$IM$5),17),""))</f>
        <v/>
      </c>
      <c r="E2518">
        <f>IF(D2518="","",INDEX('KG1-5'!$AD14:$IM14,MATCH(D2518,'KG1-5'!$AD$5:$IM$5,0)))</f>
        <v/>
      </c>
      <c r="F2518">
        <f>IF(D2518="","",COUNTIFS('KG1-5'!$AD14:$IM14,"غياب بدون عذر",'KG1-5'!$AD$7:$IM$7,"✓",'KG1-5'!$AD$5:$IM$5,"&lt;="&amp;D2518))</f>
        <v/>
      </c>
      <c r="G2518">
        <f>G2517+IF(D2518="",0,1)</f>
        <v/>
      </c>
    </row>
    <row r="2519">
      <c r="A2519">
        <f>IF('KG1-5'!$B14="","",'KG1-5'!$B14)</f>
        <v/>
      </c>
      <c r="B2519">
        <f>IF(A2519="","",'KG1-5'!$C14)</f>
        <v/>
      </c>
      <c r="C2519">
        <f>IF(A2519="","",'KG1-5'!$B$2)</f>
        <v/>
      </c>
      <c r="D2519" s="126">
        <f t="array" ref="D2519">IF(A2519="","",IFERROR(SMALL(IF((('KG1-5'!$AD14:$IM14="غياب بدون عذر")+('KG1-5'!$AD14:$IM14="غياب بعذر"))*('KG1-5'!$AD$7:$IM$7="✓"),'KG1-5'!$AD$5:$IM$5),18),""))</f>
        <v/>
      </c>
      <c r="E2519">
        <f>IF(D2519="","",INDEX('KG1-5'!$AD14:$IM14,MATCH(D2519,'KG1-5'!$AD$5:$IM$5,0)))</f>
        <v/>
      </c>
      <c r="F2519">
        <f>IF(D2519="","",COUNTIFS('KG1-5'!$AD14:$IM14,"غياب بدون عذر",'KG1-5'!$AD$7:$IM$7,"✓",'KG1-5'!$AD$5:$IM$5,"&lt;="&amp;D2519))</f>
        <v/>
      </c>
      <c r="G2519">
        <f>G2518+IF(D2519="",0,1)</f>
        <v/>
      </c>
    </row>
    <row r="2520">
      <c r="A2520">
        <f>IF('KG1-5'!$B14="","",'KG1-5'!$B14)</f>
        <v/>
      </c>
      <c r="B2520">
        <f>IF(A2520="","",'KG1-5'!$C14)</f>
        <v/>
      </c>
      <c r="C2520">
        <f>IF(A2520="","",'KG1-5'!$B$2)</f>
        <v/>
      </c>
      <c r="D2520" s="126">
        <f t="array" ref="D2520">IF(A2520="","",IFERROR(SMALL(IF((('KG1-5'!$AD14:$IM14="غياب بدون عذر")+('KG1-5'!$AD14:$IM14="غياب بعذر"))*('KG1-5'!$AD$7:$IM$7="✓"),'KG1-5'!$AD$5:$IM$5),19),""))</f>
        <v/>
      </c>
      <c r="E2520">
        <f>IF(D2520="","",INDEX('KG1-5'!$AD14:$IM14,MATCH(D2520,'KG1-5'!$AD$5:$IM$5,0)))</f>
        <v/>
      </c>
      <c r="F2520">
        <f>IF(D2520="","",COUNTIFS('KG1-5'!$AD14:$IM14,"غياب بدون عذر",'KG1-5'!$AD$7:$IM$7,"✓",'KG1-5'!$AD$5:$IM$5,"&lt;="&amp;D2520))</f>
        <v/>
      </c>
      <c r="G2520">
        <f>G2519+IF(D2520="",0,1)</f>
        <v/>
      </c>
    </row>
    <row r="2521">
      <c r="A2521">
        <f>IF('KG1-5'!$B14="","",'KG1-5'!$B14)</f>
        <v/>
      </c>
      <c r="B2521">
        <f>IF(A2521="","",'KG1-5'!$C14)</f>
        <v/>
      </c>
      <c r="C2521">
        <f>IF(A2521="","",'KG1-5'!$B$2)</f>
        <v/>
      </c>
      <c r="D2521" s="126">
        <f t="array" ref="D2521">IF(A2521="","",IFERROR(SMALL(IF((('KG1-5'!$AD14:$IM14="غياب بدون عذر")+('KG1-5'!$AD14:$IM14="غياب بعذر"))*('KG1-5'!$AD$7:$IM$7="✓"),'KG1-5'!$AD$5:$IM$5),20),""))</f>
        <v/>
      </c>
      <c r="E2521">
        <f>IF(D2521="","",INDEX('KG1-5'!$AD14:$IM14,MATCH(D2521,'KG1-5'!$AD$5:$IM$5,0)))</f>
        <v/>
      </c>
      <c r="F2521">
        <f>IF(D2521="","",COUNTIFS('KG1-5'!$AD14:$IM14,"غياب بدون عذر",'KG1-5'!$AD$7:$IM$7,"✓",'KG1-5'!$AD$5:$IM$5,"&lt;="&amp;D2521))</f>
        <v/>
      </c>
      <c r="G2521">
        <f>G2520+IF(D2521="",0,1)</f>
        <v/>
      </c>
    </row>
    <row r="2522">
      <c r="A2522">
        <f>IF('KG1-5'!$B15="","",'KG1-5'!$B15)</f>
        <v/>
      </c>
      <c r="B2522">
        <f>IF(A2522="","",'KG1-5'!$C15)</f>
        <v/>
      </c>
      <c r="C2522">
        <f>IF(A2522="","",'KG1-5'!$B$2)</f>
        <v/>
      </c>
      <c r="D2522" s="126">
        <f t="array" ref="D2522">IF(A2522="","",IFERROR(SMALL(IF((('KG1-5'!$AD15:$IM15="غياب بدون عذر")+('KG1-5'!$AD15:$IM15="غياب بعذر"))*('KG1-5'!$AD$7:$IM$7="✓"),'KG1-5'!$AD$5:$IM$5),1),""))</f>
        <v/>
      </c>
      <c r="E2522">
        <f>IF(D2522="","",INDEX('KG1-5'!$AD15:$IM15,MATCH(D2522,'KG1-5'!$AD$5:$IM$5,0)))</f>
        <v/>
      </c>
      <c r="F2522">
        <f>IF(D2522="","",COUNTIFS('KG1-5'!$AD15:$IM15,"غياب بدون عذر",'KG1-5'!$AD$7:$IM$7,"✓",'KG1-5'!$AD$5:$IM$5,"&lt;="&amp;D2522))</f>
        <v/>
      </c>
      <c r="G2522">
        <f>G2521+IF(D2522="",0,1)</f>
        <v/>
      </c>
    </row>
    <row r="2523">
      <c r="A2523">
        <f>IF('KG1-5'!$B15="","",'KG1-5'!$B15)</f>
        <v/>
      </c>
      <c r="B2523">
        <f>IF(A2523="","",'KG1-5'!$C15)</f>
        <v/>
      </c>
      <c r="C2523">
        <f>IF(A2523="","",'KG1-5'!$B$2)</f>
        <v/>
      </c>
      <c r="D2523" s="126">
        <f t="array" ref="D2523">IF(A2523="","",IFERROR(SMALL(IF((('KG1-5'!$AD15:$IM15="غياب بدون عذر")+('KG1-5'!$AD15:$IM15="غياب بعذر"))*('KG1-5'!$AD$7:$IM$7="✓"),'KG1-5'!$AD$5:$IM$5),2),""))</f>
        <v/>
      </c>
      <c r="E2523">
        <f>IF(D2523="","",INDEX('KG1-5'!$AD15:$IM15,MATCH(D2523,'KG1-5'!$AD$5:$IM$5,0)))</f>
        <v/>
      </c>
      <c r="F2523">
        <f>IF(D2523="","",COUNTIFS('KG1-5'!$AD15:$IM15,"غياب بدون عذر",'KG1-5'!$AD$7:$IM$7,"✓",'KG1-5'!$AD$5:$IM$5,"&lt;="&amp;D2523))</f>
        <v/>
      </c>
      <c r="G2523">
        <f>G2522+IF(D2523="",0,1)</f>
        <v/>
      </c>
    </row>
    <row r="2524">
      <c r="A2524">
        <f>IF('KG1-5'!$B15="","",'KG1-5'!$B15)</f>
        <v/>
      </c>
      <c r="B2524">
        <f>IF(A2524="","",'KG1-5'!$C15)</f>
        <v/>
      </c>
      <c r="C2524">
        <f>IF(A2524="","",'KG1-5'!$B$2)</f>
        <v/>
      </c>
      <c r="D2524" s="126">
        <f t="array" ref="D2524">IF(A2524="","",IFERROR(SMALL(IF((('KG1-5'!$AD15:$IM15="غياب بدون عذر")+('KG1-5'!$AD15:$IM15="غياب بعذر"))*('KG1-5'!$AD$7:$IM$7="✓"),'KG1-5'!$AD$5:$IM$5),3),""))</f>
        <v/>
      </c>
      <c r="E2524">
        <f>IF(D2524="","",INDEX('KG1-5'!$AD15:$IM15,MATCH(D2524,'KG1-5'!$AD$5:$IM$5,0)))</f>
        <v/>
      </c>
      <c r="F2524">
        <f>IF(D2524="","",COUNTIFS('KG1-5'!$AD15:$IM15,"غياب بدون عذر",'KG1-5'!$AD$7:$IM$7,"✓",'KG1-5'!$AD$5:$IM$5,"&lt;="&amp;D2524))</f>
        <v/>
      </c>
      <c r="G2524">
        <f>G2523+IF(D2524="",0,1)</f>
        <v/>
      </c>
    </row>
    <row r="2525">
      <c r="A2525">
        <f>IF('KG1-5'!$B15="","",'KG1-5'!$B15)</f>
        <v/>
      </c>
      <c r="B2525">
        <f>IF(A2525="","",'KG1-5'!$C15)</f>
        <v/>
      </c>
      <c r="C2525">
        <f>IF(A2525="","",'KG1-5'!$B$2)</f>
        <v/>
      </c>
      <c r="D2525" s="126">
        <f t="array" ref="D2525">IF(A2525="","",IFERROR(SMALL(IF((('KG1-5'!$AD15:$IM15="غياب بدون عذر")+('KG1-5'!$AD15:$IM15="غياب بعذر"))*('KG1-5'!$AD$7:$IM$7="✓"),'KG1-5'!$AD$5:$IM$5),4),""))</f>
        <v/>
      </c>
      <c r="E2525">
        <f>IF(D2525="","",INDEX('KG1-5'!$AD15:$IM15,MATCH(D2525,'KG1-5'!$AD$5:$IM$5,0)))</f>
        <v/>
      </c>
      <c r="F2525">
        <f>IF(D2525="","",COUNTIFS('KG1-5'!$AD15:$IM15,"غياب بدون عذر",'KG1-5'!$AD$7:$IM$7,"✓",'KG1-5'!$AD$5:$IM$5,"&lt;="&amp;D2525))</f>
        <v/>
      </c>
      <c r="G2525">
        <f>G2524+IF(D2525="",0,1)</f>
        <v/>
      </c>
    </row>
    <row r="2526">
      <c r="A2526">
        <f>IF('KG1-5'!$B15="","",'KG1-5'!$B15)</f>
        <v/>
      </c>
      <c r="B2526">
        <f>IF(A2526="","",'KG1-5'!$C15)</f>
        <v/>
      </c>
      <c r="C2526">
        <f>IF(A2526="","",'KG1-5'!$B$2)</f>
        <v/>
      </c>
      <c r="D2526" s="126">
        <f t="array" ref="D2526">IF(A2526="","",IFERROR(SMALL(IF((('KG1-5'!$AD15:$IM15="غياب بدون عذر")+('KG1-5'!$AD15:$IM15="غياب بعذر"))*('KG1-5'!$AD$7:$IM$7="✓"),'KG1-5'!$AD$5:$IM$5),5),""))</f>
        <v/>
      </c>
      <c r="E2526">
        <f>IF(D2526="","",INDEX('KG1-5'!$AD15:$IM15,MATCH(D2526,'KG1-5'!$AD$5:$IM$5,0)))</f>
        <v/>
      </c>
      <c r="F2526">
        <f>IF(D2526="","",COUNTIFS('KG1-5'!$AD15:$IM15,"غياب بدون عذر",'KG1-5'!$AD$7:$IM$7,"✓",'KG1-5'!$AD$5:$IM$5,"&lt;="&amp;D2526))</f>
        <v/>
      </c>
      <c r="G2526">
        <f>G2525+IF(D2526="",0,1)</f>
        <v/>
      </c>
    </row>
    <row r="2527">
      <c r="A2527">
        <f>IF('KG1-5'!$B15="","",'KG1-5'!$B15)</f>
        <v/>
      </c>
      <c r="B2527">
        <f>IF(A2527="","",'KG1-5'!$C15)</f>
        <v/>
      </c>
      <c r="C2527">
        <f>IF(A2527="","",'KG1-5'!$B$2)</f>
        <v/>
      </c>
      <c r="D2527" s="126">
        <f t="array" ref="D2527">IF(A2527="","",IFERROR(SMALL(IF((('KG1-5'!$AD15:$IM15="غياب بدون عذر")+('KG1-5'!$AD15:$IM15="غياب بعذر"))*('KG1-5'!$AD$7:$IM$7="✓"),'KG1-5'!$AD$5:$IM$5),6),""))</f>
        <v/>
      </c>
      <c r="E2527">
        <f>IF(D2527="","",INDEX('KG1-5'!$AD15:$IM15,MATCH(D2527,'KG1-5'!$AD$5:$IM$5,0)))</f>
        <v/>
      </c>
      <c r="F2527">
        <f>IF(D2527="","",COUNTIFS('KG1-5'!$AD15:$IM15,"غياب بدون عذر",'KG1-5'!$AD$7:$IM$7,"✓",'KG1-5'!$AD$5:$IM$5,"&lt;="&amp;D2527))</f>
        <v/>
      </c>
      <c r="G2527">
        <f>G2526+IF(D2527="",0,1)</f>
        <v/>
      </c>
    </row>
    <row r="2528">
      <c r="A2528">
        <f>IF('KG1-5'!$B15="","",'KG1-5'!$B15)</f>
        <v/>
      </c>
      <c r="B2528">
        <f>IF(A2528="","",'KG1-5'!$C15)</f>
        <v/>
      </c>
      <c r="C2528">
        <f>IF(A2528="","",'KG1-5'!$B$2)</f>
        <v/>
      </c>
      <c r="D2528" s="126">
        <f t="array" ref="D2528">IF(A2528="","",IFERROR(SMALL(IF((('KG1-5'!$AD15:$IM15="غياب بدون عذر")+('KG1-5'!$AD15:$IM15="غياب بعذر"))*('KG1-5'!$AD$7:$IM$7="✓"),'KG1-5'!$AD$5:$IM$5),7),""))</f>
        <v/>
      </c>
      <c r="E2528">
        <f>IF(D2528="","",INDEX('KG1-5'!$AD15:$IM15,MATCH(D2528,'KG1-5'!$AD$5:$IM$5,0)))</f>
        <v/>
      </c>
      <c r="F2528">
        <f>IF(D2528="","",COUNTIFS('KG1-5'!$AD15:$IM15,"غياب بدون عذر",'KG1-5'!$AD$7:$IM$7,"✓",'KG1-5'!$AD$5:$IM$5,"&lt;="&amp;D2528))</f>
        <v/>
      </c>
      <c r="G2528">
        <f>G2527+IF(D2528="",0,1)</f>
        <v/>
      </c>
    </row>
    <row r="2529">
      <c r="A2529">
        <f>IF('KG1-5'!$B15="","",'KG1-5'!$B15)</f>
        <v/>
      </c>
      <c r="B2529">
        <f>IF(A2529="","",'KG1-5'!$C15)</f>
        <v/>
      </c>
      <c r="C2529">
        <f>IF(A2529="","",'KG1-5'!$B$2)</f>
        <v/>
      </c>
      <c r="D2529" s="126">
        <f t="array" ref="D2529">IF(A2529="","",IFERROR(SMALL(IF((('KG1-5'!$AD15:$IM15="غياب بدون عذر")+('KG1-5'!$AD15:$IM15="غياب بعذر"))*('KG1-5'!$AD$7:$IM$7="✓"),'KG1-5'!$AD$5:$IM$5),8),""))</f>
        <v/>
      </c>
      <c r="E2529">
        <f>IF(D2529="","",INDEX('KG1-5'!$AD15:$IM15,MATCH(D2529,'KG1-5'!$AD$5:$IM$5,0)))</f>
        <v/>
      </c>
      <c r="F2529">
        <f>IF(D2529="","",COUNTIFS('KG1-5'!$AD15:$IM15,"غياب بدون عذر",'KG1-5'!$AD$7:$IM$7,"✓",'KG1-5'!$AD$5:$IM$5,"&lt;="&amp;D2529))</f>
        <v/>
      </c>
      <c r="G2529">
        <f>G2528+IF(D2529="",0,1)</f>
        <v/>
      </c>
    </row>
    <row r="2530">
      <c r="A2530">
        <f>IF('KG1-5'!$B15="","",'KG1-5'!$B15)</f>
        <v/>
      </c>
      <c r="B2530">
        <f>IF(A2530="","",'KG1-5'!$C15)</f>
        <v/>
      </c>
      <c r="C2530">
        <f>IF(A2530="","",'KG1-5'!$B$2)</f>
        <v/>
      </c>
      <c r="D2530" s="126">
        <f t="array" ref="D2530">IF(A2530="","",IFERROR(SMALL(IF((('KG1-5'!$AD15:$IM15="غياب بدون عذر")+('KG1-5'!$AD15:$IM15="غياب بعذر"))*('KG1-5'!$AD$7:$IM$7="✓"),'KG1-5'!$AD$5:$IM$5),9),""))</f>
        <v/>
      </c>
      <c r="E2530">
        <f>IF(D2530="","",INDEX('KG1-5'!$AD15:$IM15,MATCH(D2530,'KG1-5'!$AD$5:$IM$5,0)))</f>
        <v/>
      </c>
      <c r="F2530">
        <f>IF(D2530="","",COUNTIFS('KG1-5'!$AD15:$IM15,"غياب بدون عذر",'KG1-5'!$AD$7:$IM$7,"✓",'KG1-5'!$AD$5:$IM$5,"&lt;="&amp;D2530))</f>
        <v/>
      </c>
      <c r="G2530">
        <f>G2529+IF(D2530="",0,1)</f>
        <v/>
      </c>
    </row>
    <row r="2531">
      <c r="A2531">
        <f>IF('KG1-5'!$B15="","",'KG1-5'!$B15)</f>
        <v/>
      </c>
      <c r="B2531">
        <f>IF(A2531="","",'KG1-5'!$C15)</f>
        <v/>
      </c>
      <c r="C2531">
        <f>IF(A2531="","",'KG1-5'!$B$2)</f>
        <v/>
      </c>
      <c r="D2531" s="126">
        <f t="array" ref="D2531">IF(A2531="","",IFERROR(SMALL(IF((('KG1-5'!$AD15:$IM15="غياب بدون عذر")+('KG1-5'!$AD15:$IM15="غياب بعذر"))*('KG1-5'!$AD$7:$IM$7="✓"),'KG1-5'!$AD$5:$IM$5),10),""))</f>
        <v/>
      </c>
      <c r="E2531">
        <f>IF(D2531="","",INDEX('KG1-5'!$AD15:$IM15,MATCH(D2531,'KG1-5'!$AD$5:$IM$5,0)))</f>
        <v/>
      </c>
      <c r="F2531">
        <f>IF(D2531="","",COUNTIFS('KG1-5'!$AD15:$IM15,"غياب بدون عذر",'KG1-5'!$AD$7:$IM$7,"✓",'KG1-5'!$AD$5:$IM$5,"&lt;="&amp;D2531))</f>
        <v/>
      </c>
      <c r="G2531">
        <f>G2530+IF(D2531="",0,1)</f>
        <v/>
      </c>
    </row>
    <row r="2532">
      <c r="A2532">
        <f>IF('KG1-5'!$B15="","",'KG1-5'!$B15)</f>
        <v/>
      </c>
      <c r="B2532">
        <f>IF(A2532="","",'KG1-5'!$C15)</f>
        <v/>
      </c>
      <c r="C2532">
        <f>IF(A2532="","",'KG1-5'!$B$2)</f>
        <v/>
      </c>
      <c r="D2532" s="126">
        <f t="array" ref="D2532">IF(A2532="","",IFERROR(SMALL(IF((('KG1-5'!$AD15:$IM15="غياب بدون عذر")+('KG1-5'!$AD15:$IM15="غياب بعذر"))*('KG1-5'!$AD$7:$IM$7="✓"),'KG1-5'!$AD$5:$IM$5),11),""))</f>
        <v/>
      </c>
      <c r="E2532">
        <f>IF(D2532="","",INDEX('KG1-5'!$AD15:$IM15,MATCH(D2532,'KG1-5'!$AD$5:$IM$5,0)))</f>
        <v/>
      </c>
      <c r="F2532">
        <f>IF(D2532="","",COUNTIFS('KG1-5'!$AD15:$IM15,"غياب بدون عذر",'KG1-5'!$AD$7:$IM$7,"✓",'KG1-5'!$AD$5:$IM$5,"&lt;="&amp;D2532))</f>
        <v/>
      </c>
      <c r="G2532">
        <f>G2531+IF(D2532="",0,1)</f>
        <v/>
      </c>
    </row>
    <row r="2533">
      <c r="A2533">
        <f>IF('KG1-5'!$B15="","",'KG1-5'!$B15)</f>
        <v/>
      </c>
      <c r="B2533">
        <f>IF(A2533="","",'KG1-5'!$C15)</f>
        <v/>
      </c>
      <c r="C2533">
        <f>IF(A2533="","",'KG1-5'!$B$2)</f>
        <v/>
      </c>
      <c r="D2533" s="126">
        <f t="array" ref="D2533">IF(A2533="","",IFERROR(SMALL(IF((('KG1-5'!$AD15:$IM15="غياب بدون عذر")+('KG1-5'!$AD15:$IM15="غياب بعذر"))*('KG1-5'!$AD$7:$IM$7="✓"),'KG1-5'!$AD$5:$IM$5),12),""))</f>
        <v/>
      </c>
      <c r="E2533">
        <f>IF(D2533="","",INDEX('KG1-5'!$AD15:$IM15,MATCH(D2533,'KG1-5'!$AD$5:$IM$5,0)))</f>
        <v/>
      </c>
      <c r="F2533">
        <f>IF(D2533="","",COUNTIFS('KG1-5'!$AD15:$IM15,"غياب بدون عذر",'KG1-5'!$AD$7:$IM$7,"✓",'KG1-5'!$AD$5:$IM$5,"&lt;="&amp;D2533))</f>
        <v/>
      </c>
      <c r="G2533">
        <f>G2532+IF(D2533="",0,1)</f>
        <v/>
      </c>
    </row>
    <row r="2534">
      <c r="A2534">
        <f>IF('KG1-5'!$B15="","",'KG1-5'!$B15)</f>
        <v/>
      </c>
      <c r="B2534">
        <f>IF(A2534="","",'KG1-5'!$C15)</f>
        <v/>
      </c>
      <c r="C2534">
        <f>IF(A2534="","",'KG1-5'!$B$2)</f>
        <v/>
      </c>
      <c r="D2534" s="126">
        <f t="array" ref="D2534">IF(A2534="","",IFERROR(SMALL(IF((('KG1-5'!$AD15:$IM15="غياب بدون عذر")+('KG1-5'!$AD15:$IM15="غياب بعذر"))*('KG1-5'!$AD$7:$IM$7="✓"),'KG1-5'!$AD$5:$IM$5),13),""))</f>
        <v/>
      </c>
      <c r="E2534">
        <f>IF(D2534="","",INDEX('KG1-5'!$AD15:$IM15,MATCH(D2534,'KG1-5'!$AD$5:$IM$5,0)))</f>
        <v/>
      </c>
      <c r="F2534">
        <f>IF(D2534="","",COUNTIFS('KG1-5'!$AD15:$IM15,"غياب بدون عذر",'KG1-5'!$AD$7:$IM$7,"✓",'KG1-5'!$AD$5:$IM$5,"&lt;="&amp;D2534))</f>
        <v/>
      </c>
      <c r="G2534">
        <f>G2533+IF(D2534="",0,1)</f>
        <v/>
      </c>
    </row>
    <row r="2535">
      <c r="A2535">
        <f>IF('KG1-5'!$B15="","",'KG1-5'!$B15)</f>
        <v/>
      </c>
      <c r="B2535">
        <f>IF(A2535="","",'KG1-5'!$C15)</f>
        <v/>
      </c>
      <c r="C2535">
        <f>IF(A2535="","",'KG1-5'!$B$2)</f>
        <v/>
      </c>
      <c r="D2535" s="126">
        <f t="array" ref="D2535">IF(A2535="","",IFERROR(SMALL(IF((('KG1-5'!$AD15:$IM15="غياب بدون عذر")+('KG1-5'!$AD15:$IM15="غياب بعذر"))*('KG1-5'!$AD$7:$IM$7="✓"),'KG1-5'!$AD$5:$IM$5),14),""))</f>
        <v/>
      </c>
      <c r="E2535">
        <f>IF(D2535="","",INDEX('KG1-5'!$AD15:$IM15,MATCH(D2535,'KG1-5'!$AD$5:$IM$5,0)))</f>
        <v/>
      </c>
      <c r="F2535">
        <f>IF(D2535="","",COUNTIFS('KG1-5'!$AD15:$IM15,"غياب بدون عذر",'KG1-5'!$AD$7:$IM$7,"✓",'KG1-5'!$AD$5:$IM$5,"&lt;="&amp;D2535))</f>
        <v/>
      </c>
      <c r="G2535">
        <f>G2534+IF(D2535="",0,1)</f>
        <v/>
      </c>
    </row>
    <row r="2536">
      <c r="A2536">
        <f>IF('KG1-5'!$B15="","",'KG1-5'!$B15)</f>
        <v/>
      </c>
      <c r="B2536">
        <f>IF(A2536="","",'KG1-5'!$C15)</f>
        <v/>
      </c>
      <c r="C2536">
        <f>IF(A2536="","",'KG1-5'!$B$2)</f>
        <v/>
      </c>
      <c r="D2536" s="126">
        <f t="array" ref="D2536">IF(A2536="","",IFERROR(SMALL(IF((('KG1-5'!$AD15:$IM15="غياب بدون عذر")+('KG1-5'!$AD15:$IM15="غياب بعذر"))*('KG1-5'!$AD$7:$IM$7="✓"),'KG1-5'!$AD$5:$IM$5),15),""))</f>
        <v/>
      </c>
      <c r="E2536">
        <f>IF(D2536="","",INDEX('KG1-5'!$AD15:$IM15,MATCH(D2536,'KG1-5'!$AD$5:$IM$5,0)))</f>
        <v/>
      </c>
      <c r="F2536">
        <f>IF(D2536="","",COUNTIFS('KG1-5'!$AD15:$IM15,"غياب بدون عذر",'KG1-5'!$AD$7:$IM$7,"✓",'KG1-5'!$AD$5:$IM$5,"&lt;="&amp;D2536))</f>
        <v/>
      </c>
      <c r="G2536">
        <f>G2535+IF(D2536="",0,1)</f>
        <v/>
      </c>
    </row>
    <row r="2537">
      <c r="A2537">
        <f>IF('KG1-5'!$B15="","",'KG1-5'!$B15)</f>
        <v/>
      </c>
      <c r="B2537">
        <f>IF(A2537="","",'KG1-5'!$C15)</f>
        <v/>
      </c>
      <c r="C2537">
        <f>IF(A2537="","",'KG1-5'!$B$2)</f>
        <v/>
      </c>
      <c r="D2537" s="126">
        <f t="array" ref="D2537">IF(A2537="","",IFERROR(SMALL(IF((('KG1-5'!$AD15:$IM15="غياب بدون عذر")+('KG1-5'!$AD15:$IM15="غياب بعذر"))*('KG1-5'!$AD$7:$IM$7="✓"),'KG1-5'!$AD$5:$IM$5),16),""))</f>
        <v/>
      </c>
      <c r="E2537">
        <f>IF(D2537="","",INDEX('KG1-5'!$AD15:$IM15,MATCH(D2537,'KG1-5'!$AD$5:$IM$5,0)))</f>
        <v/>
      </c>
      <c r="F2537">
        <f>IF(D2537="","",COUNTIFS('KG1-5'!$AD15:$IM15,"غياب بدون عذر",'KG1-5'!$AD$7:$IM$7,"✓",'KG1-5'!$AD$5:$IM$5,"&lt;="&amp;D2537))</f>
        <v/>
      </c>
      <c r="G2537">
        <f>G2536+IF(D2537="",0,1)</f>
        <v/>
      </c>
    </row>
    <row r="2538">
      <c r="A2538">
        <f>IF('KG1-5'!$B15="","",'KG1-5'!$B15)</f>
        <v/>
      </c>
      <c r="B2538">
        <f>IF(A2538="","",'KG1-5'!$C15)</f>
        <v/>
      </c>
      <c r="C2538">
        <f>IF(A2538="","",'KG1-5'!$B$2)</f>
        <v/>
      </c>
      <c r="D2538" s="126">
        <f t="array" ref="D2538">IF(A2538="","",IFERROR(SMALL(IF((('KG1-5'!$AD15:$IM15="غياب بدون عذر")+('KG1-5'!$AD15:$IM15="غياب بعذر"))*('KG1-5'!$AD$7:$IM$7="✓"),'KG1-5'!$AD$5:$IM$5),17),""))</f>
        <v/>
      </c>
      <c r="E2538">
        <f>IF(D2538="","",INDEX('KG1-5'!$AD15:$IM15,MATCH(D2538,'KG1-5'!$AD$5:$IM$5,0)))</f>
        <v/>
      </c>
      <c r="F2538">
        <f>IF(D2538="","",COUNTIFS('KG1-5'!$AD15:$IM15,"غياب بدون عذر",'KG1-5'!$AD$7:$IM$7,"✓",'KG1-5'!$AD$5:$IM$5,"&lt;="&amp;D2538))</f>
        <v/>
      </c>
      <c r="G2538">
        <f>G2537+IF(D2538="",0,1)</f>
        <v/>
      </c>
    </row>
    <row r="2539">
      <c r="A2539">
        <f>IF('KG1-5'!$B15="","",'KG1-5'!$B15)</f>
        <v/>
      </c>
      <c r="B2539">
        <f>IF(A2539="","",'KG1-5'!$C15)</f>
        <v/>
      </c>
      <c r="C2539">
        <f>IF(A2539="","",'KG1-5'!$B$2)</f>
        <v/>
      </c>
      <c r="D2539" s="126">
        <f t="array" ref="D2539">IF(A2539="","",IFERROR(SMALL(IF((('KG1-5'!$AD15:$IM15="غياب بدون عذر")+('KG1-5'!$AD15:$IM15="غياب بعذر"))*('KG1-5'!$AD$7:$IM$7="✓"),'KG1-5'!$AD$5:$IM$5),18),""))</f>
        <v/>
      </c>
      <c r="E2539">
        <f>IF(D2539="","",INDEX('KG1-5'!$AD15:$IM15,MATCH(D2539,'KG1-5'!$AD$5:$IM$5,0)))</f>
        <v/>
      </c>
      <c r="F2539">
        <f>IF(D2539="","",COUNTIFS('KG1-5'!$AD15:$IM15,"غياب بدون عذر",'KG1-5'!$AD$7:$IM$7,"✓",'KG1-5'!$AD$5:$IM$5,"&lt;="&amp;D2539))</f>
        <v/>
      </c>
      <c r="G2539">
        <f>G2538+IF(D2539="",0,1)</f>
        <v/>
      </c>
    </row>
    <row r="2540">
      <c r="A2540">
        <f>IF('KG1-5'!$B15="","",'KG1-5'!$B15)</f>
        <v/>
      </c>
      <c r="B2540">
        <f>IF(A2540="","",'KG1-5'!$C15)</f>
        <v/>
      </c>
      <c r="C2540">
        <f>IF(A2540="","",'KG1-5'!$B$2)</f>
        <v/>
      </c>
      <c r="D2540" s="126">
        <f t="array" ref="D2540">IF(A2540="","",IFERROR(SMALL(IF((('KG1-5'!$AD15:$IM15="غياب بدون عذر")+('KG1-5'!$AD15:$IM15="غياب بعذر"))*('KG1-5'!$AD$7:$IM$7="✓"),'KG1-5'!$AD$5:$IM$5),19),""))</f>
        <v/>
      </c>
      <c r="E2540">
        <f>IF(D2540="","",INDEX('KG1-5'!$AD15:$IM15,MATCH(D2540,'KG1-5'!$AD$5:$IM$5,0)))</f>
        <v/>
      </c>
      <c r="F2540">
        <f>IF(D2540="","",COUNTIFS('KG1-5'!$AD15:$IM15,"غياب بدون عذر",'KG1-5'!$AD$7:$IM$7,"✓",'KG1-5'!$AD$5:$IM$5,"&lt;="&amp;D2540))</f>
        <v/>
      </c>
      <c r="G2540">
        <f>G2539+IF(D2540="",0,1)</f>
        <v/>
      </c>
    </row>
    <row r="2541">
      <c r="A2541">
        <f>IF('KG1-5'!$B15="","",'KG1-5'!$B15)</f>
        <v/>
      </c>
      <c r="B2541">
        <f>IF(A2541="","",'KG1-5'!$C15)</f>
        <v/>
      </c>
      <c r="C2541">
        <f>IF(A2541="","",'KG1-5'!$B$2)</f>
        <v/>
      </c>
      <c r="D2541" s="126">
        <f t="array" ref="D2541">IF(A2541="","",IFERROR(SMALL(IF((('KG1-5'!$AD15:$IM15="غياب بدون عذر")+('KG1-5'!$AD15:$IM15="غياب بعذر"))*('KG1-5'!$AD$7:$IM$7="✓"),'KG1-5'!$AD$5:$IM$5),20),""))</f>
        <v/>
      </c>
      <c r="E2541">
        <f>IF(D2541="","",INDEX('KG1-5'!$AD15:$IM15,MATCH(D2541,'KG1-5'!$AD$5:$IM$5,0)))</f>
        <v/>
      </c>
      <c r="F2541">
        <f>IF(D2541="","",COUNTIFS('KG1-5'!$AD15:$IM15,"غياب بدون عذر",'KG1-5'!$AD$7:$IM$7,"✓",'KG1-5'!$AD$5:$IM$5,"&lt;="&amp;D2541))</f>
        <v/>
      </c>
      <c r="G2541">
        <f>G2540+IF(D2541="",0,1)</f>
        <v/>
      </c>
    </row>
    <row r="2542">
      <c r="A2542">
        <f>IF('KG1-5'!$B16="","",'KG1-5'!$B16)</f>
        <v/>
      </c>
      <c r="B2542">
        <f>IF(A2542="","",'KG1-5'!$C16)</f>
        <v/>
      </c>
      <c r="C2542">
        <f>IF(A2542="","",'KG1-5'!$B$2)</f>
        <v/>
      </c>
      <c r="D2542" s="126">
        <f t="array" ref="D2542">IF(A2542="","",IFERROR(SMALL(IF((('KG1-5'!$AD16:$IM16="غياب بدون عذر")+('KG1-5'!$AD16:$IM16="غياب بعذر"))*('KG1-5'!$AD$7:$IM$7="✓"),'KG1-5'!$AD$5:$IM$5),1),""))</f>
        <v/>
      </c>
      <c r="E2542">
        <f>IF(D2542="","",INDEX('KG1-5'!$AD16:$IM16,MATCH(D2542,'KG1-5'!$AD$5:$IM$5,0)))</f>
        <v/>
      </c>
      <c r="F2542">
        <f>IF(D2542="","",COUNTIFS('KG1-5'!$AD16:$IM16,"غياب بدون عذر",'KG1-5'!$AD$7:$IM$7,"✓",'KG1-5'!$AD$5:$IM$5,"&lt;="&amp;D2542))</f>
        <v/>
      </c>
      <c r="G2542">
        <f>G2541+IF(D2542="",0,1)</f>
        <v/>
      </c>
    </row>
    <row r="2543">
      <c r="A2543">
        <f>IF('KG1-5'!$B16="","",'KG1-5'!$B16)</f>
        <v/>
      </c>
      <c r="B2543">
        <f>IF(A2543="","",'KG1-5'!$C16)</f>
        <v/>
      </c>
      <c r="C2543">
        <f>IF(A2543="","",'KG1-5'!$B$2)</f>
        <v/>
      </c>
      <c r="D2543" s="126">
        <f t="array" ref="D2543">IF(A2543="","",IFERROR(SMALL(IF((('KG1-5'!$AD16:$IM16="غياب بدون عذر")+('KG1-5'!$AD16:$IM16="غياب بعذر"))*('KG1-5'!$AD$7:$IM$7="✓"),'KG1-5'!$AD$5:$IM$5),2),""))</f>
        <v/>
      </c>
      <c r="E2543">
        <f>IF(D2543="","",INDEX('KG1-5'!$AD16:$IM16,MATCH(D2543,'KG1-5'!$AD$5:$IM$5,0)))</f>
        <v/>
      </c>
      <c r="F2543">
        <f>IF(D2543="","",COUNTIFS('KG1-5'!$AD16:$IM16,"غياب بدون عذر",'KG1-5'!$AD$7:$IM$7,"✓",'KG1-5'!$AD$5:$IM$5,"&lt;="&amp;D2543))</f>
        <v/>
      </c>
      <c r="G2543">
        <f>G2542+IF(D2543="",0,1)</f>
        <v/>
      </c>
    </row>
    <row r="2544">
      <c r="A2544">
        <f>IF('KG1-5'!$B16="","",'KG1-5'!$B16)</f>
        <v/>
      </c>
      <c r="B2544">
        <f>IF(A2544="","",'KG1-5'!$C16)</f>
        <v/>
      </c>
      <c r="C2544">
        <f>IF(A2544="","",'KG1-5'!$B$2)</f>
        <v/>
      </c>
      <c r="D2544" s="126">
        <f t="array" ref="D2544">IF(A2544="","",IFERROR(SMALL(IF((('KG1-5'!$AD16:$IM16="غياب بدون عذر")+('KG1-5'!$AD16:$IM16="غياب بعذر"))*('KG1-5'!$AD$7:$IM$7="✓"),'KG1-5'!$AD$5:$IM$5),3),""))</f>
        <v/>
      </c>
      <c r="E2544">
        <f>IF(D2544="","",INDEX('KG1-5'!$AD16:$IM16,MATCH(D2544,'KG1-5'!$AD$5:$IM$5,0)))</f>
        <v/>
      </c>
      <c r="F2544">
        <f>IF(D2544="","",COUNTIFS('KG1-5'!$AD16:$IM16,"غياب بدون عذر",'KG1-5'!$AD$7:$IM$7,"✓",'KG1-5'!$AD$5:$IM$5,"&lt;="&amp;D2544))</f>
        <v/>
      </c>
      <c r="G2544">
        <f>G2543+IF(D2544="",0,1)</f>
        <v/>
      </c>
    </row>
    <row r="2545">
      <c r="A2545">
        <f>IF('KG1-5'!$B16="","",'KG1-5'!$B16)</f>
        <v/>
      </c>
      <c r="B2545">
        <f>IF(A2545="","",'KG1-5'!$C16)</f>
        <v/>
      </c>
      <c r="C2545">
        <f>IF(A2545="","",'KG1-5'!$B$2)</f>
        <v/>
      </c>
      <c r="D2545" s="126">
        <f t="array" ref="D2545">IF(A2545="","",IFERROR(SMALL(IF((('KG1-5'!$AD16:$IM16="غياب بدون عذر")+('KG1-5'!$AD16:$IM16="غياب بعذر"))*('KG1-5'!$AD$7:$IM$7="✓"),'KG1-5'!$AD$5:$IM$5),4),""))</f>
        <v/>
      </c>
      <c r="E2545">
        <f>IF(D2545="","",INDEX('KG1-5'!$AD16:$IM16,MATCH(D2545,'KG1-5'!$AD$5:$IM$5,0)))</f>
        <v/>
      </c>
      <c r="F2545">
        <f>IF(D2545="","",COUNTIFS('KG1-5'!$AD16:$IM16,"غياب بدون عذر",'KG1-5'!$AD$7:$IM$7,"✓",'KG1-5'!$AD$5:$IM$5,"&lt;="&amp;D2545))</f>
        <v/>
      </c>
      <c r="G2545">
        <f>G2544+IF(D2545="",0,1)</f>
        <v/>
      </c>
    </row>
    <row r="2546">
      <c r="A2546">
        <f>IF('KG1-5'!$B16="","",'KG1-5'!$B16)</f>
        <v/>
      </c>
      <c r="B2546">
        <f>IF(A2546="","",'KG1-5'!$C16)</f>
        <v/>
      </c>
      <c r="C2546">
        <f>IF(A2546="","",'KG1-5'!$B$2)</f>
        <v/>
      </c>
      <c r="D2546" s="126">
        <f t="array" ref="D2546">IF(A2546="","",IFERROR(SMALL(IF((('KG1-5'!$AD16:$IM16="غياب بدون عذر")+('KG1-5'!$AD16:$IM16="غياب بعذر"))*('KG1-5'!$AD$7:$IM$7="✓"),'KG1-5'!$AD$5:$IM$5),5),""))</f>
        <v/>
      </c>
      <c r="E2546">
        <f>IF(D2546="","",INDEX('KG1-5'!$AD16:$IM16,MATCH(D2546,'KG1-5'!$AD$5:$IM$5,0)))</f>
        <v/>
      </c>
      <c r="F2546">
        <f>IF(D2546="","",COUNTIFS('KG1-5'!$AD16:$IM16,"غياب بدون عذر",'KG1-5'!$AD$7:$IM$7,"✓",'KG1-5'!$AD$5:$IM$5,"&lt;="&amp;D2546))</f>
        <v/>
      </c>
      <c r="G2546">
        <f>G2545+IF(D2546="",0,1)</f>
        <v/>
      </c>
    </row>
    <row r="2547">
      <c r="A2547">
        <f>IF('KG1-5'!$B16="","",'KG1-5'!$B16)</f>
        <v/>
      </c>
      <c r="B2547">
        <f>IF(A2547="","",'KG1-5'!$C16)</f>
        <v/>
      </c>
      <c r="C2547">
        <f>IF(A2547="","",'KG1-5'!$B$2)</f>
        <v/>
      </c>
      <c r="D2547" s="126">
        <f t="array" ref="D2547">IF(A2547="","",IFERROR(SMALL(IF((('KG1-5'!$AD16:$IM16="غياب بدون عذر")+('KG1-5'!$AD16:$IM16="غياب بعذر"))*('KG1-5'!$AD$7:$IM$7="✓"),'KG1-5'!$AD$5:$IM$5),6),""))</f>
        <v/>
      </c>
      <c r="E2547">
        <f>IF(D2547="","",INDEX('KG1-5'!$AD16:$IM16,MATCH(D2547,'KG1-5'!$AD$5:$IM$5,0)))</f>
        <v/>
      </c>
      <c r="F2547">
        <f>IF(D2547="","",COUNTIFS('KG1-5'!$AD16:$IM16,"غياب بدون عذر",'KG1-5'!$AD$7:$IM$7,"✓",'KG1-5'!$AD$5:$IM$5,"&lt;="&amp;D2547))</f>
        <v/>
      </c>
      <c r="G2547">
        <f>G2546+IF(D2547="",0,1)</f>
        <v/>
      </c>
    </row>
    <row r="2548">
      <c r="A2548">
        <f>IF('KG1-5'!$B16="","",'KG1-5'!$B16)</f>
        <v/>
      </c>
      <c r="B2548">
        <f>IF(A2548="","",'KG1-5'!$C16)</f>
        <v/>
      </c>
      <c r="C2548">
        <f>IF(A2548="","",'KG1-5'!$B$2)</f>
        <v/>
      </c>
      <c r="D2548" s="126">
        <f t="array" ref="D2548">IF(A2548="","",IFERROR(SMALL(IF((('KG1-5'!$AD16:$IM16="غياب بدون عذر")+('KG1-5'!$AD16:$IM16="غياب بعذر"))*('KG1-5'!$AD$7:$IM$7="✓"),'KG1-5'!$AD$5:$IM$5),7),""))</f>
        <v/>
      </c>
      <c r="E2548">
        <f>IF(D2548="","",INDEX('KG1-5'!$AD16:$IM16,MATCH(D2548,'KG1-5'!$AD$5:$IM$5,0)))</f>
        <v/>
      </c>
      <c r="F2548">
        <f>IF(D2548="","",COUNTIFS('KG1-5'!$AD16:$IM16,"غياب بدون عذر",'KG1-5'!$AD$7:$IM$7,"✓",'KG1-5'!$AD$5:$IM$5,"&lt;="&amp;D2548))</f>
        <v/>
      </c>
      <c r="G2548">
        <f>G2547+IF(D2548="",0,1)</f>
        <v/>
      </c>
    </row>
    <row r="2549">
      <c r="A2549">
        <f>IF('KG1-5'!$B16="","",'KG1-5'!$B16)</f>
        <v/>
      </c>
      <c r="B2549">
        <f>IF(A2549="","",'KG1-5'!$C16)</f>
        <v/>
      </c>
      <c r="C2549">
        <f>IF(A2549="","",'KG1-5'!$B$2)</f>
        <v/>
      </c>
      <c r="D2549" s="126">
        <f t="array" ref="D2549">IF(A2549="","",IFERROR(SMALL(IF((('KG1-5'!$AD16:$IM16="غياب بدون عذر")+('KG1-5'!$AD16:$IM16="غياب بعذر"))*('KG1-5'!$AD$7:$IM$7="✓"),'KG1-5'!$AD$5:$IM$5),8),""))</f>
        <v/>
      </c>
      <c r="E2549">
        <f>IF(D2549="","",INDEX('KG1-5'!$AD16:$IM16,MATCH(D2549,'KG1-5'!$AD$5:$IM$5,0)))</f>
        <v/>
      </c>
      <c r="F2549">
        <f>IF(D2549="","",COUNTIFS('KG1-5'!$AD16:$IM16,"غياب بدون عذر",'KG1-5'!$AD$7:$IM$7,"✓",'KG1-5'!$AD$5:$IM$5,"&lt;="&amp;D2549))</f>
        <v/>
      </c>
      <c r="G2549">
        <f>G2548+IF(D2549="",0,1)</f>
        <v/>
      </c>
    </row>
    <row r="2550">
      <c r="A2550">
        <f>IF('KG1-5'!$B16="","",'KG1-5'!$B16)</f>
        <v/>
      </c>
      <c r="B2550">
        <f>IF(A2550="","",'KG1-5'!$C16)</f>
        <v/>
      </c>
      <c r="C2550">
        <f>IF(A2550="","",'KG1-5'!$B$2)</f>
        <v/>
      </c>
      <c r="D2550" s="126">
        <f t="array" ref="D2550">IF(A2550="","",IFERROR(SMALL(IF((('KG1-5'!$AD16:$IM16="غياب بدون عذر")+('KG1-5'!$AD16:$IM16="غياب بعذر"))*('KG1-5'!$AD$7:$IM$7="✓"),'KG1-5'!$AD$5:$IM$5),9),""))</f>
        <v/>
      </c>
      <c r="E2550">
        <f>IF(D2550="","",INDEX('KG1-5'!$AD16:$IM16,MATCH(D2550,'KG1-5'!$AD$5:$IM$5,0)))</f>
        <v/>
      </c>
      <c r="F2550">
        <f>IF(D2550="","",COUNTIFS('KG1-5'!$AD16:$IM16,"غياب بدون عذر",'KG1-5'!$AD$7:$IM$7,"✓",'KG1-5'!$AD$5:$IM$5,"&lt;="&amp;D2550))</f>
        <v/>
      </c>
      <c r="G2550">
        <f>G2549+IF(D2550="",0,1)</f>
        <v/>
      </c>
    </row>
    <row r="2551">
      <c r="A2551">
        <f>IF('KG1-5'!$B16="","",'KG1-5'!$B16)</f>
        <v/>
      </c>
      <c r="B2551">
        <f>IF(A2551="","",'KG1-5'!$C16)</f>
        <v/>
      </c>
      <c r="C2551">
        <f>IF(A2551="","",'KG1-5'!$B$2)</f>
        <v/>
      </c>
      <c r="D2551" s="126">
        <f t="array" ref="D2551">IF(A2551="","",IFERROR(SMALL(IF((('KG1-5'!$AD16:$IM16="غياب بدون عذر")+('KG1-5'!$AD16:$IM16="غياب بعذر"))*('KG1-5'!$AD$7:$IM$7="✓"),'KG1-5'!$AD$5:$IM$5),10),""))</f>
        <v/>
      </c>
      <c r="E2551">
        <f>IF(D2551="","",INDEX('KG1-5'!$AD16:$IM16,MATCH(D2551,'KG1-5'!$AD$5:$IM$5,0)))</f>
        <v/>
      </c>
      <c r="F2551">
        <f>IF(D2551="","",COUNTIFS('KG1-5'!$AD16:$IM16,"غياب بدون عذر",'KG1-5'!$AD$7:$IM$7,"✓",'KG1-5'!$AD$5:$IM$5,"&lt;="&amp;D2551))</f>
        <v/>
      </c>
      <c r="G2551">
        <f>G2550+IF(D2551="",0,1)</f>
        <v/>
      </c>
    </row>
    <row r="2552">
      <c r="A2552">
        <f>IF('KG1-5'!$B16="","",'KG1-5'!$B16)</f>
        <v/>
      </c>
      <c r="B2552">
        <f>IF(A2552="","",'KG1-5'!$C16)</f>
        <v/>
      </c>
      <c r="C2552">
        <f>IF(A2552="","",'KG1-5'!$B$2)</f>
        <v/>
      </c>
      <c r="D2552" s="126">
        <f t="array" ref="D2552">IF(A2552="","",IFERROR(SMALL(IF((('KG1-5'!$AD16:$IM16="غياب بدون عذر")+('KG1-5'!$AD16:$IM16="غياب بعذر"))*('KG1-5'!$AD$7:$IM$7="✓"),'KG1-5'!$AD$5:$IM$5),11),""))</f>
        <v/>
      </c>
      <c r="E2552">
        <f>IF(D2552="","",INDEX('KG1-5'!$AD16:$IM16,MATCH(D2552,'KG1-5'!$AD$5:$IM$5,0)))</f>
        <v/>
      </c>
      <c r="F2552">
        <f>IF(D2552="","",COUNTIFS('KG1-5'!$AD16:$IM16,"غياب بدون عذر",'KG1-5'!$AD$7:$IM$7,"✓",'KG1-5'!$AD$5:$IM$5,"&lt;="&amp;D2552))</f>
        <v/>
      </c>
      <c r="G2552">
        <f>G2551+IF(D2552="",0,1)</f>
        <v/>
      </c>
    </row>
    <row r="2553">
      <c r="A2553">
        <f>IF('KG1-5'!$B16="","",'KG1-5'!$B16)</f>
        <v/>
      </c>
      <c r="B2553">
        <f>IF(A2553="","",'KG1-5'!$C16)</f>
        <v/>
      </c>
      <c r="C2553">
        <f>IF(A2553="","",'KG1-5'!$B$2)</f>
        <v/>
      </c>
      <c r="D2553" s="126">
        <f t="array" ref="D2553">IF(A2553="","",IFERROR(SMALL(IF((('KG1-5'!$AD16:$IM16="غياب بدون عذر")+('KG1-5'!$AD16:$IM16="غياب بعذر"))*('KG1-5'!$AD$7:$IM$7="✓"),'KG1-5'!$AD$5:$IM$5),12),""))</f>
        <v/>
      </c>
      <c r="E2553">
        <f>IF(D2553="","",INDEX('KG1-5'!$AD16:$IM16,MATCH(D2553,'KG1-5'!$AD$5:$IM$5,0)))</f>
        <v/>
      </c>
      <c r="F2553">
        <f>IF(D2553="","",COUNTIFS('KG1-5'!$AD16:$IM16,"غياب بدون عذر",'KG1-5'!$AD$7:$IM$7,"✓",'KG1-5'!$AD$5:$IM$5,"&lt;="&amp;D2553))</f>
        <v/>
      </c>
      <c r="G2553">
        <f>G2552+IF(D2553="",0,1)</f>
        <v/>
      </c>
    </row>
    <row r="2554">
      <c r="A2554">
        <f>IF('KG1-5'!$B16="","",'KG1-5'!$B16)</f>
        <v/>
      </c>
      <c r="B2554">
        <f>IF(A2554="","",'KG1-5'!$C16)</f>
        <v/>
      </c>
      <c r="C2554">
        <f>IF(A2554="","",'KG1-5'!$B$2)</f>
        <v/>
      </c>
      <c r="D2554" s="126">
        <f t="array" ref="D2554">IF(A2554="","",IFERROR(SMALL(IF((('KG1-5'!$AD16:$IM16="غياب بدون عذر")+('KG1-5'!$AD16:$IM16="غياب بعذر"))*('KG1-5'!$AD$7:$IM$7="✓"),'KG1-5'!$AD$5:$IM$5),13),""))</f>
        <v/>
      </c>
      <c r="E2554">
        <f>IF(D2554="","",INDEX('KG1-5'!$AD16:$IM16,MATCH(D2554,'KG1-5'!$AD$5:$IM$5,0)))</f>
        <v/>
      </c>
      <c r="F2554">
        <f>IF(D2554="","",COUNTIFS('KG1-5'!$AD16:$IM16,"غياب بدون عذر",'KG1-5'!$AD$7:$IM$7,"✓",'KG1-5'!$AD$5:$IM$5,"&lt;="&amp;D2554))</f>
        <v/>
      </c>
      <c r="G2554">
        <f>G2553+IF(D2554="",0,1)</f>
        <v/>
      </c>
    </row>
    <row r="2555">
      <c r="A2555">
        <f>IF('KG1-5'!$B16="","",'KG1-5'!$B16)</f>
        <v/>
      </c>
      <c r="B2555">
        <f>IF(A2555="","",'KG1-5'!$C16)</f>
        <v/>
      </c>
      <c r="C2555">
        <f>IF(A2555="","",'KG1-5'!$B$2)</f>
        <v/>
      </c>
      <c r="D2555" s="126">
        <f t="array" ref="D2555">IF(A2555="","",IFERROR(SMALL(IF((('KG1-5'!$AD16:$IM16="غياب بدون عذر")+('KG1-5'!$AD16:$IM16="غياب بعذر"))*('KG1-5'!$AD$7:$IM$7="✓"),'KG1-5'!$AD$5:$IM$5),14),""))</f>
        <v/>
      </c>
      <c r="E2555">
        <f>IF(D2555="","",INDEX('KG1-5'!$AD16:$IM16,MATCH(D2555,'KG1-5'!$AD$5:$IM$5,0)))</f>
        <v/>
      </c>
      <c r="F2555">
        <f>IF(D2555="","",COUNTIFS('KG1-5'!$AD16:$IM16,"غياب بدون عذر",'KG1-5'!$AD$7:$IM$7,"✓",'KG1-5'!$AD$5:$IM$5,"&lt;="&amp;D2555))</f>
        <v/>
      </c>
      <c r="G2555">
        <f>G2554+IF(D2555="",0,1)</f>
        <v/>
      </c>
    </row>
    <row r="2556">
      <c r="A2556">
        <f>IF('KG1-5'!$B16="","",'KG1-5'!$B16)</f>
        <v/>
      </c>
      <c r="B2556">
        <f>IF(A2556="","",'KG1-5'!$C16)</f>
        <v/>
      </c>
      <c r="C2556">
        <f>IF(A2556="","",'KG1-5'!$B$2)</f>
        <v/>
      </c>
      <c r="D2556" s="126">
        <f t="array" ref="D2556">IF(A2556="","",IFERROR(SMALL(IF((('KG1-5'!$AD16:$IM16="غياب بدون عذر")+('KG1-5'!$AD16:$IM16="غياب بعذر"))*('KG1-5'!$AD$7:$IM$7="✓"),'KG1-5'!$AD$5:$IM$5),15),""))</f>
        <v/>
      </c>
      <c r="E2556">
        <f>IF(D2556="","",INDEX('KG1-5'!$AD16:$IM16,MATCH(D2556,'KG1-5'!$AD$5:$IM$5,0)))</f>
        <v/>
      </c>
      <c r="F2556">
        <f>IF(D2556="","",COUNTIFS('KG1-5'!$AD16:$IM16,"غياب بدون عذر",'KG1-5'!$AD$7:$IM$7,"✓",'KG1-5'!$AD$5:$IM$5,"&lt;="&amp;D2556))</f>
        <v/>
      </c>
      <c r="G2556">
        <f>G2555+IF(D2556="",0,1)</f>
        <v/>
      </c>
    </row>
    <row r="2557">
      <c r="A2557">
        <f>IF('KG1-5'!$B16="","",'KG1-5'!$B16)</f>
        <v/>
      </c>
      <c r="B2557">
        <f>IF(A2557="","",'KG1-5'!$C16)</f>
        <v/>
      </c>
      <c r="C2557">
        <f>IF(A2557="","",'KG1-5'!$B$2)</f>
        <v/>
      </c>
      <c r="D2557" s="126">
        <f t="array" ref="D2557">IF(A2557="","",IFERROR(SMALL(IF((('KG1-5'!$AD16:$IM16="غياب بدون عذر")+('KG1-5'!$AD16:$IM16="غياب بعذر"))*('KG1-5'!$AD$7:$IM$7="✓"),'KG1-5'!$AD$5:$IM$5),16),""))</f>
        <v/>
      </c>
      <c r="E2557">
        <f>IF(D2557="","",INDEX('KG1-5'!$AD16:$IM16,MATCH(D2557,'KG1-5'!$AD$5:$IM$5,0)))</f>
        <v/>
      </c>
      <c r="F2557">
        <f>IF(D2557="","",COUNTIFS('KG1-5'!$AD16:$IM16,"غياب بدون عذر",'KG1-5'!$AD$7:$IM$7,"✓",'KG1-5'!$AD$5:$IM$5,"&lt;="&amp;D2557))</f>
        <v/>
      </c>
      <c r="G2557">
        <f>G2556+IF(D2557="",0,1)</f>
        <v/>
      </c>
    </row>
    <row r="2558">
      <c r="A2558">
        <f>IF('KG1-5'!$B16="","",'KG1-5'!$B16)</f>
        <v/>
      </c>
      <c r="B2558">
        <f>IF(A2558="","",'KG1-5'!$C16)</f>
        <v/>
      </c>
      <c r="C2558">
        <f>IF(A2558="","",'KG1-5'!$B$2)</f>
        <v/>
      </c>
      <c r="D2558" s="126">
        <f t="array" ref="D2558">IF(A2558="","",IFERROR(SMALL(IF((('KG1-5'!$AD16:$IM16="غياب بدون عذر")+('KG1-5'!$AD16:$IM16="غياب بعذر"))*('KG1-5'!$AD$7:$IM$7="✓"),'KG1-5'!$AD$5:$IM$5),17),""))</f>
        <v/>
      </c>
      <c r="E2558">
        <f>IF(D2558="","",INDEX('KG1-5'!$AD16:$IM16,MATCH(D2558,'KG1-5'!$AD$5:$IM$5,0)))</f>
        <v/>
      </c>
      <c r="F2558">
        <f>IF(D2558="","",COUNTIFS('KG1-5'!$AD16:$IM16,"غياب بدون عذر",'KG1-5'!$AD$7:$IM$7,"✓",'KG1-5'!$AD$5:$IM$5,"&lt;="&amp;D2558))</f>
        <v/>
      </c>
      <c r="G2558">
        <f>G2557+IF(D2558="",0,1)</f>
        <v/>
      </c>
    </row>
    <row r="2559">
      <c r="A2559">
        <f>IF('KG1-5'!$B16="","",'KG1-5'!$B16)</f>
        <v/>
      </c>
      <c r="B2559">
        <f>IF(A2559="","",'KG1-5'!$C16)</f>
        <v/>
      </c>
      <c r="C2559">
        <f>IF(A2559="","",'KG1-5'!$B$2)</f>
        <v/>
      </c>
      <c r="D2559" s="126">
        <f t="array" ref="D2559">IF(A2559="","",IFERROR(SMALL(IF((('KG1-5'!$AD16:$IM16="غياب بدون عذر")+('KG1-5'!$AD16:$IM16="غياب بعذر"))*('KG1-5'!$AD$7:$IM$7="✓"),'KG1-5'!$AD$5:$IM$5),18),""))</f>
        <v/>
      </c>
      <c r="E2559">
        <f>IF(D2559="","",INDEX('KG1-5'!$AD16:$IM16,MATCH(D2559,'KG1-5'!$AD$5:$IM$5,0)))</f>
        <v/>
      </c>
      <c r="F2559">
        <f>IF(D2559="","",COUNTIFS('KG1-5'!$AD16:$IM16,"غياب بدون عذر",'KG1-5'!$AD$7:$IM$7,"✓",'KG1-5'!$AD$5:$IM$5,"&lt;="&amp;D2559))</f>
        <v/>
      </c>
      <c r="G2559">
        <f>G2558+IF(D2559="",0,1)</f>
        <v/>
      </c>
    </row>
    <row r="2560">
      <c r="A2560">
        <f>IF('KG1-5'!$B16="","",'KG1-5'!$B16)</f>
        <v/>
      </c>
      <c r="B2560">
        <f>IF(A2560="","",'KG1-5'!$C16)</f>
        <v/>
      </c>
      <c r="C2560">
        <f>IF(A2560="","",'KG1-5'!$B$2)</f>
        <v/>
      </c>
      <c r="D2560" s="126">
        <f t="array" ref="D2560">IF(A2560="","",IFERROR(SMALL(IF((('KG1-5'!$AD16:$IM16="غياب بدون عذر")+('KG1-5'!$AD16:$IM16="غياب بعذر"))*('KG1-5'!$AD$7:$IM$7="✓"),'KG1-5'!$AD$5:$IM$5),19),""))</f>
        <v/>
      </c>
      <c r="E2560">
        <f>IF(D2560="","",INDEX('KG1-5'!$AD16:$IM16,MATCH(D2560,'KG1-5'!$AD$5:$IM$5,0)))</f>
        <v/>
      </c>
      <c r="F2560">
        <f>IF(D2560="","",COUNTIFS('KG1-5'!$AD16:$IM16,"غياب بدون عذر",'KG1-5'!$AD$7:$IM$7,"✓",'KG1-5'!$AD$5:$IM$5,"&lt;="&amp;D2560))</f>
        <v/>
      </c>
      <c r="G2560">
        <f>G2559+IF(D2560="",0,1)</f>
        <v/>
      </c>
    </row>
    <row r="2561">
      <c r="A2561">
        <f>IF('KG1-5'!$B16="","",'KG1-5'!$B16)</f>
        <v/>
      </c>
      <c r="B2561">
        <f>IF(A2561="","",'KG1-5'!$C16)</f>
        <v/>
      </c>
      <c r="C2561">
        <f>IF(A2561="","",'KG1-5'!$B$2)</f>
        <v/>
      </c>
      <c r="D2561" s="126">
        <f t="array" ref="D2561">IF(A2561="","",IFERROR(SMALL(IF((('KG1-5'!$AD16:$IM16="غياب بدون عذر")+('KG1-5'!$AD16:$IM16="غياب بعذر"))*('KG1-5'!$AD$7:$IM$7="✓"),'KG1-5'!$AD$5:$IM$5),20),""))</f>
        <v/>
      </c>
      <c r="E2561">
        <f>IF(D2561="","",INDEX('KG1-5'!$AD16:$IM16,MATCH(D2561,'KG1-5'!$AD$5:$IM$5,0)))</f>
        <v/>
      </c>
      <c r="F2561">
        <f>IF(D2561="","",COUNTIFS('KG1-5'!$AD16:$IM16,"غياب بدون عذر",'KG1-5'!$AD$7:$IM$7,"✓",'KG1-5'!$AD$5:$IM$5,"&lt;="&amp;D2561))</f>
        <v/>
      </c>
      <c r="G2561">
        <f>G2560+IF(D2561="",0,1)</f>
        <v/>
      </c>
    </row>
    <row r="2562">
      <c r="A2562">
        <f>IF('KG1-5'!$B17="","",'KG1-5'!$B17)</f>
        <v/>
      </c>
      <c r="B2562">
        <f>IF(A2562="","",'KG1-5'!$C17)</f>
        <v/>
      </c>
      <c r="C2562">
        <f>IF(A2562="","",'KG1-5'!$B$2)</f>
        <v/>
      </c>
      <c r="D2562" s="126">
        <f t="array" ref="D2562">IF(A2562="","",IFERROR(SMALL(IF((('KG1-5'!$AD17:$IM17="غياب بدون عذر")+('KG1-5'!$AD17:$IM17="غياب بعذر"))*('KG1-5'!$AD$7:$IM$7="✓"),'KG1-5'!$AD$5:$IM$5),1),""))</f>
        <v/>
      </c>
      <c r="E2562">
        <f>IF(D2562="","",INDEX('KG1-5'!$AD17:$IM17,MATCH(D2562,'KG1-5'!$AD$5:$IM$5,0)))</f>
        <v/>
      </c>
      <c r="F2562">
        <f>IF(D2562="","",COUNTIFS('KG1-5'!$AD17:$IM17,"غياب بدون عذر",'KG1-5'!$AD$7:$IM$7,"✓",'KG1-5'!$AD$5:$IM$5,"&lt;="&amp;D2562))</f>
        <v/>
      </c>
      <c r="G2562">
        <f>G2561+IF(D2562="",0,1)</f>
        <v/>
      </c>
    </row>
    <row r="2563">
      <c r="A2563">
        <f>IF('KG1-5'!$B17="","",'KG1-5'!$B17)</f>
        <v/>
      </c>
      <c r="B2563">
        <f>IF(A2563="","",'KG1-5'!$C17)</f>
        <v/>
      </c>
      <c r="C2563">
        <f>IF(A2563="","",'KG1-5'!$B$2)</f>
        <v/>
      </c>
      <c r="D2563" s="126">
        <f t="array" ref="D2563">IF(A2563="","",IFERROR(SMALL(IF((('KG1-5'!$AD17:$IM17="غياب بدون عذر")+('KG1-5'!$AD17:$IM17="غياب بعذر"))*('KG1-5'!$AD$7:$IM$7="✓"),'KG1-5'!$AD$5:$IM$5),2),""))</f>
        <v/>
      </c>
      <c r="E2563">
        <f>IF(D2563="","",INDEX('KG1-5'!$AD17:$IM17,MATCH(D2563,'KG1-5'!$AD$5:$IM$5,0)))</f>
        <v/>
      </c>
      <c r="F2563">
        <f>IF(D2563="","",COUNTIFS('KG1-5'!$AD17:$IM17,"غياب بدون عذر",'KG1-5'!$AD$7:$IM$7,"✓",'KG1-5'!$AD$5:$IM$5,"&lt;="&amp;D2563))</f>
        <v/>
      </c>
      <c r="G2563">
        <f>G2562+IF(D2563="",0,1)</f>
        <v/>
      </c>
    </row>
    <row r="2564">
      <c r="A2564">
        <f>IF('KG1-5'!$B17="","",'KG1-5'!$B17)</f>
        <v/>
      </c>
      <c r="B2564">
        <f>IF(A2564="","",'KG1-5'!$C17)</f>
        <v/>
      </c>
      <c r="C2564">
        <f>IF(A2564="","",'KG1-5'!$B$2)</f>
        <v/>
      </c>
      <c r="D2564" s="126">
        <f t="array" ref="D2564">IF(A2564="","",IFERROR(SMALL(IF((('KG1-5'!$AD17:$IM17="غياب بدون عذر")+('KG1-5'!$AD17:$IM17="غياب بعذر"))*('KG1-5'!$AD$7:$IM$7="✓"),'KG1-5'!$AD$5:$IM$5),3),""))</f>
        <v/>
      </c>
      <c r="E2564">
        <f>IF(D2564="","",INDEX('KG1-5'!$AD17:$IM17,MATCH(D2564,'KG1-5'!$AD$5:$IM$5,0)))</f>
        <v/>
      </c>
      <c r="F2564">
        <f>IF(D2564="","",COUNTIFS('KG1-5'!$AD17:$IM17,"غياب بدون عذر",'KG1-5'!$AD$7:$IM$7,"✓",'KG1-5'!$AD$5:$IM$5,"&lt;="&amp;D2564))</f>
        <v/>
      </c>
      <c r="G2564">
        <f>G2563+IF(D2564="",0,1)</f>
        <v/>
      </c>
    </row>
    <row r="2565">
      <c r="A2565">
        <f>IF('KG1-5'!$B17="","",'KG1-5'!$B17)</f>
        <v/>
      </c>
      <c r="B2565">
        <f>IF(A2565="","",'KG1-5'!$C17)</f>
        <v/>
      </c>
      <c r="C2565">
        <f>IF(A2565="","",'KG1-5'!$B$2)</f>
        <v/>
      </c>
      <c r="D2565" s="126">
        <f t="array" ref="D2565">IF(A2565="","",IFERROR(SMALL(IF((('KG1-5'!$AD17:$IM17="غياب بدون عذر")+('KG1-5'!$AD17:$IM17="غياب بعذر"))*('KG1-5'!$AD$7:$IM$7="✓"),'KG1-5'!$AD$5:$IM$5),4),""))</f>
        <v/>
      </c>
      <c r="E2565">
        <f>IF(D2565="","",INDEX('KG1-5'!$AD17:$IM17,MATCH(D2565,'KG1-5'!$AD$5:$IM$5,0)))</f>
        <v/>
      </c>
      <c r="F2565">
        <f>IF(D2565="","",COUNTIFS('KG1-5'!$AD17:$IM17,"غياب بدون عذر",'KG1-5'!$AD$7:$IM$7,"✓",'KG1-5'!$AD$5:$IM$5,"&lt;="&amp;D2565))</f>
        <v/>
      </c>
      <c r="G2565">
        <f>G2564+IF(D2565="",0,1)</f>
        <v/>
      </c>
    </row>
    <row r="2566">
      <c r="A2566">
        <f>IF('KG1-5'!$B17="","",'KG1-5'!$B17)</f>
        <v/>
      </c>
      <c r="B2566">
        <f>IF(A2566="","",'KG1-5'!$C17)</f>
        <v/>
      </c>
      <c r="C2566">
        <f>IF(A2566="","",'KG1-5'!$B$2)</f>
        <v/>
      </c>
      <c r="D2566" s="126">
        <f t="array" ref="D2566">IF(A2566="","",IFERROR(SMALL(IF((('KG1-5'!$AD17:$IM17="غياب بدون عذر")+('KG1-5'!$AD17:$IM17="غياب بعذر"))*('KG1-5'!$AD$7:$IM$7="✓"),'KG1-5'!$AD$5:$IM$5),5),""))</f>
        <v/>
      </c>
      <c r="E2566">
        <f>IF(D2566="","",INDEX('KG1-5'!$AD17:$IM17,MATCH(D2566,'KG1-5'!$AD$5:$IM$5,0)))</f>
        <v/>
      </c>
      <c r="F2566">
        <f>IF(D2566="","",COUNTIFS('KG1-5'!$AD17:$IM17,"غياب بدون عذر",'KG1-5'!$AD$7:$IM$7,"✓",'KG1-5'!$AD$5:$IM$5,"&lt;="&amp;D2566))</f>
        <v/>
      </c>
      <c r="G2566">
        <f>G2565+IF(D2566="",0,1)</f>
        <v/>
      </c>
    </row>
    <row r="2567">
      <c r="A2567">
        <f>IF('KG1-5'!$B17="","",'KG1-5'!$B17)</f>
        <v/>
      </c>
      <c r="B2567">
        <f>IF(A2567="","",'KG1-5'!$C17)</f>
        <v/>
      </c>
      <c r="C2567">
        <f>IF(A2567="","",'KG1-5'!$B$2)</f>
        <v/>
      </c>
      <c r="D2567" s="126">
        <f t="array" ref="D2567">IF(A2567="","",IFERROR(SMALL(IF((('KG1-5'!$AD17:$IM17="غياب بدون عذر")+('KG1-5'!$AD17:$IM17="غياب بعذر"))*('KG1-5'!$AD$7:$IM$7="✓"),'KG1-5'!$AD$5:$IM$5),6),""))</f>
        <v/>
      </c>
      <c r="E2567">
        <f>IF(D2567="","",INDEX('KG1-5'!$AD17:$IM17,MATCH(D2567,'KG1-5'!$AD$5:$IM$5,0)))</f>
        <v/>
      </c>
      <c r="F2567">
        <f>IF(D2567="","",COUNTIFS('KG1-5'!$AD17:$IM17,"غياب بدون عذر",'KG1-5'!$AD$7:$IM$7,"✓",'KG1-5'!$AD$5:$IM$5,"&lt;="&amp;D2567))</f>
        <v/>
      </c>
      <c r="G2567">
        <f>G2566+IF(D2567="",0,1)</f>
        <v/>
      </c>
    </row>
    <row r="2568">
      <c r="A2568">
        <f>IF('KG1-5'!$B17="","",'KG1-5'!$B17)</f>
        <v/>
      </c>
      <c r="B2568">
        <f>IF(A2568="","",'KG1-5'!$C17)</f>
        <v/>
      </c>
      <c r="C2568">
        <f>IF(A2568="","",'KG1-5'!$B$2)</f>
        <v/>
      </c>
      <c r="D2568" s="126">
        <f t="array" ref="D2568">IF(A2568="","",IFERROR(SMALL(IF((('KG1-5'!$AD17:$IM17="غياب بدون عذر")+('KG1-5'!$AD17:$IM17="غياب بعذر"))*('KG1-5'!$AD$7:$IM$7="✓"),'KG1-5'!$AD$5:$IM$5),7),""))</f>
        <v/>
      </c>
      <c r="E2568">
        <f>IF(D2568="","",INDEX('KG1-5'!$AD17:$IM17,MATCH(D2568,'KG1-5'!$AD$5:$IM$5,0)))</f>
        <v/>
      </c>
      <c r="F2568">
        <f>IF(D2568="","",COUNTIFS('KG1-5'!$AD17:$IM17,"غياب بدون عذر",'KG1-5'!$AD$7:$IM$7,"✓",'KG1-5'!$AD$5:$IM$5,"&lt;="&amp;D2568))</f>
        <v/>
      </c>
      <c r="G2568">
        <f>G2567+IF(D2568="",0,1)</f>
        <v/>
      </c>
    </row>
    <row r="2569">
      <c r="A2569">
        <f>IF('KG1-5'!$B17="","",'KG1-5'!$B17)</f>
        <v/>
      </c>
      <c r="B2569">
        <f>IF(A2569="","",'KG1-5'!$C17)</f>
        <v/>
      </c>
      <c r="C2569">
        <f>IF(A2569="","",'KG1-5'!$B$2)</f>
        <v/>
      </c>
      <c r="D2569" s="126">
        <f t="array" ref="D2569">IF(A2569="","",IFERROR(SMALL(IF((('KG1-5'!$AD17:$IM17="غياب بدون عذر")+('KG1-5'!$AD17:$IM17="غياب بعذر"))*('KG1-5'!$AD$7:$IM$7="✓"),'KG1-5'!$AD$5:$IM$5),8),""))</f>
        <v/>
      </c>
      <c r="E2569">
        <f>IF(D2569="","",INDEX('KG1-5'!$AD17:$IM17,MATCH(D2569,'KG1-5'!$AD$5:$IM$5,0)))</f>
        <v/>
      </c>
      <c r="F2569">
        <f>IF(D2569="","",COUNTIFS('KG1-5'!$AD17:$IM17,"غياب بدون عذر",'KG1-5'!$AD$7:$IM$7,"✓",'KG1-5'!$AD$5:$IM$5,"&lt;="&amp;D2569))</f>
        <v/>
      </c>
      <c r="G2569">
        <f>G2568+IF(D2569="",0,1)</f>
        <v/>
      </c>
    </row>
    <row r="2570">
      <c r="A2570">
        <f>IF('KG1-5'!$B17="","",'KG1-5'!$B17)</f>
        <v/>
      </c>
      <c r="B2570">
        <f>IF(A2570="","",'KG1-5'!$C17)</f>
        <v/>
      </c>
      <c r="C2570">
        <f>IF(A2570="","",'KG1-5'!$B$2)</f>
        <v/>
      </c>
      <c r="D2570" s="126">
        <f t="array" ref="D2570">IF(A2570="","",IFERROR(SMALL(IF((('KG1-5'!$AD17:$IM17="غياب بدون عذر")+('KG1-5'!$AD17:$IM17="غياب بعذر"))*('KG1-5'!$AD$7:$IM$7="✓"),'KG1-5'!$AD$5:$IM$5),9),""))</f>
        <v/>
      </c>
      <c r="E2570">
        <f>IF(D2570="","",INDEX('KG1-5'!$AD17:$IM17,MATCH(D2570,'KG1-5'!$AD$5:$IM$5,0)))</f>
        <v/>
      </c>
      <c r="F2570">
        <f>IF(D2570="","",COUNTIFS('KG1-5'!$AD17:$IM17,"غياب بدون عذر",'KG1-5'!$AD$7:$IM$7,"✓",'KG1-5'!$AD$5:$IM$5,"&lt;="&amp;D2570))</f>
        <v/>
      </c>
      <c r="G2570">
        <f>G2569+IF(D2570="",0,1)</f>
        <v/>
      </c>
    </row>
    <row r="2571">
      <c r="A2571">
        <f>IF('KG1-5'!$B17="","",'KG1-5'!$B17)</f>
        <v/>
      </c>
      <c r="B2571">
        <f>IF(A2571="","",'KG1-5'!$C17)</f>
        <v/>
      </c>
      <c r="C2571">
        <f>IF(A2571="","",'KG1-5'!$B$2)</f>
        <v/>
      </c>
      <c r="D2571" s="126">
        <f t="array" ref="D2571">IF(A2571="","",IFERROR(SMALL(IF((('KG1-5'!$AD17:$IM17="غياب بدون عذر")+('KG1-5'!$AD17:$IM17="غياب بعذر"))*('KG1-5'!$AD$7:$IM$7="✓"),'KG1-5'!$AD$5:$IM$5),10),""))</f>
        <v/>
      </c>
      <c r="E2571">
        <f>IF(D2571="","",INDEX('KG1-5'!$AD17:$IM17,MATCH(D2571,'KG1-5'!$AD$5:$IM$5,0)))</f>
        <v/>
      </c>
      <c r="F2571">
        <f>IF(D2571="","",COUNTIFS('KG1-5'!$AD17:$IM17,"غياب بدون عذر",'KG1-5'!$AD$7:$IM$7,"✓",'KG1-5'!$AD$5:$IM$5,"&lt;="&amp;D2571))</f>
        <v/>
      </c>
      <c r="G2571">
        <f>G2570+IF(D2571="",0,1)</f>
        <v/>
      </c>
    </row>
    <row r="2572">
      <c r="A2572">
        <f>IF('KG1-5'!$B17="","",'KG1-5'!$B17)</f>
        <v/>
      </c>
      <c r="B2572">
        <f>IF(A2572="","",'KG1-5'!$C17)</f>
        <v/>
      </c>
      <c r="C2572">
        <f>IF(A2572="","",'KG1-5'!$B$2)</f>
        <v/>
      </c>
      <c r="D2572" s="126">
        <f t="array" ref="D2572">IF(A2572="","",IFERROR(SMALL(IF((('KG1-5'!$AD17:$IM17="غياب بدون عذر")+('KG1-5'!$AD17:$IM17="غياب بعذر"))*('KG1-5'!$AD$7:$IM$7="✓"),'KG1-5'!$AD$5:$IM$5),11),""))</f>
        <v/>
      </c>
      <c r="E2572">
        <f>IF(D2572="","",INDEX('KG1-5'!$AD17:$IM17,MATCH(D2572,'KG1-5'!$AD$5:$IM$5,0)))</f>
        <v/>
      </c>
      <c r="F2572">
        <f>IF(D2572="","",COUNTIFS('KG1-5'!$AD17:$IM17,"غياب بدون عذر",'KG1-5'!$AD$7:$IM$7,"✓",'KG1-5'!$AD$5:$IM$5,"&lt;="&amp;D2572))</f>
        <v/>
      </c>
      <c r="G2572">
        <f>G2571+IF(D2572="",0,1)</f>
        <v/>
      </c>
    </row>
    <row r="2573">
      <c r="A2573">
        <f>IF('KG1-5'!$B17="","",'KG1-5'!$B17)</f>
        <v/>
      </c>
      <c r="B2573">
        <f>IF(A2573="","",'KG1-5'!$C17)</f>
        <v/>
      </c>
      <c r="C2573">
        <f>IF(A2573="","",'KG1-5'!$B$2)</f>
        <v/>
      </c>
      <c r="D2573" s="126">
        <f t="array" ref="D2573">IF(A2573="","",IFERROR(SMALL(IF((('KG1-5'!$AD17:$IM17="غياب بدون عذر")+('KG1-5'!$AD17:$IM17="غياب بعذر"))*('KG1-5'!$AD$7:$IM$7="✓"),'KG1-5'!$AD$5:$IM$5),12),""))</f>
        <v/>
      </c>
      <c r="E2573">
        <f>IF(D2573="","",INDEX('KG1-5'!$AD17:$IM17,MATCH(D2573,'KG1-5'!$AD$5:$IM$5,0)))</f>
        <v/>
      </c>
      <c r="F2573">
        <f>IF(D2573="","",COUNTIFS('KG1-5'!$AD17:$IM17,"غياب بدون عذر",'KG1-5'!$AD$7:$IM$7,"✓",'KG1-5'!$AD$5:$IM$5,"&lt;="&amp;D2573))</f>
        <v/>
      </c>
      <c r="G2573">
        <f>G2572+IF(D2573="",0,1)</f>
        <v/>
      </c>
    </row>
    <row r="2574">
      <c r="A2574">
        <f>IF('KG1-5'!$B17="","",'KG1-5'!$B17)</f>
        <v/>
      </c>
      <c r="B2574">
        <f>IF(A2574="","",'KG1-5'!$C17)</f>
        <v/>
      </c>
      <c r="C2574">
        <f>IF(A2574="","",'KG1-5'!$B$2)</f>
        <v/>
      </c>
      <c r="D2574" s="126">
        <f t="array" ref="D2574">IF(A2574="","",IFERROR(SMALL(IF((('KG1-5'!$AD17:$IM17="غياب بدون عذر")+('KG1-5'!$AD17:$IM17="غياب بعذر"))*('KG1-5'!$AD$7:$IM$7="✓"),'KG1-5'!$AD$5:$IM$5),13),""))</f>
        <v/>
      </c>
      <c r="E2574">
        <f>IF(D2574="","",INDEX('KG1-5'!$AD17:$IM17,MATCH(D2574,'KG1-5'!$AD$5:$IM$5,0)))</f>
        <v/>
      </c>
      <c r="F2574">
        <f>IF(D2574="","",COUNTIFS('KG1-5'!$AD17:$IM17,"غياب بدون عذر",'KG1-5'!$AD$7:$IM$7,"✓",'KG1-5'!$AD$5:$IM$5,"&lt;="&amp;D2574))</f>
        <v/>
      </c>
      <c r="G2574">
        <f>G2573+IF(D2574="",0,1)</f>
        <v/>
      </c>
    </row>
    <row r="2575">
      <c r="A2575">
        <f>IF('KG1-5'!$B17="","",'KG1-5'!$B17)</f>
        <v/>
      </c>
      <c r="B2575">
        <f>IF(A2575="","",'KG1-5'!$C17)</f>
        <v/>
      </c>
      <c r="C2575">
        <f>IF(A2575="","",'KG1-5'!$B$2)</f>
        <v/>
      </c>
      <c r="D2575" s="126">
        <f t="array" ref="D2575">IF(A2575="","",IFERROR(SMALL(IF((('KG1-5'!$AD17:$IM17="غياب بدون عذر")+('KG1-5'!$AD17:$IM17="غياب بعذر"))*('KG1-5'!$AD$7:$IM$7="✓"),'KG1-5'!$AD$5:$IM$5),14),""))</f>
        <v/>
      </c>
      <c r="E2575">
        <f>IF(D2575="","",INDEX('KG1-5'!$AD17:$IM17,MATCH(D2575,'KG1-5'!$AD$5:$IM$5,0)))</f>
        <v/>
      </c>
      <c r="F2575">
        <f>IF(D2575="","",COUNTIFS('KG1-5'!$AD17:$IM17,"غياب بدون عذر",'KG1-5'!$AD$7:$IM$7,"✓",'KG1-5'!$AD$5:$IM$5,"&lt;="&amp;D2575))</f>
        <v/>
      </c>
      <c r="G2575">
        <f>G2574+IF(D2575="",0,1)</f>
        <v/>
      </c>
    </row>
    <row r="2576">
      <c r="A2576">
        <f>IF('KG1-5'!$B17="","",'KG1-5'!$B17)</f>
        <v/>
      </c>
      <c r="B2576">
        <f>IF(A2576="","",'KG1-5'!$C17)</f>
        <v/>
      </c>
      <c r="C2576">
        <f>IF(A2576="","",'KG1-5'!$B$2)</f>
        <v/>
      </c>
      <c r="D2576" s="126">
        <f t="array" ref="D2576">IF(A2576="","",IFERROR(SMALL(IF((('KG1-5'!$AD17:$IM17="غياب بدون عذر")+('KG1-5'!$AD17:$IM17="غياب بعذر"))*('KG1-5'!$AD$7:$IM$7="✓"),'KG1-5'!$AD$5:$IM$5),15),""))</f>
        <v/>
      </c>
      <c r="E2576">
        <f>IF(D2576="","",INDEX('KG1-5'!$AD17:$IM17,MATCH(D2576,'KG1-5'!$AD$5:$IM$5,0)))</f>
        <v/>
      </c>
      <c r="F2576">
        <f>IF(D2576="","",COUNTIFS('KG1-5'!$AD17:$IM17,"غياب بدون عذر",'KG1-5'!$AD$7:$IM$7,"✓",'KG1-5'!$AD$5:$IM$5,"&lt;="&amp;D2576))</f>
        <v/>
      </c>
      <c r="G2576">
        <f>G2575+IF(D2576="",0,1)</f>
        <v/>
      </c>
    </row>
    <row r="2577">
      <c r="A2577">
        <f>IF('KG1-5'!$B17="","",'KG1-5'!$B17)</f>
        <v/>
      </c>
      <c r="B2577">
        <f>IF(A2577="","",'KG1-5'!$C17)</f>
        <v/>
      </c>
      <c r="C2577">
        <f>IF(A2577="","",'KG1-5'!$B$2)</f>
        <v/>
      </c>
      <c r="D2577" s="126">
        <f t="array" ref="D2577">IF(A2577="","",IFERROR(SMALL(IF((('KG1-5'!$AD17:$IM17="غياب بدون عذر")+('KG1-5'!$AD17:$IM17="غياب بعذر"))*('KG1-5'!$AD$7:$IM$7="✓"),'KG1-5'!$AD$5:$IM$5),16),""))</f>
        <v/>
      </c>
      <c r="E2577">
        <f>IF(D2577="","",INDEX('KG1-5'!$AD17:$IM17,MATCH(D2577,'KG1-5'!$AD$5:$IM$5,0)))</f>
        <v/>
      </c>
      <c r="F2577">
        <f>IF(D2577="","",COUNTIFS('KG1-5'!$AD17:$IM17,"غياب بدون عذر",'KG1-5'!$AD$7:$IM$7,"✓",'KG1-5'!$AD$5:$IM$5,"&lt;="&amp;D2577))</f>
        <v/>
      </c>
      <c r="G2577">
        <f>G2576+IF(D2577="",0,1)</f>
        <v/>
      </c>
    </row>
    <row r="2578">
      <c r="A2578">
        <f>IF('KG1-5'!$B17="","",'KG1-5'!$B17)</f>
        <v/>
      </c>
      <c r="B2578">
        <f>IF(A2578="","",'KG1-5'!$C17)</f>
        <v/>
      </c>
      <c r="C2578">
        <f>IF(A2578="","",'KG1-5'!$B$2)</f>
        <v/>
      </c>
      <c r="D2578" s="126">
        <f t="array" ref="D2578">IF(A2578="","",IFERROR(SMALL(IF((('KG1-5'!$AD17:$IM17="غياب بدون عذر")+('KG1-5'!$AD17:$IM17="غياب بعذر"))*('KG1-5'!$AD$7:$IM$7="✓"),'KG1-5'!$AD$5:$IM$5),17),""))</f>
        <v/>
      </c>
      <c r="E2578">
        <f>IF(D2578="","",INDEX('KG1-5'!$AD17:$IM17,MATCH(D2578,'KG1-5'!$AD$5:$IM$5,0)))</f>
        <v/>
      </c>
      <c r="F2578">
        <f>IF(D2578="","",COUNTIFS('KG1-5'!$AD17:$IM17,"غياب بدون عذر",'KG1-5'!$AD$7:$IM$7,"✓",'KG1-5'!$AD$5:$IM$5,"&lt;="&amp;D2578))</f>
        <v/>
      </c>
      <c r="G2578">
        <f>G2577+IF(D2578="",0,1)</f>
        <v/>
      </c>
    </row>
    <row r="2579">
      <c r="A2579">
        <f>IF('KG1-5'!$B17="","",'KG1-5'!$B17)</f>
        <v/>
      </c>
      <c r="B2579">
        <f>IF(A2579="","",'KG1-5'!$C17)</f>
        <v/>
      </c>
      <c r="C2579">
        <f>IF(A2579="","",'KG1-5'!$B$2)</f>
        <v/>
      </c>
      <c r="D2579" s="126">
        <f t="array" ref="D2579">IF(A2579="","",IFERROR(SMALL(IF((('KG1-5'!$AD17:$IM17="غياب بدون عذر")+('KG1-5'!$AD17:$IM17="غياب بعذر"))*('KG1-5'!$AD$7:$IM$7="✓"),'KG1-5'!$AD$5:$IM$5),18),""))</f>
        <v/>
      </c>
      <c r="E2579">
        <f>IF(D2579="","",INDEX('KG1-5'!$AD17:$IM17,MATCH(D2579,'KG1-5'!$AD$5:$IM$5,0)))</f>
        <v/>
      </c>
      <c r="F2579">
        <f>IF(D2579="","",COUNTIFS('KG1-5'!$AD17:$IM17,"غياب بدون عذر",'KG1-5'!$AD$7:$IM$7,"✓",'KG1-5'!$AD$5:$IM$5,"&lt;="&amp;D2579))</f>
        <v/>
      </c>
      <c r="G2579">
        <f>G2578+IF(D2579="",0,1)</f>
        <v/>
      </c>
    </row>
    <row r="2580">
      <c r="A2580">
        <f>IF('KG1-5'!$B17="","",'KG1-5'!$B17)</f>
        <v/>
      </c>
      <c r="B2580">
        <f>IF(A2580="","",'KG1-5'!$C17)</f>
        <v/>
      </c>
      <c r="C2580">
        <f>IF(A2580="","",'KG1-5'!$B$2)</f>
        <v/>
      </c>
      <c r="D2580" s="126">
        <f t="array" ref="D2580">IF(A2580="","",IFERROR(SMALL(IF((('KG1-5'!$AD17:$IM17="غياب بدون عذر")+('KG1-5'!$AD17:$IM17="غياب بعذر"))*('KG1-5'!$AD$7:$IM$7="✓"),'KG1-5'!$AD$5:$IM$5),19),""))</f>
        <v/>
      </c>
      <c r="E2580">
        <f>IF(D2580="","",INDEX('KG1-5'!$AD17:$IM17,MATCH(D2580,'KG1-5'!$AD$5:$IM$5,0)))</f>
        <v/>
      </c>
      <c r="F2580">
        <f>IF(D2580="","",COUNTIFS('KG1-5'!$AD17:$IM17,"غياب بدون عذر",'KG1-5'!$AD$7:$IM$7,"✓",'KG1-5'!$AD$5:$IM$5,"&lt;="&amp;D2580))</f>
        <v/>
      </c>
      <c r="G2580">
        <f>G2579+IF(D2580="",0,1)</f>
        <v/>
      </c>
    </row>
    <row r="2581">
      <c r="A2581">
        <f>IF('KG1-5'!$B17="","",'KG1-5'!$B17)</f>
        <v/>
      </c>
      <c r="B2581">
        <f>IF(A2581="","",'KG1-5'!$C17)</f>
        <v/>
      </c>
      <c r="C2581">
        <f>IF(A2581="","",'KG1-5'!$B$2)</f>
        <v/>
      </c>
      <c r="D2581" s="126">
        <f t="array" ref="D2581">IF(A2581="","",IFERROR(SMALL(IF((('KG1-5'!$AD17:$IM17="غياب بدون عذر")+('KG1-5'!$AD17:$IM17="غياب بعذر"))*('KG1-5'!$AD$7:$IM$7="✓"),'KG1-5'!$AD$5:$IM$5),20),""))</f>
        <v/>
      </c>
      <c r="E2581">
        <f>IF(D2581="","",INDEX('KG1-5'!$AD17:$IM17,MATCH(D2581,'KG1-5'!$AD$5:$IM$5,0)))</f>
        <v/>
      </c>
      <c r="F2581">
        <f>IF(D2581="","",COUNTIFS('KG1-5'!$AD17:$IM17,"غياب بدون عذر",'KG1-5'!$AD$7:$IM$7,"✓",'KG1-5'!$AD$5:$IM$5,"&lt;="&amp;D2581))</f>
        <v/>
      </c>
      <c r="G2581">
        <f>G2580+IF(D2581="",0,1)</f>
        <v/>
      </c>
    </row>
    <row r="2582">
      <c r="A2582">
        <f>IF('KG1-5'!$B18="","",'KG1-5'!$B18)</f>
        <v/>
      </c>
      <c r="B2582">
        <f>IF(A2582="","",'KG1-5'!$C18)</f>
        <v/>
      </c>
      <c r="C2582">
        <f>IF(A2582="","",'KG1-5'!$B$2)</f>
        <v/>
      </c>
      <c r="D2582" s="126">
        <f t="array" ref="D2582">IF(A2582="","",IFERROR(SMALL(IF((('KG1-5'!$AD18:$IM18="غياب بدون عذر")+('KG1-5'!$AD18:$IM18="غياب بعذر"))*('KG1-5'!$AD$7:$IM$7="✓"),'KG1-5'!$AD$5:$IM$5),1),""))</f>
        <v/>
      </c>
      <c r="E2582">
        <f>IF(D2582="","",INDEX('KG1-5'!$AD18:$IM18,MATCH(D2582,'KG1-5'!$AD$5:$IM$5,0)))</f>
        <v/>
      </c>
      <c r="F2582">
        <f>IF(D2582="","",COUNTIFS('KG1-5'!$AD18:$IM18,"غياب بدون عذر",'KG1-5'!$AD$7:$IM$7,"✓",'KG1-5'!$AD$5:$IM$5,"&lt;="&amp;D2582))</f>
        <v/>
      </c>
      <c r="G2582">
        <f>G2581+IF(D2582="",0,1)</f>
        <v/>
      </c>
    </row>
    <row r="2583">
      <c r="A2583">
        <f>IF('KG1-5'!$B18="","",'KG1-5'!$B18)</f>
        <v/>
      </c>
      <c r="B2583">
        <f>IF(A2583="","",'KG1-5'!$C18)</f>
        <v/>
      </c>
      <c r="C2583">
        <f>IF(A2583="","",'KG1-5'!$B$2)</f>
        <v/>
      </c>
      <c r="D2583" s="126">
        <f t="array" ref="D2583">IF(A2583="","",IFERROR(SMALL(IF((('KG1-5'!$AD18:$IM18="غياب بدون عذر")+('KG1-5'!$AD18:$IM18="غياب بعذر"))*('KG1-5'!$AD$7:$IM$7="✓"),'KG1-5'!$AD$5:$IM$5),2),""))</f>
        <v/>
      </c>
      <c r="E2583">
        <f>IF(D2583="","",INDEX('KG1-5'!$AD18:$IM18,MATCH(D2583,'KG1-5'!$AD$5:$IM$5,0)))</f>
        <v/>
      </c>
      <c r="F2583">
        <f>IF(D2583="","",COUNTIFS('KG1-5'!$AD18:$IM18,"غياب بدون عذر",'KG1-5'!$AD$7:$IM$7,"✓",'KG1-5'!$AD$5:$IM$5,"&lt;="&amp;D2583))</f>
        <v/>
      </c>
      <c r="G2583">
        <f>G2582+IF(D2583="",0,1)</f>
        <v/>
      </c>
    </row>
    <row r="2584">
      <c r="A2584">
        <f>IF('KG1-5'!$B18="","",'KG1-5'!$B18)</f>
        <v/>
      </c>
      <c r="B2584">
        <f>IF(A2584="","",'KG1-5'!$C18)</f>
        <v/>
      </c>
      <c r="C2584">
        <f>IF(A2584="","",'KG1-5'!$B$2)</f>
        <v/>
      </c>
      <c r="D2584" s="126">
        <f t="array" ref="D2584">IF(A2584="","",IFERROR(SMALL(IF((('KG1-5'!$AD18:$IM18="غياب بدون عذر")+('KG1-5'!$AD18:$IM18="غياب بعذر"))*('KG1-5'!$AD$7:$IM$7="✓"),'KG1-5'!$AD$5:$IM$5),3),""))</f>
        <v/>
      </c>
      <c r="E2584">
        <f>IF(D2584="","",INDEX('KG1-5'!$AD18:$IM18,MATCH(D2584,'KG1-5'!$AD$5:$IM$5,0)))</f>
        <v/>
      </c>
      <c r="F2584">
        <f>IF(D2584="","",COUNTIFS('KG1-5'!$AD18:$IM18,"غياب بدون عذر",'KG1-5'!$AD$7:$IM$7,"✓",'KG1-5'!$AD$5:$IM$5,"&lt;="&amp;D2584))</f>
        <v/>
      </c>
      <c r="G2584">
        <f>G2583+IF(D2584="",0,1)</f>
        <v/>
      </c>
    </row>
    <row r="2585">
      <c r="A2585">
        <f>IF('KG1-5'!$B18="","",'KG1-5'!$B18)</f>
        <v/>
      </c>
      <c r="B2585">
        <f>IF(A2585="","",'KG1-5'!$C18)</f>
        <v/>
      </c>
      <c r="C2585">
        <f>IF(A2585="","",'KG1-5'!$B$2)</f>
        <v/>
      </c>
      <c r="D2585" s="126">
        <f t="array" ref="D2585">IF(A2585="","",IFERROR(SMALL(IF((('KG1-5'!$AD18:$IM18="غياب بدون عذر")+('KG1-5'!$AD18:$IM18="غياب بعذر"))*('KG1-5'!$AD$7:$IM$7="✓"),'KG1-5'!$AD$5:$IM$5),4),""))</f>
        <v/>
      </c>
      <c r="E2585">
        <f>IF(D2585="","",INDEX('KG1-5'!$AD18:$IM18,MATCH(D2585,'KG1-5'!$AD$5:$IM$5,0)))</f>
        <v/>
      </c>
      <c r="F2585">
        <f>IF(D2585="","",COUNTIFS('KG1-5'!$AD18:$IM18,"غياب بدون عذر",'KG1-5'!$AD$7:$IM$7,"✓",'KG1-5'!$AD$5:$IM$5,"&lt;="&amp;D2585))</f>
        <v/>
      </c>
      <c r="G2585">
        <f>G2584+IF(D2585="",0,1)</f>
        <v/>
      </c>
    </row>
    <row r="2586">
      <c r="A2586">
        <f>IF('KG1-5'!$B18="","",'KG1-5'!$B18)</f>
        <v/>
      </c>
      <c r="B2586">
        <f>IF(A2586="","",'KG1-5'!$C18)</f>
        <v/>
      </c>
      <c r="C2586">
        <f>IF(A2586="","",'KG1-5'!$B$2)</f>
        <v/>
      </c>
      <c r="D2586" s="126">
        <f t="array" ref="D2586">IF(A2586="","",IFERROR(SMALL(IF((('KG1-5'!$AD18:$IM18="غياب بدون عذر")+('KG1-5'!$AD18:$IM18="غياب بعذر"))*('KG1-5'!$AD$7:$IM$7="✓"),'KG1-5'!$AD$5:$IM$5),5),""))</f>
        <v/>
      </c>
      <c r="E2586">
        <f>IF(D2586="","",INDEX('KG1-5'!$AD18:$IM18,MATCH(D2586,'KG1-5'!$AD$5:$IM$5,0)))</f>
        <v/>
      </c>
      <c r="F2586">
        <f>IF(D2586="","",COUNTIFS('KG1-5'!$AD18:$IM18,"غياب بدون عذر",'KG1-5'!$AD$7:$IM$7,"✓",'KG1-5'!$AD$5:$IM$5,"&lt;="&amp;D2586))</f>
        <v/>
      </c>
      <c r="G2586">
        <f>G2585+IF(D2586="",0,1)</f>
        <v/>
      </c>
    </row>
    <row r="2587">
      <c r="A2587">
        <f>IF('KG1-5'!$B18="","",'KG1-5'!$B18)</f>
        <v/>
      </c>
      <c r="B2587">
        <f>IF(A2587="","",'KG1-5'!$C18)</f>
        <v/>
      </c>
      <c r="C2587">
        <f>IF(A2587="","",'KG1-5'!$B$2)</f>
        <v/>
      </c>
      <c r="D2587" s="126">
        <f t="array" ref="D2587">IF(A2587="","",IFERROR(SMALL(IF((('KG1-5'!$AD18:$IM18="غياب بدون عذر")+('KG1-5'!$AD18:$IM18="غياب بعذر"))*('KG1-5'!$AD$7:$IM$7="✓"),'KG1-5'!$AD$5:$IM$5),6),""))</f>
        <v/>
      </c>
      <c r="E2587">
        <f>IF(D2587="","",INDEX('KG1-5'!$AD18:$IM18,MATCH(D2587,'KG1-5'!$AD$5:$IM$5,0)))</f>
        <v/>
      </c>
      <c r="F2587">
        <f>IF(D2587="","",COUNTIFS('KG1-5'!$AD18:$IM18,"غياب بدون عذر",'KG1-5'!$AD$7:$IM$7,"✓",'KG1-5'!$AD$5:$IM$5,"&lt;="&amp;D2587))</f>
        <v/>
      </c>
      <c r="G2587">
        <f>G2586+IF(D2587="",0,1)</f>
        <v/>
      </c>
    </row>
    <row r="2588">
      <c r="A2588">
        <f>IF('KG1-5'!$B18="","",'KG1-5'!$B18)</f>
        <v/>
      </c>
      <c r="B2588">
        <f>IF(A2588="","",'KG1-5'!$C18)</f>
        <v/>
      </c>
      <c r="C2588">
        <f>IF(A2588="","",'KG1-5'!$B$2)</f>
        <v/>
      </c>
      <c r="D2588" s="126">
        <f t="array" ref="D2588">IF(A2588="","",IFERROR(SMALL(IF((('KG1-5'!$AD18:$IM18="غياب بدون عذر")+('KG1-5'!$AD18:$IM18="غياب بعذر"))*('KG1-5'!$AD$7:$IM$7="✓"),'KG1-5'!$AD$5:$IM$5),7),""))</f>
        <v/>
      </c>
      <c r="E2588">
        <f>IF(D2588="","",INDEX('KG1-5'!$AD18:$IM18,MATCH(D2588,'KG1-5'!$AD$5:$IM$5,0)))</f>
        <v/>
      </c>
      <c r="F2588">
        <f>IF(D2588="","",COUNTIFS('KG1-5'!$AD18:$IM18,"غياب بدون عذر",'KG1-5'!$AD$7:$IM$7,"✓",'KG1-5'!$AD$5:$IM$5,"&lt;="&amp;D2588))</f>
        <v/>
      </c>
      <c r="G2588">
        <f>G2587+IF(D2588="",0,1)</f>
        <v/>
      </c>
    </row>
    <row r="2589">
      <c r="A2589">
        <f>IF('KG1-5'!$B18="","",'KG1-5'!$B18)</f>
        <v/>
      </c>
      <c r="B2589">
        <f>IF(A2589="","",'KG1-5'!$C18)</f>
        <v/>
      </c>
      <c r="C2589">
        <f>IF(A2589="","",'KG1-5'!$B$2)</f>
        <v/>
      </c>
      <c r="D2589" s="126">
        <f t="array" ref="D2589">IF(A2589="","",IFERROR(SMALL(IF((('KG1-5'!$AD18:$IM18="غياب بدون عذر")+('KG1-5'!$AD18:$IM18="غياب بعذر"))*('KG1-5'!$AD$7:$IM$7="✓"),'KG1-5'!$AD$5:$IM$5),8),""))</f>
        <v/>
      </c>
      <c r="E2589">
        <f>IF(D2589="","",INDEX('KG1-5'!$AD18:$IM18,MATCH(D2589,'KG1-5'!$AD$5:$IM$5,0)))</f>
        <v/>
      </c>
      <c r="F2589">
        <f>IF(D2589="","",COUNTIFS('KG1-5'!$AD18:$IM18,"غياب بدون عذر",'KG1-5'!$AD$7:$IM$7,"✓",'KG1-5'!$AD$5:$IM$5,"&lt;="&amp;D2589))</f>
        <v/>
      </c>
      <c r="G2589">
        <f>G2588+IF(D2589="",0,1)</f>
        <v/>
      </c>
    </row>
    <row r="2590">
      <c r="A2590">
        <f>IF('KG1-5'!$B18="","",'KG1-5'!$B18)</f>
        <v/>
      </c>
      <c r="B2590">
        <f>IF(A2590="","",'KG1-5'!$C18)</f>
        <v/>
      </c>
      <c r="C2590">
        <f>IF(A2590="","",'KG1-5'!$B$2)</f>
        <v/>
      </c>
      <c r="D2590" s="126">
        <f t="array" ref="D2590">IF(A2590="","",IFERROR(SMALL(IF((('KG1-5'!$AD18:$IM18="غياب بدون عذر")+('KG1-5'!$AD18:$IM18="غياب بعذر"))*('KG1-5'!$AD$7:$IM$7="✓"),'KG1-5'!$AD$5:$IM$5),9),""))</f>
        <v/>
      </c>
      <c r="E2590">
        <f>IF(D2590="","",INDEX('KG1-5'!$AD18:$IM18,MATCH(D2590,'KG1-5'!$AD$5:$IM$5,0)))</f>
        <v/>
      </c>
      <c r="F2590">
        <f>IF(D2590="","",COUNTIFS('KG1-5'!$AD18:$IM18,"غياب بدون عذر",'KG1-5'!$AD$7:$IM$7,"✓",'KG1-5'!$AD$5:$IM$5,"&lt;="&amp;D2590))</f>
        <v/>
      </c>
      <c r="G2590">
        <f>G2589+IF(D2590="",0,1)</f>
        <v/>
      </c>
    </row>
    <row r="2591">
      <c r="A2591">
        <f>IF('KG1-5'!$B18="","",'KG1-5'!$B18)</f>
        <v/>
      </c>
      <c r="B2591">
        <f>IF(A2591="","",'KG1-5'!$C18)</f>
        <v/>
      </c>
      <c r="C2591">
        <f>IF(A2591="","",'KG1-5'!$B$2)</f>
        <v/>
      </c>
      <c r="D2591" s="126">
        <f t="array" ref="D2591">IF(A2591="","",IFERROR(SMALL(IF((('KG1-5'!$AD18:$IM18="غياب بدون عذر")+('KG1-5'!$AD18:$IM18="غياب بعذر"))*('KG1-5'!$AD$7:$IM$7="✓"),'KG1-5'!$AD$5:$IM$5),10),""))</f>
        <v/>
      </c>
      <c r="E2591">
        <f>IF(D2591="","",INDEX('KG1-5'!$AD18:$IM18,MATCH(D2591,'KG1-5'!$AD$5:$IM$5,0)))</f>
        <v/>
      </c>
      <c r="F2591">
        <f>IF(D2591="","",COUNTIFS('KG1-5'!$AD18:$IM18,"غياب بدون عذر",'KG1-5'!$AD$7:$IM$7,"✓",'KG1-5'!$AD$5:$IM$5,"&lt;="&amp;D2591))</f>
        <v/>
      </c>
      <c r="G2591">
        <f>G2590+IF(D2591="",0,1)</f>
        <v/>
      </c>
    </row>
    <row r="2592">
      <c r="A2592">
        <f>IF('KG1-5'!$B18="","",'KG1-5'!$B18)</f>
        <v/>
      </c>
      <c r="B2592">
        <f>IF(A2592="","",'KG1-5'!$C18)</f>
        <v/>
      </c>
      <c r="C2592">
        <f>IF(A2592="","",'KG1-5'!$B$2)</f>
        <v/>
      </c>
      <c r="D2592" s="126">
        <f t="array" ref="D2592">IF(A2592="","",IFERROR(SMALL(IF((('KG1-5'!$AD18:$IM18="غياب بدون عذر")+('KG1-5'!$AD18:$IM18="غياب بعذر"))*('KG1-5'!$AD$7:$IM$7="✓"),'KG1-5'!$AD$5:$IM$5),11),""))</f>
        <v/>
      </c>
      <c r="E2592">
        <f>IF(D2592="","",INDEX('KG1-5'!$AD18:$IM18,MATCH(D2592,'KG1-5'!$AD$5:$IM$5,0)))</f>
        <v/>
      </c>
      <c r="F2592">
        <f>IF(D2592="","",COUNTIFS('KG1-5'!$AD18:$IM18,"غياب بدون عذر",'KG1-5'!$AD$7:$IM$7,"✓",'KG1-5'!$AD$5:$IM$5,"&lt;="&amp;D2592))</f>
        <v/>
      </c>
      <c r="G2592">
        <f>G2591+IF(D2592="",0,1)</f>
        <v/>
      </c>
    </row>
    <row r="2593">
      <c r="A2593">
        <f>IF('KG1-5'!$B18="","",'KG1-5'!$B18)</f>
        <v/>
      </c>
      <c r="B2593">
        <f>IF(A2593="","",'KG1-5'!$C18)</f>
        <v/>
      </c>
      <c r="C2593">
        <f>IF(A2593="","",'KG1-5'!$B$2)</f>
        <v/>
      </c>
      <c r="D2593" s="126">
        <f t="array" ref="D2593">IF(A2593="","",IFERROR(SMALL(IF((('KG1-5'!$AD18:$IM18="غياب بدون عذر")+('KG1-5'!$AD18:$IM18="غياب بعذر"))*('KG1-5'!$AD$7:$IM$7="✓"),'KG1-5'!$AD$5:$IM$5),12),""))</f>
        <v/>
      </c>
      <c r="E2593">
        <f>IF(D2593="","",INDEX('KG1-5'!$AD18:$IM18,MATCH(D2593,'KG1-5'!$AD$5:$IM$5,0)))</f>
        <v/>
      </c>
      <c r="F2593">
        <f>IF(D2593="","",COUNTIFS('KG1-5'!$AD18:$IM18,"غياب بدون عذر",'KG1-5'!$AD$7:$IM$7,"✓",'KG1-5'!$AD$5:$IM$5,"&lt;="&amp;D2593))</f>
        <v/>
      </c>
      <c r="G2593">
        <f>G2592+IF(D2593="",0,1)</f>
        <v/>
      </c>
    </row>
    <row r="2594">
      <c r="A2594">
        <f>IF('KG1-5'!$B18="","",'KG1-5'!$B18)</f>
        <v/>
      </c>
      <c r="B2594">
        <f>IF(A2594="","",'KG1-5'!$C18)</f>
        <v/>
      </c>
      <c r="C2594">
        <f>IF(A2594="","",'KG1-5'!$B$2)</f>
        <v/>
      </c>
      <c r="D2594" s="126">
        <f t="array" ref="D2594">IF(A2594="","",IFERROR(SMALL(IF((('KG1-5'!$AD18:$IM18="غياب بدون عذر")+('KG1-5'!$AD18:$IM18="غياب بعذر"))*('KG1-5'!$AD$7:$IM$7="✓"),'KG1-5'!$AD$5:$IM$5),13),""))</f>
        <v/>
      </c>
      <c r="E2594">
        <f>IF(D2594="","",INDEX('KG1-5'!$AD18:$IM18,MATCH(D2594,'KG1-5'!$AD$5:$IM$5,0)))</f>
        <v/>
      </c>
      <c r="F2594">
        <f>IF(D2594="","",COUNTIFS('KG1-5'!$AD18:$IM18,"غياب بدون عذر",'KG1-5'!$AD$7:$IM$7,"✓",'KG1-5'!$AD$5:$IM$5,"&lt;="&amp;D2594))</f>
        <v/>
      </c>
      <c r="G2594">
        <f>G2593+IF(D2594="",0,1)</f>
        <v/>
      </c>
    </row>
    <row r="2595">
      <c r="A2595">
        <f>IF('KG1-5'!$B18="","",'KG1-5'!$B18)</f>
        <v/>
      </c>
      <c r="B2595">
        <f>IF(A2595="","",'KG1-5'!$C18)</f>
        <v/>
      </c>
      <c r="C2595">
        <f>IF(A2595="","",'KG1-5'!$B$2)</f>
        <v/>
      </c>
      <c r="D2595" s="126">
        <f t="array" ref="D2595">IF(A2595="","",IFERROR(SMALL(IF((('KG1-5'!$AD18:$IM18="غياب بدون عذر")+('KG1-5'!$AD18:$IM18="غياب بعذر"))*('KG1-5'!$AD$7:$IM$7="✓"),'KG1-5'!$AD$5:$IM$5),14),""))</f>
        <v/>
      </c>
      <c r="E2595">
        <f>IF(D2595="","",INDEX('KG1-5'!$AD18:$IM18,MATCH(D2595,'KG1-5'!$AD$5:$IM$5,0)))</f>
        <v/>
      </c>
      <c r="F2595">
        <f>IF(D2595="","",COUNTIFS('KG1-5'!$AD18:$IM18,"غياب بدون عذر",'KG1-5'!$AD$7:$IM$7,"✓",'KG1-5'!$AD$5:$IM$5,"&lt;="&amp;D2595))</f>
        <v/>
      </c>
      <c r="G2595">
        <f>G2594+IF(D2595="",0,1)</f>
        <v/>
      </c>
    </row>
    <row r="2596">
      <c r="A2596">
        <f>IF('KG1-5'!$B18="","",'KG1-5'!$B18)</f>
        <v/>
      </c>
      <c r="B2596">
        <f>IF(A2596="","",'KG1-5'!$C18)</f>
        <v/>
      </c>
      <c r="C2596">
        <f>IF(A2596="","",'KG1-5'!$B$2)</f>
        <v/>
      </c>
      <c r="D2596" s="126">
        <f t="array" ref="D2596">IF(A2596="","",IFERROR(SMALL(IF((('KG1-5'!$AD18:$IM18="غياب بدون عذر")+('KG1-5'!$AD18:$IM18="غياب بعذر"))*('KG1-5'!$AD$7:$IM$7="✓"),'KG1-5'!$AD$5:$IM$5),15),""))</f>
        <v/>
      </c>
      <c r="E2596">
        <f>IF(D2596="","",INDEX('KG1-5'!$AD18:$IM18,MATCH(D2596,'KG1-5'!$AD$5:$IM$5,0)))</f>
        <v/>
      </c>
      <c r="F2596">
        <f>IF(D2596="","",COUNTIFS('KG1-5'!$AD18:$IM18,"غياب بدون عذر",'KG1-5'!$AD$7:$IM$7,"✓",'KG1-5'!$AD$5:$IM$5,"&lt;="&amp;D2596))</f>
        <v/>
      </c>
      <c r="G2596">
        <f>G2595+IF(D2596="",0,1)</f>
        <v/>
      </c>
    </row>
    <row r="2597">
      <c r="A2597">
        <f>IF('KG1-5'!$B18="","",'KG1-5'!$B18)</f>
        <v/>
      </c>
      <c r="B2597">
        <f>IF(A2597="","",'KG1-5'!$C18)</f>
        <v/>
      </c>
      <c r="C2597">
        <f>IF(A2597="","",'KG1-5'!$B$2)</f>
        <v/>
      </c>
      <c r="D2597" s="126">
        <f t="array" ref="D2597">IF(A2597="","",IFERROR(SMALL(IF((('KG1-5'!$AD18:$IM18="غياب بدون عذر")+('KG1-5'!$AD18:$IM18="غياب بعذر"))*('KG1-5'!$AD$7:$IM$7="✓"),'KG1-5'!$AD$5:$IM$5),16),""))</f>
        <v/>
      </c>
      <c r="E2597">
        <f>IF(D2597="","",INDEX('KG1-5'!$AD18:$IM18,MATCH(D2597,'KG1-5'!$AD$5:$IM$5,0)))</f>
        <v/>
      </c>
      <c r="F2597">
        <f>IF(D2597="","",COUNTIFS('KG1-5'!$AD18:$IM18,"غياب بدون عذر",'KG1-5'!$AD$7:$IM$7,"✓",'KG1-5'!$AD$5:$IM$5,"&lt;="&amp;D2597))</f>
        <v/>
      </c>
      <c r="G2597">
        <f>G2596+IF(D2597="",0,1)</f>
        <v/>
      </c>
    </row>
    <row r="2598">
      <c r="A2598">
        <f>IF('KG1-5'!$B18="","",'KG1-5'!$B18)</f>
        <v/>
      </c>
      <c r="B2598">
        <f>IF(A2598="","",'KG1-5'!$C18)</f>
        <v/>
      </c>
      <c r="C2598">
        <f>IF(A2598="","",'KG1-5'!$B$2)</f>
        <v/>
      </c>
      <c r="D2598" s="126">
        <f t="array" ref="D2598">IF(A2598="","",IFERROR(SMALL(IF((('KG1-5'!$AD18:$IM18="غياب بدون عذر")+('KG1-5'!$AD18:$IM18="غياب بعذر"))*('KG1-5'!$AD$7:$IM$7="✓"),'KG1-5'!$AD$5:$IM$5),17),""))</f>
        <v/>
      </c>
      <c r="E2598">
        <f>IF(D2598="","",INDEX('KG1-5'!$AD18:$IM18,MATCH(D2598,'KG1-5'!$AD$5:$IM$5,0)))</f>
        <v/>
      </c>
      <c r="F2598">
        <f>IF(D2598="","",COUNTIFS('KG1-5'!$AD18:$IM18,"غياب بدون عذر",'KG1-5'!$AD$7:$IM$7,"✓",'KG1-5'!$AD$5:$IM$5,"&lt;="&amp;D2598))</f>
        <v/>
      </c>
      <c r="G2598">
        <f>G2597+IF(D2598="",0,1)</f>
        <v/>
      </c>
    </row>
    <row r="2599">
      <c r="A2599">
        <f>IF('KG1-5'!$B18="","",'KG1-5'!$B18)</f>
        <v/>
      </c>
      <c r="B2599">
        <f>IF(A2599="","",'KG1-5'!$C18)</f>
        <v/>
      </c>
      <c r="C2599">
        <f>IF(A2599="","",'KG1-5'!$B$2)</f>
        <v/>
      </c>
      <c r="D2599" s="126">
        <f t="array" ref="D2599">IF(A2599="","",IFERROR(SMALL(IF((('KG1-5'!$AD18:$IM18="غياب بدون عذر")+('KG1-5'!$AD18:$IM18="غياب بعذر"))*('KG1-5'!$AD$7:$IM$7="✓"),'KG1-5'!$AD$5:$IM$5),18),""))</f>
        <v/>
      </c>
      <c r="E2599">
        <f>IF(D2599="","",INDEX('KG1-5'!$AD18:$IM18,MATCH(D2599,'KG1-5'!$AD$5:$IM$5,0)))</f>
        <v/>
      </c>
      <c r="F2599">
        <f>IF(D2599="","",COUNTIFS('KG1-5'!$AD18:$IM18,"غياب بدون عذر",'KG1-5'!$AD$7:$IM$7,"✓",'KG1-5'!$AD$5:$IM$5,"&lt;="&amp;D2599))</f>
        <v/>
      </c>
      <c r="G2599">
        <f>G2598+IF(D2599="",0,1)</f>
        <v/>
      </c>
    </row>
    <row r="2600">
      <c r="A2600">
        <f>IF('KG1-5'!$B18="","",'KG1-5'!$B18)</f>
        <v/>
      </c>
      <c r="B2600">
        <f>IF(A2600="","",'KG1-5'!$C18)</f>
        <v/>
      </c>
      <c r="C2600">
        <f>IF(A2600="","",'KG1-5'!$B$2)</f>
        <v/>
      </c>
      <c r="D2600" s="126">
        <f t="array" ref="D2600">IF(A2600="","",IFERROR(SMALL(IF((('KG1-5'!$AD18:$IM18="غياب بدون عذر")+('KG1-5'!$AD18:$IM18="غياب بعذر"))*('KG1-5'!$AD$7:$IM$7="✓"),'KG1-5'!$AD$5:$IM$5),19),""))</f>
        <v/>
      </c>
      <c r="E2600">
        <f>IF(D2600="","",INDEX('KG1-5'!$AD18:$IM18,MATCH(D2600,'KG1-5'!$AD$5:$IM$5,0)))</f>
        <v/>
      </c>
      <c r="F2600">
        <f>IF(D2600="","",COUNTIFS('KG1-5'!$AD18:$IM18,"غياب بدون عذر",'KG1-5'!$AD$7:$IM$7,"✓",'KG1-5'!$AD$5:$IM$5,"&lt;="&amp;D2600))</f>
        <v/>
      </c>
      <c r="G2600">
        <f>G2599+IF(D2600="",0,1)</f>
        <v/>
      </c>
    </row>
    <row r="2601">
      <c r="A2601">
        <f>IF('KG1-5'!$B18="","",'KG1-5'!$B18)</f>
        <v/>
      </c>
      <c r="B2601">
        <f>IF(A2601="","",'KG1-5'!$C18)</f>
        <v/>
      </c>
      <c r="C2601">
        <f>IF(A2601="","",'KG1-5'!$B$2)</f>
        <v/>
      </c>
      <c r="D2601" s="126">
        <f t="array" ref="D2601">IF(A2601="","",IFERROR(SMALL(IF((('KG1-5'!$AD18:$IM18="غياب بدون عذر")+('KG1-5'!$AD18:$IM18="غياب بعذر"))*('KG1-5'!$AD$7:$IM$7="✓"),'KG1-5'!$AD$5:$IM$5),20),""))</f>
        <v/>
      </c>
      <c r="E2601">
        <f>IF(D2601="","",INDEX('KG1-5'!$AD18:$IM18,MATCH(D2601,'KG1-5'!$AD$5:$IM$5,0)))</f>
        <v/>
      </c>
      <c r="F2601">
        <f>IF(D2601="","",COUNTIFS('KG1-5'!$AD18:$IM18,"غياب بدون عذر",'KG1-5'!$AD$7:$IM$7,"✓",'KG1-5'!$AD$5:$IM$5,"&lt;="&amp;D2601))</f>
        <v/>
      </c>
      <c r="G2601">
        <f>G2600+IF(D2601="",0,1)</f>
        <v/>
      </c>
    </row>
    <row r="2602">
      <c r="A2602">
        <f>IF('KG1-5'!$B19="","",'KG1-5'!$B19)</f>
        <v/>
      </c>
      <c r="B2602">
        <f>IF(A2602="","",'KG1-5'!$C19)</f>
        <v/>
      </c>
      <c r="C2602">
        <f>IF(A2602="","",'KG1-5'!$B$2)</f>
        <v/>
      </c>
      <c r="D2602" s="126">
        <f t="array" ref="D2602">IF(A2602="","",IFERROR(SMALL(IF((('KG1-5'!$AD19:$IM19="غياب بدون عذر")+('KG1-5'!$AD19:$IM19="غياب بعذر"))*('KG1-5'!$AD$7:$IM$7="✓"),'KG1-5'!$AD$5:$IM$5),1),""))</f>
        <v/>
      </c>
      <c r="E2602">
        <f>IF(D2602="","",INDEX('KG1-5'!$AD19:$IM19,MATCH(D2602,'KG1-5'!$AD$5:$IM$5,0)))</f>
        <v/>
      </c>
      <c r="F2602">
        <f>IF(D2602="","",COUNTIFS('KG1-5'!$AD19:$IM19,"غياب بدون عذر",'KG1-5'!$AD$7:$IM$7,"✓",'KG1-5'!$AD$5:$IM$5,"&lt;="&amp;D2602))</f>
        <v/>
      </c>
      <c r="G2602">
        <f>G2601+IF(D2602="",0,1)</f>
        <v/>
      </c>
    </row>
    <row r="2603">
      <c r="A2603">
        <f>IF('KG1-5'!$B19="","",'KG1-5'!$B19)</f>
        <v/>
      </c>
      <c r="B2603">
        <f>IF(A2603="","",'KG1-5'!$C19)</f>
        <v/>
      </c>
      <c r="C2603">
        <f>IF(A2603="","",'KG1-5'!$B$2)</f>
        <v/>
      </c>
      <c r="D2603" s="126">
        <f t="array" ref="D2603">IF(A2603="","",IFERROR(SMALL(IF((('KG1-5'!$AD19:$IM19="غياب بدون عذر")+('KG1-5'!$AD19:$IM19="غياب بعذر"))*('KG1-5'!$AD$7:$IM$7="✓"),'KG1-5'!$AD$5:$IM$5),2),""))</f>
        <v/>
      </c>
      <c r="E2603">
        <f>IF(D2603="","",INDEX('KG1-5'!$AD19:$IM19,MATCH(D2603,'KG1-5'!$AD$5:$IM$5,0)))</f>
        <v/>
      </c>
      <c r="F2603">
        <f>IF(D2603="","",COUNTIFS('KG1-5'!$AD19:$IM19,"غياب بدون عذر",'KG1-5'!$AD$7:$IM$7,"✓",'KG1-5'!$AD$5:$IM$5,"&lt;="&amp;D2603))</f>
        <v/>
      </c>
      <c r="G2603">
        <f>G2602+IF(D2603="",0,1)</f>
        <v/>
      </c>
    </row>
    <row r="2604">
      <c r="A2604">
        <f>IF('KG1-5'!$B19="","",'KG1-5'!$B19)</f>
        <v/>
      </c>
      <c r="B2604">
        <f>IF(A2604="","",'KG1-5'!$C19)</f>
        <v/>
      </c>
      <c r="C2604">
        <f>IF(A2604="","",'KG1-5'!$B$2)</f>
        <v/>
      </c>
      <c r="D2604" s="126">
        <f t="array" ref="D2604">IF(A2604="","",IFERROR(SMALL(IF((('KG1-5'!$AD19:$IM19="غياب بدون عذر")+('KG1-5'!$AD19:$IM19="غياب بعذر"))*('KG1-5'!$AD$7:$IM$7="✓"),'KG1-5'!$AD$5:$IM$5),3),""))</f>
        <v/>
      </c>
      <c r="E2604">
        <f>IF(D2604="","",INDEX('KG1-5'!$AD19:$IM19,MATCH(D2604,'KG1-5'!$AD$5:$IM$5,0)))</f>
        <v/>
      </c>
      <c r="F2604">
        <f>IF(D2604="","",COUNTIFS('KG1-5'!$AD19:$IM19,"غياب بدون عذر",'KG1-5'!$AD$7:$IM$7,"✓",'KG1-5'!$AD$5:$IM$5,"&lt;="&amp;D2604))</f>
        <v/>
      </c>
      <c r="G2604">
        <f>G2603+IF(D2604="",0,1)</f>
        <v/>
      </c>
    </row>
    <row r="2605">
      <c r="A2605">
        <f>IF('KG1-5'!$B19="","",'KG1-5'!$B19)</f>
        <v/>
      </c>
      <c r="B2605">
        <f>IF(A2605="","",'KG1-5'!$C19)</f>
        <v/>
      </c>
      <c r="C2605">
        <f>IF(A2605="","",'KG1-5'!$B$2)</f>
        <v/>
      </c>
      <c r="D2605" s="126">
        <f t="array" ref="D2605">IF(A2605="","",IFERROR(SMALL(IF((('KG1-5'!$AD19:$IM19="غياب بدون عذر")+('KG1-5'!$AD19:$IM19="غياب بعذر"))*('KG1-5'!$AD$7:$IM$7="✓"),'KG1-5'!$AD$5:$IM$5),4),""))</f>
        <v/>
      </c>
      <c r="E2605">
        <f>IF(D2605="","",INDEX('KG1-5'!$AD19:$IM19,MATCH(D2605,'KG1-5'!$AD$5:$IM$5,0)))</f>
        <v/>
      </c>
      <c r="F2605">
        <f>IF(D2605="","",COUNTIFS('KG1-5'!$AD19:$IM19,"غياب بدون عذر",'KG1-5'!$AD$7:$IM$7,"✓",'KG1-5'!$AD$5:$IM$5,"&lt;="&amp;D2605))</f>
        <v/>
      </c>
      <c r="G2605">
        <f>G2604+IF(D2605="",0,1)</f>
        <v/>
      </c>
    </row>
    <row r="2606">
      <c r="A2606">
        <f>IF('KG1-5'!$B19="","",'KG1-5'!$B19)</f>
        <v/>
      </c>
      <c r="B2606">
        <f>IF(A2606="","",'KG1-5'!$C19)</f>
        <v/>
      </c>
      <c r="C2606">
        <f>IF(A2606="","",'KG1-5'!$B$2)</f>
        <v/>
      </c>
      <c r="D2606" s="126">
        <f t="array" ref="D2606">IF(A2606="","",IFERROR(SMALL(IF((('KG1-5'!$AD19:$IM19="غياب بدون عذر")+('KG1-5'!$AD19:$IM19="غياب بعذر"))*('KG1-5'!$AD$7:$IM$7="✓"),'KG1-5'!$AD$5:$IM$5),5),""))</f>
        <v/>
      </c>
      <c r="E2606">
        <f>IF(D2606="","",INDEX('KG1-5'!$AD19:$IM19,MATCH(D2606,'KG1-5'!$AD$5:$IM$5,0)))</f>
        <v/>
      </c>
      <c r="F2606">
        <f>IF(D2606="","",COUNTIFS('KG1-5'!$AD19:$IM19,"غياب بدون عذر",'KG1-5'!$AD$7:$IM$7,"✓",'KG1-5'!$AD$5:$IM$5,"&lt;="&amp;D2606))</f>
        <v/>
      </c>
      <c r="G2606">
        <f>G2605+IF(D2606="",0,1)</f>
        <v/>
      </c>
    </row>
    <row r="2607">
      <c r="A2607">
        <f>IF('KG1-5'!$B19="","",'KG1-5'!$B19)</f>
        <v/>
      </c>
      <c r="B2607">
        <f>IF(A2607="","",'KG1-5'!$C19)</f>
        <v/>
      </c>
      <c r="C2607">
        <f>IF(A2607="","",'KG1-5'!$B$2)</f>
        <v/>
      </c>
      <c r="D2607" s="126">
        <f t="array" ref="D2607">IF(A2607="","",IFERROR(SMALL(IF((('KG1-5'!$AD19:$IM19="غياب بدون عذر")+('KG1-5'!$AD19:$IM19="غياب بعذر"))*('KG1-5'!$AD$7:$IM$7="✓"),'KG1-5'!$AD$5:$IM$5),6),""))</f>
        <v/>
      </c>
      <c r="E2607">
        <f>IF(D2607="","",INDEX('KG1-5'!$AD19:$IM19,MATCH(D2607,'KG1-5'!$AD$5:$IM$5,0)))</f>
        <v/>
      </c>
      <c r="F2607">
        <f>IF(D2607="","",COUNTIFS('KG1-5'!$AD19:$IM19,"غياب بدون عذر",'KG1-5'!$AD$7:$IM$7,"✓",'KG1-5'!$AD$5:$IM$5,"&lt;="&amp;D2607))</f>
        <v/>
      </c>
      <c r="G2607">
        <f>G2606+IF(D2607="",0,1)</f>
        <v/>
      </c>
    </row>
    <row r="2608">
      <c r="A2608">
        <f>IF('KG1-5'!$B19="","",'KG1-5'!$B19)</f>
        <v/>
      </c>
      <c r="B2608">
        <f>IF(A2608="","",'KG1-5'!$C19)</f>
        <v/>
      </c>
      <c r="C2608">
        <f>IF(A2608="","",'KG1-5'!$B$2)</f>
        <v/>
      </c>
      <c r="D2608" s="126">
        <f t="array" ref="D2608">IF(A2608="","",IFERROR(SMALL(IF((('KG1-5'!$AD19:$IM19="غياب بدون عذر")+('KG1-5'!$AD19:$IM19="غياب بعذر"))*('KG1-5'!$AD$7:$IM$7="✓"),'KG1-5'!$AD$5:$IM$5),7),""))</f>
        <v/>
      </c>
      <c r="E2608">
        <f>IF(D2608="","",INDEX('KG1-5'!$AD19:$IM19,MATCH(D2608,'KG1-5'!$AD$5:$IM$5,0)))</f>
        <v/>
      </c>
      <c r="F2608">
        <f>IF(D2608="","",COUNTIFS('KG1-5'!$AD19:$IM19,"غياب بدون عذر",'KG1-5'!$AD$7:$IM$7,"✓",'KG1-5'!$AD$5:$IM$5,"&lt;="&amp;D2608))</f>
        <v/>
      </c>
      <c r="G2608">
        <f>G2607+IF(D2608="",0,1)</f>
        <v/>
      </c>
    </row>
    <row r="2609">
      <c r="A2609">
        <f>IF('KG1-5'!$B19="","",'KG1-5'!$B19)</f>
        <v/>
      </c>
      <c r="B2609">
        <f>IF(A2609="","",'KG1-5'!$C19)</f>
        <v/>
      </c>
      <c r="C2609">
        <f>IF(A2609="","",'KG1-5'!$B$2)</f>
        <v/>
      </c>
      <c r="D2609" s="126">
        <f t="array" ref="D2609">IF(A2609="","",IFERROR(SMALL(IF((('KG1-5'!$AD19:$IM19="غياب بدون عذر")+('KG1-5'!$AD19:$IM19="غياب بعذر"))*('KG1-5'!$AD$7:$IM$7="✓"),'KG1-5'!$AD$5:$IM$5),8),""))</f>
        <v/>
      </c>
      <c r="E2609">
        <f>IF(D2609="","",INDEX('KG1-5'!$AD19:$IM19,MATCH(D2609,'KG1-5'!$AD$5:$IM$5,0)))</f>
        <v/>
      </c>
      <c r="F2609">
        <f>IF(D2609="","",COUNTIFS('KG1-5'!$AD19:$IM19,"غياب بدون عذر",'KG1-5'!$AD$7:$IM$7,"✓",'KG1-5'!$AD$5:$IM$5,"&lt;="&amp;D2609))</f>
        <v/>
      </c>
      <c r="G2609">
        <f>G2608+IF(D2609="",0,1)</f>
        <v/>
      </c>
    </row>
    <row r="2610">
      <c r="A2610">
        <f>IF('KG1-5'!$B19="","",'KG1-5'!$B19)</f>
        <v/>
      </c>
      <c r="B2610">
        <f>IF(A2610="","",'KG1-5'!$C19)</f>
        <v/>
      </c>
      <c r="C2610">
        <f>IF(A2610="","",'KG1-5'!$B$2)</f>
        <v/>
      </c>
      <c r="D2610" s="126">
        <f t="array" ref="D2610">IF(A2610="","",IFERROR(SMALL(IF((('KG1-5'!$AD19:$IM19="غياب بدون عذر")+('KG1-5'!$AD19:$IM19="غياب بعذر"))*('KG1-5'!$AD$7:$IM$7="✓"),'KG1-5'!$AD$5:$IM$5),9),""))</f>
        <v/>
      </c>
      <c r="E2610">
        <f>IF(D2610="","",INDEX('KG1-5'!$AD19:$IM19,MATCH(D2610,'KG1-5'!$AD$5:$IM$5,0)))</f>
        <v/>
      </c>
      <c r="F2610">
        <f>IF(D2610="","",COUNTIFS('KG1-5'!$AD19:$IM19,"غياب بدون عذر",'KG1-5'!$AD$7:$IM$7,"✓",'KG1-5'!$AD$5:$IM$5,"&lt;="&amp;D2610))</f>
        <v/>
      </c>
      <c r="G2610">
        <f>G2609+IF(D2610="",0,1)</f>
        <v/>
      </c>
    </row>
    <row r="2611">
      <c r="A2611">
        <f>IF('KG1-5'!$B19="","",'KG1-5'!$B19)</f>
        <v/>
      </c>
      <c r="B2611">
        <f>IF(A2611="","",'KG1-5'!$C19)</f>
        <v/>
      </c>
      <c r="C2611">
        <f>IF(A2611="","",'KG1-5'!$B$2)</f>
        <v/>
      </c>
      <c r="D2611" s="126">
        <f t="array" ref="D2611">IF(A2611="","",IFERROR(SMALL(IF((('KG1-5'!$AD19:$IM19="غياب بدون عذر")+('KG1-5'!$AD19:$IM19="غياب بعذر"))*('KG1-5'!$AD$7:$IM$7="✓"),'KG1-5'!$AD$5:$IM$5),10),""))</f>
        <v/>
      </c>
      <c r="E2611">
        <f>IF(D2611="","",INDEX('KG1-5'!$AD19:$IM19,MATCH(D2611,'KG1-5'!$AD$5:$IM$5,0)))</f>
        <v/>
      </c>
      <c r="F2611">
        <f>IF(D2611="","",COUNTIFS('KG1-5'!$AD19:$IM19,"غياب بدون عذر",'KG1-5'!$AD$7:$IM$7,"✓",'KG1-5'!$AD$5:$IM$5,"&lt;="&amp;D2611))</f>
        <v/>
      </c>
      <c r="G2611">
        <f>G2610+IF(D2611="",0,1)</f>
        <v/>
      </c>
    </row>
    <row r="2612">
      <c r="A2612">
        <f>IF('KG1-5'!$B19="","",'KG1-5'!$B19)</f>
        <v/>
      </c>
      <c r="B2612">
        <f>IF(A2612="","",'KG1-5'!$C19)</f>
        <v/>
      </c>
      <c r="C2612">
        <f>IF(A2612="","",'KG1-5'!$B$2)</f>
        <v/>
      </c>
      <c r="D2612" s="126">
        <f t="array" ref="D2612">IF(A2612="","",IFERROR(SMALL(IF((('KG1-5'!$AD19:$IM19="غياب بدون عذر")+('KG1-5'!$AD19:$IM19="غياب بعذر"))*('KG1-5'!$AD$7:$IM$7="✓"),'KG1-5'!$AD$5:$IM$5),11),""))</f>
        <v/>
      </c>
      <c r="E2612">
        <f>IF(D2612="","",INDEX('KG1-5'!$AD19:$IM19,MATCH(D2612,'KG1-5'!$AD$5:$IM$5,0)))</f>
        <v/>
      </c>
      <c r="F2612">
        <f>IF(D2612="","",COUNTIFS('KG1-5'!$AD19:$IM19,"غياب بدون عذر",'KG1-5'!$AD$7:$IM$7,"✓",'KG1-5'!$AD$5:$IM$5,"&lt;="&amp;D2612))</f>
        <v/>
      </c>
      <c r="G2612">
        <f>G2611+IF(D2612="",0,1)</f>
        <v/>
      </c>
    </row>
    <row r="2613">
      <c r="A2613">
        <f>IF('KG1-5'!$B19="","",'KG1-5'!$B19)</f>
        <v/>
      </c>
      <c r="B2613">
        <f>IF(A2613="","",'KG1-5'!$C19)</f>
        <v/>
      </c>
      <c r="C2613">
        <f>IF(A2613="","",'KG1-5'!$B$2)</f>
        <v/>
      </c>
      <c r="D2613" s="126">
        <f t="array" ref="D2613">IF(A2613="","",IFERROR(SMALL(IF((('KG1-5'!$AD19:$IM19="غياب بدون عذر")+('KG1-5'!$AD19:$IM19="غياب بعذر"))*('KG1-5'!$AD$7:$IM$7="✓"),'KG1-5'!$AD$5:$IM$5),12),""))</f>
        <v/>
      </c>
      <c r="E2613">
        <f>IF(D2613="","",INDEX('KG1-5'!$AD19:$IM19,MATCH(D2613,'KG1-5'!$AD$5:$IM$5,0)))</f>
        <v/>
      </c>
      <c r="F2613">
        <f>IF(D2613="","",COUNTIFS('KG1-5'!$AD19:$IM19,"غياب بدون عذر",'KG1-5'!$AD$7:$IM$7,"✓",'KG1-5'!$AD$5:$IM$5,"&lt;="&amp;D2613))</f>
        <v/>
      </c>
      <c r="G2613">
        <f>G2612+IF(D2613="",0,1)</f>
        <v/>
      </c>
    </row>
    <row r="2614">
      <c r="A2614">
        <f>IF('KG1-5'!$B19="","",'KG1-5'!$B19)</f>
        <v/>
      </c>
      <c r="B2614">
        <f>IF(A2614="","",'KG1-5'!$C19)</f>
        <v/>
      </c>
      <c r="C2614">
        <f>IF(A2614="","",'KG1-5'!$B$2)</f>
        <v/>
      </c>
      <c r="D2614" s="126">
        <f t="array" ref="D2614">IF(A2614="","",IFERROR(SMALL(IF((('KG1-5'!$AD19:$IM19="غياب بدون عذر")+('KG1-5'!$AD19:$IM19="غياب بعذر"))*('KG1-5'!$AD$7:$IM$7="✓"),'KG1-5'!$AD$5:$IM$5),13),""))</f>
        <v/>
      </c>
      <c r="E2614">
        <f>IF(D2614="","",INDEX('KG1-5'!$AD19:$IM19,MATCH(D2614,'KG1-5'!$AD$5:$IM$5,0)))</f>
        <v/>
      </c>
      <c r="F2614">
        <f>IF(D2614="","",COUNTIFS('KG1-5'!$AD19:$IM19,"غياب بدون عذر",'KG1-5'!$AD$7:$IM$7,"✓",'KG1-5'!$AD$5:$IM$5,"&lt;="&amp;D2614))</f>
        <v/>
      </c>
      <c r="G2614">
        <f>G2613+IF(D2614="",0,1)</f>
        <v/>
      </c>
    </row>
    <row r="2615">
      <c r="A2615">
        <f>IF('KG1-5'!$B19="","",'KG1-5'!$B19)</f>
        <v/>
      </c>
      <c r="B2615">
        <f>IF(A2615="","",'KG1-5'!$C19)</f>
        <v/>
      </c>
      <c r="C2615">
        <f>IF(A2615="","",'KG1-5'!$B$2)</f>
        <v/>
      </c>
      <c r="D2615" s="126">
        <f t="array" ref="D2615">IF(A2615="","",IFERROR(SMALL(IF((('KG1-5'!$AD19:$IM19="غياب بدون عذر")+('KG1-5'!$AD19:$IM19="غياب بعذر"))*('KG1-5'!$AD$7:$IM$7="✓"),'KG1-5'!$AD$5:$IM$5),14),""))</f>
        <v/>
      </c>
      <c r="E2615">
        <f>IF(D2615="","",INDEX('KG1-5'!$AD19:$IM19,MATCH(D2615,'KG1-5'!$AD$5:$IM$5,0)))</f>
        <v/>
      </c>
      <c r="F2615">
        <f>IF(D2615="","",COUNTIFS('KG1-5'!$AD19:$IM19,"غياب بدون عذر",'KG1-5'!$AD$7:$IM$7,"✓",'KG1-5'!$AD$5:$IM$5,"&lt;="&amp;D2615))</f>
        <v/>
      </c>
      <c r="G2615">
        <f>G2614+IF(D2615="",0,1)</f>
        <v/>
      </c>
    </row>
    <row r="2616">
      <c r="A2616">
        <f>IF('KG1-5'!$B19="","",'KG1-5'!$B19)</f>
        <v/>
      </c>
      <c r="B2616">
        <f>IF(A2616="","",'KG1-5'!$C19)</f>
        <v/>
      </c>
      <c r="C2616">
        <f>IF(A2616="","",'KG1-5'!$B$2)</f>
        <v/>
      </c>
      <c r="D2616" s="126">
        <f t="array" ref="D2616">IF(A2616="","",IFERROR(SMALL(IF((('KG1-5'!$AD19:$IM19="غياب بدون عذر")+('KG1-5'!$AD19:$IM19="غياب بعذر"))*('KG1-5'!$AD$7:$IM$7="✓"),'KG1-5'!$AD$5:$IM$5),15),""))</f>
        <v/>
      </c>
      <c r="E2616">
        <f>IF(D2616="","",INDEX('KG1-5'!$AD19:$IM19,MATCH(D2616,'KG1-5'!$AD$5:$IM$5,0)))</f>
        <v/>
      </c>
      <c r="F2616">
        <f>IF(D2616="","",COUNTIFS('KG1-5'!$AD19:$IM19,"غياب بدون عذر",'KG1-5'!$AD$7:$IM$7,"✓",'KG1-5'!$AD$5:$IM$5,"&lt;="&amp;D2616))</f>
        <v/>
      </c>
      <c r="G2616">
        <f>G2615+IF(D2616="",0,1)</f>
        <v/>
      </c>
    </row>
    <row r="2617">
      <c r="A2617">
        <f>IF('KG1-5'!$B19="","",'KG1-5'!$B19)</f>
        <v/>
      </c>
      <c r="B2617">
        <f>IF(A2617="","",'KG1-5'!$C19)</f>
        <v/>
      </c>
      <c r="C2617">
        <f>IF(A2617="","",'KG1-5'!$B$2)</f>
        <v/>
      </c>
      <c r="D2617" s="126">
        <f t="array" ref="D2617">IF(A2617="","",IFERROR(SMALL(IF((('KG1-5'!$AD19:$IM19="غياب بدون عذر")+('KG1-5'!$AD19:$IM19="غياب بعذر"))*('KG1-5'!$AD$7:$IM$7="✓"),'KG1-5'!$AD$5:$IM$5),16),""))</f>
        <v/>
      </c>
      <c r="E2617">
        <f>IF(D2617="","",INDEX('KG1-5'!$AD19:$IM19,MATCH(D2617,'KG1-5'!$AD$5:$IM$5,0)))</f>
        <v/>
      </c>
      <c r="F2617">
        <f>IF(D2617="","",COUNTIFS('KG1-5'!$AD19:$IM19,"غياب بدون عذر",'KG1-5'!$AD$7:$IM$7,"✓",'KG1-5'!$AD$5:$IM$5,"&lt;="&amp;D2617))</f>
        <v/>
      </c>
      <c r="G2617">
        <f>G2616+IF(D2617="",0,1)</f>
        <v/>
      </c>
    </row>
    <row r="2618">
      <c r="A2618">
        <f>IF('KG1-5'!$B19="","",'KG1-5'!$B19)</f>
        <v/>
      </c>
      <c r="B2618">
        <f>IF(A2618="","",'KG1-5'!$C19)</f>
        <v/>
      </c>
      <c r="C2618">
        <f>IF(A2618="","",'KG1-5'!$B$2)</f>
        <v/>
      </c>
      <c r="D2618" s="126">
        <f t="array" ref="D2618">IF(A2618="","",IFERROR(SMALL(IF((('KG1-5'!$AD19:$IM19="غياب بدون عذر")+('KG1-5'!$AD19:$IM19="غياب بعذر"))*('KG1-5'!$AD$7:$IM$7="✓"),'KG1-5'!$AD$5:$IM$5),17),""))</f>
        <v/>
      </c>
      <c r="E2618">
        <f>IF(D2618="","",INDEX('KG1-5'!$AD19:$IM19,MATCH(D2618,'KG1-5'!$AD$5:$IM$5,0)))</f>
        <v/>
      </c>
      <c r="F2618">
        <f>IF(D2618="","",COUNTIFS('KG1-5'!$AD19:$IM19,"غياب بدون عذر",'KG1-5'!$AD$7:$IM$7,"✓",'KG1-5'!$AD$5:$IM$5,"&lt;="&amp;D2618))</f>
        <v/>
      </c>
      <c r="G2618">
        <f>G2617+IF(D2618="",0,1)</f>
        <v/>
      </c>
    </row>
    <row r="2619">
      <c r="A2619">
        <f>IF('KG1-5'!$B19="","",'KG1-5'!$B19)</f>
        <v/>
      </c>
      <c r="B2619">
        <f>IF(A2619="","",'KG1-5'!$C19)</f>
        <v/>
      </c>
      <c r="C2619">
        <f>IF(A2619="","",'KG1-5'!$B$2)</f>
        <v/>
      </c>
      <c r="D2619" s="126">
        <f t="array" ref="D2619">IF(A2619="","",IFERROR(SMALL(IF((('KG1-5'!$AD19:$IM19="غياب بدون عذر")+('KG1-5'!$AD19:$IM19="غياب بعذر"))*('KG1-5'!$AD$7:$IM$7="✓"),'KG1-5'!$AD$5:$IM$5),18),""))</f>
        <v/>
      </c>
      <c r="E2619">
        <f>IF(D2619="","",INDEX('KG1-5'!$AD19:$IM19,MATCH(D2619,'KG1-5'!$AD$5:$IM$5,0)))</f>
        <v/>
      </c>
      <c r="F2619">
        <f>IF(D2619="","",COUNTIFS('KG1-5'!$AD19:$IM19,"غياب بدون عذر",'KG1-5'!$AD$7:$IM$7,"✓",'KG1-5'!$AD$5:$IM$5,"&lt;="&amp;D2619))</f>
        <v/>
      </c>
      <c r="G2619">
        <f>G2618+IF(D2619="",0,1)</f>
        <v/>
      </c>
    </row>
    <row r="2620">
      <c r="A2620">
        <f>IF('KG1-5'!$B19="","",'KG1-5'!$B19)</f>
        <v/>
      </c>
      <c r="B2620">
        <f>IF(A2620="","",'KG1-5'!$C19)</f>
        <v/>
      </c>
      <c r="C2620">
        <f>IF(A2620="","",'KG1-5'!$B$2)</f>
        <v/>
      </c>
      <c r="D2620" s="126">
        <f t="array" ref="D2620">IF(A2620="","",IFERROR(SMALL(IF((('KG1-5'!$AD19:$IM19="غياب بدون عذر")+('KG1-5'!$AD19:$IM19="غياب بعذر"))*('KG1-5'!$AD$7:$IM$7="✓"),'KG1-5'!$AD$5:$IM$5),19),""))</f>
        <v/>
      </c>
      <c r="E2620">
        <f>IF(D2620="","",INDEX('KG1-5'!$AD19:$IM19,MATCH(D2620,'KG1-5'!$AD$5:$IM$5,0)))</f>
        <v/>
      </c>
      <c r="F2620">
        <f>IF(D2620="","",COUNTIFS('KG1-5'!$AD19:$IM19,"غياب بدون عذر",'KG1-5'!$AD$7:$IM$7,"✓",'KG1-5'!$AD$5:$IM$5,"&lt;="&amp;D2620))</f>
        <v/>
      </c>
      <c r="G2620">
        <f>G2619+IF(D2620="",0,1)</f>
        <v/>
      </c>
    </row>
    <row r="2621">
      <c r="A2621">
        <f>IF('KG1-5'!$B19="","",'KG1-5'!$B19)</f>
        <v/>
      </c>
      <c r="B2621">
        <f>IF(A2621="","",'KG1-5'!$C19)</f>
        <v/>
      </c>
      <c r="C2621">
        <f>IF(A2621="","",'KG1-5'!$B$2)</f>
        <v/>
      </c>
      <c r="D2621" s="126">
        <f t="array" ref="D2621">IF(A2621="","",IFERROR(SMALL(IF((('KG1-5'!$AD19:$IM19="غياب بدون عذر")+('KG1-5'!$AD19:$IM19="غياب بعذر"))*('KG1-5'!$AD$7:$IM$7="✓"),'KG1-5'!$AD$5:$IM$5),20),""))</f>
        <v/>
      </c>
      <c r="E2621">
        <f>IF(D2621="","",INDEX('KG1-5'!$AD19:$IM19,MATCH(D2621,'KG1-5'!$AD$5:$IM$5,0)))</f>
        <v/>
      </c>
      <c r="F2621">
        <f>IF(D2621="","",COUNTIFS('KG1-5'!$AD19:$IM19,"غياب بدون عذر",'KG1-5'!$AD$7:$IM$7,"✓",'KG1-5'!$AD$5:$IM$5,"&lt;="&amp;D2621))</f>
        <v/>
      </c>
      <c r="G2621">
        <f>G2620+IF(D2621="",0,1)</f>
        <v/>
      </c>
    </row>
    <row r="2622">
      <c r="A2622">
        <f>IF('KG1-5'!$B20="","",'KG1-5'!$B20)</f>
        <v/>
      </c>
      <c r="B2622">
        <f>IF(A2622="","",'KG1-5'!$C20)</f>
        <v/>
      </c>
      <c r="C2622">
        <f>IF(A2622="","",'KG1-5'!$B$2)</f>
        <v/>
      </c>
      <c r="D2622" s="126">
        <f t="array" ref="D2622">IF(A2622="","",IFERROR(SMALL(IF((('KG1-5'!$AD20:$IM20="غياب بدون عذر")+('KG1-5'!$AD20:$IM20="غياب بعذر"))*('KG1-5'!$AD$7:$IM$7="✓"),'KG1-5'!$AD$5:$IM$5),1),""))</f>
        <v/>
      </c>
      <c r="E2622">
        <f>IF(D2622="","",INDEX('KG1-5'!$AD20:$IM20,MATCH(D2622,'KG1-5'!$AD$5:$IM$5,0)))</f>
        <v/>
      </c>
      <c r="F2622">
        <f>IF(D2622="","",COUNTIFS('KG1-5'!$AD20:$IM20,"غياب بدون عذر",'KG1-5'!$AD$7:$IM$7,"✓",'KG1-5'!$AD$5:$IM$5,"&lt;="&amp;D2622))</f>
        <v/>
      </c>
      <c r="G2622">
        <f>G2621+IF(D2622="",0,1)</f>
        <v/>
      </c>
    </row>
    <row r="2623">
      <c r="A2623">
        <f>IF('KG1-5'!$B20="","",'KG1-5'!$B20)</f>
        <v/>
      </c>
      <c r="B2623">
        <f>IF(A2623="","",'KG1-5'!$C20)</f>
        <v/>
      </c>
      <c r="C2623">
        <f>IF(A2623="","",'KG1-5'!$B$2)</f>
        <v/>
      </c>
      <c r="D2623" s="126">
        <f t="array" ref="D2623">IF(A2623="","",IFERROR(SMALL(IF((('KG1-5'!$AD20:$IM20="غياب بدون عذر")+('KG1-5'!$AD20:$IM20="غياب بعذر"))*('KG1-5'!$AD$7:$IM$7="✓"),'KG1-5'!$AD$5:$IM$5),2),""))</f>
        <v/>
      </c>
      <c r="E2623">
        <f>IF(D2623="","",INDEX('KG1-5'!$AD20:$IM20,MATCH(D2623,'KG1-5'!$AD$5:$IM$5,0)))</f>
        <v/>
      </c>
      <c r="F2623">
        <f>IF(D2623="","",COUNTIFS('KG1-5'!$AD20:$IM20,"غياب بدون عذر",'KG1-5'!$AD$7:$IM$7,"✓",'KG1-5'!$AD$5:$IM$5,"&lt;="&amp;D2623))</f>
        <v/>
      </c>
      <c r="G2623">
        <f>G2622+IF(D2623="",0,1)</f>
        <v/>
      </c>
    </row>
    <row r="2624">
      <c r="A2624">
        <f>IF('KG1-5'!$B20="","",'KG1-5'!$B20)</f>
        <v/>
      </c>
      <c r="B2624">
        <f>IF(A2624="","",'KG1-5'!$C20)</f>
        <v/>
      </c>
      <c r="C2624">
        <f>IF(A2624="","",'KG1-5'!$B$2)</f>
        <v/>
      </c>
      <c r="D2624" s="126">
        <f t="array" ref="D2624">IF(A2624="","",IFERROR(SMALL(IF((('KG1-5'!$AD20:$IM20="غياب بدون عذر")+('KG1-5'!$AD20:$IM20="غياب بعذر"))*('KG1-5'!$AD$7:$IM$7="✓"),'KG1-5'!$AD$5:$IM$5),3),""))</f>
        <v/>
      </c>
      <c r="E2624">
        <f>IF(D2624="","",INDEX('KG1-5'!$AD20:$IM20,MATCH(D2624,'KG1-5'!$AD$5:$IM$5,0)))</f>
        <v/>
      </c>
      <c r="F2624">
        <f>IF(D2624="","",COUNTIFS('KG1-5'!$AD20:$IM20,"غياب بدون عذر",'KG1-5'!$AD$7:$IM$7,"✓",'KG1-5'!$AD$5:$IM$5,"&lt;="&amp;D2624))</f>
        <v/>
      </c>
      <c r="G2624">
        <f>G2623+IF(D2624="",0,1)</f>
        <v/>
      </c>
    </row>
    <row r="2625">
      <c r="A2625">
        <f>IF('KG1-5'!$B20="","",'KG1-5'!$B20)</f>
        <v/>
      </c>
      <c r="B2625">
        <f>IF(A2625="","",'KG1-5'!$C20)</f>
        <v/>
      </c>
      <c r="C2625">
        <f>IF(A2625="","",'KG1-5'!$B$2)</f>
        <v/>
      </c>
      <c r="D2625" s="126">
        <f t="array" ref="D2625">IF(A2625="","",IFERROR(SMALL(IF((('KG1-5'!$AD20:$IM20="غياب بدون عذر")+('KG1-5'!$AD20:$IM20="غياب بعذر"))*('KG1-5'!$AD$7:$IM$7="✓"),'KG1-5'!$AD$5:$IM$5),4),""))</f>
        <v/>
      </c>
      <c r="E2625">
        <f>IF(D2625="","",INDEX('KG1-5'!$AD20:$IM20,MATCH(D2625,'KG1-5'!$AD$5:$IM$5,0)))</f>
        <v/>
      </c>
      <c r="F2625">
        <f>IF(D2625="","",COUNTIFS('KG1-5'!$AD20:$IM20,"غياب بدون عذر",'KG1-5'!$AD$7:$IM$7,"✓",'KG1-5'!$AD$5:$IM$5,"&lt;="&amp;D2625))</f>
        <v/>
      </c>
      <c r="G2625">
        <f>G2624+IF(D2625="",0,1)</f>
        <v/>
      </c>
    </row>
    <row r="2626">
      <c r="A2626">
        <f>IF('KG1-5'!$B20="","",'KG1-5'!$B20)</f>
        <v/>
      </c>
      <c r="B2626">
        <f>IF(A2626="","",'KG1-5'!$C20)</f>
        <v/>
      </c>
      <c r="C2626">
        <f>IF(A2626="","",'KG1-5'!$B$2)</f>
        <v/>
      </c>
      <c r="D2626" s="126">
        <f t="array" ref="D2626">IF(A2626="","",IFERROR(SMALL(IF((('KG1-5'!$AD20:$IM20="غياب بدون عذر")+('KG1-5'!$AD20:$IM20="غياب بعذر"))*('KG1-5'!$AD$7:$IM$7="✓"),'KG1-5'!$AD$5:$IM$5),5),""))</f>
        <v/>
      </c>
      <c r="E2626">
        <f>IF(D2626="","",INDEX('KG1-5'!$AD20:$IM20,MATCH(D2626,'KG1-5'!$AD$5:$IM$5,0)))</f>
        <v/>
      </c>
      <c r="F2626">
        <f>IF(D2626="","",COUNTIFS('KG1-5'!$AD20:$IM20,"غياب بدون عذر",'KG1-5'!$AD$7:$IM$7,"✓",'KG1-5'!$AD$5:$IM$5,"&lt;="&amp;D2626))</f>
        <v/>
      </c>
      <c r="G2626">
        <f>G2625+IF(D2626="",0,1)</f>
        <v/>
      </c>
    </row>
    <row r="2627">
      <c r="A2627">
        <f>IF('KG1-5'!$B20="","",'KG1-5'!$B20)</f>
        <v/>
      </c>
      <c r="B2627">
        <f>IF(A2627="","",'KG1-5'!$C20)</f>
        <v/>
      </c>
      <c r="C2627">
        <f>IF(A2627="","",'KG1-5'!$B$2)</f>
        <v/>
      </c>
      <c r="D2627" s="126">
        <f t="array" ref="D2627">IF(A2627="","",IFERROR(SMALL(IF((('KG1-5'!$AD20:$IM20="غياب بدون عذر")+('KG1-5'!$AD20:$IM20="غياب بعذر"))*('KG1-5'!$AD$7:$IM$7="✓"),'KG1-5'!$AD$5:$IM$5),6),""))</f>
        <v/>
      </c>
      <c r="E2627">
        <f>IF(D2627="","",INDEX('KG1-5'!$AD20:$IM20,MATCH(D2627,'KG1-5'!$AD$5:$IM$5,0)))</f>
        <v/>
      </c>
      <c r="F2627">
        <f>IF(D2627="","",COUNTIFS('KG1-5'!$AD20:$IM20,"غياب بدون عذر",'KG1-5'!$AD$7:$IM$7,"✓",'KG1-5'!$AD$5:$IM$5,"&lt;="&amp;D2627))</f>
        <v/>
      </c>
      <c r="G2627">
        <f>G2626+IF(D2627="",0,1)</f>
        <v/>
      </c>
    </row>
    <row r="2628">
      <c r="A2628">
        <f>IF('KG1-5'!$B20="","",'KG1-5'!$B20)</f>
        <v/>
      </c>
      <c r="B2628">
        <f>IF(A2628="","",'KG1-5'!$C20)</f>
        <v/>
      </c>
      <c r="C2628">
        <f>IF(A2628="","",'KG1-5'!$B$2)</f>
        <v/>
      </c>
      <c r="D2628" s="126">
        <f t="array" ref="D2628">IF(A2628="","",IFERROR(SMALL(IF((('KG1-5'!$AD20:$IM20="غياب بدون عذر")+('KG1-5'!$AD20:$IM20="غياب بعذر"))*('KG1-5'!$AD$7:$IM$7="✓"),'KG1-5'!$AD$5:$IM$5),7),""))</f>
        <v/>
      </c>
      <c r="E2628">
        <f>IF(D2628="","",INDEX('KG1-5'!$AD20:$IM20,MATCH(D2628,'KG1-5'!$AD$5:$IM$5,0)))</f>
        <v/>
      </c>
      <c r="F2628">
        <f>IF(D2628="","",COUNTIFS('KG1-5'!$AD20:$IM20,"غياب بدون عذر",'KG1-5'!$AD$7:$IM$7,"✓",'KG1-5'!$AD$5:$IM$5,"&lt;="&amp;D2628))</f>
        <v/>
      </c>
      <c r="G2628">
        <f>G2627+IF(D2628="",0,1)</f>
        <v/>
      </c>
    </row>
    <row r="2629">
      <c r="A2629">
        <f>IF('KG1-5'!$B20="","",'KG1-5'!$B20)</f>
        <v/>
      </c>
      <c r="B2629">
        <f>IF(A2629="","",'KG1-5'!$C20)</f>
        <v/>
      </c>
      <c r="C2629">
        <f>IF(A2629="","",'KG1-5'!$B$2)</f>
        <v/>
      </c>
      <c r="D2629" s="126">
        <f t="array" ref="D2629">IF(A2629="","",IFERROR(SMALL(IF((('KG1-5'!$AD20:$IM20="غياب بدون عذر")+('KG1-5'!$AD20:$IM20="غياب بعذر"))*('KG1-5'!$AD$7:$IM$7="✓"),'KG1-5'!$AD$5:$IM$5),8),""))</f>
        <v/>
      </c>
      <c r="E2629">
        <f>IF(D2629="","",INDEX('KG1-5'!$AD20:$IM20,MATCH(D2629,'KG1-5'!$AD$5:$IM$5,0)))</f>
        <v/>
      </c>
      <c r="F2629">
        <f>IF(D2629="","",COUNTIFS('KG1-5'!$AD20:$IM20,"غياب بدون عذر",'KG1-5'!$AD$7:$IM$7,"✓",'KG1-5'!$AD$5:$IM$5,"&lt;="&amp;D2629))</f>
        <v/>
      </c>
      <c r="G2629">
        <f>G2628+IF(D2629="",0,1)</f>
        <v/>
      </c>
    </row>
    <row r="2630">
      <c r="A2630">
        <f>IF('KG1-5'!$B20="","",'KG1-5'!$B20)</f>
        <v/>
      </c>
      <c r="B2630">
        <f>IF(A2630="","",'KG1-5'!$C20)</f>
        <v/>
      </c>
      <c r="C2630">
        <f>IF(A2630="","",'KG1-5'!$B$2)</f>
        <v/>
      </c>
      <c r="D2630" s="126">
        <f t="array" ref="D2630">IF(A2630="","",IFERROR(SMALL(IF((('KG1-5'!$AD20:$IM20="غياب بدون عذر")+('KG1-5'!$AD20:$IM20="غياب بعذر"))*('KG1-5'!$AD$7:$IM$7="✓"),'KG1-5'!$AD$5:$IM$5),9),""))</f>
        <v/>
      </c>
      <c r="E2630">
        <f>IF(D2630="","",INDEX('KG1-5'!$AD20:$IM20,MATCH(D2630,'KG1-5'!$AD$5:$IM$5,0)))</f>
        <v/>
      </c>
      <c r="F2630">
        <f>IF(D2630="","",COUNTIFS('KG1-5'!$AD20:$IM20,"غياب بدون عذر",'KG1-5'!$AD$7:$IM$7,"✓",'KG1-5'!$AD$5:$IM$5,"&lt;="&amp;D2630))</f>
        <v/>
      </c>
      <c r="G2630">
        <f>G2629+IF(D2630="",0,1)</f>
        <v/>
      </c>
    </row>
    <row r="2631">
      <c r="A2631">
        <f>IF('KG1-5'!$B20="","",'KG1-5'!$B20)</f>
        <v/>
      </c>
      <c r="B2631">
        <f>IF(A2631="","",'KG1-5'!$C20)</f>
        <v/>
      </c>
      <c r="C2631">
        <f>IF(A2631="","",'KG1-5'!$B$2)</f>
        <v/>
      </c>
      <c r="D2631" s="126">
        <f t="array" ref="D2631">IF(A2631="","",IFERROR(SMALL(IF((('KG1-5'!$AD20:$IM20="غياب بدون عذر")+('KG1-5'!$AD20:$IM20="غياب بعذر"))*('KG1-5'!$AD$7:$IM$7="✓"),'KG1-5'!$AD$5:$IM$5),10),""))</f>
        <v/>
      </c>
      <c r="E2631">
        <f>IF(D2631="","",INDEX('KG1-5'!$AD20:$IM20,MATCH(D2631,'KG1-5'!$AD$5:$IM$5,0)))</f>
        <v/>
      </c>
      <c r="F2631">
        <f>IF(D2631="","",COUNTIFS('KG1-5'!$AD20:$IM20,"غياب بدون عذر",'KG1-5'!$AD$7:$IM$7,"✓",'KG1-5'!$AD$5:$IM$5,"&lt;="&amp;D2631))</f>
        <v/>
      </c>
      <c r="G2631">
        <f>G2630+IF(D2631="",0,1)</f>
        <v/>
      </c>
    </row>
    <row r="2632">
      <c r="A2632">
        <f>IF('KG1-5'!$B20="","",'KG1-5'!$B20)</f>
        <v/>
      </c>
      <c r="B2632">
        <f>IF(A2632="","",'KG1-5'!$C20)</f>
        <v/>
      </c>
      <c r="C2632">
        <f>IF(A2632="","",'KG1-5'!$B$2)</f>
        <v/>
      </c>
      <c r="D2632" s="126">
        <f t="array" ref="D2632">IF(A2632="","",IFERROR(SMALL(IF((('KG1-5'!$AD20:$IM20="غياب بدون عذر")+('KG1-5'!$AD20:$IM20="غياب بعذر"))*('KG1-5'!$AD$7:$IM$7="✓"),'KG1-5'!$AD$5:$IM$5),11),""))</f>
        <v/>
      </c>
      <c r="E2632">
        <f>IF(D2632="","",INDEX('KG1-5'!$AD20:$IM20,MATCH(D2632,'KG1-5'!$AD$5:$IM$5,0)))</f>
        <v/>
      </c>
      <c r="F2632">
        <f>IF(D2632="","",COUNTIFS('KG1-5'!$AD20:$IM20,"غياب بدون عذر",'KG1-5'!$AD$7:$IM$7,"✓",'KG1-5'!$AD$5:$IM$5,"&lt;="&amp;D2632))</f>
        <v/>
      </c>
      <c r="G2632">
        <f>G2631+IF(D2632="",0,1)</f>
        <v/>
      </c>
    </row>
    <row r="2633">
      <c r="A2633">
        <f>IF('KG1-5'!$B20="","",'KG1-5'!$B20)</f>
        <v/>
      </c>
      <c r="B2633">
        <f>IF(A2633="","",'KG1-5'!$C20)</f>
        <v/>
      </c>
      <c r="C2633">
        <f>IF(A2633="","",'KG1-5'!$B$2)</f>
        <v/>
      </c>
      <c r="D2633" s="126">
        <f t="array" ref="D2633">IF(A2633="","",IFERROR(SMALL(IF((('KG1-5'!$AD20:$IM20="غياب بدون عذر")+('KG1-5'!$AD20:$IM20="غياب بعذر"))*('KG1-5'!$AD$7:$IM$7="✓"),'KG1-5'!$AD$5:$IM$5),12),""))</f>
        <v/>
      </c>
      <c r="E2633">
        <f>IF(D2633="","",INDEX('KG1-5'!$AD20:$IM20,MATCH(D2633,'KG1-5'!$AD$5:$IM$5,0)))</f>
        <v/>
      </c>
      <c r="F2633">
        <f>IF(D2633="","",COUNTIFS('KG1-5'!$AD20:$IM20,"غياب بدون عذر",'KG1-5'!$AD$7:$IM$7,"✓",'KG1-5'!$AD$5:$IM$5,"&lt;="&amp;D2633))</f>
        <v/>
      </c>
      <c r="G2633">
        <f>G2632+IF(D2633="",0,1)</f>
        <v/>
      </c>
    </row>
    <row r="2634">
      <c r="A2634">
        <f>IF('KG1-5'!$B20="","",'KG1-5'!$B20)</f>
        <v/>
      </c>
      <c r="B2634">
        <f>IF(A2634="","",'KG1-5'!$C20)</f>
        <v/>
      </c>
      <c r="C2634">
        <f>IF(A2634="","",'KG1-5'!$B$2)</f>
        <v/>
      </c>
      <c r="D2634" s="126">
        <f t="array" ref="D2634">IF(A2634="","",IFERROR(SMALL(IF((('KG1-5'!$AD20:$IM20="غياب بدون عذر")+('KG1-5'!$AD20:$IM20="غياب بعذر"))*('KG1-5'!$AD$7:$IM$7="✓"),'KG1-5'!$AD$5:$IM$5),13),""))</f>
        <v/>
      </c>
      <c r="E2634">
        <f>IF(D2634="","",INDEX('KG1-5'!$AD20:$IM20,MATCH(D2634,'KG1-5'!$AD$5:$IM$5,0)))</f>
        <v/>
      </c>
      <c r="F2634">
        <f>IF(D2634="","",COUNTIFS('KG1-5'!$AD20:$IM20,"غياب بدون عذر",'KG1-5'!$AD$7:$IM$7,"✓",'KG1-5'!$AD$5:$IM$5,"&lt;="&amp;D2634))</f>
        <v/>
      </c>
      <c r="G2634">
        <f>G2633+IF(D2634="",0,1)</f>
        <v/>
      </c>
    </row>
    <row r="2635">
      <c r="A2635">
        <f>IF('KG1-5'!$B20="","",'KG1-5'!$B20)</f>
        <v/>
      </c>
      <c r="B2635">
        <f>IF(A2635="","",'KG1-5'!$C20)</f>
        <v/>
      </c>
      <c r="C2635">
        <f>IF(A2635="","",'KG1-5'!$B$2)</f>
        <v/>
      </c>
      <c r="D2635" s="126">
        <f t="array" ref="D2635">IF(A2635="","",IFERROR(SMALL(IF((('KG1-5'!$AD20:$IM20="غياب بدون عذر")+('KG1-5'!$AD20:$IM20="غياب بعذر"))*('KG1-5'!$AD$7:$IM$7="✓"),'KG1-5'!$AD$5:$IM$5),14),""))</f>
        <v/>
      </c>
      <c r="E2635">
        <f>IF(D2635="","",INDEX('KG1-5'!$AD20:$IM20,MATCH(D2635,'KG1-5'!$AD$5:$IM$5,0)))</f>
        <v/>
      </c>
      <c r="F2635">
        <f>IF(D2635="","",COUNTIFS('KG1-5'!$AD20:$IM20,"غياب بدون عذر",'KG1-5'!$AD$7:$IM$7,"✓",'KG1-5'!$AD$5:$IM$5,"&lt;="&amp;D2635))</f>
        <v/>
      </c>
      <c r="G2635">
        <f>G2634+IF(D2635="",0,1)</f>
        <v/>
      </c>
    </row>
    <row r="2636">
      <c r="A2636">
        <f>IF('KG1-5'!$B20="","",'KG1-5'!$B20)</f>
        <v/>
      </c>
      <c r="B2636">
        <f>IF(A2636="","",'KG1-5'!$C20)</f>
        <v/>
      </c>
      <c r="C2636">
        <f>IF(A2636="","",'KG1-5'!$B$2)</f>
        <v/>
      </c>
      <c r="D2636" s="126">
        <f t="array" ref="D2636">IF(A2636="","",IFERROR(SMALL(IF((('KG1-5'!$AD20:$IM20="غياب بدون عذر")+('KG1-5'!$AD20:$IM20="غياب بعذر"))*('KG1-5'!$AD$7:$IM$7="✓"),'KG1-5'!$AD$5:$IM$5),15),""))</f>
        <v/>
      </c>
      <c r="E2636">
        <f>IF(D2636="","",INDEX('KG1-5'!$AD20:$IM20,MATCH(D2636,'KG1-5'!$AD$5:$IM$5,0)))</f>
        <v/>
      </c>
      <c r="F2636">
        <f>IF(D2636="","",COUNTIFS('KG1-5'!$AD20:$IM20,"غياب بدون عذر",'KG1-5'!$AD$7:$IM$7,"✓",'KG1-5'!$AD$5:$IM$5,"&lt;="&amp;D2636))</f>
        <v/>
      </c>
      <c r="G2636">
        <f>G2635+IF(D2636="",0,1)</f>
        <v/>
      </c>
    </row>
    <row r="2637">
      <c r="A2637">
        <f>IF('KG1-5'!$B20="","",'KG1-5'!$B20)</f>
        <v/>
      </c>
      <c r="B2637">
        <f>IF(A2637="","",'KG1-5'!$C20)</f>
        <v/>
      </c>
      <c r="C2637">
        <f>IF(A2637="","",'KG1-5'!$B$2)</f>
        <v/>
      </c>
      <c r="D2637" s="126">
        <f t="array" ref="D2637">IF(A2637="","",IFERROR(SMALL(IF((('KG1-5'!$AD20:$IM20="غياب بدون عذر")+('KG1-5'!$AD20:$IM20="غياب بعذر"))*('KG1-5'!$AD$7:$IM$7="✓"),'KG1-5'!$AD$5:$IM$5),16),""))</f>
        <v/>
      </c>
      <c r="E2637">
        <f>IF(D2637="","",INDEX('KG1-5'!$AD20:$IM20,MATCH(D2637,'KG1-5'!$AD$5:$IM$5,0)))</f>
        <v/>
      </c>
      <c r="F2637">
        <f>IF(D2637="","",COUNTIFS('KG1-5'!$AD20:$IM20,"غياب بدون عذر",'KG1-5'!$AD$7:$IM$7,"✓",'KG1-5'!$AD$5:$IM$5,"&lt;="&amp;D2637))</f>
        <v/>
      </c>
      <c r="G2637">
        <f>G2636+IF(D2637="",0,1)</f>
        <v/>
      </c>
    </row>
    <row r="2638">
      <c r="A2638">
        <f>IF('KG1-5'!$B20="","",'KG1-5'!$B20)</f>
        <v/>
      </c>
      <c r="B2638">
        <f>IF(A2638="","",'KG1-5'!$C20)</f>
        <v/>
      </c>
      <c r="C2638">
        <f>IF(A2638="","",'KG1-5'!$B$2)</f>
        <v/>
      </c>
      <c r="D2638" s="126">
        <f t="array" ref="D2638">IF(A2638="","",IFERROR(SMALL(IF((('KG1-5'!$AD20:$IM20="غياب بدون عذر")+('KG1-5'!$AD20:$IM20="غياب بعذر"))*('KG1-5'!$AD$7:$IM$7="✓"),'KG1-5'!$AD$5:$IM$5),17),""))</f>
        <v/>
      </c>
      <c r="E2638">
        <f>IF(D2638="","",INDEX('KG1-5'!$AD20:$IM20,MATCH(D2638,'KG1-5'!$AD$5:$IM$5,0)))</f>
        <v/>
      </c>
      <c r="F2638">
        <f>IF(D2638="","",COUNTIFS('KG1-5'!$AD20:$IM20,"غياب بدون عذر",'KG1-5'!$AD$7:$IM$7,"✓",'KG1-5'!$AD$5:$IM$5,"&lt;="&amp;D2638))</f>
        <v/>
      </c>
      <c r="G2638">
        <f>G2637+IF(D2638="",0,1)</f>
        <v/>
      </c>
    </row>
    <row r="2639">
      <c r="A2639">
        <f>IF('KG1-5'!$B20="","",'KG1-5'!$B20)</f>
        <v/>
      </c>
      <c r="B2639">
        <f>IF(A2639="","",'KG1-5'!$C20)</f>
        <v/>
      </c>
      <c r="C2639">
        <f>IF(A2639="","",'KG1-5'!$B$2)</f>
        <v/>
      </c>
      <c r="D2639" s="126">
        <f t="array" ref="D2639">IF(A2639="","",IFERROR(SMALL(IF((('KG1-5'!$AD20:$IM20="غياب بدون عذر")+('KG1-5'!$AD20:$IM20="غياب بعذر"))*('KG1-5'!$AD$7:$IM$7="✓"),'KG1-5'!$AD$5:$IM$5),18),""))</f>
        <v/>
      </c>
      <c r="E2639">
        <f>IF(D2639="","",INDEX('KG1-5'!$AD20:$IM20,MATCH(D2639,'KG1-5'!$AD$5:$IM$5,0)))</f>
        <v/>
      </c>
      <c r="F2639">
        <f>IF(D2639="","",COUNTIFS('KG1-5'!$AD20:$IM20,"غياب بدون عذر",'KG1-5'!$AD$7:$IM$7,"✓",'KG1-5'!$AD$5:$IM$5,"&lt;="&amp;D2639))</f>
        <v/>
      </c>
      <c r="G2639">
        <f>G2638+IF(D2639="",0,1)</f>
        <v/>
      </c>
    </row>
    <row r="2640">
      <c r="A2640">
        <f>IF('KG1-5'!$B20="","",'KG1-5'!$B20)</f>
        <v/>
      </c>
      <c r="B2640">
        <f>IF(A2640="","",'KG1-5'!$C20)</f>
        <v/>
      </c>
      <c r="C2640">
        <f>IF(A2640="","",'KG1-5'!$B$2)</f>
        <v/>
      </c>
      <c r="D2640" s="126">
        <f t="array" ref="D2640">IF(A2640="","",IFERROR(SMALL(IF((('KG1-5'!$AD20:$IM20="غياب بدون عذر")+('KG1-5'!$AD20:$IM20="غياب بعذر"))*('KG1-5'!$AD$7:$IM$7="✓"),'KG1-5'!$AD$5:$IM$5),19),""))</f>
        <v/>
      </c>
      <c r="E2640">
        <f>IF(D2640="","",INDEX('KG1-5'!$AD20:$IM20,MATCH(D2640,'KG1-5'!$AD$5:$IM$5,0)))</f>
        <v/>
      </c>
      <c r="F2640">
        <f>IF(D2640="","",COUNTIFS('KG1-5'!$AD20:$IM20,"غياب بدون عذر",'KG1-5'!$AD$7:$IM$7,"✓",'KG1-5'!$AD$5:$IM$5,"&lt;="&amp;D2640))</f>
        <v/>
      </c>
      <c r="G2640">
        <f>G2639+IF(D2640="",0,1)</f>
        <v/>
      </c>
    </row>
    <row r="2641">
      <c r="A2641">
        <f>IF('KG1-5'!$B20="","",'KG1-5'!$B20)</f>
        <v/>
      </c>
      <c r="B2641">
        <f>IF(A2641="","",'KG1-5'!$C20)</f>
        <v/>
      </c>
      <c r="C2641">
        <f>IF(A2641="","",'KG1-5'!$B$2)</f>
        <v/>
      </c>
      <c r="D2641" s="126">
        <f t="array" ref="D2641">IF(A2641="","",IFERROR(SMALL(IF((('KG1-5'!$AD20:$IM20="غياب بدون عذر")+('KG1-5'!$AD20:$IM20="غياب بعذر"))*('KG1-5'!$AD$7:$IM$7="✓"),'KG1-5'!$AD$5:$IM$5),20),""))</f>
        <v/>
      </c>
      <c r="E2641">
        <f>IF(D2641="","",INDEX('KG1-5'!$AD20:$IM20,MATCH(D2641,'KG1-5'!$AD$5:$IM$5,0)))</f>
        <v/>
      </c>
      <c r="F2641">
        <f>IF(D2641="","",COUNTIFS('KG1-5'!$AD20:$IM20,"غياب بدون عذر",'KG1-5'!$AD$7:$IM$7,"✓",'KG1-5'!$AD$5:$IM$5,"&lt;="&amp;D2641))</f>
        <v/>
      </c>
      <c r="G2641">
        <f>G2640+IF(D2641="",0,1)</f>
        <v/>
      </c>
    </row>
    <row r="2642">
      <c r="A2642">
        <f>IF('KG1-5'!$B21="","",'KG1-5'!$B21)</f>
        <v/>
      </c>
      <c r="B2642">
        <f>IF(A2642="","",'KG1-5'!$C21)</f>
        <v/>
      </c>
      <c r="C2642">
        <f>IF(A2642="","",'KG1-5'!$B$2)</f>
        <v/>
      </c>
      <c r="D2642" s="126">
        <f t="array" ref="D2642">IF(A2642="","",IFERROR(SMALL(IF((('KG1-5'!$AD21:$IM21="غياب بدون عذر")+('KG1-5'!$AD21:$IM21="غياب بعذر"))*('KG1-5'!$AD$7:$IM$7="✓"),'KG1-5'!$AD$5:$IM$5),1),""))</f>
        <v/>
      </c>
      <c r="E2642">
        <f>IF(D2642="","",INDEX('KG1-5'!$AD21:$IM21,MATCH(D2642,'KG1-5'!$AD$5:$IM$5,0)))</f>
        <v/>
      </c>
      <c r="F2642">
        <f>IF(D2642="","",COUNTIFS('KG1-5'!$AD21:$IM21,"غياب بدون عذر",'KG1-5'!$AD$7:$IM$7,"✓",'KG1-5'!$AD$5:$IM$5,"&lt;="&amp;D2642))</f>
        <v/>
      </c>
      <c r="G2642">
        <f>G2641+IF(D2642="",0,1)</f>
        <v/>
      </c>
    </row>
    <row r="2643">
      <c r="A2643">
        <f>IF('KG1-5'!$B21="","",'KG1-5'!$B21)</f>
        <v/>
      </c>
      <c r="B2643">
        <f>IF(A2643="","",'KG1-5'!$C21)</f>
        <v/>
      </c>
      <c r="C2643">
        <f>IF(A2643="","",'KG1-5'!$B$2)</f>
        <v/>
      </c>
      <c r="D2643" s="126">
        <f t="array" ref="D2643">IF(A2643="","",IFERROR(SMALL(IF((('KG1-5'!$AD21:$IM21="غياب بدون عذر")+('KG1-5'!$AD21:$IM21="غياب بعذر"))*('KG1-5'!$AD$7:$IM$7="✓"),'KG1-5'!$AD$5:$IM$5),2),""))</f>
        <v/>
      </c>
      <c r="E2643">
        <f>IF(D2643="","",INDEX('KG1-5'!$AD21:$IM21,MATCH(D2643,'KG1-5'!$AD$5:$IM$5,0)))</f>
        <v/>
      </c>
      <c r="F2643">
        <f>IF(D2643="","",COUNTIFS('KG1-5'!$AD21:$IM21,"غياب بدون عذر",'KG1-5'!$AD$7:$IM$7,"✓",'KG1-5'!$AD$5:$IM$5,"&lt;="&amp;D2643))</f>
        <v/>
      </c>
      <c r="G2643">
        <f>G2642+IF(D2643="",0,1)</f>
        <v/>
      </c>
    </row>
    <row r="2644">
      <c r="A2644">
        <f>IF('KG1-5'!$B21="","",'KG1-5'!$B21)</f>
        <v/>
      </c>
      <c r="B2644">
        <f>IF(A2644="","",'KG1-5'!$C21)</f>
        <v/>
      </c>
      <c r="C2644">
        <f>IF(A2644="","",'KG1-5'!$B$2)</f>
        <v/>
      </c>
      <c r="D2644" s="126">
        <f t="array" ref="D2644">IF(A2644="","",IFERROR(SMALL(IF((('KG1-5'!$AD21:$IM21="غياب بدون عذر")+('KG1-5'!$AD21:$IM21="غياب بعذر"))*('KG1-5'!$AD$7:$IM$7="✓"),'KG1-5'!$AD$5:$IM$5),3),""))</f>
        <v/>
      </c>
      <c r="E2644">
        <f>IF(D2644="","",INDEX('KG1-5'!$AD21:$IM21,MATCH(D2644,'KG1-5'!$AD$5:$IM$5,0)))</f>
        <v/>
      </c>
      <c r="F2644">
        <f>IF(D2644="","",COUNTIFS('KG1-5'!$AD21:$IM21,"غياب بدون عذر",'KG1-5'!$AD$7:$IM$7,"✓",'KG1-5'!$AD$5:$IM$5,"&lt;="&amp;D2644))</f>
        <v/>
      </c>
      <c r="G2644">
        <f>G2643+IF(D2644="",0,1)</f>
        <v/>
      </c>
    </row>
    <row r="2645">
      <c r="A2645">
        <f>IF('KG1-5'!$B21="","",'KG1-5'!$B21)</f>
        <v/>
      </c>
      <c r="B2645">
        <f>IF(A2645="","",'KG1-5'!$C21)</f>
        <v/>
      </c>
      <c r="C2645">
        <f>IF(A2645="","",'KG1-5'!$B$2)</f>
        <v/>
      </c>
      <c r="D2645" s="126">
        <f t="array" ref="D2645">IF(A2645="","",IFERROR(SMALL(IF((('KG1-5'!$AD21:$IM21="غياب بدون عذر")+('KG1-5'!$AD21:$IM21="غياب بعذر"))*('KG1-5'!$AD$7:$IM$7="✓"),'KG1-5'!$AD$5:$IM$5),4),""))</f>
        <v/>
      </c>
      <c r="E2645">
        <f>IF(D2645="","",INDEX('KG1-5'!$AD21:$IM21,MATCH(D2645,'KG1-5'!$AD$5:$IM$5,0)))</f>
        <v/>
      </c>
      <c r="F2645">
        <f>IF(D2645="","",COUNTIFS('KG1-5'!$AD21:$IM21,"غياب بدون عذر",'KG1-5'!$AD$7:$IM$7,"✓",'KG1-5'!$AD$5:$IM$5,"&lt;="&amp;D2645))</f>
        <v/>
      </c>
      <c r="G2645">
        <f>G2644+IF(D2645="",0,1)</f>
        <v/>
      </c>
    </row>
    <row r="2646">
      <c r="A2646">
        <f>IF('KG1-5'!$B21="","",'KG1-5'!$B21)</f>
        <v/>
      </c>
      <c r="B2646">
        <f>IF(A2646="","",'KG1-5'!$C21)</f>
        <v/>
      </c>
      <c r="C2646">
        <f>IF(A2646="","",'KG1-5'!$B$2)</f>
        <v/>
      </c>
      <c r="D2646" s="126">
        <f t="array" ref="D2646">IF(A2646="","",IFERROR(SMALL(IF((('KG1-5'!$AD21:$IM21="غياب بدون عذر")+('KG1-5'!$AD21:$IM21="غياب بعذر"))*('KG1-5'!$AD$7:$IM$7="✓"),'KG1-5'!$AD$5:$IM$5),5),""))</f>
        <v/>
      </c>
      <c r="E2646">
        <f>IF(D2646="","",INDEX('KG1-5'!$AD21:$IM21,MATCH(D2646,'KG1-5'!$AD$5:$IM$5,0)))</f>
        <v/>
      </c>
      <c r="F2646">
        <f>IF(D2646="","",COUNTIFS('KG1-5'!$AD21:$IM21,"غياب بدون عذر",'KG1-5'!$AD$7:$IM$7,"✓",'KG1-5'!$AD$5:$IM$5,"&lt;="&amp;D2646))</f>
        <v/>
      </c>
      <c r="G2646">
        <f>G2645+IF(D2646="",0,1)</f>
        <v/>
      </c>
    </row>
    <row r="2647">
      <c r="A2647">
        <f>IF('KG1-5'!$B21="","",'KG1-5'!$B21)</f>
        <v/>
      </c>
      <c r="B2647">
        <f>IF(A2647="","",'KG1-5'!$C21)</f>
        <v/>
      </c>
      <c r="C2647">
        <f>IF(A2647="","",'KG1-5'!$B$2)</f>
        <v/>
      </c>
      <c r="D2647" s="126">
        <f t="array" ref="D2647">IF(A2647="","",IFERROR(SMALL(IF((('KG1-5'!$AD21:$IM21="غياب بدون عذر")+('KG1-5'!$AD21:$IM21="غياب بعذر"))*('KG1-5'!$AD$7:$IM$7="✓"),'KG1-5'!$AD$5:$IM$5),6),""))</f>
        <v/>
      </c>
      <c r="E2647">
        <f>IF(D2647="","",INDEX('KG1-5'!$AD21:$IM21,MATCH(D2647,'KG1-5'!$AD$5:$IM$5,0)))</f>
        <v/>
      </c>
      <c r="F2647">
        <f>IF(D2647="","",COUNTIFS('KG1-5'!$AD21:$IM21,"غياب بدون عذر",'KG1-5'!$AD$7:$IM$7,"✓",'KG1-5'!$AD$5:$IM$5,"&lt;="&amp;D2647))</f>
        <v/>
      </c>
      <c r="G2647">
        <f>G2646+IF(D2647="",0,1)</f>
        <v/>
      </c>
    </row>
    <row r="2648">
      <c r="A2648">
        <f>IF('KG1-5'!$B21="","",'KG1-5'!$B21)</f>
        <v/>
      </c>
      <c r="B2648">
        <f>IF(A2648="","",'KG1-5'!$C21)</f>
        <v/>
      </c>
      <c r="C2648">
        <f>IF(A2648="","",'KG1-5'!$B$2)</f>
        <v/>
      </c>
      <c r="D2648" s="126">
        <f t="array" ref="D2648">IF(A2648="","",IFERROR(SMALL(IF((('KG1-5'!$AD21:$IM21="غياب بدون عذر")+('KG1-5'!$AD21:$IM21="غياب بعذر"))*('KG1-5'!$AD$7:$IM$7="✓"),'KG1-5'!$AD$5:$IM$5),7),""))</f>
        <v/>
      </c>
      <c r="E2648">
        <f>IF(D2648="","",INDEX('KG1-5'!$AD21:$IM21,MATCH(D2648,'KG1-5'!$AD$5:$IM$5,0)))</f>
        <v/>
      </c>
      <c r="F2648">
        <f>IF(D2648="","",COUNTIFS('KG1-5'!$AD21:$IM21,"غياب بدون عذر",'KG1-5'!$AD$7:$IM$7,"✓",'KG1-5'!$AD$5:$IM$5,"&lt;="&amp;D2648))</f>
        <v/>
      </c>
      <c r="G2648">
        <f>G2647+IF(D2648="",0,1)</f>
        <v/>
      </c>
    </row>
    <row r="2649">
      <c r="A2649">
        <f>IF('KG1-5'!$B21="","",'KG1-5'!$B21)</f>
        <v/>
      </c>
      <c r="B2649">
        <f>IF(A2649="","",'KG1-5'!$C21)</f>
        <v/>
      </c>
      <c r="C2649">
        <f>IF(A2649="","",'KG1-5'!$B$2)</f>
        <v/>
      </c>
      <c r="D2649" s="126">
        <f t="array" ref="D2649">IF(A2649="","",IFERROR(SMALL(IF((('KG1-5'!$AD21:$IM21="غياب بدون عذر")+('KG1-5'!$AD21:$IM21="غياب بعذر"))*('KG1-5'!$AD$7:$IM$7="✓"),'KG1-5'!$AD$5:$IM$5),8),""))</f>
        <v/>
      </c>
      <c r="E2649">
        <f>IF(D2649="","",INDEX('KG1-5'!$AD21:$IM21,MATCH(D2649,'KG1-5'!$AD$5:$IM$5,0)))</f>
        <v/>
      </c>
      <c r="F2649">
        <f>IF(D2649="","",COUNTIFS('KG1-5'!$AD21:$IM21,"غياب بدون عذر",'KG1-5'!$AD$7:$IM$7,"✓",'KG1-5'!$AD$5:$IM$5,"&lt;="&amp;D2649))</f>
        <v/>
      </c>
      <c r="G2649">
        <f>G2648+IF(D2649="",0,1)</f>
        <v/>
      </c>
    </row>
    <row r="2650">
      <c r="A2650">
        <f>IF('KG1-5'!$B21="","",'KG1-5'!$B21)</f>
        <v/>
      </c>
      <c r="B2650">
        <f>IF(A2650="","",'KG1-5'!$C21)</f>
        <v/>
      </c>
      <c r="C2650">
        <f>IF(A2650="","",'KG1-5'!$B$2)</f>
        <v/>
      </c>
      <c r="D2650" s="126">
        <f t="array" ref="D2650">IF(A2650="","",IFERROR(SMALL(IF((('KG1-5'!$AD21:$IM21="غياب بدون عذر")+('KG1-5'!$AD21:$IM21="غياب بعذر"))*('KG1-5'!$AD$7:$IM$7="✓"),'KG1-5'!$AD$5:$IM$5),9),""))</f>
        <v/>
      </c>
      <c r="E2650">
        <f>IF(D2650="","",INDEX('KG1-5'!$AD21:$IM21,MATCH(D2650,'KG1-5'!$AD$5:$IM$5,0)))</f>
        <v/>
      </c>
      <c r="F2650">
        <f>IF(D2650="","",COUNTIFS('KG1-5'!$AD21:$IM21,"غياب بدون عذر",'KG1-5'!$AD$7:$IM$7,"✓",'KG1-5'!$AD$5:$IM$5,"&lt;="&amp;D2650))</f>
        <v/>
      </c>
      <c r="G2650">
        <f>G2649+IF(D2650="",0,1)</f>
        <v/>
      </c>
    </row>
    <row r="2651">
      <c r="A2651">
        <f>IF('KG1-5'!$B21="","",'KG1-5'!$B21)</f>
        <v/>
      </c>
      <c r="B2651">
        <f>IF(A2651="","",'KG1-5'!$C21)</f>
        <v/>
      </c>
      <c r="C2651">
        <f>IF(A2651="","",'KG1-5'!$B$2)</f>
        <v/>
      </c>
      <c r="D2651" s="126">
        <f t="array" ref="D2651">IF(A2651="","",IFERROR(SMALL(IF((('KG1-5'!$AD21:$IM21="غياب بدون عذر")+('KG1-5'!$AD21:$IM21="غياب بعذر"))*('KG1-5'!$AD$7:$IM$7="✓"),'KG1-5'!$AD$5:$IM$5),10),""))</f>
        <v/>
      </c>
      <c r="E2651">
        <f>IF(D2651="","",INDEX('KG1-5'!$AD21:$IM21,MATCH(D2651,'KG1-5'!$AD$5:$IM$5,0)))</f>
        <v/>
      </c>
      <c r="F2651">
        <f>IF(D2651="","",COUNTIFS('KG1-5'!$AD21:$IM21,"غياب بدون عذر",'KG1-5'!$AD$7:$IM$7,"✓",'KG1-5'!$AD$5:$IM$5,"&lt;="&amp;D2651))</f>
        <v/>
      </c>
      <c r="G2651">
        <f>G2650+IF(D2651="",0,1)</f>
        <v/>
      </c>
    </row>
    <row r="2652">
      <c r="A2652">
        <f>IF('KG1-5'!$B21="","",'KG1-5'!$B21)</f>
        <v/>
      </c>
      <c r="B2652">
        <f>IF(A2652="","",'KG1-5'!$C21)</f>
        <v/>
      </c>
      <c r="C2652">
        <f>IF(A2652="","",'KG1-5'!$B$2)</f>
        <v/>
      </c>
      <c r="D2652" s="126">
        <f t="array" ref="D2652">IF(A2652="","",IFERROR(SMALL(IF((('KG1-5'!$AD21:$IM21="غياب بدون عذر")+('KG1-5'!$AD21:$IM21="غياب بعذر"))*('KG1-5'!$AD$7:$IM$7="✓"),'KG1-5'!$AD$5:$IM$5),11),""))</f>
        <v/>
      </c>
      <c r="E2652">
        <f>IF(D2652="","",INDEX('KG1-5'!$AD21:$IM21,MATCH(D2652,'KG1-5'!$AD$5:$IM$5,0)))</f>
        <v/>
      </c>
      <c r="F2652">
        <f>IF(D2652="","",COUNTIFS('KG1-5'!$AD21:$IM21,"غياب بدون عذر",'KG1-5'!$AD$7:$IM$7,"✓",'KG1-5'!$AD$5:$IM$5,"&lt;="&amp;D2652))</f>
        <v/>
      </c>
      <c r="G2652">
        <f>G2651+IF(D2652="",0,1)</f>
        <v/>
      </c>
    </row>
    <row r="2653">
      <c r="A2653">
        <f>IF('KG1-5'!$B21="","",'KG1-5'!$B21)</f>
        <v/>
      </c>
      <c r="B2653">
        <f>IF(A2653="","",'KG1-5'!$C21)</f>
        <v/>
      </c>
      <c r="C2653">
        <f>IF(A2653="","",'KG1-5'!$B$2)</f>
        <v/>
      </c>
      <c r="D2653" s="126">
        <f t="array" ref="D2653">IF(A2653="","",IFERROR(SMALL(IF((('KG1-5'!$AD21:$IM21="غياب بدون عذر")+('KG1-5'!$AD21:$IM21="غياب بعذر"))*('KG1-5'!$AD$7:$IM$7="✓"),'KG1-5'!$AD$5:$IM$5),12),""))</f>
        <v/>
      </c>
      <c r="E2653">
        <f>IF(D2653="","",INDEX('KG1-5'!$AD21:$IM21,MATCH(D2653,'KG1-5'!$AD$5:$IM$5,0)))</f>
        <v/>
      </c>
      <c r="F2653">
        <f>IF(D2653="","",COUNTIFS('KG1-5'!$AD21:$IM21,"غياب بدون عذر",'KG1-5'!$AD$7:$IM$7,"✓",'KG1-5'!$AD$5:$IM$5,"&lt;="&amp;D2653))</f>
        <v/>
      </c>
      <c r="G2653">
        <f>G2652+IF(D2653="",0,1)</f>
        <v/>
      </c>
    </row>
    <row r="2654">
      <c r="A2654">
        <f>IF('KG1-5'!$B21="","",'KG1-5'!$B21)</f>
        <v/>
      </c>
      <c r="B2654">
        <f>IF(A2654="","",'KG1-5'!$C21)</f>
        <v/>
      </c>
      <c r="C2654">
        <f>IF(A2654="","",'KG1-5'!$B$2)</f>
        <v/>
      </c>
      <c r="D2654" s="126">
        <f t="array" ref="D2654">IF(A2654="","",IFERROR(SMALL(IF((('KG1-5'!$AD21:$IM21="غياب بدون عذر")+('KG1-5'!$AD21:$IM21="غياب بعذر"))*('KG1-5'!$AD$7:$IM$7="✓"),'KG1-5'!$AD$5:$IM$5),13),""))</f>
        <v/>
      </c>
      <c r="E2654">
        <f>IF(D2654="","",INDEX('KG1-5'!$AD21:$IM21,MATCH(D2654,'KG1-5'!$AD$5:$IM$5,0)))</f>
        <v/>
      </c>
      <c r="F2654">
        <f>IF(D2654="","",COUNTIFS('KG1-5'!$AD21:$IM21,"غياب بدون عذر",'KG1-5'!$AD$7:$IM$7,"✓",'KG1-5'!$AD$5:$IM$5,"&lt;="&amp;D2654))</f>
        <v/>
      </c>
      <c r="G2654">
        <f>G2653+IF(D2654="",0,1)</f>
        <v/>
      </c>
    </row>
    <row r="2655">
      <c r="A2655">
        <f>IF('KG1-5'!$B21="","",'KG1-5'!$B21)</f>
        <v/>
      </c>
      <c r="B2655">
        <f>IF(A2655="","",'KG1-5'!$C21)</f>
        <v/>
      </c>
      <c r="C2655">
        <f>IF(A2655="","",'KG1-5'!$B$2)</f>
        <v/>
      </c>
      <c r="D2655" s="126">
        <f t="array" ref="D2655">IF(A2655="","",IFERROR(SMALL(IF((('KG1-5'!$AD21:$IM21="غياب بدون عذر")+('KG1-5'!$AD21:$IM21="غياب بعذر"))*('KG1-5'!$AD$7:$IM$7="✓"),'KG1-5'!$AD$5:$IM$5),14),""))</f>
        <v/>
      </c>
      <c r="E2655">
        <f>IF(D2655="","",INDEX('KG1-5'!$AD21:$IM21,MATCH(D2655,'KG1-5'!$AD$5:$IM$5,0)))</f>
        <v/>
      </c>
      <c r="F2655">
        <f>IF(D2655="","",COUNTIFS('KG1-5'!$AD21:$IM21,"غياب بدون عذر",'KG1-5'!$AD$7:$IM$7,"✓",'KG1-5'!$AD$5:$IM$5,"&lt;="&amp;D2655))</f>
        <v/>
      </c>
      <c r="G2655">
        <f>G2654+IF(D2655="",0,1)</f>
        <v/>
      </c>
    </row>
    <row r="2656">
      <c r="A2656">
        <f>IF('KG1-5'!$B21="","",'KG1-5'!$B21)</f>
        <v/>
      </c>
      <c r="B2656">
        <f>IF(A2656="","",'KG1-5'!$C21)</f>
        <v/>
      </c>
      <c r="C2656">
        <f>IF(A2656="","",'KG1-5'!$B$2)</f>
        <v/>
      </c>
      <c r="D2656" s="126">
        <f t="array" ref="D2656">IF(A2656="","",IFERROR(SMALL(IF((('KG1-5'!$AD21:$IM21="غياب بدون عذر")+('KG1-5'!$AD21:$IM21="غياب بعذر"))*('KG1-5'!$AD$7:$IM$7="✓"),'KG1-5'!$AD$5:$IM$5),15),""))</f>
        <v/>
      </c>
      <c r="E2656">
        <f>IF(D2656="","",INDEX('KG1-5'!$AD21:$IM21,MATCH(D2656,'KG1-5'!$AD$5:$IM$5,0)))</f>
        <v/>
      </c>
      <c r="F2656">
        <f>IF(D2656="","",COUNTIFS('KG1-5'!$AD21:$IM21,"غياب بدون عذر",'KG1-5'!$AD$7:$IM$7,"✓",'KG1-5'!$AD$5:$IM$5,"&lt;="&amp;D2656))</f>
        <v/>
      </c>
      <c r="G2656">
        <f>G2655+IF(D2656="",0,1)</f>
        <v/>
      </c>
    </row>
    <row r="2657">
      <c r="A2657">
        <f>IF('KG1-5'!$B21="","",'KG1-5'!$B21)</f>
        <v/>
      </c>
      <c r="B2657">
        <f>IF(A2657="","",'KG1-5'!$C21)</f>
        <v/>
      </c>
      <c r="C2657">
        <f>IF(A2657="","",'KG1-5'!$B$2)</f>
        <v/>
      </c>
      <c r="D2657" s="126">
        <f t="array" ref="D2657">IF(A2657="","",IFERROR(SMALL(IF((('KG1-5'!$AD21:$IM21="غياب بدون عذر")+('KG1-5'!$AD21:$IM21="غياب بعذر"))*('KG1-5'!$AD$7:$IM$7="✓"),'KG1-5'!$AD$5:$IM$5),16),""))</f>
        <v/>
      </c>
      <c r="E2657">
        <f>IF(D2657="","",INDEX('KG1-5'!$AD21:$IM21,MATCH(D2657,'KG1-5'!$AD$5:$IM$5,0)))</f>
        <v/>
      </c>
      <c r="F2657">
        <f>IF(D2657="","",COUNTIFS('KG1-5'!$AD21:$IM21,"غياب بدون عذر",'KG1-5'!$AD$7:$IM$7,"✓",'KG1-5'!$AD$5:$IM$5,"&lt;="&amp;D2657))</f>
        <v/>
      </c>
      <c r="G2657">
        <f>G2656+IF(D2657="",0,1)</f>
        <v/>
      </c>
    </row>
    <row r="2658">
      <c r="A2658">
        <f>IF('KG1-5'!$B21="","",'KG1-5'!$B21)</f>
        <v/>
      </c>
      <c r="B2658">
        <f>IF(A2658="","",'KG1-5'!$C21)</f>
        <v/>
      </c>
      <c r="C2658">
        <f>IF(A2658="","",'KG1-5'!$B$2)</f>
        <v/>
      </c>
      <c r="D2658" s="126">
        <f t="array" ref="D2658">IF(A2658="","",IFERROR(SMALL(IF((('KG1-5'!$AD21:$IM21="غياب بدون عذر")+('KG1-5'!$AD21:$IM21="غياب بعذر"))*('KG1-5'!$AD$7:$IM$7="✓"),'KG1-5'!$AD$5:$IM$5),17),""))</f>
        <v/>
      </c>
      <c r="E2658">
        <f>IF(D2658="","",INDEX('KG1-5'!$AD21:$IM21,MATCH(D2658,'KG1-5'!$AD$5:$IM$5,0)))</f>
        <v/>
      </c>
      <c r="F2658">
        <f>IF(D2658="","",COUNTIFS('KG1-5'!$AD21:$IM21,"غياب بدون عذر",'KG1-5'!$AD$7:$IM$7,"✓",'KG1-5'!$AD$5:$IM$5,"&lt;="&amp;D2658))</f>
        <v/>
      </c>
      <c r="G2658">
        <f>G2657+IF(D2658="",0,1)</f>
        <v/>
      </c>
    </row>
    <row r="2659">
      <c r="A2659">
        <f>IF('KG1-5'!$B21="","",'KG1-5'!$B21)</f>
        <v/>
      </c>
      <c r="B2659">
        <f>IF(A2659="","",'KG1-5'!$C21)</f>
        <v/>
      </c>
      <c r="C2659">
        <f>IF(A2659="","",'KG1-5'!$B$2)</f>
        <v/>
      </c>
      <c r="D2659" s="126">
        <f t="array" ref="D2659">IF(A2659="","",IFERROR(SMALL(IF((('KG1-5'!$AD21:$IM21="غياب بدون عذر")+('KG1-5'!$AD21:$IM21="غياب بعذر"))*('KG1-5'!$AD$7:$IM$7="✓"),'KG1-5'!$AD$5:$IM$5),18),""))</f>
        <v/>
      </c>
      <c r="E2659">
        <f>IF(D2659="","",INDEX('KG1-5'!$AD21:$IM21,MATCH(D2659,'KG1-5'!$AD$5:$IM$5,0)))</f>
        <v/>
      </c>
      <c r="F2659">
        <f>IF(D2659="","",COUNTIFS('KG1-5'!$AD21:$IM21,"غياب بدون عذر",'KG1-5'!$AD$7:$IM$7,"✓",'KG1-5'!$AD$5:$IM$5,"&lt;="&amp;D2659))</f>
        <v/>
      </c>
      <c r="G2659">
        <f>G2658+IF(D2659="",0,1)</f>
        <v/>
      </c>
    </row>
    <row r="2660">
      <c r="A2660">
        <f>IF('KG1-5'!$B21="","",'KG1-5'!$B21)</f>
        <v/>
      </c>
      <c r="B2660">
        <f>IF(A2660="","",'KG1-5'!$C21)</f>
        <v/>
      </c>
      <c r="C2660">
        <f>IF(A2660="","",'KG1-5'!$B$2)</f>
        <v/>
      </c>
      <c r="D2660" s="126">
        <f t="array" ref="D2660">IF(A2660="","",IFERROR(SMALL(IF((('KG1-5'!$AD21:$IM21="غياب بدون عذر")+('KG1-5'!$AD21:$IM21="غياب بعذر"))*('KG1-5'!$AD$7:$IM$7="✓"),'KG1-5'!$AD$5:$IM$5),19),""))</f>
        <v/>
      </c>
      <c r="E2660">
        <f>IF(D2660="","",INDEX('KG1-5'!$AD21:$IM21,MATCH(D2660,'KG1-5'!$AD$5:$IM$5,0)))</f>
        <v/>
      </c>
      <c r="F2660">
        <f>IF(D2660="","",COUNTIFS('KG1-5'!$AD21:$IM21,"غياب بدون عذر",'KG1-5'!$AD$7:$IM$7,"✓",'KG1-5'!$AD$5:$IM$5,"&lt;="&amp;D2660))</f>
        <v/>
      </c>
      <c r="G2660">
        <f>G2659+IF(D2660="",0,1)</f>
        <v/>
      </c>
    </row>
    <row r="2661">
      <c r="A2661">
        <f>IF('KG1-5'!$B21="","",'KG1-5'!$B21)</f>
        <v/>
      </c>
      <c r="B2661">
        <f>IF(A2661="","",'KG1-5'!$C21)</f>
        <v/>
      </c>
      <c r="C2661">
        <f>IF(A2661="","",'KG1-5'!$B$2)</f>
        <v/>
      </c>
      <c r="D2661" s="126">
        <f t="array" ref="D2661">IF(A2661="","",IFERROR(SMALL(IF((('KG1-5'!$AD21:$IM21="غياب بدون عذر")+('KG1-5'!$AD21:$IM21="غياب بعذر"))*('KG1-5'!$AD$7:$IM$7="✓"),'KG1-5'!$AD$5:$IM$5),20),""))</f>
        <v/>
      </c>
      <c r="E2661">
        <f>IF(D2661="","",INDEX('KG1-5'!$AD21:$IM21,MATCH(D2661,'KG1-5'!$AD$5:$IM$5,0)))</f>
        <v/>
      </c>
      <c r="F2661">
        <f>IF(D2661="","",COUNTIFS('KG1-5'!$AD21:$IM21,"غياب بدون عذر",'KG1-5'!$AD$7:$IM$7,"✓",'KG1-5'!$AD$5:$IM$5,"&lt;="&amp;D2661))</f>
        <v/>
      </c>
      <c r="G2661">
        <f>G2660+IF(D2661="",0,1)</f>
        <v/>
      </c>
    </row>
    <row r="2662">
      <c r="A2662">
        <f>IF('KG1-5'!$B22="","",'KG1-5'!$B22)</f>
        <v/>
      </c>
      <c r="B2662">
        <f>IF(A2662="","",'KG1-5'!$C22)</f>
        <v/>
      </c>
      <c r="C2662">
        <f>IF(A2662="","",'KG1-5'!$B$2)</f>
        <v/>
      </c>
      <c r="D2662" s="126">
        <f t="array" ref="D2662">IF(A2662="","",IFERROR(SMALL(IF((('KG1-5'!$AD22:$IM22="غياب بدون عذر")+('KG1-5'!$AD22:$IM22="غياب بعذر"))*('KG1-5'!$AD$7:$IM$7="✓"),'KG1-5'!$AD$5:$IM$5),1),""))</f>
        <v/>
      </c>
      <c r="E2662">
        <f>IF(D2662="","",INDEX('KG1-5'!$AD22:$IM22,MATCH(D2662,'KG1-5'!$AD$5:$IM$5,0)))</f>
        <v/>
      </c>
      <c r="F2662">
        <f>IF(D2662="","",COUNTIFS('KG1-5'!$AD22:$IM22,"غياب بدون عذر",'KG1-5'!$AD$7:$IM$7,"✓",'KG1-5'!$AD$5:$IM$5,"&lt;="&amp;D2662))</f>
        <v/>
      </c>
      <c r="G2662">
        <f>G2661+IF(D2662="",0,1)</f>
        <v/>
      </c>
    </row>
    <row r="2663">
      <c r="A2663">
        <f>IF('KG1-5'!$B22="","",'KG1-5'!$B22)</f>
        <v/>
      </c>
      <c r="B2663">
        <f>IF(A2663="","",'KG1-5'!$C22)</f>
        <v/>
      </c>
      <c r="C2663">
        <f>IF(A2663="","",'KG1-5'!$B$2)</f>
        <v/>
      </c>
      <c r="D2663" s="126">
        <f t="array" ref="D2663">IF(A2663="","",IFERROR(SMALL(IF((('KG1-5'!$AD22:$IM22="غياب بدون عذر")+('KG1-5'!$AD22:$IM22="غياب بعذر"))*('KG1-5'!$AD$7:$IM$7="✓"),'KG1-5'!$AD$5:$IM$5),2),""))</f>
        <v/>
      </c>
      <c r="E2663">
        <f>IF(D2663="","",INDEX('KG1-5'!$AD22:$IM22,MATCH(D2663,'KG1-5'!$AD$5:$IM$5,0)))</f>
        <v/>
      </c>
      <c r="F2663">
        <f>IF(D2663="","",COUNTIFS('KG1-5'!$AD22:$IM22,"غياب بدون عذر",'KG1-5'!$AD$7:$IM$7,"✓",'KG1-5'!$AD$5:$IM$5,"&lt;="&amp;D2663))</f>
        <v/>
      </c>
      <c r="G2663">
        <f>G2662+IF(D2663="",0,1)</f>
        <v/>
      </c>
    </row>
    <row r="2664">
      <c r="A2664">
        <f>IF('KG1-5'!$B22="","",'KG1-5'!$B22)</f>
        <v/>
      </c>
      <c r="B2664">
        <f>IF(A2664="","",'KG1-5'!$C22)</f>
        <v/>
      </c>
      <c r="C2664">
        <f>IF(A2664="","",'KG1-5'!$B$2)</f>
        <v/>
      </c>
      <c r="D2664" s="126">
        <f t="array" ref="D2664">IF(A2664="","",IFERROR(SMALL(IF((('KG1-5'!$AD22:$IM22="غياب بدون عذر")+('KG1-5'!$AD22:$IM22="غياب بعذر"))*('KG1-5'!$AD$7:$IM$7="✓"),'KG1-5'!$AD$5:$IM$5),3),""))</f>
        <v/>
      </c>
      <c r="E2664">
        <f>IF(D2664="","",INDEX('KG1-5'!$AD22:$IM22,MATCH(D2664,'KG1-5'!$AD$5:$IM$5,0)))</f>
        <v/>
      </c>
      <c r="F2664">
        <f>IF(D2664="","",COUNTIFS('KG1-5'!$AD22:$IM22,"غياب بدون عذر",'KG1-5'!$AD$7:$IM$7,"✓",'KG1-5'!$AD$5:$IM$5,"&lt;="&amp;D2664))</f>
        <v/>
      </c>
      <c r="G2664">
        <f>G2663+IF(D2664="",0,1)</f>
        <v/>
      </c>
    </row>
    <row r="2665">
      <c r="A2665">
        <f>IF('KG1-5'!$B22="","",'KG1-5'!$B22)</f>
        <v/>
      </c>
      <c r="B2665">
        <f>IF(A2665="","",'KG1-5'!$C22)</f>
        <v/>
      </c>
      <c r="C2665">
        <f>IF(A2665="","",'KG1-5'!$B$2)</f>
        <v/>
      </c>
      <c r="D2665" s="126">
        <f t="array" ref="D2665">IF(A2665="","",IFERROR(SMALL(IF((('KG1-5'!$AD22:$IM22="غياب بدون عذر")+('KG1-5'!$AD22:$IM22="غياب بعذر"))*('KG1-5'!$AD$7:$IM$7="✓"),'KG1-5'!$AD$5:$IM$5),4),""))</f>
        <v/>
      </c>
      <c r="E2665">
        <f>IF(D2665="","",INDEX('KG1-5'!$AD22:$IM22,MATCH(D2665,'KG1-5'!$AD$5:$IM$5,0)))</f>
        <v/>
      </c>
      <c r="F2665">
        <f>IF(D2665="","",COUNTIFS('KG1-5'!$AD22:$IM22,"غياب بدون عذر",'KG1-5'!$AD$7:$IM$7,"✓",'KG1-5'!$AD$5:$IM$5,"&lt;="&amp;D2665))</f>
        <v/>
      </c>
      <c r="G2665">
        <f>G2664+IF(D2665="",0,1)</f>
        <v/>
      </c>
    </row>
    <row r="2666">
      <c r="A2666">
        <f>IF('KG1-5'!$B22="","",'KG1-5'!$B22)</f>
        <v/>
      </c>
      <c r="B2666">
        <f>IF(A2666="","",'KG1-5'!$C22)</f>
        <v/>
      </c>
      <c r="C2666">
        <f>IF(A2666="","",'KG1-5'!$B$2)</f>
        <v/>
      </c>
      <c r="D2666" s="126">
        <f t="array" ref="D2666">IF(A2666="","",IFERROR(SMALL(IF((('KG1-5'!$AD22:$IM22="غياب بدون عذر")+('KG1-5'!$AD22:$IM22="غياب بعذر"))*('KG1-5'!$AD$7:$IM$7="✓"),'KG1-5'!$AD$5:$IM$5),5),""))</f>
        <v/>
      </c>
      <c r="E2666">
        <f>IF(D2666="","",INDEX('KG1-5'!$AD22:$IM22,MATCH(D2666,'KG1-5'!$AD$5:$IM$5,0)))</f>
        <v/>
      </c>
      <c r="F2666">
        <f>IF(D2666="","",COUNTIFS('KG1-5'!$AD22:$IM22,"غياب بدون عذر",'KG1-5'!$AD$7:$IM$7,"✓",'KG1-5'!$AD$5:$IM$5,"&lt;="&amp;D2666))</f>
        <v/>
      </c>
      <c r="G2666">
        <f>G2665+IF(D2666="",0,1)</f>
        <v/>
      </c>
    </row>
    <row r="2667">
      <c r="A2667">
        <f>IF('KG1-5'!$B22="","",'KG1-5'!$B22)</f>
        <v/>
      </c>
      <c r="B2667">
        <f>IF(A2667="","",'KG1-5'!$C22)</f>
        <v/>
      </c>
      <c r="C2667">
        <f>IF(A2667="","",'KG1-5'!$B$2)</f>
        <v/>
      </c>
      <c r="D2667" s="126">
        <f t="array" ref="D2667">IF(A2667="","",IFERROR(SMALL(IF((('KG1-5'!$AD22:$IM22="غياب بدون عذر")+('KG1-5'!$AD22:$IM22="غياب بعذر"))*('KG1-5'!$AD$7:$IM$7="✓"),'KG1-5'!$AD$5:$IM$5),6),""))</f>
        <v/>
      </c>
      <c r="E2667">
        <f>IF(D2667="","",INDEX('KG1-5'!$AD22:$IM22,MATCH(D2667,'KG1-5'!$AD$5:$IM$5,0)))</f>
        <v/>
      </c>
      <c r="F2667">
        <f>IF(D2667="","",COUNTIFS('KG1-5'!$AD22:$IM22,"غياب بدون عذر",'KG1-5'!$AD$7:$IM$7,"✓",'KG1-5'!$AD$5:$IM$5,"&lt;="&amp;D2667))</f>
        <v/>
      </c>
      <c r="G2667">
        <f>G2666+IF(D2667="",0,1)</f>
        <v/>
      </c>
    </row>
    <row r="2668">
      <c r="A2668">
        <f>IF('KG1-5'!$B22="","",'KG1-5'!$B22)</f>
        <v/>
      </c>
      <c r="B2668">
        <f>IF(A2668="","",'KG1-5'!$C22)</f>
        <v/>
      </c>
      <c r="C2668">
        <f>IF(A2668="","",'KG1-5'!$B$2)</f>
        <v/>
      </c>
      <c r="D2668" s="126">
        <f t="array" ref="D2668">IF(A2668="","",IFERROR(SMALL(IF((('KG1-5'!$AD22:$IM22="غياب بدون عذر")+('KG1-5'!$AD22:$IM22="غياب بعذر"))*('KG1-5'!$AD$7:$IM$7="✓"),'KG1-5'!$AD$5:$IM$5),7),""))</f>
        <v/>
      </c>
      <c r="E2668">
        <f>IF(D2668="","",INDEX('KG1-5'!$AD22:$IM22,MATCH(D2668,'KG1-5'!$AD$5:$IM$5,0)))</f>
        <v/>
      </c>
      <c r="F2668">
        <f>IF(D2668="","",COUNTIFS('KG1-5'!$AD22:$IM22,"غياب بدون عذر",'KG1-5'!$AD$7:$IM$7,"✓",'KG1-5'!$AD$5:$IM$5,"&lt;="&amp;D2668))</f>
        <v/>
      </c>
      <c r="G2668">
        <f>G2667+IF(D2668="",0,1)</f>
        <v/>
      </c>
    </row>
    <row r="2669">
      <c r="A2669">
        <f>IF('KG1-5'!$B22="","",'KG1-5'!$B22)</f>
        <v/>
      </c>
      <c r="B2669">
        <f>IF(A2669="","",'KG1-5'!$C22)</f>
        <v/>
      </c>
      <c r="C2669">
        <f>IF(A2669="","",'KG1-5'!$B$2)</f>
        <v/>
      </c>
      <c r="D2669" s="126">
        <f t="array" ref="D2669">IF(A2669="","",IFERROR(SMALL(IF((('KG1-5'!$AD22:$IM22="غياب بدون عذر")+('KG1-5'!$AD22:$IM22="غياب بعذر"))*('KG1-5'!$AD$7:$IM$7="✓"),'KG1-5'!$AD$5:$IM$5),8),""))</f>
        <v/>
      </c>
      <c r="E2669">
        <f>IF(D2669="","",INDEX('KG1-5'!$AD22:$IM22,MATCH(D2669,'KG1-5'!$AD$5:$IM$5,0)))</f>
        <v/>
      </c>
      <c r="F2669">
        <f>IF(D2669="","",COUNTIFS('KG1-5'!$AD22:$IM22,"غياب بدون عذر",'KG1-5'!$AD$7:$IM$7,"✓",'KG1-5'!$AD$5:$IM$5,"&lt;="&amp;D2669))</f>
        <v/>
      </c>
      <c r="G2669">
        <f>G2668+IF(D2669="",0,1)</f>
        <v/>
      </c>
    </row>
    <row r="2670">
      <c r="A2670">
        <f>IF('KG1-5'!$B22="","",'KG1-5'!$B22)</f>
        <v/>
      </c>
      <c r="B2670">
        <f>IF(A2670="","",'KG1-5'!$C22)</f>
        <v/>
      </c>
      <c r="C2670">
        <f>IF(A2670="","",'KG1-5'!$B$2)</f>
        <v/>
      </c>
      <c r="D2670" s="126">
        <f t="array" ref="D2670">IF(A2670="","",IFERROR(SMALL(IF((('KG1-5'!$AD22:$IM22="غياب بدون عذر")+('KG1-5'!$AD22:$IM22="غياب بعذر"))*('KG1-5'!$AD$7:$IM$7="✓"),'KG1-5'!$AD$5:$IM$5),9),""))</f>
        <v/>
      </c>
      <c r="E2670">
        <f>IF(D2670="","",INDEX('KG1-5'!$AD22:$IM22,MATCH(D2670,'KG1-5'!$AD$5:$IM$5,0)))</f>
        <v/>
      </c>
      <c r="F2670">
        <f>IF(D2670="","",COUNTIFS('KG1-5'!$AD22:$IM22,"غياب بدون عذر",'KG1-5'!$AD$7:$IM$7,"✓",'KG1-5'!$AD$5:$IM$5,"&lt;="&amp;D2670))</f>
        <v/>
      </c>
      <c r="G2670">
        <f>G2669+IF(D2670="",0,1)</f>
        <v/>
      </c>
    </row>
    <row r="2671">
      <c r="A2671">
        <f>IF('KG1-5'!$B22="","",'KG1-5'!$B22)</f>
        <v/>
      </c>
      <c r="B2671">
        <f>IF(A2671="","",'KG1-5'!$C22)</f>
        <v/>
      </c>
      <c r="C2671">
        <f>IF(A2671="","",'KG1-5'!$B$2)</f>
        <v/>
      </c>
      <c r="D2671" s="126">
        <f t="array" ref="D2671">IF(A2671="","",IFERROR(SMALL(IF((('KG1-5'!$AD22:$IM22="غياب بدون عذر")+('KG1-5'!$AD22:$IM22="غياب بعذر"))*('KG1-5'!$AD$7:$IM$7="✓"),'KG1-5'!$AD$5:$IM$5),10),""))</f>
        <v/>
      </c>
      <c r="E2671">
        <f>IF(D2671="","",INDEX('KG1-5'!$AD22:$IM22,MATCH(D2671,'KG1-5'!$AD$5:$IM$5,0)))</f>
        <v/>
      </c>
      <c r="F2671">
        <f>IF(D2671="","",COUNTIFS('KG1-5'!$AD22:$IM22,"غياب بدون عذر",'KG1-5'!$AD$7:$IM$7,"✓",'KG1-5'!$AD$5:$IM$5,"&lt;="&amp;D2671))</f>
        <v/>
      </c>
      <c r="G2671">
        <f>G2670+IF(D2671="",0,1)</f>
        <v/>
      </c>
    </row>
    <row r="2672">
      <c r="A2672">
        <f>IF('KG1-5'!$B22="","",'KG1-5'!$B22)</f>
        <v/>
      </c>
      <c r="B2672">
        <f>IF(A2672="","",'KG1-5'!$C22)</f>
        <v/>
      </c>
      <c r="C2672">
        <f>IF(A2672="","",'KG1-5'!$B$2)</f>
        <v/>
      </c>
      <c r="D2672" s="126">
        <f t="array" ref="D2672">IF(A2672="","",IFERROR(SMALL(IF((('KG1-5'!$AD22:$IM22="غياب بدون عذر")+('KG1-5'!$AD22:$IM22="غياب بعذر"))*('KG1-5'!$AD$7:$IM$7="✓"),'KG1-5'!$AD$5:$IM$5),11),""))</f>
        <v/>
      </c>
      <c r="E2672">
        <f>IF(D2672="","",INDEX('KG1-5'!$AD22:$IM22,MATCH(D2672,'KG1-5'!$AD$5:$IM$5,0)))</f>
        <v/>
      </c>
      <c r="F2672">
        <f>IF(D2672="","",COUNTIFS('KG1-5'!$AD22:$IM22,"غياب بدون عذر",'KG1-5'!$AD$7:$IM$7,"✓",'KG1-5'!$AD$5:$IM$5,"&lt;="&amp;D2672))</f>
        <v/>
      </c>
      <c r="G2672">
        <f>G2671+IF(D2672="",0,1)</f>
        <v/>
      </c>
    </row>
    <row r="2673">
      <c r="A2673">
        <f>IF('KG1-5'!$B22="","",'KG1-5'!$B22)</f>
        <v/>
      </c>
      <c r="B2673">
        <f>IF(A2673="","",'KG1-5'!$C22)</f>
        <v/>
      </c>
      <c r="C2673">
        <f>IF(A2673="","",'KG1-5'!$B$2)</f>
        <v/>
      </c>
      <c r="D2673" s="126">
        <f t="array" ref="D2673">IF(A2673="","",IFERROR(SMALL(IF((('KG1-5'!$AD22:$IM22="غياب بدون عذر")+('KG1-5'!$AD22:$IM22="غياب بعذر"))*('KG1-5'!$AD$7:$IM$7="✓"),'KG1-5'!$AD$5:$IM$5),12),""))</f>
        <v/>
      </c>
      <c r="E2673">
        <f>IF(D2673="","",INDEX('KG1-5'!$AD22:$IM22,MATCH(D2673,'KG1-5'!$AD$5:$IM$5,0)))</f>
        <v/>
      </c>
      <c r="F2673">
        <f>IF(D2673="","",COUNTIFS('KG1-5'!$AD22:$IM22,"غياب بدون عذر",'KG1-5'!$AD$7:$IM$7,"✓",'KG1-5'!$AD$5:$IM$5,"&lt;="&amp;D2673))</f>
        <v/>
      </c>
      <c r="G2673">
        <f>G2672+IF(D2673="",0,1)</f>
        <v/>
      </c>
    </row>
    <row r="2674">
      <c r="A2674">
        <f>IF('KG1-5'!$B22="","",'KG1-5'!$B22)</f>
        <v/>
      </c>
      <c r="B2674">
        <f>IF(A2674="","",'KG1-5'!$C22)</f>
        <v/>
      </c>
      <c r="C2674">
        <f>IF(A2674="","",'KG1-5'!$B$2)</f>
        <v/>
      </c>
      <c r="D2674" s="126">
        <f t="array" ref="D2674">IF(A2674="","",IFERROR(SMALL(IF((('KG1-5'!$AD22:$IM22="غياب بدون عذر")+('KG1-5'!$AD22:$IM22="غياب بعذر"))*('KG1-5'!$AD$7:$IM$7="✓"),'KG1-5'!$AD$5:$IM$5),13),""))</f>
        <v/>
      </c>
      <c r="E2674">
        <f>IF(D2674="","",INDEX('KG1-5'!$AD22:$IM22,MATCH(D2674,'KG1-5'!$AD$5:$IM$5,0)))</f>
        <v/>
      </c>
      <c r="F2674">
        <f>IF(D2674="","",COUNTIFS('KG1-5'!$AD22:$IM22,"غياب بدون عذر",'KG1-5'!$AD$7:$IM$7,"✓",'KG1-5'!$AD$5:$IM$5,"&lt;="&amp;D2674))</f>
        <v/>
      </c>
      <c r="G2674">
        <f>G2673+IF(D2674="",0,1)</f>
        <v/>
      </c>
    </row>
    <row r="2675">
      <c r="A2675">
        <f>IF('KG1-5'!$B22="","",'KG1-5'!$B22)</f>
        <v/>
      </c>
      <c r="B2675">
        <f>IF(A2675="","",'KG1-5'!$C22)</f>
        <v/>
      </c>
      <c r="C2675">
        <f>IF(A2675="","",'KG1-5'!$B$2)</f>
        <v/>
      </c>
      <c r="D2675" s="126">
        <f t="array" ref="D2675">IF(A2675="","",IFERROR(SMALL(IF((('KG1-5'!$AD22:$IM22="غياب بدون عذر")+('KG1-5'!$AD22:$IM22="غياب بعذر"))*('KG1-5'!$AD$7:$IM$7="✓"),'KG1-5'!$AD$5:$IM$5),14),""))</f>
        <v/>
      </c>
      <c r="E2675">
        <f>IF(D2675="","",INDEX('KG1-5'!$AD22:$IM22,MATCH(D2675,'KG1-5'!$AD$5:$IM$5,0)))</f>
        <v/>
      </c>
      <c r="F2675">
        <f>IF(D2675="","",COUNTIFS('KG1-5'!$AD22:$IM22,"غياب بدون عذر",'KG1-5'!$AD$7:$IM$7,"✓",'KG1-5'!$AD$5:$IM$5,"&lt;="&amp;D2675))</f>
        <v/>
      </c>
      <c r="G2675">
        <f>G2674+IF(D2675="",0,1)</f>
        <v/>
      </c>
    </row>
    <row r="2676">
      <c r="A2676">
        <f>IF('KG1-5'!$B22="","",'KG1-5'!$B22)</f>
        <v/>
      </c>
      <c r="B2676">
        <f>IF(A2676="","",'KG1-5'!$C22)</f>
        <v/>
      </c>
      <c r="C2676">
        <f>IF(A2676="","",'KG1-5'!$B$2)</f>
        <v/>
      </c>
      <c r="D2676" s="126">
        <f t="array" ref="D2676">IF(A2676="","",IFERROR(SMALL(IF((('KG1-5'!$AD22:$IM22="غياب بدون عذر")+('KG1-5'!$AD22:$IM22="غياب بعذر"))*('KG1-5'!$AD$7:$IM$7="✓"),'KG1-5'!$AD$5:$IM$5),15),""))</f>
        <v/>
      </c>
      <c r="E2676">
        <f>IF(D2676="","",INDEX('KG1-5'!$AD22:$IM22,MATCH(D2676,'KG1-5'!$AD$5:$IM$5,0)))</f>
        <v/>
      </c>
      <c r="F2676">
        <f>IF(D2676="","",COUNTIFS('KG1-5'!$AD22:$IM22,"غياب بدون عذر",'KG1-5'!$AD$7:$IM$7,"✓",'KG1-5'!$AD$5:$IM$5,"&lt;="&amp;D2676))</f>
        <v/>
      </c>
      <c r="G2676">
        <f>G2675+IF(D2676="",0,1)</f>
        <v/>
      </c>
    </row>
    <row r="2677">
      <c r="A2677">
        <f>IF('KG1-5'!$B22="","",'KG1-5'!$B22)</f>
        <v/>
      </c>
      <c r="B2677">
        <f>IF(A2677="","",'KG1-5'!$C22)</f>
        <v/>
      </c>
      <c r="C2677">
        <f>IF(A2677="","",'KG1-5'!$B$2)</f>
        <v/>
      </c>
      <c r="D2677" s="126">
        <f t="array" ref="D2677">IF(A2677="","",IFERROR(SMALL(IF((('KG1-5'!$AD22:$IM22="غياب بدون عذر")+('KG1-5'!$AD22:$IM22="غياب بعذر"))*('KG1-5'!$AD$7:$IM$7="✓"),'KG1-5'!$AD$5:$IM$5),16),""))</f>
        <v/>
      </c>
      <c r="E2677">
        <f>IF(D2677="","",INDEX('KG1-5'!$AD22:$IM22,MATCH(D2677,'KG1-5'!$AD$5:$IM$5,0)))</f>
        <v/>
      </c>
      <c r="F2677">
        <f>IF(D2677="","",COUNTIFS('KG1-5'!$AD22:$IM22,"غياب بدون عذر",'KG1-5'!$AD$7:$IM$7,"✓",'KG1-5'!$AD$5:$IM$5,"&lt;="&amp;D2677))</f>
        <v/>
      </c>
      <c r="G2677">
        <f>G2676+IF(D2677="",0,1)</f>
        <v/>
      </c>
    </row>
    <row r="2678">
      <c r="A2678">
        <f>IF('KG1-5'!$B22="","",'KG1-5'!$B22)</f>
        <v/>
      </c>
      <c r="B2678">
        <f>IF(A2678="","",'KG1-5'!$C22)</f>
        <v/>
      </c>
      <c r="C2678">
        <f>IF(A2678="","",'KG1-5'!$B$2)</f>
        <v/>
      </c>
      <c r="D2678" s="126">
        <f t="array" ref="D2678">IF(A2678="","",IFERROR(SMALL(IF((('KG1-5'!$AD22:$IM22="غياب بدون عذر")+('KG1-5'!$AD22:$IM22="غياب بعذر"))*('KG1-5'!$AD$7:$IM$7="✓"),'KG1-5'!$AD$5:$IM$5),17),""))</f>
        <v/>
      </c>
      <c r="E2678">
        <f>IF(D2678="","",INDEX('KG1-5'!$AD22:$IM22,MATCH(D2678,'KG1-5'!$AD$5:$IM$5,0)))</f>
        <v/>
      </c>
      <c r="F2678">
        <f>IF(D2678="","",COUNTIFS('KG1-5'!$AD22:$IM22,"غياب بدون عذر",'KG1-5'!$AD$7:$IM$7,"✓",'KG1-5'!$AD$5:$IM$5,"&lt;="&amp;D2678))</f>
        <v/>
      </c>
      <c r="G2678">
        <f>G2677+IF(D2678="",0,1)</f>
        <v/>
      </c>
    </row>
    <row r="2679">
      <c r="A2679">
        <f>IF('KG1-5'!$B22="","",'KG1-5'!$B22)</f>
        <v/>
      </c>
      <c r="B2679">
        <f>IF(A2679="","",'KG1-5'!$C22)</f>
        <v/>
      </c>
      <c r="C2679">
        <f>IF(A2679="","",'KG1-5'!$B$2)</f>
        <v/>
      </c>
      <c r="D2679" s="126">
        <f t="array" ref="D2679">IF(A2679="","",IFERROR(SMALL(IF((('KG1-5'!$AD22:$IM22="غياب بدون عذر")+('KG1-5'!$AD22:$IM22="غياب بعذر"))*('KG1-5'!$AD$7:$IM$7="✓"),'KG1-5'!$AD$5:$IM$5),18),""))</f>
        <v/>
      </c>
      <c r="E2679">
        <f>IF(D2679="","",INDEX('KG1-5'!$AD22:$IM22,MATCH(D2679,'KG1-5'!$AD$5:$IM$5,0)))</f>
        <v/>
      </c>
      <c r="F2679">
        <f>IF(D2679="","",COUNTIFS('KG1-5'!$AD22:$IM22,"غياب بدون عذر",'KG1-5'!$AD$7:$IM$7,"✓",'KG1-5'!$AD$5:$IM$5,"&lt;="&amp;D2679))</f>
        <v/>
      </c>
      <c r="G2679">
        <f>G2678+IF(D2679="",0,1)</f>
        <v/>
      </c>
    </row>
    <row r="2680">
      <c r="A2680">
        <f>IF('KG1-5'!$B22="","",'KG1-5'!$B22)</f>
        <v/>
      </c>
      <c r="B2680">
        <f>IF(A2680="","",'KG1-5'!$C22)</f>
        <v/>
      </c>
      <c r="C2680">
        <f>IF(A2680="","",'KG1-5'!$B$2)</f>
        <v/>
      </c>
      <c r="D2680" s="126">
        <f t="array" ref="D2680">IF(A2680="","",IFERROR(SMALL(IF((('KG1-5'!$AD22:$IM22="غياب بدون عذر")+('KG1-5'!$AD22:$IM22="غياب بعذر"))*('KG1-5'!$AD$7:$IM$7="✓"),'KG1-5'!$AD$5:$IM$5),19),""))</f>
        <v/>
      </c>
      <c r="E2680">
        <f>IF(D2680="","",INDEX('KG1-5'!$AD22:$IM22,MATCH(D2680,'KG1-5'!$AD$5:$IM$5,0)))</f>
        <v/>
      </c>
      <c r="F2680">
        <f>IF(D2680="","",COUNTIFS('KG1-5'!$AD22:$IM22,"غياب بدون عذر",'KG1-5'!$AD$7:$IM$7,"✓",'KG1-5'!$AD$5:$IM$5,"&lt;="&amp;D2680))</f>
        <v/>
      </c>
      <c r="G2680">
        <f>G2679+IF(D2680="",0,1)</f>
        <v/>
      </c>
    </row>
    <row r="2681">
      <c r="A2681">
        <f>IF('KG1-5'!$B22="","",'KG1-5'!$B22)</f>
        <v/>
      </c>
      <c r="B2681">
        <f>IF(A2681="","",'KG1-5'!$C22)</f>
        <v/>
      </c>
      <c r="C2681">
        <f>IF(A2681="","",'KG1-5'!$B$2)</f>
        <v/>
      </c>
      <c r="D2681" s="126">
        <f t="array" ref="D2681">IF(A2681="","",IFERROR(SMALL(IF((('KG1-5'!$AD22:$IM22="غياب بدون عذر")+('KG1-5'!$AD22:$IM22="غياب بعذر"))*('KG1-5'!$AD$7:$IM$7="✓"),'KG1-5'!$AD$5:$IM$5),20),""))</f>
        <v/>
      </c>
      <c r="E2681">
        <f>IF(D2681="","",INDEX('KG1-5'!$AD22:$IM22,MATCH(D2681,'KG1-5'!$AD$5:$IM$5,0)))</f>
        <v/>
      </c>
      <c r="F2681">
        <f>IF(D2681="","",COUNTIFS('KG1-5'!$AD22:$IM22,"غياب بدون عذر",'KG1-5'!$AD$7:$IM$7,"✓",'KG1-5'!$AD$5:$IM$5,"&lt;="&amp;D2681))</f>
        <v/>
      </c>
      <c r="G2681">
        <f>G2680+IF(D2681="",0,1)</f>
        <v/>
      </c>
    </row>
    <row r="2682">
      <c r="A2682">
        <f>IF('KG1-5'!$B23="","",'KG1-5'!$B23)</f>
        <v/>
      </c>
      <c r="B2682">
        <f>IF(A2682="","",'KG1-5'!$C23)</f>
        <v/>
      </c>
      <c r="C2682">
        <f>IF(A2682="","",'KG1-5'!$B$2)</f>
        <v/>
      </c>
      <c r="D2682" s="126">
        <f t="array" ref="D2682">IF(A2682="","",IFERROR(SMALL(IF((('KG1-5'!$AD23:$IM23="غياب بدون عذر")+('KG1-5'!$AD23:$IM23="غياب بعذر"))*('KG1-5'!$AD$7:$IM$7="✓"),'KG1-5'!$AD$5:$IM$5),1),""))</f>
        <v/>
      </c>
      <c r="E2682">
        <f>IF(D2682="","",INDEX('KG1-5'!$AD23:$IM23,MATCH(D2682,'KG1-5'!$AD$5:$IM$5,0)))</f>
        <v/>
      </c>
      <c r="F2682">
        <f>IF(D2682="","",COUNTIFS('KG1-5'!$AD23:$IM23,"غياب بدون عذر",'KG1-5'!$AD$7:$IM$7,"✓",'KG1-5'!$AD$5:$IM$5,"&lt;="&amp;D2682))</f>
        <v/>
      </c>
      <c r="G2682">
        <f>G2681+IF(D2682="",0,1)</f>
        <v/>
      </c>
    </row>
    <row r="2683">
      <c r="A2683">
        <f>IF('KG1-5'!$B23="","",'KG1-5'!$B23)</f>
        <v/>
      </c>
      <c r="B2683">
        <f>IF(A2683="","",'KG1-5'!$C23)</f>
        <v/>
      </c>
      <c r="C2683">
        <f>IF(A2683="","",'KG1-5'!$B$2)</f>
        <v/>
      </c>
      <c r="D2683" s="126">
        <f t="array" ref="D2683">IF(A2683="","",IFERROR(SMALL(IF((('KG1-5'!$AD23:$IM23="غياب بدون عذر")+('KG1-5'!$AD23:$IM23="غياب بعذر"))*('KG1-5'!$AD$7:$IM$7="✓"),'KG1-5'!$AD$5:$IM$5),2),""))</f>
        <v/>
      </c>
      <c r="E2683">
        <f>IF(D2683="","",INDEX('KG1-5'!$AD23:$IM23,MATCH(D2683,'KG1-5'!$AD$5:$IM$5,0)))</f>
        <v/>
      </c>
      <c r="F2683">
        <f>IF(D2683="","",COUNTIFS('KG1-5'!$AD23:$IM23,"غياب بدون عذر",'KG1-5'!$AD$7:$IM$7,"✓",'KG1-5'!$AD$5:$IM$5,"&lt;="&amp;D2683))</f>
        <v/>
      </c>
      <c r="G2683">
        <f>G2682+IF(D2683="",0,1)</f>
        <v/>
      </c>
    </row>
    <row r="2684">
      <c r="A2684">
        <f>IF('KG1-5'!$B23="","",'KG1-5'!$B23)</f>
        <v/>
      </c>
      <c r="B2684">
        <f>IF(A2684="","",'KG1-5'!$C23)</f>
        <v/>
      </c>
      <c r="C2684">
        <f>IF(A2684="","",'KG1-5'!$B$2)</f>
        <v/>
      </c>
      <c r="D2684" s="126">
        <f t="array" ref="D2684">IF(A2684="","",IFERROR(SMALL(IF((('KG1-5'!$AD23:$IM23="غياب بدون عذر")+('KG1-5'!$AD23:$IM23="غياب بعذر"))*('KG1-5'!$AD$7:$IM$7="✓"),'KG1-5'!$AD$5:$IM$5),3),""))</f>
        <v/>
      </c>
      <c r="E2684">
        <f>IF(D2684="","",INDEX('KG1-5'!$AD23:$IM23,MATCH(D2684,'KG1-5'!$AD$5:$IM$5,0)))</f>
        <v/>
      </c>
      <c r="F2684">
        <f>IF(D2684="","",COUNTIFS('KG1-5'!$AD23:$IM23,"غياب بدون عذر",'KG1-5'!$AD$7:$IM$7,"✓",'KG1-5'!$AD$5:$IM$5,"&lt;="&amp;D2684))</f>
        <v/>
      </c>
      <c r="G2684">
        <f>G2683+IF(D2684="",0,1)</f>
        <v/>
      </c>
    </row>
    <row r="2685">
      <c r="A2685">
        <f>IF('KG1-5'!$B23="","",'KG1-5'!$B23)</f>
        <v/>
      </c>
      <c r="B2685">
        <f>IF(A2685="","",'KG1-5'!$C23)</f>
        <v/>
      </c>
      <c r="C2685">
        <f>IF(A2685="","",'KG1-5'!$B$2)</f>
        <v/>
      </c>
      <c r="D2685" s="126">
        <f t="array" ref="D2685">IF(A2685="","",IFERROR(SMALL(IF((('KG1-5'!$AD23:$IM23="غياب بدون عذر")+('KG1-5'!$AD23:$IM23="غياب بعذر"))*('KG1-5'!$AD$7:$IM$7="✓"),'KG1-5'!$AD$5:$IM$5),4),""))</f>
        <v/>
      </c>
      <c r="E2685">
        <f>IF(D2685="","",INDEX('KG1-5'!$AD23:$IM23,MATCH(D2685,'KG1-5'!$AD$5:$IM$5,0)))</f>
        <v/>
      </c>
      <c r="F2685">
        <f>IF(D2685="","",COUNTIFS('KG1-5'!$AD23:$IM23,"غياب بدون عذر",'KG1-5'!$AD$7:$IM$7,"✓",'KG1-5'!$AD$5:$IM$5,"&lt;="&amp;D2685))</f>
        <v/>
      </c>
      <c r="G2685">
        <f>G2684+IF(D2685="",0,1)</f>
        <v/>
      </c>
    </row>
    <row r="2686">
      <c r="A2686">
        <f>IF('KG1-5'!$B23="","",'KG1-5'!$B23)</f>
        <v/>
      </c>
      <c r="B2686">
        <f>IF(A2686="","",'KG1-5'!$C23)</f>
        <v/>
      </c>
      <c r="C2686">
        <f>IF(A2686="","",'KG1-5'!$B$2)</f>
        <v/>
      </c>
      <c r="D2686" s="126">
        <f t="array" ref="D2686">IF(A2686="","",IFERROR(SMALL(IF((('KG1-5'!$AD23:$IM23="غياب بدون عذر")+('KG1-5'!$AD23:$IM23="غياب بعذر"))*('KG1-5'!$AD$7:$IM$7="✓"),'KG1-5'!$AD$5:$IM$5),5),""))</f>
        <v/>
      </c>
      <c r="E2686">
        <f>IF(D2686="","",INDEX('KG1-5'!$AD23:$IM23,MATCH(D2686,'KG1-5'!$AD$5:$IM$5,0)))</f>
        <v/>
      </c>
      <c r="F2686">
        <f>IF(D2686="","",COUNTIFS('KG1-5'!$AD23:$IM23,"غياب بدون عذر",'KG1-5'!$AD$7:$IM$7,"✓",'KG1-5'!$AD$5:$IM$5,"&lt;="&amp;D2686))</f>
        <v/>
      </c>
      <c r="G2686">
        <f>G2685+IF(D2686="",0,1)</f>
        <v/>
      </c>
    </row>
    <row r="2687">
      <c r="A2687">
        <f>IF('KG1-5'!$B23="","",'KG1-5'!$B23)</f>
        <v/>
      </c>
      <c r="B2687">
        <f>IF(A2687="","",'KG1-5'!$C23)</f>
        <v/>
      </c>
      <c r="C2687">
        <f>IF(A2687="","",'KG1-5'!$B$2)</f>
        <v/>
      </c>
      <c r="D2687" s="126">
        <f t="array" ref="D2687">IF(A2687="","",IFERROR(SMALL(IF((('KG1-5'!$AD23:$IM23="غياب بدون عذر")+('KG1-5'!$AD23:$IM23="غياب بعذر"))*('KG1-5'!$AD$7:$IM$7="✓"),'KG1-5'!$AD$5:$IM$5),6),""))</f>
        <v/>
      </c>
      <c r="E2687">
        <f>IF(D2687="","",INDEX('KG1-5'!$AD23:$IM23,MATCH(D2687,'KG1-5'!$AD$5:$IM$5,0)))</f>
        <v/>
      </c>
      <c r="F2687">
        <f>IF(D2687="","",COUNTIFS('KG1-5'!$AD23:$IM23,"غياب بدون عذر",'KG1-5'!$AD$7:$IM$7,"✓",'KG1-5'!$AD$5:$IM$5,"&lt;="&amp;D2687))</f>
        <v/>
      </c>
      <c r="G2687">
        <f>G2686+IF(D2687="",0,1)</f>
        <v/>
      </c>
    </row>
    <row r="2688">
      <c r="A2688">
        <f>IF('KG1-5'!$B23="","",'KG1-5'!$B23)</f>
        <v/>
      </c>
      <c r="B2688">
        <f>IF(A2688="","",'KG1-5'!$C23)</f>
        <v/>
      </c>
      <c r="C2688">
        <f>IF(A2688="","",'KG1-5'!$B$2)</f>
        <v/>
      </c>
      <c r="D2688" s="126">
        <f t="array" ref="D2688">IF(A2688="","",IFERROR(SMALL(IF((('KG1-5'!$AD23:$IM23="غياب بدون عذر")+('KG1-5'!$AD23:$IM23="غياب بعذر"))*('KG1-5'!$AD$7:$IM$7="✓"),'KG1-5'!$AD$5:$IM$5),7),""))</f>
        <v/>
      </c>
      <c r="E2688">
        <f>IF(D2688="","",INDEX('KG1-5'!$AD23:$IM23,MATCH(D2688,'KG1-5'!$AD$5:$IM$5,0)))</f>
        <v/>
      </c>
      <c r="F2688">
        <f>IF(D2688="","",COUNTIFS('KG1-5'!$AD23:$IM23,"غياب بدون عذر",'KG1-5'!$AD$7:$IM$7,"✓",'KG1-5'!$AD$5:$IM$5,"&lt;="&amp;D2688))</f>
        <v/>
      </c>
      <c r="G2688">
        <f>G2687+IF(D2688="",0,1)</f>
        <v/>
      </c>
    </row>
    <row r="2689">
      <c r="A2689">
        <f>IF('KG1-5'!$B23="","",'KG1-5'!$B23)</f>
        <v/>
      </c>
      <c r="B2689">
        <f>IF(A2689="","",'KG1-5'!$C23)</f>
        <v/>
      </c>
      <c r="C2689">
        <f>IF(A2689="","",'KG1-5'!$B$2)</f>
        <v/>
      </c>
      <c r="D2689" s="126">
        <f t="array" ref="D2689">IF(A2689="","",IFERROR(SMALL(IF((('KG1-5'!$AD23:$IM23="غياب بدون عذر")+('KG1-5'!$AD23:$IM23="غياب بعذر"))*('KG1-5'!$AD$7:$IM$7="✓"),'KG1-5'!$AD$5:$IM$5),8),""))</f>
        <v/>
      </c>
      <c r="E2689">
        <f>IF(D2689="","",INDEX('KG1-5'!$AD23:$IM23,MATCH(D2689,'KG1-5'!$AD$5:$IM$5,0)))</f>
        <v/>
      </c>
      <c r="F2689">
        <f>IF(D2689="","",COUNTIFS('KG1-5'!$AD23:$IM23,"غياب بدون عذر",'KG1-5'!$AD$7:$IM$7,"✓",'KG1-5'!$AD$5:$IM$5,"&lt;="&amp;D2689))</f>
        <v/>
      </c>
      <c r="G2689">
        <f>G2688+IF(D2689="",0,1)</f>
        <v/>
      </c>
    </row>
    <row r="2690">
      <c r="A2690">
        <f>IF('KG1-5'!$B23="","",'KG1-5'!$B23)</f>
        <v/>
      </c>
      <c r="B2690">
        <f>IF(A2690="","",'KG1-5'!$C23)</f>
        <v/>
      </c>
      <c r="C2690">
        <f>IF(A2690="","",'KG1-5'!$B$2)</f>
        <v/>
      </c>
      <c r="D2690" s="126">
        <f t="array" ref="D2690">IF(A2690="","",IFERROR(SMALL(IF((('KG1-5'!$AD23:$IM23="غياب بدون عذر")+('KG1-5'!$AD23:$IM23="غياب بعذر"))*('KG1-5'!$AD$7:$IM$7="✓"),'KG1-5'!$AD$5:$IM$5),9),""))</f>
        <v/>
      </c>
      <c r="E2690">
        <f>IF(D2690="","",INDEX('KG1-5'!$AD23:$IM23,MATCH(D2690,'KG1-5'!$AD$5:$IM$5,0)))</f>
        <v/>
      </c>
      <c r="F2690">
        <f>IF(D2690="","",COUNTIFS('KG1-5'!$AD23:$IM23,"غياب بدون عذر",'KG1-5'!$AD$7:$IM$7,"✓",'KG1-5'!$AD$5:$IM$5,"&lt;="&amp;D2690))</f>
        <v/>
      </c>
      <c r="G2690">
        <f>G2689+IF(D2690="",0,1)</f>
        <v/>
      </c>
    </row>
    <row r="2691">
      <c r="A2691">
        <f>IF('KG1-5'!$B23="","",'KG1-5'!$B23)</f>
        <v/>
      </c>
      <c r="B2691">
        <f>IF(A2691="","",'KG1-5'!$C23)</f>
        <v/>
      </c>
      <c r="C2691">
        <f>IF(A2691="","",'KG1-5'!$B$2)</f>
        <v/>
      </c>
      <c r="D2691" s="126">
        <f t="array" ref="D2691">IF(A2691="","",IFERROR(SMALL(IF((('KG1-5'!$AD23:$IM23="غياب بدون عذر")+('KG1-5'!$AD23:$IM23="غياب بعذر"))*('KG1-5'!$AD$7:$IM$7="✓"),'KG1-5'!$AD$5:$IM$5),10),""))</f>
        <v/>
      </c>
      <c r="E2691">
        <f>IF(D2691="","",INDEX('KG1-5'!$AD23:$IM23,MATCH(D2691,'KG1-5'!$AD$5:$IM$5,0)))</f>
        <v/>
      </c>
      <c r="F2691">
        <f>IF(D2691="","",COUNTIFS('KG1-5'!$AD23:$IM23,"غياب بدون عذر",'KG1-5'!$AD$7:$IM$7,"✓",'KG1-5'!$AD$5:$IM$5,"&lt;="&amp;D2691))</f>
        <v/>
      </c>
      <c r="G2691">
        <f>G2690+IF(D2691="",0,1)</f>
        <v/>
      </c>
    </row>
    <row r="2692">
      <c r="A2692">
        <f>IF('KG1-5'!$B23="","",'KG1-5'!$B23)</f>
        <v/>
      </c>
      <c r="B2692">
        <f>IF(A2692="","",'KG1-5'!$C23)</f>
        <v/>
      </c>
      <c r="C2692">
        <f>IF(A2692="","",'KG1-5'!$B$2)</f>
        <v/>
      </c>
      <c r="D2692" s="126">
        <f t="array" ref="D2692">IF(A2692="","",IFERROR(SMALL(IF((('KG1-5'!$AD23:$IM23="غياب بدون عذر")+('KG1-5'!$AD23:$IM23="غياب بعذر"))*('KG1-5'!$AD$7:$IM$7="✓"),'KG1-5'!$AD$5:$IM$5),11),""))</f>
        <v/>
      </c>
      <c r="E2692">
        <f>IF(D2692="","",INDEX('KG1-5'!$AD23:$IM23,MATCH(D2692,'KG1-5'!$AD$5:$IM$5,0)))</f>
        <v/>
      </c>
      <c r="F2692">
        <f>IF(D2692="","",COUNTIFS('KG1-5'!$AD23:$IM23,"غياب بدون عذر",'KG1-5'!$AD$7:$IM$7,"✓",'KG1-5'!$AD$5:$IM$5,"&lt;="&amp;D2692))</f>
        <v/>
      </c>
      <c r="G2692">
        <f>G2691+IF(D2692="",0,1)</f>
        <v/>
      </c>
    </row>
    <row r="2693">
      <c r="A2693">
        <f>IF('KG1-5'!$B23="","",'KG1-5'!$B23)</f>
        <v/>
      </c>
      <c r="B2693">
        <f>IF(A2693="","",'KG1-5'!$C23)</f>
        <v/>
      </c>
      <c r="C2693">
        <f>IF(A2693="","",'KG1-5'!$B$2)</f>
        <v/>
      </c>
      <c r="D2693" s="126">
        <f t="array" ref="D2693">IF(A2693="","",IFERROR(SMALL(IF((('KG1-5'!$AD23:$IM23="غياب بدون عذر")+('KG1-5'!$AD23:$IM23="غياب بعذر"))*('KG1-5'!$AD$7:$IM$7="✓"),'KG1-5'!$AD$5:$IM$5),12),""))</f>
        <v/>
      </c>
      <c r="E2693">
        <f>IF(D2693="","",INDEX('KG1-5'!$AD23:$IM23,MATCH(D2693,'KG1-5'!$AD$5:$IM$5,0)))</f>
        <v/>
      </c>
      <c r="F2693">
        <f>IF(D2693="","",COUNTIFS('KG1-5'!$AD23:$IM23,"غياب بدون عذر",'KG1-5'!$AD$7:$IM$7,"✓",'KG1-5'!$AD$5:$IM$5,"&lt;="&amp;D2693))</f>
        <v/>
      </c>
      <c r="G2693">
        <f>G2692+IF(D2693="",0,1)</f>
        <v/>
      </c>
    </row>
    <row r="2694">
      <c r="A2694">
        <f>IF('KG1-5'!$B23="","",'KG1-5'!$B23)</f>
        <v/>
      </c>
      <c r="B2694">
        <f>IF(A2694="","",'KG1-5'!$C23)</f>
        <v/>
      </c>
      <c r="C2694">
        <f>IF(A2694="","",'KG1-5'!$B$2)</f>
        <v/>
      </c>
      <c r="D2694" s="126">
        <f t="array" ref="D2694">IF(A2694="","",IFERROR(SMALL(IF((('KG1-5'!$AD23:$IM23="غياب بدون عذر")+('KG1-5'!$AD23:$IM23="غياب بعذر"))*('KG1-5'!$AD$7:$IM$7="✓"),'KG1-5'!$AD$5:$IM$5),13),""))</f>
        <v/>
      </c>
      <c r="E2694">
        <f>IF(D2694="","",INDEX('KG1-5'!$AD23:$IM23,MATCH(D2694,'KG1-5'!$AD$5:$IM$5,0)))</f>
        <v/>
      </c>
      <c r="F2694">
        <f>IF(D2694="","",COUNTIFS('KG1-5'!$AD23:$IM23,"غياب بدون عذر",'KG1-5'!$AD$7:$IM$7,"✓",'KG1-5'!$AD$5:$IM$5,"&lt;="&amp;D2694))</f>
        <v/>
      </c>
      <c r="G2694">
        <f>G2693+IF(D2694="",0,1)</f>
        <v/>
      </c>
    </row>
    <row r="2695">
      <c r="A2695">
        <f>IF('KG1-5'!$B23="","",'KG1-5'!$B23)</f>
        <v/>
      </c>
      <c r="B2695">
        <f>IF(A2695="","",'KG1-5'!$C23)</f>
        <v/>
      </c>
      <c r="C2695">
        <f>IF(A2695="","",'KG1-5'!$B$2)</f>
        <v/>
      </c>
      <c r="D2695" s="126">
        <f t="array" ref="D2695">IF(A2695="","",IFERROR(SMALL(IF((('KG1-5'!$AD23:$IM23="غياب بدون عذر")+('KG1-5'!$AD23:$IM23="غياب بعذر"))*('KG1-5'!$AD$7:$IM$7="✓"),'KG1-5'!$AD$5:$IM$5),14),""))</f>
        <v/>
      </c>
      <c r="E2695">
        <f>IF(D2695="","",INDEX('KG1-5'!$AD23:$IM23,MATCH(D2695,'KG1-5'!$AD$5:$IM$5,0)))</f>
        <v/>
      </c>
      <c r="F2695">
        <f>IF(D2695="","",COUNTIFS('KG1-5'!$AD23:$IM23,"غياب بدون عذر",'KG1-5'!$AD$7:$IM$7,"✓",'KG1-5'!$AD$5:$IM$5,"&lt;="&amp;D2695))</f>
        <v/>
      </c>
      <c r="G2695">
        <f>G2694+IF(D2695="",0,1)</f>
        <v/>
      </c>
    </row>
    <row r="2696">
      <c r="A2696">
        <f>IF('KG1-5'!$B23="","",'KG1-5'!$B23)</f>
        <v/>
      </c>
      <c r="B2696">
        <f>IF(A2696="","",'KG1-5'!$C23)</f>
        <v/>
      </c>
      <c r="C2696">
        <f>IF(A2696="","",'KG1-5'!$B$2)</f>
        <v/>
      </c>
      <c r="D2696" s="126">
        <f t="array" ref="D2696">IF(A2696="","",IFERROR(SMALL(IF((('KG1-5'!$AD23:$IM23="غياب بدون عذر")+('KG1-5'!$AD23:$IM23="غياب بعذر"))*('KG1-5'!$AD$7:$IM$7="✓"),'KG1-5'!$AD$5:$IM$5),15),""))</f>
        <v/>
      </c>
      <c r="E2696">
        <f>IF(D2696="","",INDEX('KG1-5'!$AD23:$IM23,MATCH(D2696,'KG1-5'!$AD$5:$IM$5,0)))</f>
        <v/>
      </c>
      <c r="F2696">
        <f>IF(D2696="","",COUNTIFS('KG1-5'!$AD23:$IM23,"غياب بدون عذر",'KG1-5'!$AD$7:$IM$7,"✓",'KG1-5'!$AD$5:$IM$5,"&lt;="&amp;D2696))</f>
        <v/>
      </c>
      <c r="G2696">
        <f>G2695+IF(D2696="",0,1)</f>
        <v/>
      </c>
    </row>
    <row r="2697">
      <c r="A2697">
        <f>IF('KG1-5'!$B23="","",'KG1-5'!$B23)</f>
        <v/>
      </c>
      <c r="B2697">
        <f>IF(A2697="","",'KG1-5'!$C23)</f>
        <v/>
      </c>
      <c r="C2697">
        <f>IF(A2697="","",'KG1-5'!$B$2)</f>
        <v/>
      </c>
      <c r="D2697" s="126">
        <f t="array" ref="D2697">IF(A2697="","",IFERROR(SMALL(IF((('KG1-5'!$AD23:$IM23="غياب بدون عذر")+('KG1-5'!$AD23:$IM23="غياب بعذر"))*('KG1-5'!$AD$7:$IM$7="✓"),'KG1-5'!$AD$5:$IM$5),16),""))</f>
        <v/>
      </c>
      <c r="E2697">
        <f>IF(D2697="","",INDEX('KG1-5'!$AD23:$IM23,MATCH(D2697,'KG1-5'!$AD$5:$IM$5,0)))</f>
        <v/>
      </c>
      <c r="F2697">
        <f>IF(D2697="","",COUNTIFS('KG1-5'!$AD23:$IM23,"غياب بدون عذر",'KG1-5'!$AD$7:$IM$7,"✓",'KG1-5'!$AD$5:$IM$5,"&lt;="&amp;D2697))</f>
        <v/>
      </c>
      <c r="G2697">
        <f>G2696+IF(D2697="",0,1)</f>
        <v/>
      </c>
    </row>
    <row r="2698">
      <c r="A2698">
        <f>IF('KG1-5'!$B23="","",'KG1-5'!$B23)</f>
        <v/>
      </c>
      <c r="B2698">
        <f>IF(A2698="","",'KG1-5'!$C23)</f>
        <v/>
      </c>
      <c r="C2698">
        <f>IF(A2698="","",'KG1-5'!$B$2)</f>
        <v/>
      </c>
      <c r="D2698" s="126">
        <f t="array" ref="D2698">IF(A2698="","",IFERROR(SMALL(IF((('KG1-5'!$AD23:$IM23="غياب بدون عذر")+('KG1-5'!$AD23:$IM23="غياب بعذر"))*('KG1-5'!$AD$7:$IM$7="✓"),'KG1-5'!$AD$5:$IM$5),17),""))</f>
        <v/>
      </c>
      <c r="E2698">
        <f>IF(D2698="","",INDEX('KG1-5'!$AD23:$IM23,MATCH(D2698,'KG1-5'!$AD$5:$IM$5,0)))</f>
        <v/>
      </c>
      <c r="F2698">
        <f>IF(D2698="","",COUNTIFS('KG1-5'!$AD23:$IM23,"غياب بدون عذر",'KG1-5'!$AD$7:$IM$7,"✓",'KG1-5'!$AD$5:$IM$5,"&lt;="&amp;D2698))</f>
        <v/>
      </c>
      <c r="G2698">
        <f>G2697+IF(D2698="",0,1)</f>
        <v/>
      </c>
    </row>
    <row r="2699">
      <c r="A2699">
        <f>IF('KG1-5'!$B23="","",'KG1-5'!$B23)</f>
        <v/>
      </c>
      <c r="B2699">
        <f>IF(A2699="","",'KG1-5'!$C23)</f>
        <v/>
      </c>
      <c r="C2699">
        <f>IF(A2699="","",'KG1-5'!$B$2)</f>
        <v/>
      </c>
      <c r="D2699" s="126">
        <f t="array" ref="D2699">IF(A2699="","",IFERROR(SMALL(IF((('KG1-5'!$AD23:$IM23="غياب بدون عذر")+('KG1-5'!$AD23:$IM23="غياب بعذر"))*('KG1-5'!$AD$7:$IM$7="✓"),'KG1-5'!$AD$5:$IM$5),18),""))</f>
        <v/>
      </c>
      <c r="E2699">
        <f>IF(D2699="","",INDEX('KG1-5'!$AD23:$IM23,MATCH(D2699,'KG1-5'!$AD$5:$IM$5,0)))</f>
        <v/>
      </c>
      <c r="F2699">
        <f>IF(D2699="","",COUNTIFS('KG1-5'!$AD23:$IM23,"غياب بدون عذر",'KG1-5'!$AD$7:$IM$7,"✓",'KG1-5'!$AD$5:$IM$5,"&lt;="&amp;D2699))</f>
        <v/>
      </c>
      <c r="G2699">
        <f>G2698+IF(D2699="",0,1)</f>
        <v/>
      </c>
    </row>
    <row r="2700">
      <c r="A2700">
        <f>IF('KG1-5'!$B23="","",'KG1-5'!$B23)</f>
        <v/>
      </c>
      <c r="B2700">
        <f>IF(A2700="","",'KG1-5'!$C23)</f>
        <v/>
      </c>
      <c r="C2700">
        <f>IF(A2700="","",'KG1-5'!$B$2)</f>
        <v/>
      </c>
      <c r="D2700" s="126">
        <f t="array" ref="D2700">IF(A2700="","",IFERROR(SMALL(IF((('KG1-5'!$AD23:$IM23="غياب بدون عذر")+('KG1-5'!$AD23:$IM23="غياب بعذر"))*('KG1-5'!$AD$7:$IM$7="✓"),'KG1-5'!$AD$5:$IM$5),19),""))</f>
        <v/>
      </c>
      <c r="E2700">
        <f>IF(D2700="","",INDEX('KG1-5'!$AD23:$IM23,MATCH(D2700,'KG1-5'!$AD$5:$IM$5,0)))</f>
        <v/>
      </c>
      <c r="F2700">
        <f>IF(D2700="","",COUNTIFS('KG1-5'!$AD23:$IM23,"غياب بدون عذر",'KG1-5'!$AD$7:$IM$7,"✓",'KG1-5'!$AD$5:$IM$5,"&lt;="&amp;D2700))</f>
        <v/>
      </c>
      <c r="G2700">
        <f>G2699+IF(D2700="",0,1)</f>
        <v/>
      </c>
    </row>
    <row r="2701">
      <c r="A2701">
        <f>IF('KG1-5'!$B23="","",'KG1-5'!$B23)</f>
        <v/>
      </c>
      <c r="B2701">
        <f>IF(A2701="","",'KG1-5'!$C23)</f>
        <v/>
      </c>
      <c r="C2701">
        <f>IF(A2701="","",'KG1-5'!$B$2)</f>
        <v/>
      </c>
      <c r="D2701" s="126">
        <f t="array" ref="D2701">IF(A2701="","",IFERROR(SMALL(IF((('KG1-5'!$AD23:$IM23="غياب بدون عذر")+('KG1-5'!$AD23:$IM23="غياب بعذر"))*('KG1-5'!$AD$7:$IM$7="✓"),'KG1-5'!$AD$5:$IM$5),20),""))</f>
        <v/>
      </c>
      <c r="E2701">
        <f>IF(D2701="","",INDEX('KG1-5'!$AD23:$IM23,MATCH(D2701,'KG1-5'!$AD$5:$IM$5,0)))</f>
        <v/>
      </c>
      <c r="F2701">
        <f>IF(D2701="","",COUNTIFS('KG1-5'!$AD23:$IM23,"غياب بدون عذر",'KG1-5'!$AD$7:$IM$7,"✓",'KG1-5'!$AD$5:$IM$5,"&lt;="&amp;D2701))</f>
        <v/>
      </c>
      <c r="G2701">
        <f>G2700+IF(D2701="",0,1)</f>
        <v/>
      </c>
    </row>
    <row r="2702">
      <c r="A2702">
        <f>IF('KG1-5'!$B24="","",'KG1-5'!$B24)</f>
        <v/>
      </c>
      <c r="B2702">
        <f>IF(A2702="","",'KG1-5'!$C24)</f>
        <v/>
      </c>
      <c r="C2702">
        <f>IF(A2702="","",'KG1-5'!$B$2)</f>
        <v/>
      </c>
      <c r="D2702" s="126">
        <f t="array" ref="D2702">IF(A2702="","",IFERROR(SMALL(IF((('KG1-5'!$AD24:$IM24="غياب بدون عذر")+('KG1-5'!$AD24:$IM24="غياب بعذر"))*('KG1-5'!$AD$7:$IM$7="✓"),'KG1-5'!$AD$5:$IM$5),1),""))</f>
        <v/>
      </c>
      <c r="E2702">
        <f>IF(D2702="","",INDEX('KG1-5'!$AD24:$IM24,MATCH(D2702,'KG1-5'!$AD$5:$IM$5,0)))</f>
        <v/>
      </c>
      <c r="F2702">
        <f>IF(D2702="","",COUNTIFS('KG1-5'!$AD24:$IM24,"غياب بدون عذر",'KG1-5'!$AD$7:$IM$7,"✓",'KG1-5'!$AD$5:$IM$5,"&lt;="&amp;D2702))</f>
        <v/>
      </c>
      <c r="G2702">
        <f>G2701+IF(D2702="",0,1)</f>
        <v/>
      </c>
    </row>
    <row r="2703">
      <c r="A2703">
        <f>IF('KG1-5'!$B24="","",'KG1-5'!$B24)</f>
        <v/>
      </c>
      <c r="B2703">
        <f>IF(A2703="","",'KG1-5'!$C24)</f>
        <v/>
      </c>
      <c r="C2703">
        <f>IF(A2703="","",'KG1-5'!$B$2)</f>
        <v/>
      </c>
      <c r="D2703" s="126">
        <f t="array" ref="D2703">IF(A2703="","",IFERROR(SMALL(IF((('KG1-5'!$AD24:$IM24="غياب بدون عذر")+('KG1-5'!$AD24:$IM24="غياب بعذر"))*('KG1-5'!$AD$7:$IM$7="✓"),'KG1-5'!$AD$5:$IM$5),2),""))</f>
        <v/>
      </c>
      <c r="E2703">
        <f>IF(D2703="","",INDEX('KG1-5'!$AD24:$IM24,MATCH(D2703,'KG1-5'!$AD$5:$IM$5,0)))</f>
        <v/>
      </c>
      <c r="F2703">
        <f>IF(D2703="","",COUNTIFS('KG1-5'!$AD24:$IM24,"غياب بدون عذر",'KG1-5'!$AD$7:$IM$7,"✓",'KG1-5'!$AD$5:$IM$5,"&lt;="&amp;D2703))</f>
        <v/>
      </c>
      <c r="G2703">
        <f>G2702+IF(D2703="",0,1)</f>
        <v/>
      </c>
    </row>
    <row r="2704">
      <c r="A2704">
        <f>IF('KG1-5'!$B24="","",'KG1-5'!$B24)</f>
        <v/>
      </c>
      <c r="B2704">
        <f>IF(A2704="","",'KG1-5'!$C24)</f>
        <v/>
      </c>
      <c r="C2704">
        <f>IF(A2704="","",'KG1-5'!$B$2)</f>
        <v/>
      </c>
      <c r="D2704" s="126">
        <f t="array" ref="D2704">IF(A2704="","",IFERROR(SMALL(IF((('KG1-5'!$AD24:$IM24="غياب بدون عذر")+('KG1-5'!$AD24:$IM24="غياب بعذر"))*('KG1-5'!$AD$7:$IM$7="✓"),'KG1-5'!$AD$5:$IM$5),3),""))</f>
        <v/>
      </c>
      <c r="E2704">
        <f>IF(D2704="","",INDEX('KG1-5'!$AD24:$IM24,MATCH(D2704,'KG1-5'!$AD$5:$IM$5,0)))</f>
        <v/>
      </c>
      <c r="F2704">
        <f>IF(D2704="","",COUNTIFS('KG1-5'!$AD24:$IM24,"غياب بدون عذر",'KG1-5'!$AD$7:$IM$7,"✓",'KG1-5'!$AD$5:$IM$5,"&lt;="&amp;D2704))</f>
        <v/>
      </c>
      <c r="G2704">
        <f>G2703+IF(D2704="",0,1)</f>
        <v/>
      </c>
    </row>
    <row r="2705">
      <c r="A2705">
        <f>IF('KG1-5'!$B24="","",'KG1-5'!$B24)</f>
        <v/>
      </c>
      <c r="B2705">
        <f>IF(A2705="","",'KG1-5'!$C24)</f>
        <v/>
      </c>
      <c r="C2705">
        <f>IF(A2705="","",'KG1-5'!$B$2)</f>
        <v/>
      </c>
      <c r="D2705" s="126">
        <f t="array" ref="D2705">IF(A2705="","",IFERROR(SMALL(IF((('KG1-5'!$AD24:$IM24="غياب بدون عذر")+('KG1-5'!$AD24:$IM24="غياب بعذر"))*('KG1-5'!$AD$7:$IM$7="✓"),'KG1-5'!$AD$5:$IM$5),4),""))</f>
        <v/>
      </c>
      <c r="E2705">
        <f>IF(D2705="","",INDEX('KG1-5'!$AD24:$IM24,MATCH(D2705,'KG1-5'!$AD$5:$IM$5,0)))</f>
        <v/>
      </c>
      <c r="F2705">
        <f>IF(D2705="","",COUNTIFS('KG1-5'!$AD24:$IM24,"غياب بدون عذر",'KG1-5'!$AD$7:$IM$7,"✓",'KG1-5'!$AD$5:$IM$5,"&lt;="&amp;D2705))</f>
        <v/>
      </c>
      <c r="G2705">
        <f>G2704+IF(D2705="",0,1)</f>
        <v/>
      </c>
    </row>
    <row r="2706">
      <c r="A2706">
        <f>IF('KG1-5'!$B24="","",'KG1-5'!$B24)</f>
        <v/>
      </c>
      <c r="B2706">
        <f>IF(A2706="","",'KG1-5'!$C24)</f>
        <v/>
      </c>
      <c r="C2706">
        <f>IF(A2706="","",'KG1-5'!$B$2)</f>
        <v/>
      </c>
      <c r="D2706" s="126">
        <f t="array" ref="D2706">IF(A2706="","",IFERROR(SMALL(IF((('KG1-5'!$AD24:$IM24="غياب بدون عذر")+('KG1-5'!$AD24:$IM24="غياب بعذر"))*('KG1-5'!$AD$7:$IM$7="✓"),'KG1-5'!$AD$5:$IM$5),5),""))</f>
        <v/>
      </c>
      <c r="E2706">
        <f>IF(D2706="","",INDEX('KG1-5'!$AD24:$IM24,MATCH(D2706,'KG1-5'!$AD$5:$IM$5,0)))</f>
        <v/>
      </c>
      <c r="F2706">
        <f>IF(D2706="","",COUNTIFS('KG1-5'!$AD24:$IM24,"غياب بدون عذر",'KG1-5'!$AD$7:$IM$7,"✓",'KG1-5'!$AD$5:$IM$5,"&lt;="&amp;D2706))</f>
        <v/>
      </c>
      <c r="G2706">
        <f>G2705+IF(D2706="",0,1)</f>
        <v/>
      </c>
    </row>
    <row r="2707">
      <c r="A2707">
        <f>IF('KG1-5'!$B24="","",'KG1-5'!$B24)</f>
        <v/>
      </c>
      <c r="B2707">
        <f>IF(A2707="","",'KG1-5'!$C24)</f>
        <v/>
      </c>
      <c r="C2707">
        <f>IF(A2707="","",'KG1-5'!$B$2)</f>
        <v/>
      </c>
      <c r="D2707" s="126">
        <f t="array" ref="D2707">IF(A2707="","",IFERROR(SMALL(IF((('KG1-5'!$AD24:$IM24="غياب بدون عذر")+('KG1-5'!$AD24:$IM24="غياب بعذر"))*('KG1-5'!$AD$7:$IM$7="✓"),'KG1-5'!$AD$5:$IM$5),6),""))</f>
        <v/>
      </c>
      <c r="E2707">
        <f>IF(D2707="","",INDEX('KG1-5'!$AD24:$IM24,MATCH(D2707,'KG1-5'!$AD$5:$IM$5,0)))</f>
        <v/>
      </c>
      <c r="F2707">
        <f>IF(D2707="","",COUNTIFS('KG1-5'!$AD24:$IM24,"غياب بدون عذر",'KG1-5'!$AD$7:$IM$7,"✓",'KG1-5'!$AD$5:$IM$5,"&lt;="&amp;D2707))</f>
        <v/>
      </c>
      <c r="G2707">
        <f>G2706+IF(D2707="",0,1)</f>
        <v/>
      </c>
    </row>
    <row r="2708">
      <c r="A2708">
        <f>IF('KG1-5'!$B24="","",'KG1-5'!$B24)</f>
        <v/>
      </c>
      <c r="B2708">
        <f>IF(A2708="","",'KG1-5'!$C24)</f>
        <v/>
      </c>
      <c r="C2708">
        <f>IF(A2708="","",'KG1-5'!$B$2)</f>
        <v/>
      </c>
      <c r="D2708" s="126">
        <f t="array" ref="D2708">IF(A2708="","",IFERROR(SMALL(IF((('KG1-5'!$AD24:$IM24="غياب بدون عذر")+('KG1-5'!$AD24:$IM24="غياب بعذر"))*('KG1-5'!$AD$7:$IM$7="✓"),'KG1-5'!$AD$5:$IM$5),7),""))</f>
        <v/>
      </c>
      <c r="E2708">
        <f>IF(D2708="","",INDEX('KG1-5'!$AD24:$IM24,MATCH(D2708,'KG1-5'!$AD$5:$IM$5,0)))</f>
        <v/>
      </c>
      <c r="F2708">
        <f>IF(D2708="","",COUNTIFS('KG1-5'!$AD24:$IM24,"غياب بدون عذر",'KG1-5'!$AD$7:$IM$7,"✓",'KG1-5'!$AD$5:$IM$5,"&lt;="&amp;D2708))</f>
        <v/>
      </c>
      <c r="G2708">
        <f>G2707+IF(D2708="",0,1)</f>
        <v/>
      </c>
    </row>
    <row r="2709">
      <c r="A2709">
        <f>IF('KG1-5'!$B24="","",'KG1-5'!$B24)</f>
        <v/>
      </c>
      <c r="B2709">
        <f>IF(A2709="","",'KG1-5'!$C24)</f>
        <v/>
      </c>
      <c r="C2709">
        <f>IF(A2709="","",'KG1-5'!$B$2)</f>
        <v/>
      </c>
      <c r="D2709" s="126">
        <f t="array" ref="D2709">IF(A2709="","",IFERROR(SMALL(IF((('KG1-5'!$AD24:$IM24="غياب بدون عذر")+('KG1-5'!$AD24:$IM24="غياب بعذر"))*('KG1-5'!$AD$7:$IM$7="✓"),'KG1-5'!$AD$5:$IM$5),8),""))</f>
        <v/>
      </c>
      <c r="E2709">
        <f>IF(D2709="","",INDEX('KG1-5'!$AD24:$IM24,MATCH(D2709,'KG1-5'!$AD$5:$IM$5,0)))</f>
        <v/>
      </c>
      <c r="F2709">
        <f>IF(D2709="","",COUNTIFS('KG1-5'!$AD24:$IM24,"غياب بدون عذر",'KG1-5'!$AD$7:$IM$7,"✓",'KG1-5'!$AD$5:$IM$5,"&lt;="&amp;D2709))</f>
        <v/>
      </c>
      <c r="G2709">
        <f>G2708+IF(D2709="",0,1)</f>
        <v/>
      </c>
    </row>
    <row r="2710">
      <c r="A2710">
        <f>IF('KG1-5'!$B24="","",'KG1-5'!$B24)</f>
        <v/>
      </c>
      <c r="B2710">
        <f>IF(A2710="","",'KG1-5'!$C24)</f>
        <v/>
      </c>
      <c r="C2710">
        <f>IF(A2710="","",'KG1-5'!$B$2)</f>
        <v/>
      </c>
      <c r="D2710" s="126">
        <f t="array" ref="D2710">IF(A2710="","",IFERROR(SMALL(IF((('KG1-5'!$AD24:$IM24="غياب بدون عذر")+('KG1-5'!$AD24:$IM24="غياب بعذر"))*('KG1-5'!$AD$7:$IM$7="✓"),'KG1-5'!$AD$5:$IM$5),9),""))</f>
        <v/>
      </c>
      <c r="E2710">
        <f>IF(D2710="","",INDEX('KG1-5'!$AD24:$IM24,MATCH(D2710,'KG1-5'!$AD$5:$IM$5,0)))</f>
        <v/>
      </c>
      <c r="F2710">
        <f>IF(D2710="","",COUNTIFS('KG1-5'!$AD24:$IM24,"غياب بدون عذر",'KG1-5'!$AD$7:$IM$7,"✓",'KG1-5'!$AD$5:$IM$5,"&lt;="&amp;D2710))</f>
        <v/>
      </c>
      <c r="G2710">
        <f>G2709+IF(D2710="",0,1)</f>
        <v/>
      </c>
    </row>
    <row r="2711">
      <c r="A2711">
        <f>IF('KG1-5'!$B24="","",'KG1-5'!$B24)</f>
        <v/>
      </c>
      <c r="B2711">
        <f>IF(A2711="","",'KG1-5'!$C24)</f>
        <v/>
      </c>
      <c r="C2711">
        <f>IF(A2711="","",'KG1-5'!$B$2)</f>
        <v/>
      </c>
      <c r="D2711" s="126">
        <f t="array" ref="D2711">IF(A2711="","",IFERROR(SMALL(IF((('KG1-5'!$AD24:$IM24="غياب بدون عذر")+('KG1-5'!$AD24:$IM24="غياب بعذر"))*('KG1-5'!$AD$7:$IM$7="✓"),'KG1-5'!$AD$5:$IM$5),10),""))</f>
        <v/>
      </c>
      <c r="E2711">
        <f>IF(D2711="","",INDEX('KG1-5'!$AD24:$IM24,MATCH(D2711,'KG1-5'!$AD$5:$IM$5,0)))</f>
        <v/>
      </c>
      <c r="F2711">
        <f>IF(D2711="","",COUNTIFS('KG1-5'!$AD24:$IM24,"غياب بدون عذر",'KG1-5'!$AD$7:$IM$7,"✓",'KG1-5'!$AD$5:$IM$5,"&lt;="&amp;D2711))</f>
        <v/>
      </c>
      <c r="G2711">
        <f>G2710+IF(D2711="",0,1)</f>
        <v/>
      </c>
    </row>
    <row r="2712">
      <c r="A2712">
        <f>IF('KG1-5'!$B24="","",'KG1-5'!$B24)</f>
        <v/>
      </c>
      <c r="B2712">
        <f>IF(A2712="","",'KG1-5'!$C24)</f>
        <v/>
      </c>
      <c r="C2712">
        <f>IF(A2712="","",'KG1-5'!$B$2)</f>
        <v/>
      </c>
      <c r="D2712" s="126">
        <f t="array" ref="D2712">IF(A2712="","",IFERROR(SMALL(IF((('KG1-5'!$AD24:$IM24="غياب بدون عذر")+('KG1-5'!$AD24:$IM24="غياب بعذر"))*('KG1-5'!$AD$7:$IM$7="✓"),'KG1-5'!$AD$5:$IM$5),11),""))</f>
        <v/>
      </c>
      <c r="E2712">
        <f>IF(D2712="","",INDEX('KG1-5'!$AD24:$IM24,MATCH(D2712,'KG1-5'!$AD$5:$IM$5,0)))</f>
        <v/>
      </c>
      <c r="F2712">
        <f>IF(D2712="","",COUNTIFS('KG1-5'!$AD24:$IM24,"غياب بدون عذر",'KG1-5'!$AD$7:$IM$7,"✓",'KG1-5'!$AD$5:$IM$5,"&lt;="&amp;D2712))</f>
        <v/>
      </c>
      <c r="G2712">
        <f>G2711+IF(D2712="",0,1)</f>
        <v/>
      </c>
    </row>
    <row r="2713">
      <c r="A2713">
        <f>IF('KG1-5'!$B24="","",'KG1-5'!$B24)</f>
        <v/>
      </c>
      <c r="B2713">
        <f>IF(A2713="","",'KG1-5'!$C24)</f>
        <v/>
      </c>
      <c r="C2713">
        <f>IF(A2713="","",'KG1-5'!$B$2)</f>
        <v/>
      </c>
      <c r="D2713" s="126">
        <f t="array" ref="D2713">IF(A2713="","",IFERROR(SMALL(IF((('KG1-5'!$AD24:$IM24="غياب بدون عذر")+('KG1-5'!$AD24:$IM24="غياب بعذر"))*('KG1-5'!$AD$7:$IM$7="✓"),'KG1-5'!$AD$5:$IM$5),12),""))</f>
        <v/>
      </c>
      <c r="E2713">
        <f>IF(D2713="","",INDEX('KG1-5'!$AD24:$IM24,MATCH(D2713,'KG1-5'!$AD$5:$IM$5,0)))</f>
        <v/>
      </c>
      <c r="F2713">
        <f>IF(D2713="","",COUNTIFS('KG1-5'!$AD24:$IM24,"غياب بدون عذر",'KG1-5'!$AD$7:$IM$7,"✓",'KG1-5'!$AD$5:$IM$5,"&lt;="&amp;D2713))</f>
        <v/>
      </c>
      <c r="G2713">
        <f>G2712+IF(D2713="",0,1)</f>
        <v/>
      </c>
    </row>
    <row r="2714">
      <c r="A2714">
        <f>IF('KG1-5'!$B24="","",'KG1-5'!$B24)</f>
        <v/>
      </c>
      <c r="B2714">
        <f>IF(A2714="","",'KG1-5'!$C24)</f>
        <v/>
      </c>
      <c r="C2714">
        <f>IF(A2714="","",'KG1-5'!$B$2)</f>
        <v/>
      </c>
      <c r="D2714" s="126">
        <f t="array" ref="D2714">IF(A2714="","",IFERROR(SMALL(IF((('KG1-5'!$AD24:$IM24="غياب بدون عذر")+('KG1-5'!$AD24:$IM24="غياب بعذر"))*('KG1-5'!$AD$7:$IM$7="✓"),'KG1-5'!$AD$5:$IM$5),13),""))</f>
        <v/>
      </c>
      <c r="E2714">
        <f>IF(D2714="","",INDEX('KG1-5'!$AD24:$IM24,MATCH(D2714,'KG1-5'!$AD$5:$IM$5,0)))</f>
        <v/>
      </c>
      <c r="F2714">
        <f>IF(D2714="","",COUNTIFS('KG1-5'!$AD24:$IM24,"غياب بدون عذر",'KG1-5'!$AD$7:$IM$7,"✓",'KG1-5'!$AD$5:$IM$5,"&lt;="&amp;D2714))</f>
        <v/>
      </c>
      <c r="G2714">
        <f>G2713+IF(D2714="",0,1)</f>
        <v/>
      </c>
    </row>
    <row r="2715">
      <c r="A2715">
        <f>IF('KG1-5'!$B24="","",'KG1-5'!$B24)</f>
        <v/>
      </c>
      <c r="B2715">
        <f>IF(A2715="","",'KG1-5'!$C24)</f>
        <v/>
      </c>
      <c r="C2715">
        <f>IF(A2715="","",'KG1-5'!$B$2)</f>
        <v/>
      </c>
      <c r="D2715" s="126">
        <f t="array" ref="D2715">IF(A2715="","",IFERROR(SMALL(IF((('KG1-5'!$AD24:$IM24="غياب بدون عذر")+('KG1-5'!$AD24:$IM24="غياب بعذر"))*('KG1-5'!$AD$7:$IM$7="✓"),'KG1-5'!$AD$5:$IM$5),14),""))</f>
        <v/>
      </c>
      <c r="E2715">
        <f>IF(D2715="","",INDEX('KG1-5'!$AD24:$IM24,MATCH(D2715,'KG1-5'!$AD$5:$IM$5,0)))</f>
        <v/>
      </c>
      <c r="F2715">
        <f>IF(D2715="","",COUNTIFS('KG1-5'!$AD24:$IM24,"غياب بدون عذر",'KG1-5'!$AD$7:$IM$7,"✓",'KG1-5'!$AD$5:$IM$5,"&lt;="&amp;D2715))</f>
        <v/>
      </c>
      <c r="G2715">
        <f>G2714+IF(D2715="",0,1)</f>
        <v/>
      </c>
    </row>
    <row r="2716">
      <c r="A2716">
        <f>IF('KG1-5'!$B24="","",'KG1-5'!$B24)</f>
        <v/>
      </c>
      <c r="B2716">
        <f>IF(A2716="","",'KG1-5'!$C24)</f>
        <v/>
      </c>
      <c r="C2716">
        <f>IF(A2716="","",'KG1-5'!$B$2)</f>
        <v/>
      </c>
      <c r="D2716" s="126">
        <f t="array" ref="D2716">IF(A2716="","",IFERROR(SMALL(IF((('KG1-5'!$AD24:$IM24="غياب بدون عذر")+('KG1-5'!$AD24:$IM24="غياب بعذر"))*('KG1-5'!$AD$7:$IM$7="✓"),'KG1-5'!$AD$5:$IM$5),15),""))</f>
        <v/>
      </c>
      <c r="E2716">
        <f>IF(D2716="","",INDEX('KG1-5'!$AD24:$IM24,MATCH(D2716,'KG1-5'!$AD$5:$IM$5,0)))</f>
        <v/>
      </c>
      <c r="F2716">
        <f>IF(D2716="","",COUNTIFS('KG1-5'!$AD24:$IM24,"غياب بدون عذر",'KG1-5'!$AD$7:$IM$7,"✓",'KG1-5'!$AD$5:$IM$5,"&lt;="&amp;D2716))</f>
        <v/>
      </c>
      <c r="G2716">
        <f>G2715+IF(D2716="",0,1)</f>
        <v/>
      </c>
    </row>
    <row r="2717">
      <c r="A2717">
        <f>IF('KG1-5'!$B24="","",'KG1-5'!$B24)</f>
        <v/>
      </c>
      <c r="B2717">
        <f>IF(A2717="","",'KG1-5'!$C24)</f>
        <v/>
      </c>
      <c r="C2717">
        <f>IF(A2717="","",'KG1-5'!$B$2)</f>
        <v/>
      </c>
      <c r="D2717" s="126">
        <f t="array" ref="D2717">IF(A2717="","",IFERROR(SMALL(IF((('KG1-5'!$AD24:$IM24="غياب بدون عذر")+('KG1-5'!$AD24:$IM24="غياب بعذر"))*('KG1-5'!$AD$7:$IM$7="✓"),'KG1-5'!$AD$5:$IM$5),16),""))</f>
        <v/>
      </c>
      <c r="E2717">
        <f>IF(D2717="","",INDEX('KG1-5'!$AD24:$IM24,MATCH(D2717,'KG1-5'!$AD$5:$IM$5,0)))</f>
        <v/>
      </c>
      <c r="F2717">
        <f>IF(D2717="","",COUNTIFS('KG1-5'!$AD24:$IM24,"غياب بدون عذر",'KG1-5'!$AD$7:$IM$7,"✓",'KG1-5'!$AD$5:$IM$5,"&lt;="&amp;D2717))</f>
        <v/>
      </c>
      <c r="G2717">
        <f>G2716+IF(D2717="",0,1)</f>
        <v/>
      </c>
    </row>
    <row r="2718">
      <c r="A2718">
        <f>IF('KG1-5'!$B24="","",'KG1-5'!$B24)</f>
        <v/>
      </c>
      <c r="B2718">
        <f>IF(A2718="","",'KG1-5'!$C24)</f>
        <v/>
      </c>
      <c r="C2718">
        <f>IF(A2718="","",'KG1-5'!$B$2)</f>
        <v/>
      </c>
      <c r="D2718" s="126">
        <f t="array" ref="D2718">IF(A2718="","",IFERROR(SMALL(IF((('KG1-5'!$AD24:$IM24="غياب بدون عذر")+('KG1-5'!$AD24:$IM24="غياب بعذر"))*('KG1-5'!$AD$7:$IM$7="✓"),'KG1-5'!$AD$5:$IM$5),17),""))</f>
        <v/>
      </c>
      <c r="E2718">
        <f>IF(D2718="","",INDEX('KG1-5'!$AD24:$IM24,MATCH(D2718,'KG1-5'!$AD$5:$IM$5,0)))</f>
        <v/>
      </c>
      <c r="F2718">
        <f>IF(D2718="","",COUNTIFS('KG1-5'!$AD24:$IM24,"غياب بدون عذر",'KG1-5'!$AD$7:$IM$7,"✓",'KG1-5'!$AD$5:$IM$5,"&lt;="&amp;D2718))</f>
        <v/>
      </c>
      <c r="G2718">
        <f>G2717+IF(D2718="",0,1)</f>
        <v/>
      </c>
    </row>
    <row r="2719">
      <c r="A2719">
        <f>IF('KG1-5'!$B24="","",'KG1-5'!$B24)</f>
        <v/>
      </c>
      <c r="B2719">
        <f>IF(A2719="","",'KG1-5'!$C24)</f>
        <v/>
      </c>
      <c r="C2719">
        <f>IF(A2719="","",'KG1-5'!$B$2)</f>
        <v/>
      </c>
      <c r="D2719" s="126">
        <f t="array" ref="D2719">IF(A2719="","",IFERROR(SMALL(IF((('KG1-5'!$AD24:$IM24="غياب بدون عذر")+('KG1-5'!$AD24:$IM24="غياب بعذر"))*('KG1-5'!$AD$7:$IM$7="✓"),'KG1-5'!$AD$5:$IM$5),18),""))</f>
        <v/>
      </c>
      <c r="E2719">
        <f>IF(D2719="","",INDEX('KG1-5'!$AD24:$IM24,MATCH(D2719,'KG1-5'!$AD$5:$IM$5,0)))</f>
        <v/>
      </c>
      <c r="F2719">
        <f>IF(D2719="","",COUNTIFS('KG1-5'!$AD24:$IM24,"غياب بدون عذر",'KG1-5'!$AD$7:$IM$7,"✓",'KG1-5'!$AD$5:$IM$5,"&lt;="&amp;D2719))</f>
        <v/>
      </c>
      <c r="G2719">
        <f>G2718+IF(D2719="",0,1)</f>
        <v/>
      </c>
    </row>
    <row r="2720">
      <c r="A2720">
        <f>IF('KG1-5'!$B24="","",'KG1-5'!$B24)</f>
        <v/>
      </c>
      <c r="B2720">
        <f>IF(A2720="","",'KG1-5'!$C24)</f>
        <v/>
      </c>
      <c r="C2720">
        <f>IF(A2720="","",'KG1-5'!$B$2)</f>
        <v/>
      </c>
      <c r="D2720" s="126">
        <f t="array" ref="D2720">IF(A2720="","",IFERROR(SMALL(IF((('KG1-5'!$AD24:$IM24="غياب بدون عذر")+('KG1-5'!$AD24:$IM24="غياب بعذر"))*('KG1-5'!$AD$7:$IM$7="✓"),'KG1-5'!$AD$5:$IM$5),19),""))</f>
        <v/>
      </c>
      <c r="E2720">
        <f>IF(D2720="","",INDEX('KG1-5'!$AD24:$IM24,MATCH(D2720,'KG1-5'!$AD$5:$IM$5,0)))</f>
        <v/>
      </c>
      <c r="F2720">
        <f>IF(D2720="","",COUNTIFS('KG1-5'!$AD24:$IM24,"غياب بدون عذر",'KG1-5'!$AD$7:$IM$7,"✓",'KG1-5'!$AD$5:$IM$5,"&lt;="&amp;D2720))</f>
        <v/>
      </c>
      <c r="G2720">
        <f>G2719+IF(D2720="",0,1)</f>
        <v/>
      </c>
    </row>
    <row r="2721">
      <c r="A2721">
        <f>IF('KG1-5'!$B24="","",'KG1-5'!$B24)</f>
        <v/>
      </c>
      <c r="B2721">
        <f>IF(A2721="","",'KG1-5'!$C24)</f>
        <v/>
      </c>
      <c r="C2721">
        <f>IF(A2721="","",'KG1-5'!$B$2)</f>
        <v/>
      </c>
      <c r="D2721" s="126">
        <f t="array" ref="D2721">IF(A2721="","",IFERROR(SMALL(IF((('KG1-5'!$AD24:$IM24="غياب بدون عذر")+('KG1-5'!$AD24:$IM24="غياب بعذر"))*('KG1-5'!$AD$7:$IM$7="✓"),'KG1-5'!$AD$5:$IM$5),20),""))</f>
        <v/>
      </c>
      <c r="E2721">
        <f>IF(D2721="","",INDEX('KG1-5'!$AD24:$IM24,MATCH(D2721,'KG1-5'!$AD$5:$IM$5,0)))</f>
        <v/>
      </c>
      <c r="F2721">
        <f>IF(D2721="","",COUNTIFS('KG1-5'!$AD24:$IM24,"غياب بدون عذر",'KG1-5'!$AD$7:$IM$7,"✓",'KG1-5'!$AD$5:$IM$5,"&lt;="&amp;D2721))</f>
        <v/>
      </c>
      <c r="G2721">
        <f>G2720+IF(D2721="",0,1)</f>
        <v/>
      </c>
    </row>
    <row r="2722">
      <c r="A2722">
        <f>IF('KG1-5'!$B25="","",'KG1-5'!$B25)</f>
        <v/>
      </c>
      <c r="B2722">
        <f>IF(A2722="","",'KG1-5'!$C25)</f>
        <v/>
      </c>
      <c r="C2722">
        <f>IF(A2722="","",'KG1-5'!$B$2)</f>
        <v/>
      </c>
      <c r="D2722" s="126">
        <f t="array" ref="D2722">IF(A2722="","",IFERROR(SMALL(IF((('KG1-5'!$AD25:$IM25="غياب بدون عذر")+('KG1-5'!$AD25:$IM25="غياب بعذر"))*('KG1-5'!$AD$7:$IM$7="✓"),'KG1-5'!$AD$5:$IM$5),1),""))</f>
        <v/>
      </c>
      <c r="E2722">
        <f>IF(D2722="","",INDEX('KG1-5'!$AD25:$IM25,MATCH(D2722,'KG1-5'!$AD$5:$IM$5,0)))</f>
        <v/>
      </c>
      <c r="F2722">
        <f>IF(D2722="","",COUNTIFS('KG1-5'!$AD25:$IM25,"غياب بدون عذر",'KG1-5'!$AD$7:$IM$7,"✓",'KG1-5'!$AD$5:$IM$5,"&lt;="&amp;D2722))</f>
        <v/>
      </c>
      <c r="G2722">
        <f>G2721+IF(D2722="",0,1)</f>
        <v/>
      </c>
    </row>
    <row r="2723">
      <c r="A2723">
        <f>IF('KG1-5'!$B25="","",'KG1-5'!$B25)</f>
        <v/>
      </c>
      <c r="B2723">
        <f>IF(A2723="","",'KG1-5'!$C25)</f>
        <v/>
      </c>
      <c r="C2723">
        <f>IF(A2723="","",'KG1-5'!$B$2)</f>
        <v/>
      </c>
      <c r="D2723" s="126">
        <f t="array" ref="D2723">IF(A2723="","",IFERROR(SMALL(IF((('KG1-5'!$AD25:$IM25="غياب بدون عذر")+('KG1-5'!$AD25:$IM25="غياب بعذر"))*('KG1-5'!$AD$7:$IM$7="✓"),'KG1-5'!$AD$5:$IM$5),2),""))</f>
        <v/>
      </c>
      <c r="E2723">
        <f>IF(D2723="","",INDEX('KG1-5'!$AD25:$IM25,MATCH(D2723,'KG1-5'!$AD$5:$IM$5,0)))</f>
        <v/>
      </c>
      <c r="F2723">
        <f>IF(D2723="","",COUNTIFS('KG1-5'!$AD25:$IM25,"غياب بدون عذر",'KG1-5'!$AD$7:$IM$7,"✓",'KG1-5'!$AD$5:$IM$5,"&lt;="&amp;D2723))</f>
        <v/>
      </c>
      <c r="G2723">
        <f>G2722+IF(D2723="",0,1)</f>
        <v/>
      </c>
    </row>
    <row r="2724">
      <c r="A2724">
        <f>IF('KG1-5'!$B25="","",'KG1-5'!$B25)</f>
        <v/>
      </c>
      <c r="B2724">
        <f>IF(A2724="","",'KG1-5'!$C25)</f>
        <v/>
      </c>
      <c r="C2724">
        <f>IF(A2724="","",'KG1-5'!$B$2)</f>
        <v/>
      </c>
      <c r="D2724" s="126">
        <f t="array" ref="D2724">IF(A2724="","",IFERROR(SMALL(IF((('KG1-5'!$AD25:$IM25="غياب بدون عذر")+('KG1-5'!$AD25:$IM25="غياب بعذر"))*('KG1-5'!$AD$7:$IM$7="✓"),'KG1-5'!$AD$5:$IM$5),3),""))</f>
        <v/>
      </c>
      <c r="E2724">
        <f>IF(D2724="","",INDEX('KG1-5'!$AD25:$IM25,MATCH(D2724,'KG1-5'!$AD$5:$IM$5,0)))</f>
        <v/>
      </c>
      <c r="F2724">
        <f>IF(D2724="","",COUNTIFS('KG1-5'!$AD25:$IM25,"غياب بدون عذر",'KG1-5'!$AD$7:$IM$7,"✓",'KG1-5'!$AD$5:$IM$5,"&lt;="&amp;D2724))</f>
        <v/>
      </c>
      <c r="G2724">
        <f>G2723+IF(D2724="",0,1)</f>
        <v/>
      </c>
    </row>
    <row r="2725">
      <c r="A2725">
        <f>IF('KG1-5'!$B25="","",'KG1-5'!$B25)</f>
        <v/>
      </c>
      <c r="B2725">
        <f>IF(A2725="","",'KG1-5'!$C25)</f>
        <v/>
      </c>
      <c r="C2725">
        <f>IF(A2725="","",'KG1-5'!$B$2)</f>
        <v/>
      </c>
      <c r="D2725" s="126">
        <f t="array" ref="D2725">IF(A2725="","",IFERROR(SMALL(IF((('KG1-5'!$AD25:$IM25="غياب بدون عذر")+('KG1-5'!$AD25:$IM25="غياب بعذر"))*('KG1-5'!$AD$7:$IM$7="✓"),'KG1-5'!$AD$5:$IM$5),4),""))</f>
        <v/>
      </c>
      <c r="E2725">
        <f>IF(D2725="","",INDEX('KG1-5'!$AD25:$IM25,MATCH(D2725,'KG1-5'!$AD$5:$IM$5,0)))</f>
        <v/>
      </c>
      <c r="F2725">
        <f>IF(D2725="","",COUNTIFS('KG1-5'!$AD25:$IM25,"غياب بدون عذر",'KG1-5'!$AD$7:$IM$7,"✓",'KG1-5'!$AD$5:$IM$5,"&lt;="&amp;D2725))</f>
        <v/>
      </c>
      <c r="G2725">
        <f>G2724+IF(D2725="",0,1)</f>
        <v/>
      </c>
    </row>
    <row r="2726">
      <c r="A2726">
        <f>IF('KG1-5'!$B25="","",'KG1-5'!$B25)</f>
        <v/>
      </c>
      <c r="B2726">
        <f>IF(A2726="","",'KG1-5'!$C25)</f>
        <v/>
      </c>
      <c r="C2726">
        <f>IF(A2726="","",'KG1-5'!$B$2)</f>
        <v/>
      </c>
      <c r="D2726" s="126">
        <f t="array" ref="D2726">IF(A2726="","",IFERROR(SMALL(IF((('KG1-5'!$AD25:$IM25="غياب بدون عذر")+('KG1-5'!$AD25:$IM25="غياب بعذر"))*('KG1-5'!$AD$7:$IM$7="✓"),'KG1-5'!$AD$5:$IM$5),5),""))</f>
        <v/>
      </c>
      <c r="E2726">
        <f>IF(D2726="","",INDEX('KG1-5'!$AD25:$IM25,MATCH(D2726,'KG1-5'!$AD$5:$IM$5,0)))</f>
        <v/>
      </c>
      <c r="F2726">
        <f>IF(D2726="","",COUNTIFS('KG1-5'!$AD25:$IM25,"غياب بدون عذر",'KG1-5'!$AD$7:$IM$7,"✓",'KG1-5'!$AD$5:$IM$5,"&lt;="&amp;D2726))</f>
        <v/>
      </c>
      <c r="G2726">
        <f>G2725+IF(D2726="",0,1)</f>
        <v/>
      </c>
    </row>
    <row r="2727">
      <c r="A2727">
        <f>IF('KG1-5'!$B25="","",'KG1-5'!$B25)</f>
        <v/>
      </c>
      <c r="B2727">
        <f>IF(A2727="","",'KG1-5'!$C25)</f>
        <v/>
      </c>
      <c r="C2727">
        <f>IF(A2727="","",'KG1-5'!$B$2)</f>
        <v/>
      </c>
      <c r="D2727" s="126">
        <f t="array" ref="D2727">IF(A2727="","",IFERROR(SMALL(IF((('KG1-5'!$AD25:$IM25="غياب بدون عذر")+('KG1-5'!$AD25:$IM25="غياب بعذر"))*('KG1-5'!$AD$7:$IM$7="✓"),'KG1-5'!$AD$5:$IM$5),6),""))</f>
        <v/>
      </c>
      <c r="E2727">
        <f>IF(D2727="","",INDEX('KG1-5'!$AD25:$IM25,MATCH(D2727,'KG1-5'!$AD$5:$IM$5,0)))</f>
        <v/>
      </c>
      <c r="F2727">
        <f>IF(D2727="","",COUNTIFS('KG1-5'!$AD25:$IM25,"غياب بدون عذر",'KG1-5'!$AD$7:$IM$7,"✓",'KG1-5'!$AD$5:$IM$5,"&lt;="&amp;D2727))</f>
        <v/>
      </c>
      <c r="G2727">
        <f>G2726+IF(D2727="",0,1)</f>
        <v/>
      </c>
    </row>
    <row r="2728">
      <c r="A2728">
        <f>IF('KG1-5'!$B25="","",'KG1-5'!$B25)</f>
        <v/>
      </c>
      <c r="B2728">
        <f>IF(A2728="","",'KG1-5'!$C25)</f>
        <v/>
      </c>
      <c r="C2728">
        <f>IF(A2728="","",'KG1-5'!$B$2)</f>
        <v/>
      </c>
      <c r="D2728" s="126">
        <f t="array" ref="D2728">IF(A2728="","",IFERROR(SMALL(IF((('KG1-5'!$AD25:$IM25="غياب بدون عذر")+('KG1-5'!$AD25:$IM25="غياب بعذر"))*('KG1-5'!$AD$7:$IM$7="✓"),'KG1-5'!$AD$5:$IM$5),7),""))</f>
        <v/>
      </c>
      <c r="E2728">
        <f>IF(D2728="","",INDEX('KG1-5'!$AD25:$IM25,MATCH(D2728,'KG1-5'!$AD$5:$IM$5,0)))</f>
        <v/>
      </c>
      <c r="F2728">
        <f>IF(D2728="","",COUNTIFS('KG1-5'!$AD25:$IM25,"غياب بدون عذر",'KG1-5'!$AD$7:$IM$7,"✓",'KG1-5'!$AD$5:$IM$5,"&lt;="&amp;D2728))</f>
        <v/>
      </c>
      <c r="G2728">
        <f>G2727+IF(D2728="",0,1)</f>
        <v/>
      </c>
    </row>
    <row r="2729">
      <c r="A2729">
        <f>IF('KG1-5'!$B25="","",'KG1-5'!$B25)</f>
        <v/>
      </c>
      <c r="B2729">
        <f>IF(A2729="","",'KG1-5'!$C25)</f>
        <v/>
      </c>
      <c r="C2729">
        <f>IF(A2729="","",'KG1-5'!$B$2)</f>
        <v/>
      </c>
      <c r="D2729" s="126">
        <f t="array" ref="D2729">IF(A2729="","",IFERROR(SMALL(IF((('KG1-5'!$AD25:$IM25="غياب بدون عذر")+('KG1-5'!$AD25:$IM25="غياب بعذر"))*('KG1-5'!$AD$7:$IM$7="✓"),'KG1-5'!$AD$5:$IM$5),8),""))</f>
        <v/>
      </c>
      <c r="E2729">
        <f>IF(D2729="","",INDEX('KG1-5'!$AD25:$IM25,MATCH(D2729,'KG1-5'!$AD$5:$IM$5,0)))</f>
        <v/>
      </c>
      <c r="F2729">
        <f>IF(D2729="","",COUNTIFS('KG1-5'!$AD25:$IM25,"غياب بدون عذر",'KG1-5'!$AD$7:$IM$7,"✓",'KG1-5'!$AD$5:$IM$5,"&lt;="&amp;D2729))</f>
        <v/>
      </c>
      <c r="G2729">
        <f>G2728+IF(D2729="",0,1)</f>
        <v/>
      </c>
    </row>
    <row r="2730">
      <c r="A2730">
        <f>IF('KG1-5'!$B25="","",'KG1-5'!$B25)</f>
        <v/>
      </c>
      <c r="B2730">
        <f>IF(A2730="","",'KG1-5'!$C25)</f>
        <v/>
      </c>
      <c r="C2730">
        <f>IF(A2730="","",'KG1-5'!$B$2)</f>
        <v/>
      </c>
      <c r="D2730" s="126">
        <f t="array" ref="D2730">IF(A2730="","",IFERROR(SMALL(IF((('KG1-5'!$AD25:$IM25="غياب بدون عذر")+('KG1-5'!$AD25:$IM25="غياب بعذر"))*('KG1-5'!$AD$7:$IM$7="✓"),'KG1-5'!$AD$5:$IM$5),9),""))</f>
        <v/>
      </c>
      <c r="E2730">
        <f>IF(D2730="","",INDEX('KG1-5'!$AD25:$IM25,MATCH(D2730,'KG1-5'!$AD$5:$IM$5,0)))</f>
        <v/>
      </c>
      <c r="F2730">
        <f>IF(D2730="","",COUNTIFS('KG1-5'!$AD25:$IM25,"غياب بدون عذر",'KG1-5'!$AD$7:$IM$7,"✓",'KG1-5'!$AD$5:$IM$5,"&lt;="&amp;D2730))</f>
        <v/>
      </c>
      <c r="G2730">
        <f>G2729+IF(D2730="",0,1)</f>
        <v/>
      </c>
    </row>
    <row r="2731">
      <c r="A2731">
        <f>IF('KG1-5'!$B25="","",'KG1-5'!$B25)</f>
        <v/>
      </c>
      <c r="B2731">
        <f>IF(A2731="","",'KG1-5'!$C25)</f>
        <v/>
      </c>
      <c r="C2731">
        <f>IF(A2731="","",'KG1-5'!$B$2)</f>
        <v/>
      </c>
      <c r="D2731" s="126">
        <f t="array" ref="D2731">IF(A2731="","",IFERROR(SMALL(IF((('KG1-5'!$AD25:$IM25="غياب بدون عذر")+('KG1-5'!$AD25:$IM25="غياب بعذر"))*('KG1-5'!$AD$7:$IM$7="✓"),'KG1-5'!$AD$5:$IM$5),10),""))</f>
        <v/>
      </c>
      <c r="E2731">
        <f>IF(D2731="","",INDEX('KG1-5'!$AD25:$IM25,MATCH(D2731,'KG1-5'!$AD$5:$IM$5,0)))</f>
        <v/>
      </c>
      <c r="F2731">
        <f>IF(D2731="","",COUNTIFS('KG1-5'!$AD25:$IM25,"غياب بدون عذر",'KG1-5'!$AD$7:$IM$7,"✓",'KG1-5'!$AD$5:$IM$5,"&lt;="&amp;D2731))</f>
        <v/>
      </c>
      <c r="G2731">
        <f>G2730+IF(D2731="",0,1)</f>
        <v/>
      </c>
    </row>
    <row r="2732">
      <c r="A2732">
        <f>IF('KG1-5'!$B25="","",'KG1-5'!$B25)</f>
        <v/>
      </c>
      <c r="B2732">
        <f>IF(A2732="","",'KG1-5'!$C25)</f>
        <v/>
      </c>
      <c r="C2732">
        <f>IF(A2732="","",'KG1-5'!$B$2)</f>
        <v/>
      </c>
      <c r="D2732" s="126">
        <f t="array" ref="D2732">IF(A2732="","",IFERROR(SMALL(IF((('KG1-5'!$AD25:$IM25="غياب بدون عذر")+('KG1-5'!$AD25:$IM25="غياب بعذر"))*('KG1-5'!$AD$7:$IM$7="✓"),'KG1-5'!$AD$5:$IM$5),11),""))</f>
        <v/>
      </c>
      <c r="E2732">
        <f>IF(D2732="","",INDEX('KG1-5'!$AD25:$IM25,MATCH(D2732,'KG1-5'!$AD$5:$IM$5,0)))</f>
        <v/>
      </c>
      <c r="F2732">
        <f>IF(D2732="","",COUNTIFS('KG1-5'!$AD25:$IM25,"غياب بدون عذر",'KG1-5'!$AD$7:$IM$7,"✓",'KG1-5'!$AD$5:$IM$5,"&lt;="&amp;D2732))</f>
        <v/>
      </c>
      <c r="G2732">
        <f>G2731+IF(D2732="",0,1)</f>
        <v/>
      </c>
    </row>
    <row r="2733">
      <c r="A2733">
        <f>IF('KG1-5'!$B25="","",'KG1-5'!$B25)</f>
        <v/>
      </c>
      <c r="B2733">
        <f>IF(A2733="","",'KG1-5'!$C25)</f>
        <v/>
      </c>
      <c r="C2733">
        <f>IF(A2733="","",'KG1-5'!$B$2)</f>
        <v/>
      </c>
      <c r="D2733" s="126">
        <f t="array" ref="D2733">IF(A2733="","",IFERROR(SMALL(IF((('KG1-5'!$AD25:$IM25="غياب بدون عذر")+('KG1-5'!$AD25:$IM25="غياب بعذر"))*('KG1-5'!$AD$7:$IM$7="✓"),'KG1-5'!$AD$5:$IM$5),12),""))</f>
        <v/>
      </c>
      <c r="E2733">
        <f>IF(D2733="","",INDEX('KG1-5'!$AD25:$IM25,MATCH(D2733,'KG1-5'!$AD$5:$IM$5,0)))</f>
        <v/>
      </c>
      <c r="F2733">
        <f>IF(D2733="","",COUNTIFS('KG1-5'!$AD25:$IM25,"غياب بدون عذر",'KG1-5'!$AD$7:$IM$7,"✓",'KG1-5'!$AD$5:$IM$5,"&lt;="&amp;D2733))</f>
        <v/>
      </c>
      <c r="G2733">
        <f>G2732+IF(D2733="",0,1)</f>
        <v/>
      </c>
    </row>
    <row r="2734">
      <c r="A2734">
        <f>IF('KG1-5'!$B25="","",'KG1-5'!$B25)</f>
        <v/>
      </c>
      <c r="B2734">
        <f>IF(A2734="","",'KG1-5'!$C25)</f>
        <v/>
      </c>
      <c r="C2734">
        <f>IF(A2734="","",'KG1-5'!$B$2)</f>
        <v/>
      </c>
      <c r="D2734" s="126">
        <f t="array" ref="D2734">IF(A2734="","",IFERROR(SMALL(IF((('KG1-5'!$AD25:$IM25="غياب بدون عذر")+('KG1-5'!$AD25:$IM25="غياب بعذر"))*('KG1-5'!$AD$7:$IM$7="✓"),'KG1-5'!$AD$5:$IM$5),13),""))</f>
        <v/>
      </c>
      <c r="E2734">
        <f>IF(D2734="","",INDEX('KG1-5'!$AD25:$IM25,MATCH(D2734,'KG1-5'!$AD$5:$IM$5,0)))</f>
        <v/>
      </c>
      <c r="F2734">
        <f>IF(D2734="","",COUNTIFS('KG1-5'!$AD25:$IM25,"غياب بدون عذر",'KG1-5'!$AD$7:$IM$7,"✓",'KG1-5'!$AD$5:$IM$5,"&lt;="&amp;D2734))</f>
        <v/>
      </c>
      <c r="G2734">
        <f>G2733+IF(D2734="",0,1)</f>
        <v/>
      </c>
    </row>
    <row r="2735">
      <c r="A2735">
        <f>IF('KG1-5'!$B25="","",'KG1-5'!$B25)</f>
        <v/>
      </c>
      <c r="B2735">
        <f>IF(A2735="","",'KG1-5'!$C25)</f>
        <v/>
      </c>
      <c r="C2735">
        <f>IF(A2735="","",'KG1-5'!$B$2)</f>
        <v/>
      </c>
      <c r="D2735" s="126">
        <f t="array" ref="D2735">IF(A2735="","",IFERROR(SMALL(IF((('KG1-5'!$AD25:$IM25="غياب بدون عذر")+('KG1-5'!$AD25:$IM25="غياب بعذر"))*('KG1-5'!$AD$7:$IM$7="✓"),'KG1-5'!$AD$5:$IM$5),14),""))</f>
        <v/>
      </c>
      <c r="E2735">
        <f>IF(D2735="","",INDEX('KG1-5'!$AD25:$IM25,MATCH(D2735,'KG1-5'!$AD$5:$IM$5,0)))</f>
        <v/>
      </c>
      <c r="F2735">
        <f>IF(D2735="","",COUNTIFS('KG1-5'!$AD25:$IM25,"غياب بدون عذر",'KG1-5'!$AD$7:$IM$7,"✓",'KG1-5'!$AD$5:$IM$5,"&lt;="&amp;D2735))</f>
        <v/>
      </c>
      <c r="G2735">
        <f>G2734+IF(D2735="",0,1)</f>
        <v/>
      </c>
    </row>
    <row r="2736">
      <c r="A2736">
        <f>IF('KG1-5'!$B25="","",'KG1-5'!$B25)</f>
        <v/>
      </c>
      <c r="B2736">
        <f>IF(A2736="","",'KG1-5'!$C25)</f>
        <v/>
      </c>
      <c r="C2736">
        <f>IF(A2736="","",'KG1-5'!$B$2)</f>
        <v/>
      </c>
      <c r="D2736" s="126">
        <f t="array" ref="D2736">IF(A2736="","",IFERROR(SMALL(IF((('KG1-5'!$AD25:$IM25="غياب بدون عذر")+('KG1-5'!$AD25:$IM25="غياب بعذر"))*('KG1-5'!$AD$7:$IM$7="✓"),'KG1-5'!$AD$5:$IM$5),15),""))</f>
        <v/>
      </c>
      <c r="E2736">
        <f>IF(D2736="","",INDEX('KG1-5'!$AD25:$IM25,MATCH(D2736,'KG1-5'!$AD$5:$IM$5,0)))</f>
        <v/>
      </c>
      <c r="F2736">
        <f>IF(D2736="","",COUNTIFS('KG1-5'!$AD25:$IM25,"غياب بدون عذر",'KG1-5'!$AD$7:$IM$7,"✓",'KG1-5'!$AD$5:$IM$5,"&lt;="&amp;D2736))</f>
        <v/>
      </c>
      <c r="G2736">
        <f>G2735+IF(D2736="",0,1)</f>
        <v/>
      </c>
    </row>
    <row r="2737">
      <c r="A2737">
        <f>IF('KG1-5'!$B25="","",'KG1-5'!$B25)</f>
        <v/>
      </c>
      <c r="B2737">
        <f>IF(A2737="","",'KG1-5'!$C25)</f>
        <v/>
      </c>
      <c r="C2737">
        <f>IF(A2737="","",'KG1-5'!$B$2)</f>
        <v/>
      </c>
      <c r="D2737" s="126">
        <f t="array" ref="D2737">IF(A2737="","",IFERROR(SMALL(IF((('KG1-5'!$AD25:$IM25="غياب بدون عذر")+('KG1-5'!$AD25:$IM25="غياب بعذر"))*('KG1-5'!$AD$7:$IM$7="✓"),'KG1-5'!$AD$5:$IM$5),16),""))</f>
        <v/>
      </c>
      <c r="E2737">
        <f>IF(D2737="","",INDEX('KG1-5'!$AD25:$IM25,MATCH(D2737,'KG1-5'!$AD$5:$IM$5,0)))</f>
        <v/>
      </c>
      <c r="F2737">
        <f>IF(D2737="","",COUNTIFS('KG1-5'!$AD25:$IM25,"غياب بدون عذر",'KG1-5'!$AD$7:$IM$7,"✓",'KG1-5'!$AD$5:$IM$5,"&lt;="&amp;D2737))</f>
        <v/>
      </c>
      <c r="G2737">
        <f>G2736+IF(D2737="",0,1)</f>
        <v/>
      </c>
    </row>
    <row r="2738">
      <c r="A2738">
        <f>IF('KG1-5'!$B25="","",'KG1-5'!$B25)</f>
        <v/>
      </c>
      <c r="B2738">
        <f>IF(A2738="","",'KG1-5'!$C25)</f>
        <v/>
      </c>
      <c r="C2738">
        <f>IF(A2738="","",'KG1-5'!$B$2)</f>
        <v/>
      </c>
      <c r="D2738" s="126">
        <f t="array" ref="D2738">IF(A2738="","",IFERROR(SMALL(IF((('KG1-5'!$AD25:$IM25="غياب بدون عذر")+('KG1-5'!$AD25:$IM25="غياب بعذر"))*('KG1-5'!$AD$7:$IM$7="✓"),'KG1-5'!$AD$5:$IM$5),17),""))</f>
        <v/>
      </c>
      <c r="E2738">
        <f>IF(D2738="","",INDEX('KG1-5'!$AD25:$IM25,MATCH(D2738,'KG1-5'!$AD$5:$IM$5,0)))</f>
        <v/>
      </c>
      <c r="F2738">
        <f>IF(D2738="","",COUNTIFS('KG1-5'!$AD25:$IM25,"غياب بدون عذر",'KG1-5'!$AD$7:$IM$7,"✓",'KG1-5'!$AD$5:$IM$5,"&lt;="&amp;D2738))</f>
        <v/>
      </c>
      <c r="G2738">
        <f>G2737+IF(D2738="",0,1)</f>
        <v/>
      </c>
    </row>
    <row r="2739">
      <c r="A2739">
        <f>IF('KG1-5'!$B25="","",'KG1-5'!$B25)</f>
        <v/>
      </c>
      <c r="B2739">
        <f>IF(A2739="","",'KG1-5'!$C25)</f>
        <v/>
      </c>
      <c r="C2739">
        <f>IF(A2739="","",'KG1-5'!$B$2)</f>
        <v/>
      </c>
      <c r="D2739" s="126">
        <f t="array" ref="D2739">IF(A2739="","",IFERROR(SMALL(IF((('KG1-5'!$AD25:$IM25="غياب بدون عذر")+('KG1-5'!$AD25:$IM25="غياب بعذر"))*('KG1-5'!$AD$7:$IM$7="✓"),'KG1-5'!$AD$5:$IM$5),18),""))</f>
        <v/>
      </c>
      <c r="E2739">
        <f>IF(D2739="","",INDEX('KG1-5'!$AD25:$IM25,MATCH(D2739,'KG1-5'!$AD$5:$IM$5,0)))</f>
        <v/>
      </c>
      <c r="F2739">
        <f>IF(D2739="","",COUNTIFS('KG1-5'!$AD25:$IM25,"غياب بدون عذر",'KG1-5'!$AD$7:$IM$7,"✓",'KG1-5'!$AD$5:$IM$5,"&lt;="&amp;D2739))</f>
        <v/>
      </c>
      <c r="G2739">
        <f>G2738+IF(D2739="",0,1)</f>
        <v/>
      </c>
    </row>
    <row r="2740">
      <c r="A2740">
        <f>IF('KG1-5'!$B25="","",'KG1-5'!$B25)</f>
        <v/>
      </c>
      <c r="B2740">
        <f>IF(A2740="","",'KG1-5'!$C25)</f>
        <v/>
      </c>
      <c r="C2740">
        <f>IF(A2740="","",'KG1-5'!$B$2)</f>
        <v/>
      </c>
      <c r="D2740" s="126">
        <f t="array" ref="D2740">IF(A2740="","",IFERROR(SMALL(IF((('KG1-5'!$AD25:$IM25="غياب بدون عذر")+('KG1-5'!$AD25:$IM25="غياب بعذر"))*('KG1-5'!$AD$7:$IM$7="✓"),'KG1-5'!$AD$5:$IM$5),19),""))</f>
        <v/>
      </c>
      <c r="E2740">
        <f>IF(D2740="","",INDEX('KG1-5'!$AD25:$IM25,MATCH(D2740,'KG1-5'!$AD$5:$IM$5,0)))</f>
        <v/>
      </c>
      <c r="F2740">
        <f>IF(D2740="","",COUNTIFS('KG1-5'!$AD25:$IM25,"غياب بدون عذر",'KG1-5'!$AD$7:$IM$7,"✓",'KG1-5'!$AD$5:$IM$5,"&lt;="&amp;D2740))</f>
        <v/>
      </c>
      <c r="G2740">
        <f>G2739+IF(D2740="",0,1)</f>
        <v/>
      </c>
    </row>
    <row r="2741">
      <c r="A2741">
        <f>IF('KG1-5'!$B25="","",'KG1-5'!$B25)</f>
        <v/>
      </c>
      <c r="B2741">
        <f>IF(A2741="","",'KG1-5'!$C25)</f>
        <v/>
      </c>
      <c r="C2741">
        <f>IF(A2741="","",'KG1-5'!$B$2)</f>
        <v/>
      </c>
      <c r="D2741" s="126">
        <f t="array" ref="D2741">IF(A2741="","",IFERROR(SMALL(IF((('KG1-5'!$AD25:$IM25="غياب بدون عذر")+('KG1-5'!$AD25:$IM25="غياب بعذر"))*('KG1-5'!$AD$7:$IM$7="✓"),'KG1-5'!$AD$5:$IM$5),20),""))</f>
        <v/>
      </c>
      <c r="E2741">
        <f>IF(D2741="","",INDEX('KG1-5'!$AD25:$IM25,MATCH(D2741,'KG1-5'!$AD$5:$IM$5,0)))</f>
        <v/>
      </c>
      <c r="F2741">
        <f>IF(D2741="","",COUNTIFS('KG1-5'!$AD25:$IM25,"غياب بدون عذر",'KG1-5'!$AD$7:$IM$7,"✓",'KG1-5'!$AD$5:$IM$5,"&lt;="&amp;D2741))</f>
        <v/>
      </c>
      <c r="G2741">
        <f>G2740+IF(D2741="",0,1)</f>
        <v/>
      </c>
    </row>
    <row r="2742">
      <c r="A2742">
        <f>IF('KG1-5'!$B26="","",'KG1-5'!$B26)</f>
        <v/>
      </c>
      <c r="B2742">
        <f>IF(A2742="","",'KG1-5'!$C26)</f>
        <v/>
      </c>
      <c r="C2742">
        <f>IF(A2742="","",'KG1-5'!$B$2)</f>
        <v/>
      </c>
      <c r="D2742" s="126">
        <f t="array" ref="D2742">IF(A2742="","",IFERROR(SMALL(IF((('KG1-5'!$AD26:$IM26="غياب بدون عذر")+('KG1-5'!$AD26:$IM26="غياب بعذر"))*('KG1-5'!$AD$7:$IM$7="✓"),'KG1-5'!$AD$5:$IM$5),1),""))</f>
        <v/>
      </c>
      <c r="E2742">
        <f>IF(D2742="","",INDEX('KG1-5'!$AD26:$IM26,MATCH(D2742,'KG1-5'!$AD$5:$IM$5,0)))</f>
        <v/>
      </c>
      <c r="F2742">
        <f>IF(D2742="","",COUNTIFS('KG1-5'!$AD26:$IM26,"غياب بدون عذر",'KG1-5'!$AD$7:$IM$7,"✓",'KG1-5'!$AD$5:$IM$5,"&lt;="&amp;D2742))</f>
        <v/>
      </c>
      <c r="G2742">
        <f>G2741+IF(D2742="",0,1)</f>
        <v/>
      </c>
    </row>
    <row r="2743">
      <c r="A2743">
        <f>IF('KG1-5'!$B26="","",'KG1-5'!$B26)</f>
        <v/>
      </c>
      <c r="B2743">
        <f>IF(A2743="","",'KG1-5'!$C26)</f>
        <v/>
      </c>
      <c r="C2743">
        <f>IF(A2743="","",'KG1-5'!$B$2)</f>
        <v/>
      </c>
      <c r="D2743" s="126">
        <f t="array" ref="D2743">IF(A2743="","",IFERROR(SMALL(IF((('KG1-5'!$AD26:$IM26="غياب بدون عذر")+('KG1-5'!$AD26:$IM26="غياب بعذر"))*('KG1-5'!$AD$7:$IM$7="✓"),'KG1-5'!$AD$5:$IM$5),2),""))</f>
        <v/>
      </c>
      <c r="E2743">
        <f>IF(D2743="","",INDEX('KG1-5'!$AD26:$IM26,MATCH(D2743,'KG1-5'!$AD$5:$IM$5,0)))</f>
        <v/>
      </c>
      <c r="F2743">
        <f>IF(D2743="","",COUNTIFS('KG1-5'!$AD26:$IM26,"غياب بدون عذر",'KG1-5'!$AD$7:$IM$7,"✓",'KG1-5'!$AD$5:$IM$5,"&lt;="&amp;D2743))</f>
        <v/>
      </c>
      <c r="G2743">
        <f>G2742+IF(D2743="",0,1)</f>
        <v/>
      </c>
    </row>
    <row r="2744">
      <c r="A2744">
        <f>IF('KG1-5'!$B26="","",'KG1-5'!$B26)</f>
        <v/>
      </c>
      <c r="B2744">
        <f>IF(A2744="","",'KG1-5'!$C26)</f>
        <v/>
      </c>
      <c r="C2744">
        <f>IF(A2744="","",'KG1-5'!$B$2)</f>
        <v/>
      </c>
      <c r="D2744" s="126">
        <f t="array" ref="D2744">IF(A2744="","",IFERROR(SMALL(IF((('KG1-5'!$AD26:$IM26="غياب بدون عذر")+('KG1-5'!$AD26:$IM26="غياب بعذر"))*('KG1-5'!$AD$7:$IM$7="✓"),'KG1-5'!$AD$5:$IM$5),3),""))</f>
        <v/>
      </c>
      <c r="E2744">
        <f>IF(D2744="","",INDEX('KG1-5'!$AD26:$IM26,MATCH(D2744,'KG1-5'!$AD$5:$IM$5,0)))</f>
        <v/>
      </c>
      <c r="F2744">
        <f>IF(D2744="","",COUNTIFS('KG1-5'!$AD26:$IM26,"غياب بدون عذر",'KG1-5'!$AD$7:$IM$7,"✓",'KG1-5'!$AD$5:$IM$5,"&lt;="&amp;D2744))</f>
        <v/>
      </c>
      <c r="G2744">
        <f>G2743+IF(D2744="",0,1)</f>
        <v/>
      </c>
    </row>
    <row r="2745">
      <c r="A2745">
        <f>IF('KG1-5'!$B26="","",'KG1-5'!$B26)</f>
        <v/>
      </c>
      <c r="B2745">
        <f>IF(A2745="","",'KG1-5'!$C26)</f>
        <v/>
      </c>
      <c r="C2745">
        <f>IF(A2745="","",'KG1-5'!$B$2)</f>
        <v/>
      </c>
      <c r="D2745" s="126">
        <f t="array" ref="D2745">IF(A2745="","",IFERROR(SMALL(IF((('KG1-5'!$AD26:$IM26="غياب بدون عذر")+('KG1-5'!$AD26:$IM26="غياب بعذر"))*('KG1-5'!$AD$7:$IM$7="✓"),'KG1-5'!$AD$5:$IM$5),4),""))</f>
        <v/>
      </c>
      <c r="E2745">
        <f>IF(D2745="","",INDEX('KG1-5'!$AD26:$IM26,MATCH(D2745,'KG1-5'!$AD$5:$IM$5,0)))</f>
        <v/>
      </c>
      <c r="F2745">
        <f>IF(D2745="","",COUNTIFS('KG1-5'!$AD26:$IM26,"غياب بدون عذر",'KG1-5'!$AD$7:$IM$7,"✓",'KG1-5'!$AD$5:$IM$5,"&lt;="&amp;D2745))</f>
        <v/>
      </c>
      <c r="G2745">
        <f>G2744+IF(D2745="",0,1)</f>
        <v/>
      </c>
    </row>
    <row r="2746">
      <c r="A2746">
        <f>IF('KG1-5'!$B26="","",'KG1-5'!$B26)</f>
        <v/>
      </c>
      <c r="B2746">
        <f>IF(A2746="","",'KG1-5'!$C26)</f>
        <v/>
      </c>
      <c r="C2746">
        <f>IF(A2746="","",'KG1-5'!$B$2)</f>
        <v/>
      </c>
      <c r="D2746" s="126">
        <f t="array" ref="D2746">IF(A2746="","",IFERROR(SMALL(IF((('KG1-5'!$AD26:$IM26="غياب بدون عذر")+('KG1-5'!$AD26:$IM26="غياب بعذر"))*('KG1-5'!$AD$7:$IM$7="✓"),'KG1-5'!$AD$5:$IM$5),5),""))</f>
        <v/>
      </c>
      <c r="E2746">
        <f>IF(D2746="","",INDEX('KG1-5'!$AD26:$IM26,MATCH(D2746,'KG1-5'!$AD$5:$IM$5,0)))</f>
        <v/>
      </c>
      <c r="F2746">
        <f>IF(D2746="","",COUNTIFS('KG1-5'!$AD26:$IM26,"غياب بدون عذر",'KG1-5'!$AD$7:$IM$7,"✓",'KG1-5'!$AD$5:$IM$5,"&lt;="&amp;D2746))</f>
        <v/>
      </c>
      <c r="G2746">
        <f>G2745+IF(D2746="",0,1)</f>
        <v/>
      </c>
    </row>
    <row r="2747">
      <c r="A2747">
        <f>IF('KG1-5'!$B26="","",'KG1-5'!$B26)</f>
        <v/>
      </c>
      <c r="B2747">
        <f>IF(A2747="","",'KG1-5'!$C26)</f>
        <v/>
      </c>
      <c r="C2747">
        <f>IF(A2747="","",'KG1-5'!$B$2)</f>
        <v/>
      </c>
      <c r="D2747" s="126">
        <f t="array" ref="D2747">IF(A2747="","",IFERROR(SMALL(IF((('KG1-5'!$AD26:$IM26="غياب بدون عذر")+('KG1-5'!$AD26:$IM26="غياب بعذر"))*('KG1-5'!$AD$7:$IM$7="✓"),'KG1-5'!$AD$5:$IM$5),6),""))</f>
        <v/>
      </c>
      <c r="E2747">
        <f>IF(D2747="","",INDEX('KG1-5'!$AD26:$IM26,MATCH(D2747,'KG1-5'!$AD$5:$IM$5,0)))</f>
        <v/>
      </c>
      <c r="F2747">
        <f>IF(D2747="","",COUNTIFS('KG1-5'!$AD26:$IM26,"غياب بدون عذر",'KG1-5'!$AD$7:$IM$7,"✓",'KG1-5'!$AD$5:$IM$5,"&lt;="&amp;D2747))</f>
        <v/>
      </c>
      <c r="G2747">
        <f>G2746+IF(D2747="",0,1)</f>
        <v/>
      </c>
    </row>
    <row r="2748">
      <c r="A2748">
        <f>IF('KG1-5'!$B26="","",'KG1-5'!$B26)</f>
        <v/>
      </c>
      <c r="B2748">
        <f>IF(A2748="","",'KG1-5'!$C26)</f>
        <v/>
      </c>
      <c r="C2748">
        <f>IF(A2748="","",'KG1-5'!$B$2)</f>
        <v/>
      </c>
      <c r="D2748" s="126">
        <f t="array" ref="D2748">IF(A2748="","",IFERROR(SMALL(IF((('KG1-5'!$AD26:$IM26="غياب بدون عذر")+('KG1-5'!$AD26:$IM26="غياب بعذر"))*('KG1-5'!$AD$7:$IM$7="✓"),'KG1-5'!$AD$5:$IM$5),7),""))</f>
        <v/>
      </c>
      <c r="E2748">
        <f>IF(D2748="","",INDEX('KG1-5'!$AD26:$IM26,MATCH(D2748,'KG1-5'!$AD$5:$IM$5,0)))</f>
        <v/>
      </c>
      <c r="F2748">
        <f>IF(D2748="","",COUNTIFS('KG1-5'!$AD26:$IM26,"غياب بدون عذر",'KG1-5'!$AD$7:$IM$7,"✓",'KG1-5'!$AD$5:$IM$5,"&lt;="&amp;D2748))</f>
        <v/>
      </c>
      <c r="G2748">
        <f>G2747+IF(D2748="",0,1)</f>
        <v/>
      </c>
    </row>
    <row r="2749">
      <c r="A2749">
        <f>IF('KG1-5'!$B26="","",'KG1-5'!$B26)</f>
        <v/>
      </c>
      <c r="B2749">
        <f>IF(A2749="","",'KG1-5'!$C26)</f>
        <v/>
      </c>
      <c r="C2749">
        <f>IF(A2749="","",'KG1-5'!$B$2)</f>
        <v/>
      </c>
      <c r="D2749" s="126">
        <f t="array" ref="D2749">IF(A2749="","",IFERROR(SMALL(IF((('KG1-5'!$AD26:$IM26="غياب بدون عذر")+('KG1-5'!$AD26:$IM26="غياب بعذر"))*('KG1-5'!$AD$7:$IM$7="✓"),'KG1-5'!$AD$5:$IM$5),8),""))</f>
        <v/>
      </c>
      <c r="E2749">
        <f>IF(D2749="","",INDEX('KG1-5'!$AD26:$IM26,MATCH(D2749,'KG1-5'!$AD$5:$IM$5,0)))</f>
        <v/>
      </c>
      <c r="F2749">
        <f>IF(D2749="","",COUNTIFS('KG1-5'!$AD26:$IM26,"غياب بدون عذر",'KG1-5'!$AD$7:$IM$7,"✓",'KG1-5'!$AD$5:$IM$5,"&lt;="&amp;D2749))</f>
        <v/>
      </c>
      <c r="G2749">
        <f>G2748+IF(D2749="",0,1)</f>
        <v/>
      </c>
    </row>
    <row r="2750">
      <c r="A2750">
        <f>IF('KG1-5'!$B26="","",'KG1-5'!$B26)</f>
        <v/>
      </c>
      <c r="B2750">
        <f>IF(A2750="","",'KG1-5'!$C26)</f>
        <v/>
      </c>
      <c r="C2750">
        <f>IF(A2750="","",'KG1-5'!$B$2)</f>
        <v/>
      </c>
      <c r="D2750" s="126">
        <f t="array" ref="D2750">IF(A2750="","",IFERROR(SMALL(IF((('KG1-5'!$AD26:$IM26="غياب بدون عذر")+('KG1-5'!$AD26:$IM26="غياب بعذر"))*('KG1-5'!$AD$7:$IM$7="✓"),'KG1-5'!$AD$5:$IM$5),9),""))</f>
        <v/>
      </c>
      <c r="E2750">
        <f>IF(D2750="","",INDEX('KG1-5'!$AD26:$IM26,MATCH(D2750,'KG1-5'!$AD$5:$IM$5,0)))</f>
        <v/>
      </c>
      <c r="F2750">
        <f>IF(D2750="","",COUNTIFS('KG1-5'!$AD26:$IM26,"غياب بدون عذر",'KG1-5'!$AD$7:$IM$7,"✓",'KG1-5'!$AD$5:$IM$5,"&lt;="&amp;D2750))</f>
        <v/>
      </c>
      <c r="G2750">
        <f>G2749+IF(D2750="",0,1)</f>
        <v/>
      </c>
    </row>
    <row r="2751">
      <c r="A2751">
        <f>IF('KG1-5'!$B26="","",'KG1-5'!$B26)</f>
        <v/>
      </c>
      <c r="B2751">
        <f>IF(A2751="","",'KG1-5'!$C26)</f>
        <v/>
      </c>
      <c r="C2751">
        <f>IF(A2751="","",'KG1-5'!$B$2)</f>
        <v/>
      </c>
      <c r="D2751" s="126">
        <f t="array" ref="D2751">IF(A2751="","",IFERROR(SMALL(IF((('KG1-5'!$AD26:$IM26="غياب بدون عذر")+('KG1-5'!$AD26:$IM26="غياب بعذر"))*('KG1-5'!$AD$7:$IM$7="✓"),'KG1-5'!$AD$5:$IM$5),10),""))</f>
        <v/>
      </c>
      <c r="E2751">
        <f>IF(D2751="","",INDEX('KG1-5'!$AD26:$IM26,MATCH(D2751,'KG1-5'!$AD$5:$IM$5,0)))</f>
        <v/>
      </c>
      <c r="F2751">
        <f>IF(D2751="","",COUNTIFS('KG1-5'!$AD26:$IM26,"غياب بدون عذر",'KG1-5'!$AD$7:$IM$7,"✓",'KG1-5'!$AD$5:$IM$5,"&lt;="&amp;D2751))</f>
        <v/>
      </c>
      <c r="G2751">
        <f>G2750+IF(D2751="",0,1)</f>
        <v/>
      </c>
    </row>
    <row r="2752">
      <c r="A2752">
        <f>IF('KG1-5'!$B26="","",'KG1-5'!$B26)</f>
        <v/>
      </c>
      <c r="B2752">
        <f>IF(A2752="","",'KG1-5'!$C26)</f>
        <v/>
      </c>
      <c r="C2752">
        <f>IF(A2752="","",'KG1-5'!$B$2)</f>
        <v/>
      </c>
      <c r="D2752" s="126">
        <f t="array" ref="D2752">IF(A2752="","",IFERROR(SMALL(IF((('KG1-5'!$AD26:$IM26="غياب بدون عذر")+('KG1-5'!$AD26:$IM26="غياب بعذر"))*('KG1-5'!$AD$7:$IM$7="✓"),'KG1-5'!$AD$5:$IM$5),11),""))</f>
        <v/>
      </c>
      <c r="E2752">
        <f>IF(D2752="","",INDEX('KG1-5'!$AD26:$IM26,MATCH(D2752,'KG1-5'!$AD$5:$IM$5,0)))</f>
        <v/>
      </c>
      <c r="F2752">
        <f>IF(D2752="","",COUNTIFS('KG1-5'!$AD26:$IM26,"غياب بدون عذر",'KG1-5'!$AD$7:$IM$7,"✓",'KG1-5'!$AD$5:$IM$5,"&lt;="&amp;D2752))</f>
        <v/>
      </c>
      <c r="G2752">
        <f>G2751+IF(D2752="",0,1)</f>
        <v/>
      </c>
    </row>
    <row r="2753">
      <c r="A2753">
        <f>IF('KG1-5'!$B26="","",'KG1-5'!$B26)</f>
        <v/>
      </c>
      <c r="B2753">
        <f>IF(A2753="","",'KG1-5'!$C26)</f>
        <v/>
      </c>
      <c r="C2753">
        <f>IF(A2753="","",'KG1-5'!$B$2)</f>
        <v/>
      </c>
      <c r="D2753" s="126">
        <f t="array" ref="D2753">IF(A2753="","",IFERROR(SMALL(IF((('KG1-5'!$AD26:$IM26="غياب بدون عذر")+('KG1-5'!$AD26:$IM26="غياب بعذر"))*('KG1-5'!$AD$7:$IM$7="✓"),'KG1-5'!$AD$5:$IM$5),12),""))</f>
        <v/>
      </c>
      <c r="E2753">
        <f>IF(D2753="","",INDEX('KG1-5'!$AD26:$IM26,MATCH(D2753,'KG1-5'!$AD$5:$IM$5,0)))</f>
        <v/>
      </c>
      <c r="F2753">
        <f>IF(D2753="","",COUNTIFS('KG1-5'!$AD26:$IM26,"غياب بدون عذر",'KG1-5'!$AD$7:$IM$7,"✓",'KG1-5'!$AD$5:$IM$5,"&lt;="&amp;D2753))</f>
        <v/>
      </c>
      <c r="G2753">
        <f>G2752+IF(D2753="",0,1)</f>
        <v/>
      </c>
    </row>
    <row r="2754">
      <c r="A2754">
        <f>IF('KG1-5'!$B26="","",'KG1-5'!$B26)</f>
        <v/>
      </c>
      <c r="B2754">
        <f>IF(A2754="","",'KG1-5'!$C26)</f>
        <v/>
      </c>
      <c r="C2754">
        <f>IF(A2754="","",'KG1-5'!$B$2)</f>
        <v/>
      </c>
      <c r="D2754" s="126">
        <f t="array" ref="D2754">IF(A2754="","",IFERROR(SMALL(IF((('KG1-5'!$AD26:$IM26="غياب بدون عذر")+('KG1-5'!$AD26:$IM26="غياب بعذر"))*('KG1-5'!$AD$7:$IM$7="✓"),'KG1-5'!$AD$5:$IM$5),13),""))</f>
        <v/>
      </c>
      <c r="E2754">
        <f>IF(D2754="","",INDEX('KG1-5'!$AD26:$IM26,MATCH(D2754,'KG1-5'!$AD$5:$IM$5,0)))</f>
        <v/>
      </c>
      <c r="F2754">
        <f>IF(D2754="","",COUNTIFS('KG1-5'!$AD26:$IM26,"غياب بدون عذر",'KG1-5'!$AD$7:$IM$7,"✓",'KG1-5'!$AD$5:$IM$5,"&lt;="&amp;D2754))</f>
        <v/>
      </c>
      <c r="G2754">
        <f>G2753+IF(D2754="",0,1)</f>
        <v/>
      </c>
    </row>
    <row r="2755">
      <c r="A2755">
        <f>IF('KG1-5'!$B26="","",'KG1-5'!$B26)</f>
        <v/>
      </c>
      <c r="B2755">
        <f>IF(A2755="","",'KG1-5'!$C26)</f>
        <v/>
      </c>
      <c r="C2755">
        <f>IF(A2755="","",'KG1-5'!$B$2)</f>
        <v/>
      </c>
      <c r="D2755" s="126">
        <f t="array" ref="D2755">IF(A2755="","",IFERROR(SMALL(IF((('KG1-5'!$AD26:$IM26="غياب بدون عذر")+('KG1-5'!$AD26:$IM26="غياب بعذر"))*('KG1-5'!$AD$7:$IM$7="✓"),'KG1-5'!$AD$5:$IM$5),14),""))</f>
        <v/>
      </c>
      <c r="E2755">
        <f>IF(D2755="","",INDEX('KG1-5'!$AD26:$IM26,MATCH(D2755,'KG1-5'!$AD$5:$IM$5,0)))</f>
        <v/>
      </c>
      <c r="F2755">
        <f>IF(D2755="","",COUNTIFS('KG1-5'!$AD26:$IM26,"غياب بدون عذر",'KG1-5'!$AD$7:$IM$7,"✓",'KG1-5'!$AD$5:$IM$5,"&lt;="&amp;D2755))</f>
        <v/>
      </c>
      <c r="G2755">
        <f>G2754+IF(D2755="",0,1)</f>
        <v/>
      </c>
    </row>
    <row r="2756">
      <c r="A2756">
        <f>IF('KG1-5'!$B26="","",'KG1-5'!$B26)</f>
        <v/>
      </c>
      <c r="B2756">
        <f>IF(A2756="","",'KG1-5'!$C26)</f>
        <v/>
      </c>
      <c r="C2756">
        <f>IF(A2756="","",'KG1-5'!$B$2)</f>
        <v/>
      </c>
      <c r="D2756" s="126">
        <f t="array" ref="D2756">IF(A2756="","",IFERROR(SMALL(IF((('KG1-5'!$AD26:$IM26="غياب بدون عذر")+('KG1-5'!$AD26:$IM26="غياب بعذر"))*('KG1-5'!$AD$7:$IM$7="✓"),'KG1-5'!$AD$5:$IM$5),15),""))</f>
        <v/>
      </c>
      <c r="E2756">
        <f>IF(D2756="","",INDEX('KG1-5'!$AD26:$IM26,MATCH(D2756,'KG1-5'!$AD$5:$IM$5,0)))</f>
        <v/>
      </c>
      <c r="F2756">
        <f>IF(D2756="","",COUNTIFS('KG1-5'!$AD26:$IM26,"غياب بدون عذر",'KG1-5'!$AD$7:$IM$7,"✓",'KG1-5'!$AD$5:$IM$5,"&lt;="&amp;D2756))</f>
        <v/>
      </c>
      <c r="G2756">
        <f>G2755+IF(D2756="",0,1)</f>
        <v/>
      </c>
    </row>
    <row r="2757">
      <c r="A2757">
        <f>IF('KG1-5'!$B26="","",'KG1-5'!$B26)</f>
        <v/>
      </c>
      <c r="B2757">
        <f>IF(A2757="","",'KG1-5'!$C26)</f>
        <v/>
      </c>
      <c r="C2757">
        <f>IF(A2757="","",'KG1-5'!$B$2)</f>
        <v/>
      </c>
      <c r="D2757" s="126">
        <f t="array" ref="D2757">IF(A2757="","",IFERROR(SMALL(IF((('KG1-5'!$AD26:$IM26="غياب بدون عذر")+('KG1-5'!$AD26:$IM26="غياب بعذر"))*('KG1-5'!$AD$7:$IM$7="✓"),'KG1-5'!$AD$5:$IM$5),16),""))</f>
        <v/>
      </c>
      <c r="E2757">
        <f>IF(D2757="","",INDEX('KG1-5'!$AD26:$IM26,MATCH(D2757,'KG1-5'!$AD$5:$IM$5,0)))</f>
        <v/>
      </c>
      <c r="F2757">
        <f>IF(D2757="","",COUNTIFS('KG1-5'!$AD26:$IM26,"غياب بدون عذر",'KG1-5'!$AD$7:$IM$7,"✓",'KG1-5'!$AD$5:$IM$5,"&lt;="&amp;D2757))</f>
        <v/>
      </c>
      <c r="G2757">
        <f>G2756+IF(D2757="",0,1)</f>
        <v/>
      </c>
    </row>
    <row r="2758">
      <c r="A2758">
        <f>IF('KG1-5'!$B26="","",'KG1-5'!$B26)</f>
        <v/>
      </c>
      <c r="B2758">
        <f>IF(A2758="","",'KG1-5'!$C26)</f>
        <v/>
      </c>
      <c r="C2758">
        <f>IF(A2758="","",'KG1-5'!$B$2)</f>
        <v/>
      </c>
      <c r="D2758" s="126">
        <f t="array" ref="D2758">IF(A2758="","",IFERROR(SMALL(IF((('KG1-5'!$AD26:$IM26="غياب بدون عذر")+('KG1-5'!$AD26:$IM26="غياب بعذر"))*('KG1-5'!$AD$7:$IM$7="✓"),'KG1-5'!$AD$5:$IM$5),17),""))</f>
        <v/>
      </c>
      <c r="E2758">
        <f>IF(D2758="","",INDEX('KG1-5'!$AD26:$IM26,MATCH(D2758,'KG1-5'!$AD$5:$IM$5,0)))</f>
        <v/>
      </c>
      <c r="F2758">
        <f>IF(D2758="","",COUNTIFS('KG1-5'!$AD26:$IM26,"غياب بدون عذر",'KG1-5'!$AD$7:$IM$7,"✓",'KG1-5'!$AD$5:$IM$5,"&lt;="&amp;D2758))</f>
        <v/>
      </c>
      <c r="G2758">
        <f>G2757+IF(D2758="",0,1)</f>
        <v/>
      </c>
    </row>
    <row r="2759">
      <c r="A2759">
        <f>IF('KG1-5'!$B26="","",'KG1-5'!$B26)</f>
        <v/>
      </c>
      <c r="B2759">
        <f>IF(A2759="","",'KG1-5'!$C26)</f>
        <v/>
      </c>
      <c r="C2759">
        <f>IF(A2759="","",'KG1-5'!$B$2)</f>
        <v/>
      </c>
      <c r="D2759" s="126">
        <f t="array" ref="D2759">IF(A2759="","",IFERROR(SMALL(IF((('KG1-5'!$AD26:$IM26="غياب بدون عذر")+('KG1-5'!$AD26:$IM26="غياب بعذر"))*('KG1-5'!$AD$7:$IM$7="✓"),'KG1-5'!$AD$5:$IM$5),18),""))</f>
        <v/>
      </c>
      <c r="E2759">
        <f>IF(D2759="","",INDEX('KG1-5'!$AD26:$IM26,MATCH(D2759,'KG1-5'!$AD$5:$IM$5,0)))</f>
        <v/>
      </c>
      <c r="F2759">
        <f>IF(D2759="","",COUNTIFS('KG1-5'!$AD26:$IM26,"غياب بدون عذر",'KG1-5'!$AD$7:$IM$7,"✓",'KG1-5'!$AD$5:$IM$5,"&lt;="&amp;D2759))</f>
        <v/>
      </c>
      <c r="G2759">
        <f>G2758+IF(D2759="",0,1)</f>
        <v/>
      </c>
    </row>
    <row r="2760">
      <c r="A2760">
        <f>IF('KG1-5'!$B26="","",'KG1-5'!$B26)</f>
        <v/>
      </c>
      <c r="B2760">
        <f>IF(A2760="","",'KG1-5'!$C26)</f>
        <v/>
      </c>
      <c r="C2760">
        <f>IF(A2760="","",'KG1-5'!$B$2)</f>
        <v/>
      </c>
      <c r="D2760" s="126">
        <f t="array" ref="D2760">IF(A2760="","",IFERROR(SMALL(IF((('KG1-5'!$AD26:$IM26="غياب بدون عذر")+('KG1-5'!$AD26:$IM26="غياب بعذر"))*('KG1-5'!$AD$7:$IM$7="✓"),'KG1-5'!$AD$5:$IM$5),19),""))</f>
        <v/>
      </c>
      <c r="E2760">
        <f>IF(D2760="","",INDEX('KG1-5'!$AD26:$IM26,MATCH(D2760,'KG1-5'!$AD$5:$IM$5,0)))</f>
        <v/>
      </c>
      <c r="F2760">
        <f>IF(D2760="","",COUNTIFS('KG1-5'!$AD26:$IM26,"غياب بدون عذر",'KG1-5'!$AD$7:$IM$7,"✓",'KG1-5'!$AD$5:$IM$5,"&lt;="&amp;D2760))</f>
        <v/>
      </c>
      <c r="G2760">
        <f>G2759+IF(D2760="",0,1)</f>
        <v/>
      </c>
    </row>
    <row r="2761">
      <c r="A2761">
        <f>IF('KG1-5'!$B26="","",'KG1-5'!$B26)</f>
        <v/>
      </c>
      <c r="B2761">
        <f>IF(A2761="","",'KG1-5'!$C26)</f>
        <v/>
      </c>
      <c r="C2761">
        <f>IF(A2761="","",'KG1-5'!$B$2)</f>
        <v/>
      </c>
      <c r="D2761" s="126">
        <f t="array" ref="D2761">IF(A2761="","",IFERROR(SMALL(IF((('KG1-5'!$AD26:$IM26="غياب بدون عذر")+('KG1-5'!$AD26:$IM26="غياب بعذر"))*('KG1-5'!$AD$7:$IM$7="✓"),'KG1-5'!$AD$5:$IM$5),20),""))</f>
        <v/>
      </c>
      <c r="E2761">
        <f>IF(D2761="","",INDEX('KG1-5'!$AD26:$IM26,MATCH(D2761,'KG1-5'!$AD$5:$IM$5,0)))</f>
        <v/>
      </c>
      <c r="F2761">
        <f>IF(D2761="","",COUNTIFS('KG1-5'!$AD26:$IM26,"غياب بدون عذر",'KG1-5'!$AD$7:$IM$7,"✓",'KG1-5'!$AD$5:$IM$5,"&lt;="&amp;D2761))</f>
        <v/>
      </c>
      <c r="G2761">
        <f>G2760+IF(D2761="",0,1)</f>
        <v/>
      </c>
    </row>
    <row r="2762">
      <c r="A2762">
        <f>IF('KG1-5'!$B27="","",'KG1-5'!$B27)</f>
        <v/>
      </c>
      <c r="B2762">
        <f>IF(A2762="","",'KG1-5'!$C27)</f>
        <v/>
      </c>
      <c r="C2762">
        <f>IF(A2762="","",'KG1-5'!$B$2)</f>
        <v/>
      </c>
      <c r="D2762" s="126">
        <f t="array" ref="D2762">IF(A2762="","",IFERROR(SMALL(IF((('KG1-5'!$AD27:$IM27="غياب بدون عذر")+('KG1-5'!$AD27:$IM27="غياب بعذر"))*('KG1-5'!$AD$7:$IM$7="✓"),'KG1-5'!$AD$5:$IM$5),1),""))</f>
        <v/>
      </c>
      <c r="E2762">
        <f>IF(D2762="","",INDEX('KG1-5'!$AD27:$IM27,MATCH(D2762,'KG1-5'!$AD$5:$IM$5,0)))</f>
        <v/>
      </c>
      <c r="F2762">
        <f>IF(D2762="","",COUNTIFS('KG1-5'!$AD27:$IM27,"غياب بدون عذر",'KG1-5'!$AD$7:$IM$7,"✓",'KG1-5'!$AD$5:$IM$5,"&lt;="&amp;D2762))</f>
        <v/>
      </c>
      <c r="G2762">
        <f>G2761+IF(D2762="",0,1)</f>
        <v/>
      </c>
    </row>
    <row r="2763">
      <c r="A2763">
        <f>IF('KG1-5'!$B27="","",'KG1-5'!$B27)</f>
        <v/>
      </c>
      <c r="B2763">
        <f>IF(A2763="","",'KG1-5'!$C27)</f>
        <v/>
      </c>
      <c r="C2763">
        <f>IF(A2763="","",'KG1-5'!$B$2)</f>
        <v/>
      </c>
      <c r="D2763" s="126">
        <f t="array" ref="D2763">IF(A2763="","",IFERROR(SMALL(IF((('KG1-5'!$AD27:$IM27="غياب بدون عذر")+('KG1-5'!$AD27:$IM27="غياب بعذر"))*('KG1-5'!$AD$7:$IM$7="✓"),'KG1-5'!$AD$5:$IM$5),2),""))</f>
        <v/>
      </c>
      <c r="E2763">
        <f>IF(D2763="","",INDEX('KG1-5'!$AD27:$IM27,MATCH(D2763,'KG1-5'!$AD$5:$IM$5,0)))</f>
        <v/>
      </c>
      <c r="F2763">
        <f>IF(D2763="","",COUNTIFS('KG1-5'!$AD27:$IM27,"غياب بدون عذر",'KG1-5'!$AD$7:$IM$7,"✓",'KG1-5'!$AD$5:$IM$5,"&lt;="&amp;D2763))</f>
        <v/>
      </c>
      <c r="G2763">
        <f>G2762+IF(D2763="",0,1)</f>
        <v/>
      </c>
    </row>
    <row r="2764">
      <c r="A2764">
        <f>IF('KG1-5'!$B27="","",'KG1-5'!$B27)</f>
        <v/>
      </c>
      <c r="B2764">
        <f>IF(A2764="","",'KG1-5'!$C27)</f>
        <v/>
      </c>
      <c r="C2764">
        <f>IF(A2764="","",'KG1-5'!$B$2)</f>
        <v/>
      </c>
      <c r="D2764" s="126">
        <f t="array" ref="D2764">IF(A2764="","",IFERROR(SMALL(IF((('KG1-5'!$AD27:$IM27="غياب بدون عذر")+('KG1-5'!$AD27:$IM27="غياب بعذر"))*('KG1-5'!$AD$7:$IM$7="✓"),'KG1-5'!$AD$5:$IM$5),3),""))</f>
        <v/>
      </c>
      <c r="E2764">
        <f>IF(D2764="","",INDEX('KG1-5'!$AD27:$IM27,MATCH(D2764,'KG1-5'!$AD$5:$IM$5,0)))</f>
        <v/>
      </c>
      <c r="F2764">
        <f>IF(D2764="","",COUNTIFS('KG1-5'!$AD27:$IM27,"غياب بدون عذر",'KG1-5'!$AD$7:$IM$7,"✓",'KG1-5'!$AD$5:$IM$5,"&lt;="&amp;D2764))</f>
        <v/>
      </c>
      <c r="G2764">
        <f>G2763+IF(D2764="",0,1)</f>
        <v/>
      </c>
    </row>
    <row r="2765">
      <c r="A2765">
        <f>IF('KG1-5'!$B27="","",'KG1-5'!$B27)</f>
        <v/>
      </c>
      <c r="B2765">
        <f>IF(A2765="","",'KG1-5'!$C27)</f>
        <v/>
      </c>
      <c r="C2765">
        <f>IF(A2765="","",'KG1-5'!$B$2)</f>
        <v/>
      </c>
      <c r="D2765" s="126">
        <f t="array" ref="D2765">IF(A2765="","",IFERROR(SMALL(IF((('KG1-5'!$AD27:$IM27="غياب بدون عذر")+('KG1-5'!$AD27:$IM27="غياب بعذر"))*('KG1-5'!$AD$7:$IM$7="✓"),'KG1-5'!$AD$5:$IM$5),4),""))</f>
        <v/>
      </c>
      <c r="E2765">
        <f>IF(D2765="","",INDEX('KG1-5'!$AD27:$IM27,MATCH(D2765,'KG1-5'!$AD$5:$IM$5,0)))</f>
        <v/>
      </c>
      <c r="F2765">
        <f>IF(D2765="","",COUNTIFS('KG1-5'!$AD27:$IM27,"غياب بدون عذر",'KG1-5'!$AD$7:$IM$7,"✓",'KG1-5'!$AD$5:$IM$5,"&lt;="&amp;D2765))</f>
        <v/>
      </c>
      <c r="G2765">
        <f>G2764+IF(D2765="",0,1)</f>
        <v/>
      </c>
    </row>
    <row r="2766">
      <c r="A2766">
        <f>IF('KG1-5'!$B27="","",'KG1-5'!$B27)</f>
        <v/>
      </c>
      <c r="B2766">
        <f>IF(A2766="","",'KG1-5'!$C27)</f>
        <v/>
      </c>
      <c r="C2766">
        <f>IF(A2766="","",'KG1-5'!$B$2)</f>
        <v/>
      </c>
      <c r="D2766" s="126">
        <f t="array" ref="D2766">IF(A2766="","",IFERROR(SMALL(IF((('KG1-5'!$AD27:$IM27="غياب بدون عذر")+('KG1-5'!$AD27:$IM27="غياب بعذر"))*('KG1-5'!$AD$7:$IM$7="✓"),'KG1-5'!$AD$5:$IM$5),5),""))</f>
        <v/>
      </c>
      <c r="E2766">
        <f>IF(D2766="","",INDEX('KG1-5'!$AD27:$IM27,MATCH(D2766,'KG1-5'!$AD$5:$IM$5,0)))</f>
        <v/>
      </c>
      <c r="F2766">
        <f>IF(D2766="","",COUNTIFS('KG1-5'!$AD27:$IM27,"غياب بدون عذر",'KG1-5'!$AD$7:$IM$7,"✓",'KG1-5'!$AD$5:$IM$5,"&lt;="&amp;D2766))</f>
        <v/>
      </c>
      <c r="G2766">
        <f>G2765+IF(D2766="",0,1)</f>
        <v/>
      </c>
    </row>
    <row r="2767">
      <c r="A2767">
        <f>IF('KG1-5'!$B27="","",'KG1-5'!$B27)</f>
        <v/>
      </c>
      <c r="B2767">
        <f>IF(A2767="","",'KG1-5'!$C27)</f>
        <v/>
      </c>
      <c r="C2767">
        <f>IF(A2767="","",'KG1-5'!$B$2)</f>
        <v/>
      </c>
      <c r="D2767" s="126">
        <f t="array" ref="D2767">IF(A2767="","",IFERROR(SMALL(IF((('KG1-5'!$AD27:$IM27="غياب بدون عذر")+('KG1-5'!$AD27:$IM27="غياب بعذر"))*('KG1-5'!$AD$7:$IM$7="✓"),'KG1-5'!$AD$5:$IM$5),6),""))</f>
        <v/>
      </c>
      <c r="E2767">
        <f>IF(D2767="","",INDEX('KG1-5'!$AD27:$IM27,MATCH(D2767,'KG1-5'!$AD$5:$IM$5,0)))</f>
        <v/>
      </c>
      <c r="F2767">
        <f>IF(D2767="","",COUNTIFS('KG1-5'!$AD27:$IM27,"غياب بدون عذر",'KG1-5'!$AD$7:$IM$7,"✓",'KG1-5'!$AD$5:$IM$5,"&lt;="&amp;D2767))</f>
        <v/>
      </c>
      <c r="G2767">
        <f>G2766+IF(D2767="",0,1)</f>
        <v/>
      </c>
    </row>
    <row r="2768">
      <c r="A2768">
        <f>IF('KG1-5'!$B27="","",'KG1-5'!$B27)</f>
        <v/>
      </c>
      <c r="B2768">
        <f>IF(A2768="","",'KG1-5'!$C27)</f>
        <v/>
      </c>
      <c r="C2768">
        <f>IF(A2768="","",'KG1-5'!$B$2)</f>
        <v/>
      </c>
      <c r="D2768" s="126">
        <f t="array" ref="D2768">IF(A2768="","",IFERROR(SMALL(IF((('KG1-5'!$AD27:$IM27="غياب بدون عذر")+('KG1-5'!$AD27:$IM27="غياب بعذر"))*('KG1-5'!$AD$7:$IM$7="✓"),'KG1-5'!$AD$5:$IM$5),7),""))</f>
        <v/>
      </c>
      <c r="E2768">
        <f>IF(D2768="","",INDEX('KG1-5'!$AD27:$IM27,MATCH(D2768,'KG1-5'!$AD$5:$IM$5,0)))</f>
        <v/>
      </c>
      <c r="F2768">
        <f>IF(D2768="","",COUNTIFS('KG1-5'!$AD27:$IM27,"غياب بدون عذر",'KG1-5'!$AD$7:$IM$7,"✓",'KG1-5'!$AD$5:$IM$5,"&lt;="&amp;D2768))</f>
        <v/>
      </c>
      <c r="G2768">
        <f>G2767+IF(D2768="",0,1)</f>
        <v/>
      </c>
    </row>
    <row r="2769">
      <c r="A2769">
        <f>IF('KG1-5'!$B27="","",'KG1-5'!$B27)</f>
        <v/>
      </c>
      <c r="B2769">
        <f>IF(A2769="","",'KG1-5'!$C27)</f>
        <v/>
      </c>
      <c r="C2769">
        <f>IF(A2769="","",'KG1-5'!$B$2)</f>
        <v/>
      </c>
      <c r="D2769" s="126">
        <f t="array" ref="D2769">IF(A2769="","",IFERROR(SMALL(IF((('KG1-5'!$AD27:$IM27="غياب بدون عذر")+('KG1-5'!$AD27:$IM27="غياب بعذر"))*('KG1-5'!$AD$7:$IM$7="✓"),'KG1-5'!$AD$5:$IM$5),8),""))</f>
        <v/>
      </c>
      <c r="E2769">
        <f>IF(D2769="","",INDEX('KG1-5'!$AD27:$IM27,MATCH(D2769,'KG1-5'!$AD$5:$IM$5,0)))</f>
        <v/>
      </c>
      <c r="F2769">
        <f>IF(D2769="","",COUNTIFS('KG1-5'!$AD27:$IM27,"غياب بدون عذر",'KG1-5'!$AD$7:$IM$7,"✓",'KG1-5'!$AD$5:$IM$5,"&lt;="&amp;D2769))</f>
        <v/>
      </c>
      <c r="G2769">
        <f>G2768+IF(D2769="",0,1)</f>
        <v/>
      </c>
    </row>
    <row r="2770">
      <c r="A2770">
        <f>IF('KG1-5'!$B27="","",'KG1-5'!$B27)</f>
        <v/>
      </c>
      <c r="B2770">
        <f>IF(A2770="","",'KG1-5'!$C27)</f>
        <v/>
      </c>
      <c r="C2770">
        <f>IF(A2770="","",'KG1-5'!$B$2)</f>
        <v/>
      </c>
      <c r="D2770" s="126">
        <f t="array" ref="D2770">IF(A2770="","",IFERROR(SMALL(IF((('KG1-5'!$AD27:$IM27="غياب بدون عذر")+('KG1-5'!$AD27:$IM27="غياب بعذر"))*('KG1-5'!$AD$7:$IM$7="✓"),'KG1-5'!$AD$5:$IM$5),9),""))</f>
        <v/>
      </c>
      <c r="E2770">
        <f>IF(D2770="","",INDEX('KG1-5'!$AD27:$IM27,MATCH(D2770,'KG1-5'!$AD$5:$IM$5,0)))</f>
        <v/>
      </c>
      <c r="F2770">
        <f>IF(D2770="","",COUNTIFS('KG1-5'!$AD27:$IM27,"غياب بدون عذر",'KG1-5'!$AD$7:$IM$7,"✓",'KG1-5'!$AD$5:$IM$5,"&lt;="&amp;D2770))</f>
        <v/>
      </c>
      <c r="G2770">
        <f>G2769+IF(D2770="",0,1)</f>
        <v/>
      </c>
    </row>
    <row r="2771">
      <c r="A2771">
        <f>IF('KG1-5'!$B27="","",'KG1-5'!$B27)</f>
        <v/>
      </c>
      <c r="B2771">
        <f>IF(A2771="","",'KG1-5'!$C27)</f>
        <v/>
      </c>
      <c r="C2771">
        <f>IF(A2771="","",'KG1-5'!$B$2)</f>
        <v/>
      </c>
      <c r="D2771" s="126">
        <f t="array" ref="D2771">IF(A2771="","",IFERROR(SMALL(IF((('KG1-5'!$AD27:$IM27="غياب بدون عذر")+('KG1-5'!$AD27:$IM27="غياب بعذر"))*('KG1-5'!$AD$7:$IM$7="✓"),'KG1-5'!$AD$5:$IM$5),10),""))</f>
        <v/>
      </c>
      <c r="E2771">
        <f>IF(D2771="","",INDEX('KG1-5'!$AD27:$IM27,MATCH(D2771,'KG1-5'!$AD$5:$IM$5,0)))</f>
        <v/>
      </c>
      <c r="F2771">
        <f>IF(D2771="","",COUNTIFS('KG1-5'!$AD27:$IM27,"غياب بدون عذر",'KG1-5'!$AD$7:$IM$7,"✓",'KG1-5'!$AD$5:$IM$5,"&lt;="&amp;D2771))</f>
        <v/>
      </c>
      <c r="G2771">
        <f>G2770+IF(D2771="",0,1)</f>
        <v/>
      </c>
    </row>
    <row r="2772">
      <c r="A2772">
        <f>IF('KG1-5'!$B27="","",'KG1-5'!$B27)</f>
        <v/>
      </c>
      <c r="B2772">
        <f>IF(A2772="","",'KG1-5'!$C27)</f>
        <v/>
      </c>
      <c r="C2772">
        <f>IF(A2772="","",'KG1-5'!$B$2)</f>
        <v/>
      </c>
      <c r="D2772" s="126">
        <f t="array" ref="D2772">IF(A2772="","",IFERROR(SMALL(IF((('KG1-5'!$AD27:$IM27="غياب بدون عذر")+('KG1-5'!$AD27:$IM27="غياب بعذر"))*('KG1-5'!$AD$7:$IM$7="✓"),'KG1-5'!$AD$5:$IM$5),11),""))</f>
        <v/>
      </c>
      <c r="E2772">
        <f>IF(D2772="","",INDEX('KG1-5'!$AD27:$IM27,MATCH(D2772,'KG1-5'!$AD$5:$IM$5,0)))</f>
        <v/>
      </c>
      <c r="F2772">
        <f>IF(D2772="","",COUNTIFS('KG1-5'!$AD27:$IM27,"غياب بدون عذر",'KG1-5'!$AD$7:$IM$7,"✓",'KG1-5'!$AD$5:$IM$5,"&lt;="&amp;D2772))</f>
        <v/>
      </c>
      <c r="G2772">
        <f>G2771+IF(D2772="",0,1)</f>
        <v/>
      </c>
    </row>
    <row r="2773">
      <c r="A2773">
        <f>IF('KG1-5'!$B27="","",'KG1-5'!$B27)</f>
        <v/>
      </c>
      <c r="B2773">
        <f>IF(A2773="","",'KG1-5'!$C27)</f>
        <v/>
      </c>
      <c r="C2773">
        <f>IF(A2773="","",'KG1-5'!$B$2)</f>
        <v/>
      </c>
      <c r="D2773" s="126">
        <f t="array" ref="D2773">IF(A2773="","",IFERROR(SMALL(IF((('KG1-5'!$AD27:$IM27="غياب بدون عذر")+('KG1-5'!$AD27:$IM27="غياب بعذر"))*('KG1-5'!$AD$7:$IM$7="✓"),'KG1-5'!$AD$5:$IM$5),12),""))</f>
        <v/>
      </c>
      <c r="E2773">
        <f>IF(D2773="","",INDEX('KG1-5'!$AD27:$IM27,MATCH(D2773,'KG1-5'!$AD$5:$IM$5,0)))</f>
        <v/>
      </c>
      <c r="F2773">
        <f>IF(D2773="","",COUNTIFS('KG1-5'!$AD27:$IM27,"غياب بدون عذر",'KG1-5'!$AD$7:$IM$7,"✓",'KG1-5'!$AD$5:$IM$5,"&lt;="&amp;D2773))</f>
        <v/>
      </c>
      <c r="G2773">
        <f>G2772+IF(D2773="",0,1)</f>
        <v/>
      </c>
    </row>
    <row r="2774">
      <c r="A2774">
        <f>IF('KG1-5'!$B27="","",'KG1-5'!$B27)</f>
        <v/>
      </c>
      <c r="B2774">
        <f>IF(A2774="","",'KG1-5'!$C27)</f>
        <v/>
      </c>
      <c r="C2774">
        <f>IF(A2774="","",'KG1-5'!$B$2)</f>
        <v/>
      </c>
      <c r="D2774" s="126">
        <f t="array" ref="D2774">IF(A2774="","",IFERROR(SMALL(IF((('KG1-5'!$AD27:$IM27="غياب بدون عذر")+('KG1-5'!$AD27:$IM27="غياب بعذر"))*('KG1-5'!$AD$7:$IM$7="✓"),'KG1-5'!$AD$5:$IM$5),13),""))</f>
        <v/>
      </c>
      <c r="E2774">
        <f>IF(D2774="","",INDEX('KG1-5'!$AD27:$IM27,MATCH(D2774,'KG1-5'!$AD$5:$IM$5,0)))</f>
        <v/>
      </c>
      <c r="F2774">
        <f>IF(D2774="","",COUNTIFS('KG1-5'!$AD27:$IM27,"غياب بدون عذر",'KG1-5'!$AD$7:$IM$7,"✓",'KG1-5'!$AD$5:$IM$5,"&lt;="&amp;D2774))</f>
        <v/>
      </c>
      <c r="G2774">
        <f>G2773+IF(D2774="",0,1)</f>
        <v/>
      </c>
    </row>
    <row r="2775">
      <c r="A2775">
        <f>IF('KG1-5'!$B27="","",'KG1-5'!$B27)</f>
        <v/>
      </c>
      <c r="B2775">
        <f>IF(A2775="","",'KG1-5'!$C27)</f>
        <v/>
      </c>
      <c r="C2775">
        <f>IF(A2775="","",'KG1-5'!$B$2)</f>
        <v/>
      </c>
      <c r="D2775" s="126">
        <f t="array" ref="D2775">IF(A2775="","",IFERROR(SMALL(IF((('KG1-5'!$AD27:$IM27="غياب بدون عذر")+('KG1-5'!$AD27:$IM27="غياب بعذر"))*('KG1-5'!$AD$7:$IM$7="✓"),'KG1-5'!$AD$5:$IM$5),14),""))</f>
        <v/>
      </c>
      <c r="E2775">
        <f>IF(D2775="","",INDEX('KG1-5'!$AD27:$IM27,MATCH(D2775,'KG1-5'!$AD$5:$IM$5,0)))</f>
        <v/>
      </c>
      <c r="F2775">
        <f>IF(D2775="","",COUNTIFS('KG1-5'!$AD27:$IM27,"غياب بدون عذر",'KG1-5'!$AD$7:$IM$7,"✓",'KG1-5'!$AD$5:$IM$5,"&lt;="&amp;D2775))</f>
        <v/>
      </c>
      <c r="G2775">
        <f>G2774+IF(D2775="",0,1)</f>
        <v/>
      </c>
    </row>
    <row r="2776">
      <c r="A2776">
        <f>IF('KG1-5'!$B27="","",'KG1-5'!$B27)</f>
        <v/>
      </c>
      <c r="B2776">
        <f>IF(A2776="","",'KG1-5'!$C27)</f>
        <v/>
      </c>
      <c r="C2776">
        <f>IF(A2776="","",'KG1-5'!$B$2)</f>
        <v/>
      </c>
      <c r="D2776" s="126">
        <f t="array" ref="D2776">IF(A2776="","",IFERROR(SMALL(IF((('KG1-5'!$AD27:$IM27="غياب بدون عذر")+('KG1-5'!$AD27:$IM27="غياب بعذر"))*('KG1-5'!$AD$7:$IM$7="✓"),'KG1-5'!$AD$5:$IM$5),15),""))</f>
        <v/>
      </c>
      <c r="E2776">
        <f>IF(D2776="","",INDEX('KG1-5'!$AD27:$IM27,MATCH(D2776,'KG1-5'!$AD$5:$IM$5,0)))</f>
        <v/>
      </c>
      <c r="F2776">
        <f>IF(D2776="","",COUNTIFS('KG1-5'!$AD27:$IM27,"غياب بدون عذر",'KG1-5'!$AD$7:$IM$7,"✓",'KG1-5'!$AD$5:$IM$5,"&lt;="&amp;D2776))</f>
        <v/>
      </c>
      <c r="G2776">
        <f>G2775+IF(D2776="",0,1)</f>
        <v/>
      </c>
    </row>
    <row r="2777">
      <c r="A2777">
        <f>IF('KG1-5'!$B27="","",'KG1-5'!$B27)</f>
        <v/>
      </c>
      <c r="B2777">
        <f>IF(A2777="","",'KG1-5'!$C27)</f>
        <v/>
      </c>
      <c r="C2777">
        <f>IF(A2777="","",'KG1-5'!$B$2)</f>
        <v/>
      </c>
      <c r="D2777" s="126">
        <f t="array" ref="D2777">IF(A2777="","",IFERROR(SMALL(IF((('KG1-5'!$AD27:$IM27="غياب بدون عذر")+('KG1-5'!$AD27:$IM27="غياب بعذر"))*('KG1-5'!$AD$7:$IM$7="✓"),'KG1-5'!$AD$5:$IM$5),16),""))</f>
        <v/>
      </c>
      <c r="E2777">
        <f>IF(D2777="","",INDEX('KG1-5'!$AD27:$IM27,MATCH(D2777,'KG1-5'!$AD$5:$IM$5,0)))</f>
        <v/>
      </c>
      <c r="F2777">
        <f>IF(D2777="","",COUNTIFS('KG1-5'!$AD27:$IM27,"غياب بدون عذر",'KG1-5'!$AD$7:$IM$7,"✓",'KG1-5'!$AD$5:$IM$5,"&lt;="&amp;D2777))</f>
        <v/>
      </c>
      <c r="G2777">
        <f>G2776+IF(D2777="",0,1)</f>
        <v/>
      </c>
    </row>
    <row r="2778">
      <c r="A2778">
        <f>IF('KG1-5'!$B27="","",'KG1-5'!$B27)</f>
        <v/>
      </c>
      <c r="B2778">
        <f>IF(A2778="","",'KG1-5'!$C27)</f>
        <v/>
      </c>
      <c r="C2778">
        <f>IF(A2778="","",'KG1-5'!$B$2)</f>
        <v/>
      </c>
      <c r="D2778" s="126">
        <f t="array" ref="D2778">IF(A2778="","",IFERROR(SMALL(IF((('KG1-5'!$AD27:$IM27="غياب بدون عذر")+('KG1-5'!$AD27:$IM27="غياب بعذر"))*('KG1-5'!$AD$7:$IM$7="✓"),'KG1-5'!$AD$5:$IM$5),17),""))</f>
        <v/>
      </c>
      <c r="E2778">
        <f>IF(D2778="","",INDEX('KG1-5'!$AD27:$IM27,MATCH(D2778,'KG1-5'!$AD$5:$IM$5,0)))</f>
        <v/>
      </c>
      <c r="F2778">
        <f>IF(D2778="","",COUNTIFS('KG1-5'!$AD27:$IM27,"غياب بدون عذر",'KG1-5'!$AD$7:$IM$7,"✓",'KG1-5'!$AD$5:$IM$5,"&lt;="&amp;D2778))</f>
        <v/>
      </c>
      <c r="G2778">
        <f>G2777+IF(D2778="",0,1)</f>
        <v/>
      </c>
    </row>
    <row r="2779">
      <c r="A2779">
        <f>IF('KG1-5'!$B27="","",'KG1-5'!$B27)</f>
        <v/>
      </c>
      <c r="B2779">
        <f>IF(A2779="","",'KG1-5'!$C27)</f>
        <v/>
      </c>
      <c r="C2779">
        <f>IF(A2779="","",'KG1-5'!$B$2)</f>
        <v/>
      </c>
      <c r="D2779" s="126">
        <f t="array" ref="D2779">IF(A2779="","",IFERROR(SMALL(IF((('KG1-5'!$AD27:$IM27="غياب بدون عذر")+('KG1-5'!$AD27:$IM27="غياب بعذر"))*('KG1-5'!$AD$7:$IM$7="✓"),'KG1-5'!$AD$5:$IM$5),18),""))</f>
        <v/>
      </c>
      <c r="E2779">
        <f>IF(D2779="","",INDEX('KG1-5'!$AD27:$IM27,MATCH(D2779,'KG1-5'!$AD$5:$IM$5,0)))</f>
        <v/>
      </c>
      <c r="F2779">
        <f>IF(D2779="","",COUNTIFS('KG1-5'!$AD27:$IM27,"غياب بدون عذر",'KG1-5'!$AD$7:$IM$7,"✓",'KG1-5'!$AD$5:$IM$5,"&lt;="&amp;D2779))</f>
        <v/>
      </c>
      <c r="G2779">
        <f>G2778+IF(D2779="",0,1)</f>
        <v/>
      </c>
    </row>
    <row r="2780">
      <c r="A2780">
        <f>IF('KG1-5'!$B27="","",'KG1-5'!$B27)</f>
        <v/>
      </c>
      <c r="B2780">
        <f>IF(A2780="","",'KG1-5'!$C27)</f>
        <v/>
      </c>
      <c r="C2780">
        <f>IF(A2780="","",'KG1-5'!$B$2)</f>
        <v/>
      </c>
      <c r="D2780" s="126">
        <f t="array" ref="D2780">IF(A2780="","",IFERROR(SMALL(IF((('KG1-5'!$AD27:$IM27="غياب بدون عذر")+('KG1-5'!$AD27:$IM27="غياب بعذر"))*('KG1-5'!$AD$7:$IM$7="✓"),'KG1-5'!$AD$5:$IM$5),19),""))</f>
        <v/>
      </c>
      <c r="E2780">
        <f>IF(D2780="","",INDEX('KG1-5'!$AD27:$IM27,MATCH(D2780,'KG1-5'!$AD$5:$IM$5,0)))</f>
        <v/>
      </c>
      <c r="F2780">
        <f>IF(D2780="","",COUNTIFS('KG1-5'!$AD27:$IM27,"غياب بدون عذر",'KG1-5'!$AD$7:$IM$7,"✓",'KG1-5'!$AD$5:$IM$5,"&lt;="&amp;D2780))</f>
        <v/>
      </c>
      <c r="G2780">
        <f>G2779+IF(D2780="",0,1)</f>
        <v/>
      </c>
    </row>
    <row r="2781">
      <c r="A2781">
        <f>IF('KG1-5'!$B27="","",'KG1-5'!$B27)</f>
        <v/>
      </c>
      <c r="B2781">
        <f>IF(A2781="","",'KG1-5'!$C27)</f>
        <v/>
      </c>
      <c r="C2781">
        <f>IF(A2781="","",'KG1-5'!$B$2)</f>
        <v/>
      </c>
      <c r="D2781" s="126">
        <f t="array" ref="D2781">IF(A2781="","",IFERROR(SMALL(IF((('KG1-5'!$AD27:$IM27="غياب بدون عذر")+('KG1-5'!$AD27:$IM27="غياب بعذر"))*('KG1-5'!$AD$7:$IM$7="✓"),'KG1-5'!$AD$5:$IM$5),20),""))</f>
        <v/>
      </c>
      <c r="E2781">
        <f>IF(D2781="","",INDEX('KG1-5'!$AD27:$IM27,MATCH(D2781,'KG1-5'!$AD$5:$IM$5,0)))</f>
        <v/>
      </c>
      <c r="F2781">
        <f>IF(D2781="","",COUNTIFS('KG1-5'!$AD27:$IM27,"غياب بدون عذر",'KG1-5'!$AD$7:$IM$7,"✓",'KG1-5'!$AD$5:$IM$5,"&lt;="&amp;D2781))</f>
        <v/>
      </c>
      <c r="G2781">
        <f>G2780+IF(D2781="",0,1)</f>
        <v/>
      </c>
    </row>
    <row r="2782">
      <c r="A2782">
        <f>IF('KG1-5'!$B28="","",'KG1-5'!$B28)</f>
        <v/>
      </c>
      <c r="B2782">
        <f>IF(A2782="","",'KG1-5'!$C28)</f>
        <v/>
      </c>
      <c r="C2782">
        <f>IF(A2782="","",'KG1-5'!$B$2)</f>
        <v/>
      </c>
      <c r="D2782" s="126">
        <f t="array" ref="D2782">IF(A2782="","",IFERROR(SMALL(IF((('KG1-5'!$AD28:$IM28="غياب بدون عذر")+('KG1-5'!$AD28:$IM28="غياب بعذر"))*('KG1-5'!$AD$7:$IM$7="✓"),'KG1-5'!$AD$5:$IM$5),1),""))</f>
        <v/>
      </c>
      <c r="E2782">
        <f>IF(D2782="","",INDEX('KG1-5'!$AD28:$IM28,MATCH(D2782,'KG1-5'!$AD$5:$IM$5,0)))</f>
        <v/>
      </c>
      <c r="F2782">
        <f>IF(D2782="","",COUNTIFS('KG1-5'!$AD28:$IM28,"غياب بدون عذر",'KG1-5'!$AD$7:$IM$7,"✓",'KG1-5'!$AD$5:$IM$5,"&lt;="&amp;D2782))</f>
        <v/>
      </c>
      <c r="G2782">
        <f>G2781+IF(D2782="",0,1)</f>
        <v/>
      </c>
    </row>
    <row r="2783">
      <c r="A2783">
        <f>IF('KG1-5'!$B28="","",'KG1-5'!$B28)</f>
        <v/>
      </c>
      <c r="B2783">
        <f>IF(A2783="","",'KG1-5'!$C28)</f>
        <v/>
      </c>
      <c r="C2783">
        <f>IF(A2783="","",'KG1-5'!$B$2)</f>
        <v/>
      </c>
      <c r="D2783" s="126">
        <f t="array" ref="D2783">IF(A2783="","",IFERROR(SMALL(IF((('KG1-5'!$AD28:$IM28="غياب بدون عذر")+('KG1-5'!$AD28:$IM28="غياب بعذر"))*('KG1-5'!$AD$7:$IM$7="✓"),'KG1-5'!$AD$5:$IM$5),2),""))</f>
        <v/>
      </c>
      <c r="E2783">
        <f>IF(D2783="","",INDEX('KG1-5'!$AD28:$IM28,MATCH(D2783,'KG1-5'!$AD$5:$IM$5,0)))</f>
        <v/>
      </c>
      <c r="F2783">
        <f>IF(D2783="","",COUNTIFS('KG1-5'!$AD28:$IM28,"غياب بدون عذر",'KG1-5'!$AD$7:$IM$7,"✓",'KG1-5'!$AD$5:$IM$5,"&lt;="&amp;D2783))</f>
        <v/>
      </c>
      <c r="G2783">
        <f>G2782+IF(D2783="",0,1)</f>
        <v/>
      </c>
    </row>
    <row r="2784">
      <c r="A2784">
        <f>IF('KG1-5'!$B28="","",'KG1-5'!$B28)</f>
        <v/>
      </c>
      <c r="B2784">
        <f>IF(A2784="","",'KG1-5'!$C28)</f>
        <v/>
      </c>
      <c r="C2784">
        <f>IF(A2784="","",'KG1-5'!$B$2)</f>
        <v/>
      </c>
      <c r="D2784" s="126">
        <f t="array" ref="D2784">IF(A2784="","",IFERROR(SMALL(IF((('KG1-5'!$AD28:$IM28="غياب بدون عذر")+('KG1-5'!$AD28:$IM28="غياب بعذر"))*('KG1-5'!$AD$7:$IM$7="✓"),'KG1-5'!$AD$5:$IM$5),3),""))</f>
        <v/>
      </c>
      <c r="E2784">
        <f>IF(D2784="","",INDEX('KG1-5'!$AD28:$IM28,MATCH(D2784,'KG1-5'!$AD$5:$IM$5,0)))</f>
        <v/>
      </c>
      <c r="F2784">
        <f>IF(D2784="","",COUNTIFS('KG1-5'!$AD28:$IM28,"غياب بدون عذر",'KG1-5'!$AD$7:$IM$7,"✓",'KG1-5'!$AD$5:$IM$5,"&lt;="&amp;D2784))</f>
        <v/>
      </c>
      <c r="G2784">
        <f>G2783+IF(D2784="",0,1)</f>
        <v/>
      </c>
    </row>
    <row r="2785">
      <c r="A2785">
        <f>IF('KG1-5'!$B28="","",'KG1-5'!$B28)</f>
        <v/>
      </c>
      <c r="B2785">
        <f>IF(A2785="","",'KG1-5'!$C28)</f>
        <v/>
      </c>
      <c r="C2785">
        <f>IF(A2785="","",'KG1-5'!$B$2)</f>
        <v/>
      </c>
      <c r="D2785" s="126">
        <f t="array" ref="D2785">IF(A2785="","",IFERROR(SMALL(IF((('KG1-5'!$AD28:$IM28="غياب بدون عذر")+('KG1-5'!$AD28:$IM28="غياب بعذر"))*('KG1-5'!$AD$7:$IM$7="✓"),'KG1-5'!$AD$5:$IM$5),4),""))</f>
        <v/>
      </c>
      <c r="E2785">
        <f>IF(D2785="","",INDEX('KG1-5'!$AD28:$IM28,MATCH(D2785,'KG1-5'!$AD$5:$IM$5,0)))</f>
        <v/>
      </c>
      <c r="F2785">
        <f>IF(D2785="","",COUNTIFS('KG1-5'!$AD28:$IM28,"غياب بدون عذر",'KG1-5'!$AD$7:$IM$7,"✓",'KG1-5'!$AD$5:$IM$5,"&lt;="&amp;D2785))</f>
        <v/>
      </c>
      <c r="G2785">
        <f>G2784+IF(D2785="",0,1)</f>
        <v/>
      </c>
    </row>
    <row r="2786">
      <c r="A2786">
        <f>IF('KG1-5'!$B28="","",'KG1-5'!$B28)</f>
        <v/>
      </c>
      <c r="B2786">
        <f>IF(A2786="","",'KG1-5'!$C28)</f>
        <v/>
      </c>
      <c r="C2786">
        <f>IF(A2786="","",'KG1-5'!$B$2)</f>
        <v/>
      </c>
      <c r="D2786" s="126">
        <f t="array" ref="D2786">IF(A2786="","",IFERROR(SMALL(IF((('KG1-5'!$AD28:$IM28="غياب بدون عذر")+('KG1-5'!$AD28:$IM28="غياب بعذر"))*('KG1-5'!$AD$7:$IM$7="✓"),'KG1-5'!$AD$5:$IM$5),5),""))</f>
        <v/>
      </c>
      <c r="E2786">
        <f>IF(D2786="","",INDEX('KG1-5'!$AD28:$IM28,MATCH(D2786,'KG1-5'!$AD$5:$IM$5,0)))</f>
        <v/>
      </c>
      <c r="F2786">
        <f>IF(D2786="","",COUNTIFS('KG1-5'!$AD28:$IM28,"غياب بدون عذر",'KG1-5'!$AD$7:$IM$7,"✓",'KG1-5'!$AD$5:$IM$5,"&lt;="&amp;D2786))</f>
        <v/>
      </c>
      <c r="G2786">
        <f>G2785+IF(D2786="",0,1)</f>
        <v/>
      </c>
    </row>
    <row r="2787">
      <c r="A2787">
        <f>IF('KG1-5'!$B28="","",'KG1-5'!$B28)</f>
        <v/>
      </c>
      <c r="B2787">
        <f>IF(A2787="","",'KG1-5'!$C28)</f>
        <v/>
      </c>
      <c r="C2787">
        <f>IF(A2787="","",'KG1-5'!$B$2)</f>
        <v/>
      </c>
      <c r="D2787" s="126">
        <f t="array" ref="D2787">IF(A2787="","",IFERROR(SMALL(IF((('KG1-5'!$AD28:$IM28="غياب بدون عذر")+('KG1-5'!$AD28:$IM28="غياب بعذر"))*('KG1-5'!$AD$7:$IM$7="✓"),'KG1-5'!$AD$5:$IM$5),6),""))</f>
        <v/>
      </c>
      <c r="E2787">
        <f>IF(D2787="","",INDEX('KG1-5'!$AD28:$IM28,MATCH(D2787,'KG1-5'!$AD$5:$IM$5,0)))</f>
        <v/>
      </c>
      <c r="F2787">
        <f>IF(D2787="","",COUNTIFS('KG1-5'!$AD28:$IM28,"غياب بدون عذر",'KG1-5'!$AD$7:$IM$7,"✓",'KG1-5'!$AD$5:$IM$5,"&lt;="&amp;D2787))</f>
        <v/>
      </c>
      <c r="G2787">
        <f>G2786+IF(D2787="",0,1)</f>
        <v/>
      </c>
    </row>
    <row r="2788">
      <c r="A2788">
        <f>IF('KG1-5'!$B28="","",'KG1-5'!$B28)</f>
        <v/>
      </c>
      <c r="B2788">
        <f>IF(A2788="","",'KG1-5'!$C28)</f>
        <v/>
      </c>
      <c r="C2788">
        <f>IF(A2788="","",'KG1-5'!$B$2)</f>
        <v/>
      </c>
      <c r="D2788" s="126">
        <f t="array" ref="D2788">IF(A2788="","",IFERROR(SMALL(IF((('KG1-5'!$AD28:$IM28="غياب بدون عذر")+('KG1-5'!$AD28:$IM28="غياب بعذر"))*('KG1-5'!$AD$7:$IM$7="✓"),'KG1-5'!$AD$5:$IM$5),7),""))</f>
        <v/>
      </c>
      <c r="E2788">
        <f>IF(D2788="","",INDEX('KG1-5'!$AD28:$IM28,MATCH(D2788,'KG1-5'!$AD$5:$IM$5,0)))</f>
        <v/>
      </c>
      <c r="F2788">
        <f>IF(D2788="","",COUNTIFS('KG1-5'!$AD28:$IM28,"غياب بدون عذر",'KG1-5'!$AD$7:$IM$7,"✓",'KG1-5'!$AD$5:$IM$5,"&lt;="&amp;D2788))</f>
        <v/>
      </c>
      <c r="G2788">
        <f>G2787+IF(D2788="",0,1)</f>
        <v/>
      </c>
    </row>
    <row r="2789">
      <c r="A2789">
        <f>IF('KG1-5'!$B28="","",'KG1-5'!$B28)</f>
        <v/>
      </c>
      <c r="B2789">
        <f>IF(A2789="","",'KG1-5'!$C28)</f>
        <v/>
      </c>
      <c r="C2789">
        <f>IF(A2789="","",'KG1-5'!$B$2)</f>
        <v/>
      </c>
      <c r="D2789" s="126">
        <f t="array" ref="D2789">IF(A2789="","",IFERROR(SMALL(IF((('KG1-5'!$AD28:$IM28="غياب بدون عذر")+('KG1-5'!$AD28:$IM28="غياب بعذر"))*('KG1-5'!$AD$7:$IM$7="✓"),'KG1-5'!$AD$5:$IM$5),8),""))</f>
        <v/>
      </c>
      <c r="E2789">
        <f>IF(D2789="","",INDEX('KG1-5'!$AD28:$IM28,MATCH(D2789,'KG1-5'!$AD$5:$IM$5,0)))</f>
        <v/>
      </c>
      <c r="F2789">
        <f>IF(D2789="","",COUNTIFS('KG1-5'!$AD28:$IM28,"غياب بدون عذر",'KG1-5'!$AD$7:$IM$7,"✓",'KG1-5'!$AD$5:$IM$5,"&lt;="&amp;D2789))</f>
        <v/>
      </c>
      <c r="G2789">
        <f>G2788+IF(D2789="",0,1)</f>
        <v/>
      </c>
    </row>
    <row r="2790">
      <c r="A2790">
        <f>IF('KG1-5'!$B28="","",'KG1-5'!$B28)</f>
        <v/>
      </c>
      <c r="B2790">
        <f>IF(A2790="","",'KG1-5'!$C28)</f>
        <v/>
      </c>
      <c r="C2790">
        <f>IF(A2790="","",'KG1-5'!$B$2)</f>
        <v/>
      </c>
      <c r="D2790" s="126">
        <f t="array" ref="D2790">IF(A2790="","",IFERROR(SMALL(IF((('KG1-5'!$AD28:$IM28="غياب بدون عذر")+('KG1-5'!$AD28:$IM28="غياب بعذر"))*('KG1-5'!$AD$7:$IM$7="✓"),'KG1-5'!$AD$5:$IM$5),9),""))</f>
        <v/>
      </c>
      <c r="E2790">
        <f>IF(D2790="","",INDEX('KG1-5'!$AD28:$IM28,MATCH(D2790,'KG1-5'!$AD$5:$IM$5,0)))</f>
        <v/>
      </c>
      <c r="F2790">
        <f>IF(D2790="","",COUNTIFS('KG1-5'!$AD28:$IM28,"غياب بدون عذر",'KG1-5'!$AD$7:$IM$7,"✓",'KG1-5'!$AD$5:$IM$5,"&lt;="&amp;D2790))</f>
        <v/>
      </c>
      <c r="G2790">
        <f>G2789+IF(D2790="",0,1)</f>
        <v/>
      </c>
    </row>
    <row r="2791">
      <c r="A2791">
        <f>IF('KG1-5'!$B28="","",'KG1-5'!$B28)</f>
        <v/>
      </c>
      <c r="B2791">
        <f>IF(A2791="","",'KG1-5'!$C28)</f>
        <v/>
      </c>
      <c r="C2791">
        <f>IF(A2791="","",'KG1-5'!$B$2)</f>
        <v/>
      </c>
      <c r="D2791" s="126">
        <f t="array" ref="D2791">IF(A2791="","",IFERROR(SMALL(IF((('KG1-5'!$AD28:$IM28="غياب بدون عذر")+('KG1-5'!$AD28:$IM28="غياب بعذر"))*('KG1-5'!$AD$7:$IM$7="✓"),'KG1-5'!$AD$5:$IM$5),10),""))</f>
        <v/>
      </c>
      <c r="E2791">
        <f>IF(D2791="","",INDEX('KG1-5'!$AD28:$IM28,MATCH(D2791,'KG1-5'!$AD$5:$IM$5,0)))</f>
        <v/>
      </c>
      <c r="F2791">
        <f>IF(D2791="","",COUNTIFS('KG1-5'!$AD28:$IM28,"غياب بدون عذر",'KG1-5'!$AD$7:$IM$7,"✓",'KG1-5'!$AD$5:$IM$5,"&lt;="&amp;D2791))</f>
        <v/>
      </c>
      <c r="G2791">
        <f>G2790+IF(D2791="",0,1)</f>
        <v/>
      </c>
    </row>
    <row r="2792">
      <c r="A2792">
        <f>IF('KG1-5'!$B28="","",'KG1-5'!$B28)</f>
        <v/>
      </c>
      <c r="B2792">
        <f>IF(A2792="","",'KG1-5'!$C28)</f>
        <v/>
      </c>
      <c r="C2792">
        <f>IF(A2792="","",'KG1-5'!$B$2)</f>
        <v/>
      </c>
      <c r="D2792" s="126">
        <f t="array" ref="D2792">IF(A2792="","",IFERROR(SMALL(IF((('KG1-5'!$AD28:$IM28="غياب بدون عذر")+('KG1-5'!$AD28:$IM28="غياب بعذر"))*('KG1-5'!$AD$7:$IM$7="✓"),'KG1-5'!$AD$5:$IM$5),11),""))</f>
        <v/>
      </c>
      <c r="E2792">
        <f>IF(D2792="","",INDEX('KG1-5'!$AD28:$IM28,MATCH(D2792,'KG1-5'!$AD$5:$IM$5,0)))</f>
        <v/>
      </c>
      <c r="F2792">
        <f>IF(D2792="","",COUNTIFS('KG1-5'!$AD28:$IM28,"غياب بدون عذر",'KG1-5'!$AD$7:$IM$7,"✓",'KG1-5'!$AD$5:$IM$5,"&lt;="&amp;D2792))</f>
        <v/>
      </c>
      <c r="G2792">
        <f>G2791+IF(D2792="",0,1)</f>
        <v/>
      </c>
    </row>
    <row r="2793">
      <c r="A2793">
        <f>IF('KG1-5'!$B28="","",'KG1-5'!$B28)</f>
        <v/>
      </c>
      <c r="B2793">
        <f>IF(A2793="","",'KG1-5'!$C28)</f>
        <v/>
      </c>
      <c r="C2793">
        <f>IF(A2793="","",'KG1-5'!$B$2)</f>
        <v/>
      </c>
      <c r="D2793" s="126">
        <f t="array" ref="D2793">IF(A2793="","",IFERROR(SMALL(IF((('KG1-5'!$AD28:$IM28="غياب بدون عذر")+('KG1-5'!$AD28:$IM28="غياب بعذر"))*('KG1-5'!$AD$7:$IM$7="✓"),'KG1-5'!$AD$5:$IM$5),12),""))</f>
        <v/>
      </c>
      <c r="E2793">
        <f>IF(D2793="","",INDEX('KG1-5'!$AD28:$IM28,MATCH(D2793,'KG1-5'!$AD$5:$IM$5,0)))</f>
        <v/>
      </c>
      <c r="F2793">
        <f>IF(D2793="","",COUNTIFS('KG1-5'!$AD28:$IM28,"غياب بدون عذر",'KG1-5'!$AD$7:$IM$7,"✓",'KG1-5'!$AD$5:$IM$5,"&lt;="&amp;D2793))</f>
        <v/>
      </c>
      <c r="G2793">
        <f>G2792+IF(D2793="",0,1)</f>
        <v/>
      </c>
    </row>
    <row r="2794">
      <c r="A2794">
        <f>IF('KG1-5'!$B28="","",'KG1-5'!$B28)</f>
        <v/>
      </c>
      <c r="B2794">
        <f>IF(A2794="","",'KG1-5'!$C28)</f>
        <v/>
      </c>
      <c r="C2794">
        <f>IF(A2794="","",'KG1-5'!$B$2)</f>
        <v/>
      </c>
      <c r="D2794" s="126">
        <f t="array" ref="D2794">IF(A2794="","",IFERROR(SMALL(IF((('KG1-5'!$AD28:$IM28="غياب بدون عذر")+('KG1-5'!$AD28:$IM28="غياب بعذر"))*('KG1-5'!$AD$7:$IM$7="✓"),'KG1-5'!$AD$5:$IM$5),13),""))</f>
        <v/>
      </c>
      <c r="E2794">
        <f>IF(D2794="","",INDEX('KG1-5'!$AD28:$IM28,MATCH(D2794,'KG1-5'!$AD$5:$IM$5,0)))</f>
        <v/>
      </c>
      <c r="F2794">
        <f>IF(D2794="","",COUNTIFS('KG1-5'!$AD28:$IM28,"غياب بدون عذر",'KG1-5'!$AD$7:$IM$7,"✓",'KG1-5'!$AD$5:$IM$5,"&lt;="&amp;D2794))</f>
        <v/>
      </c>
      <c r="G2794">
        <f>G2793+IF(D2794="",0,1)</f>
        <v/>
      </c>
    </row>
    <row r="2795">
      <c r="A2795">
        <f>IF('KG1-5'!$B28="","",'KG1-5'!$B28)</f>
        <v/>
      </c>
      <c r="B2795">
        <f>IF(A2795="","",'KG1-5'!$C28)</f>
        <v/>
      </c>
      <c r="C2795">
        <f>IF(A2795="","",'KG1-5'!$B$2)</f>
        <v/>
      </c>
      <c r="D2795" s="126">
        <f t="array" ref="D2795">IF(A2795="","",IFERROR(SMALL(IF((('KG1-5'!$AD28:$IM28="غياب بدون عذر")+('KG1-5'!$AD28:$IM28="غياب بعذر"))*('KG1-5'!$AD$7:$IM$7="✓"),'KG1-5'!$AD$5:$IM$5),14),""))</f>
        <v/>
      </c>
      <c r="E2795">
        <f>IF(D2795="","",INDEX('KG1-5'!$AD28:$IM28,MATCH(D2795,'KG1-5'!$AD$5:$IM$5,0)))</f>
        <v/>
      </c>
      <c r="F2795">
        <f>IF(D2795="","",COUNTIFS('KG1-5'!$AD28:$IM28,"غياب بدون عذر",'KG1-5'!$AD$7:$IM$7,"✓",'KG1-5'!$AD$5:$IM$5,"&lt;="&amp;D2795))</f>
        <v/>
      </c>
      <c r="G2795">
        <f>G2794+IF(D2795="",0,1)</f>
        <v/>
      </c>
    </row>
    <row r="2796">
      <c r="A2796">
        <f>IF('KG1-5'!$B28="","",'KG1-5'!$B28)</f>
        <v/>
      </c>
      <c r="B2796">
        <f>IF(A2796="","",'KG1-5'!$C28)</f>
        <v/>
      </c>
      <c r="C2796">
        <f>IF(A2796="","",'KG1-5'!$B$2)</f>
        <v/>
      </c>
      <c r="D2796" s="126">
        <f t="array" ref="D2796">IF(A2796="","",IFERROR(SMALL(IF((('KG1-5'!$AD28:$IM28="غياب بدون عذر")+('KG1-5'!$AD28:$IM28="غياب بعذر"))*('KG1-5'!$AD$7:$IM$7="✓"),'KG1-5'!$AD$5:$IM$5),15),""))</f>
        <v/>
      </c>
      <c r="E2796">
        <f>IF(D2796="","",INDEX('KG1-5'!$AD28:$IM28,MATCH(D2796,'KG1-5'!$AD$5:$IM$5,0)))</f>
        <v/>
      </c>
      <c r="F2796">
        <f>IF(D2796="","",COUNTIFS('KG1-5'!$AD28:$IM28,"غياب بدون عذر",'KG1-5'!$AD$7:$IM$7,"✓",'KG1-5'!$AD$5:$IM$5,"&lt;="&amp;D2796))</f>
        <v/>
      </c>
      <c r="G2796">
        <f>G2795+IF(D2796="",0,1)</f>
        <v/>
      </c>
    </row>
    <row r="2797">
      <c r="A2797">
        <f>IF('KG1-5'!$B28="","",'KG1-5'!$B28)</f>
        <v/>
      </c>
      <c r="B2797">
        <f>IF(A2797="","",'KG1-5'!$C28)</f>
        <v/>
      </c>
      <c r="C2797">
        <f>IF(A2797="","",'KG1-5'!$B$2)</f>
        <v/>
      </c>
      <c r="D2797" s="126">
        <f t="array" ref="D2797">IF(A2797="","",IFERROR(SMALL(IF((('KG1-5'!$AD28:$IM28="غياب بدون عذر")+('KG1-5'!$AD28:$IM28="غياب بعذر"))*('KG1-5'!$AD$7:$IM$7="✓"),'KG1-5'!$AD$5:$IM$5),16),""))</f>
        <v/>
      </c>
      <c r="E2797">
        <f>IF(D2797="","",INDEX('KG1-5'!$AD28:$IM28,MATCH(D2797,'KG1-5'!$AD$5:$IM$5,0)))</f>
        <v/>
      </c>
      <c r="F2797">
        <f>IF(D2797="","",COUNTIFS('KG1-5'!$AD28:$IM28,"غياب بدون عذر",'KG1-5'!$AD$7:$IM$7,"✓",'KG1-5'!$AD$5:$IM$5,"&lt;="&amp;D2797))</f>
        <v/>
      </c>
      <c r="G2797">
        <f>G2796+IF(D2797="",0,1)</f>
        <v/>
      </c>
    </row>
    <row r="2798">
      <c r="A2798">
        <f>IF('KG1-5'!$B28="","",'KG1-5'!$B28)</f>
        <v/>
      </c>
      <c r="B2798">
        <f>IF(A2798="","",'KG1-5'!$C28)</f>
        <v/>
      </c>
      <c r="C2798">
        <f>IF(A2798="","",'KG1-5'!$B$2)</f>
        <v/>
      </c>
      <c r="D2798" s="126">
        <f t="array" ref="D2798">IF(A2798="","",IFERROR(SMALL(IF((('KG1-5'!$AD28:$IM28="غياب بدون عذر")+('KG1-5'!$AD28:$IM28="غياب بعذر"))*('KG1-5'!$AD$7:$IM$7="✓"),'KG1-5'!$AD$5:$IM$5),17),""))</f>
        <v/>
      </c>
      <c r="E2798">
        <f>IF(D2798="","",INDEX('KG1-5'!$AD28:$IM28,MATCH(D2798,'KG1-5'!$AD$5:$IM$5,0)))</f>
        <v/>
      </c>
      <c r="F2798">
        <f>IF(D2798="","",COUNTIFS('KG1-5'!$AD28:$IM28,"غياب بدون عذر",'KG1-5'!$AD$7:$IM$7,"✓",'KG1-5'!$AD$5:$IM$5,"&lt;="&amp;D2798))</f>
        <v/>
      </c>
      <c r="G2798">
        <f>G2797+IF(D2798="",0,1)</f>
        <v/>
      </c>
    </row>
    <row r="2799">
      <c r="A2799">
        <f>IF('KG1-5'!$B28="","",'KG1-5'!$B28)</f>
        <v/>
      </c>
      <c r="B2799">
        <f>IF(A2799="","",'KG1-5'!$C28)</f>
        <v/>
      </c>
      <c r="C2799">
        <f>IF(A2799="","",'KG1-5'!$B$2)</f>
        <v/>
      </c>
      <c r="D2799" s="126">
        <f t="array" ref="D2799">IF(A2799="","",IFERROR(SMALL(IF((('KG1-5'!$AD28:$IM28="غياب بدون عذر")+('KG1-5'!$AD28:$IM28="غياب بعذر"))*('KG1-5'!$AD$7:$IM$7="✓"),'KG1-5'!$AD$5:$IM$5),18),""))</f>
        <v/>
      </c>
      <c r="E2799">
        <f>IF(D2799="","",INDEX('KG1-5'!$AD28:$IM28,MATCH(D2799,'KG1-5'!$AD$5:$IM$5,0)))</f>
        <v/>
      </c>
      <c r="F2799">
        <f>IF(D2799="","",COUNTIFS('KG1-5'!$AD28:$IM28,"غياب بدون عذر",'KG1-5'!$AD$7:$IM$7,"✓",'KG1-5'!$AD$5:$IM$5,"&lt;="&amp;D2799))</f>
        <v/>
      </c>
      <c r="G2799">
        <f>G2798+IF(D2799="",0,1)</f>
        <v/>
      </c>
    </row>
    <row r="2800">
      <c r="A2800">
        <f>IF('KG1-5'!$B28="","",'KG1-5'!$B28)</f>
        <v/>
      </c>
      <c r="B2800">
        <f>IF(A2800="","",'KG1-5'!$C28)</f>
        <v/>
      </c>
      <c r="C2800">
        <f>IF(A2800="","",'KG1-5'!$B$2)</f>
        <v/>
      </c>
      <c r="D2800" s="126">
        <f t="array" ref="D2800">IF(A2800="","",IFERROR(SMALL(IF((('KG1-5'!$AD28:$IM28="غياب بدون عذر")+('KG1-5'!$AD28:$IM28="غياب بعذر"))*('KG1-5'!$AD$7:$IM$7="✓"),'KG1-5'!$AD$5:$IM$5),19),""))</f>
        <v/>
      </c>
      <c r="E2800">
        <f>IF(D2800="","",INDEX('KG1-5'!$AD28:$IM28,MATCH(D2800,'KG1-5'!$AD$5:$IM$5,0)))</f>
        <v/>
      </c>
      <c r="F2800">
        <f>IF(D2800="","",COUNTIFS('KG1-5'!$AD28:$IM28,"غياب بدون عذر",'KG1-5'!$AD$7:$IM$7,"✓",'KG1-5'!$AD$5:$IM$5,"&lt;="&amp;D2800))</f>
        <v/>
      </c>
      <c r="G2800">
        <f>G2799+IF(D2800="",0,1)</f>
        <v/>
      </c>
    </row>
    <row r="2801">
      <c r="A2801">
        <f>IF('KG1-5'!$B28="","",'KG1-5'!$B28)</f>
        <v/>
      </c>
      <c r="B2801">
        <f>IF(A2801="","",'KG1-5'!$C28)</f>
        <v/>
      </c>
      <c r="C2801">
        <f>IF(A2801="","",'KG1-5'!$B$2)</f>
        <v/>
      </c>
      <c r="D2801" s="126">
        <f t="array" ref="D2801">IF(A2801="","",IFERROR(SMALL(IF((('KG1-5'!$AD28:$IM28="غياب بدون عذر")+('KG1-5'!$AD28:$IM28="غياب بعذر"))*('KG1-5'!$AD$7:$IM$7="✓"),'KG1-5'!$AD$5:$IM$5),20),""))</f>
        <v/>
      </c>
      <c r="E2801">
        <f>IF(D2801="","",INDEX('KG1-5'!$AD28:$IM28,MATCH(D2801,'KG1-5'!$AD$5:$IM$5,0)))</f>
        <v/>
      </c>
      <c r="F2801">
        <f>IF(D2801="","",COUNTIFS('KG1-5'!$AD28:$IM28,"غياب بدون عذر",'KG1-5'!$AD$7:$IM$7,"✓",'KG1-5'!$AD$5:$IM$5,"&lt;="&amp;D2801))</f>
        <v/>
      </c>
      <c r="G2801">
        <f>G2800+IF(D2801="",0,1)</f>
        <v/>
      </c>
    </row>
    <row r="2802">
      <c r="A2802">
        <f>IF('KG1-5'!$B29="","",'KG1-5'!$B29)</f>
        <v/>
      </c>
      <c r="B2802">
        <f>IF(A2802="","",'KG1-5'!$C29)</f>
        <v/>
      </c>
      <c r="C2802">
        <f>IF(A2802="","",'KG1-5'!$B$2)</f>
        <v/>
      </c>
      <c r="D2802" s="126">
        <f t="array" ref="D2802">IF(A2802="","",IFERROR(SMALL(IF((('KG1-5'!$AD29:$IM29="غياب بدون عذر")+('KG1-5'!$AD29:$IM29="غياب بعذر"))*('KG1-5'!$AD$7:$IM$7="✓"),'KG1-5'!$AD$5:$IM$5),1),""))</f>
        <v/>
      </c>
      <c r="E2802">
        <f>IF(D2802="","",INDEX('KG1-5'!$AD29:$IM29,MATCH(D2802,'KG1-5'!$AD$5:$IM$5,0)))</f>
        <v/>
      </c>
      <c r="F2802">
        <f>IF(D2802="","",COUNTIFS('KG1-5'!$AD29:$IM29,"غياب بدون عذر",'KG1-5'!$AD$7:$IM$7,"✓",'KG1-5'!$AD$5:$IM$5,"&lt;="&amp;D2802))</f>
        <v/>
      </c>
      <c r="G2802">
        <f>G2801+IF(D2802="",0,1)</f>
        <v/>
      </c>
    </row>
    <row r="2803">
      <c r="A2803">
        <f>IF('KG1-5'!$B29="","",'KG1-5'!$B29)</f>
        <v/>
      </c>
      <c r="B2803">
        <f>IF(A2803="","",'KG1-5'!$C29)</f>
        <v/>
      </c>
      <c r="C2803">
        <f>IF(A2803="","",'KG1-5'!$B$2)</f>
        <v/>
      </c>
      <c r="D2803" s="126">
        <f t="array" ref="D2803">IF(A2803="","",IFERROR(SMALL(IF((('KG1-5'!$AD29:$IM29="غياب بدون عذر")+('KG1-5'!$AD29:$IM29="غياب بعذر"))*('KG1-5'!$AD$7:$IM$7="✓"),'KG1-5'!$AD$5:$IM$5),2),""))</f>
        <v/>
      </c>
      <c r="E2803">
        <f>IF(D2803="","",INDEX('KG1-5'!$AD29:$IM29,MATCH(D2803,'KG1-5'!$AD$5:$IM$5,0)))</f>
        <v/>
      </c>
      <c r="F2803">
        <f>IF(D2803="","",COUNTIFS('KG1-5'!$AD29:$IM29,"غياب بدون عذر",'KG1-5'!$AD$7:$IM$7,"✓",'KG1-5'!$AD$5:$IM$5,"&lt;="&amp;D2803))</f>
        <v/>
      </c>
      <c r="G2803">
        <f>G2802+IF(D2803="",0,1)</f>
        <v/>
      </c>
    </row>
    <row r="2804">
      <c r="A2804">
        <f>IF('KG1-5'!$B29="","",'KG1-5'!$B29)</f>
        <v/>
      </c>
      <c r="B2804">
        <f>IF(A2804="","",'KG1-5'!$C29)</f>
        <v/>
      </c>
      <c r="C2804">
        <f>IF(A2804="","",'KG1-5'!$B$2)</f>
        <v/>
      </c>
      <c r="D2804" s="126">
        <f t="array" ref="D2804">IF(A2804="","",IFERROR(SMALL(IF((('KG1-5'!$AD29:$IM29="غياب بدون عذر")+('KG1-5'!$AD29:$IM29="غياب بعذر"))*('KG1-5'!$AD$7:$IM$7="✓"),'KG1-5'!$AD$5:$IM$5),3),""))</f>
        <v/>
      </c>
      <c r="E2804">
        <f>IF(D2804="","",INDEX('KG1-5'!$AD29:$IM29,MATCH(D2804,'KG1-5'!$AD$5:$IM$5,0)))</f>
        <v/>
      </c>
      <c r="F2804">
        <f>IF(D2804="","",COUNTIFS('KG1-5'!$AD29:$IM29,"غياب بدون عذر",'KG1-5'!$AD$7:$IM$7,"✓",'KG1-5'!$AD$5:$IM$5,"&lt;="&amp;D2804))</f>
        <v/>
      </c>
      <c r="G2804">
        <f>G2803+IF(D2804="",0,1)</f>
        <v/>
      </c>
    </row>
    <row r="2805">
      <c r="A2805">
        <f>IF('KG1-5'!$B29="","",'KG1-5'!$B29)</f>
        <v/>
      </c>
      <c r="B2805">
        <f>IF(A2805="","",'KG1-5'!$C29)</f>
        <v/>
      </c>
      <c r="C2805">
        <f>IF(A2805="","",'KG1-5'!$B$2)</f>
        <v/>
      </c>
      <c r="D2805" s="126">
        <f t="array" ref="D2805">IF(A2805="","",IFERROR(SMALL(IF((('KG1-5'!$AD29:$IM29="غياب بدون عذر")+('KG1-5'!$AD29:$IM29="غياب بعذر"))*('KG1-5'!$AD$7:$IM$7="✓"),'KG1-5'!$AD$5:$IM$5),4),""))</f>
        <v/>
      </c>
      <c r="E2805">
        <f>IF(D2805="","",INDEX('KG1-5'!$AD29:$IM29,MATCH(D2805,'KG1-5'!$AD$5:$IM$5,0)))</f>
        <v/>
      </c>
      <c r="F2805">
        <f>IF(D2805="","",COUNTIFS('KG1-5'!$AD29:$IM29,"غياب بدون عذر",'KG1-5'!$AD$7:$IM$7,"✓",'KG1-5'!$AD$5:$IM$5,"&lt;="&amp;D2805))</f>
        <v/>
      </c>
      <c r="G2805">
        <f>G2804+IF(D2805="",0,1)</f>
        <v/>
      </c>
    </row>
    <row r="2806">
      <c r="A2806">
        <f>IF('KG1-5'!$B29="","",'KG1-5'!$B29)</f>
        <v/>
      </c>
      <c r="B2806">
        <f>IF(A2806="","",'KG1-5'!$C29)</f>
        <v/>
      </c>
      <c r="C2806">
        <f>IF(A2806="","",'KG1-5'!$B$2)</f>
        <v/>
      </c>
      <c r="D2806" s="126">
        <f t="array" ref="D2806">IF(A2806="","",IFERROR(SMALL(IF((('KG1-5'!$AD29:$IM29="غياب بدون عذر")+('KG1-5'!$AD29:$IM29="غياب بعذر"))*('KG1-5'!$AD$7:$IM$7="✓"),'KG1-5'!$AD$5:$IM$5),5),""))</f>
        <v/>
      </c>
      <c r="E2806">
        <f>IF(D2806="","",INDEX('KG1-5'!$AD29:$IM29,MATCH(D2806,'KG1-5'!$AD$5:$IM$5,0)))</f>
        <v/>
      </c>
      <c r="F2806">
        <f>IF(D2806="","",COUNTIFS('KG1-5'!$AD29:$IM29,"غياب بدون عذر",'KG1-5'!$AD$7:$IM$7,"✓",'KG1-5'!$AD$5:$IM$5,"&lt;="&amp;D2806))</f>
        <v/>
      </c>
      <c r="G2806">
        <f>G2805+IF(D2806="",0,1)</f>
        <v/>
      </c>
    </row>
    <row r="2807">
      <c r="A2807">
        <f>IF('KG1-5'!$B29="","",'KG1-5'!$B29)</f>
        <v/>
      </c>
      <c r="B2807">
        <f>IF(A2807="","",'KG1-5'!$C29)</f>
        <v/>
      </c>
      <c r="C2807">
        <f>IF(A2807="","",'KG1-5'!$B$2)</f>
        <v/>
      </c>
      <c r="D2807" s="126">
        <f t="array" ref="D2807">IF(A2807="","",IFERROR(SMALL(IF((('KG1-5'!$AD29:$IM29="غياب بدون عذر")+('KG1-5'!$AD29:$IM29="غياب بعذر"))*('KG1-5'!$AD$7:$IM$7="✓"),'KG1-5'!$AD$5:$IM$5),6),""))</f>
        <v/>
      </c>
      <c r="E2807">
        <f>IF(D2807="","",INDEX('KG1-5'!$AD29:$IM29,MATCH(D2807,'KG1-5'!$AD$5:$IM$5,0)))</f>
        <v/>
      </c>
      <c r="F2807">
        <f>IF(D2807="","",COUNTIFS('KG1-5'!$AD29:$IM29,"غياب بدون عذر",'KG1-5'!$AD$7:$IM$7,"✓",'KG1-5'!$AD$5:$IM$5,"&lt;="&amp;D2807))</f>
        <v/>
      </c>
      <c r="G2807">
        <f>G2806+IF(D2807="",0,1)</f>
        <v/>
      </c>
    </row>
    <row r="2808">
      <c r="A2808">
        <f>IF('KG1-5'!$B29="","",'KG1-5'!$B29)</f>
        <v/>
      </c>
      <c r="B2808">
        <f>IF(A2808="","",'KG1-5'!$C29)</f>
        <v/>
      </c>
      <c r="C2808">
        <f>IF(A2808="","",'KG1-5'!$B$2)</f>
        <v/>
      </c>
      <c r="D2808" s="126">
        <f t="array" ref="D2808">IF(A2808="","",IFERROR(SMALL(IF((('KG1-5'!$AD29:$IM29="غياب بدون عذر")+('KG1-5'!$AD29:$IM29="غياب بعذر"))*('KG1-5'!$AD$7:$IM$7="✓"),'KG1-5'!$AD$5:$IM$5),7),""))</f>
        <v/>
      </c>
      <c r="E2808">
        <f>IF(D2808="","",INDEX('KG1-5'!$AD29:$IM29,MATCH(D2808,'KG1-5'!$AD$5:$IM$5,0)))</f>
        <v/>
      </c>
      <c r="F2808">
        <f>IF(D2808="","",COUNTIFS('KG1-5'!$AD29:$IM29,"غياب بدون عذر",'KG1-5'!$AD$7:$IM$7,"✓",'KG1-5'!$AD$5:$IM$5,"&lt;="&amp;D2808))</f>
        <v/>
      </c>
      <c r="G2808">
        <f>G2807+IF(D2808="",0,1)</f>
        <v/>
      </c>
    </row>
    <row r="2809">
      <c r="A2809">
        <f>IF('KG1-5'!$B29="","",'KG1-5'!$B29)</f>
        <v/>
      </c>
      <c r="B2809">
        <f>IF(A2809="","",'KG1-5'!$C29)</f>
        <v/>
      </c>
      <c r="C2809">
        <f>IF(A2809="","",'KG1-5'!$B$2)</f>
        <v/>
      </c>
      <c r="D2809" s="126">
        <f t="array" ref="D2809">IF(A2809="","",IFERROR(SMALL(IF((('KG1-5'!$AD29:$IM29="غياب بدون عذر")+('KG1-5'!$AD29:$IM29="غياب بعذر"))*('KG1-5'!$AD$7:$IM$7="✓"),'KG1-5'!$AD$5:$IM$5),8),""))</f>
        <v/>
      </c>
      <c r="E2809">
        <f>IF(D2809="","",INDEX('KG1-5'!$AD29:$IM29,MATCH(D2809,'KG1-5'!$AD$5:$IM$5,0)))</f>
        <v/>
      </c>
      <c r="F2809">
        <f>IF(D2809="","",COUNTIFS('KG1-5'!$AD29:$IM29,"غياب بدون عذر",'KG1-5'!$AD$7:$IM$7,"✓",'KG1-5'!$AD$5:$IM$5,"&lt;="&amp;D2809))</f>
        <v/>
      </c>
      <c r="G2809">
        <f>G2808+IF(D2809="",0,1)</f>
        <v/>
      </c>
    </row>
    <row r="2810">
      <c r="A2810">
        <f>IF('KG1-5'!$B29="","",'KG1-5'!$B29)</f>
        <v/>
      </c>
      <c r="B2810">
        <f>IF(A2810="","",'KG1-5'!$C29)</f>
        <v/>
      </c>
      <c r="C2810">
        <f>IF(A2810="","",'KG1-5'!$B$2)</f>
        <v/>
      </c>
      <c r="D2810" s="126">
        <f t="array" ref="D2810">IF(A2810="","",IFERROR(SMALL(IF((('KG1-5'!$AD29:$IM29="غياب بدون عذر")+('KG1-5'!$AD29:$IM29="غياب بعذر"))*('KG1-5'!$AD$7:$IM$7="✓"),'KG1-5'!$AD$5:$IM$5),9),""))</f>
        <v/>
      </c>
      <c r="E2810">
        <f>IF(D2810="","",INDEX('KG1-5'!$AD29:$IM29,MATCH(D2810,'KG1-5'!$AD$5:$IM$5,0)))</f>
        <v/>
      </c>
      <c r="F2810">
        <f>IF(D2810="","",COUNTIFS('KG1-5'!$AD29:$IM29,"غياب بدون عذر",'KG1-5'!$AD$7:$IM$7,"✓",'KG1-5'!$AD$5:$IM$5,"&lt;="&amp;D2810))</f>
        <v/>
      </c>
      <c r="G2810">
        <f>G2809+IF(D2810="",0,1)</f>
        <v/>
      </c>
    </row>
    <row r="2811">
      <c r="A2811">
        <f>IF('KG1-5'!$B29="","",'KG1-5'!$B29)</f>
        <v/>
      </c>
      <c r="B2811">
        <f>IF(A2811="","",'KG1-5'!$C29)</f>
        <v/>
      </c>
      <c r="C2811">
        <f>IF(A2811="","",'KG1-5'!$B$2)</f>
        <v/>
      </c>
      <c r="D2811" s="126">
        <f t="array" ref="D2811">IF(A2811="","",IFERROR(SMALL(IF((('KG1-5'!$AD29:$IM29="غياب بدون عذر")+('KG1-5'!$AD29:$IM29="غياب بعذر"))*('KG1-5'!$AD$7:$IM$7="✓"),'KG1-5'!$AD$5:$IM$5),10),""))</f>
        <v/>
      </c>
      <c r="E2811">
        <f>IF(D2811="","",INDEX('KG1-5'!$AD29:$IM29,MATCH(D2811,'KG1-5'!$AD$5:$IM$5,0)))</f>
        <v/>
      </c>
      <c r="F2811">
        <f>IF(D2811="","",COUNTIFS('KG1-5'!$AD29:$IM29,"غياب بدون عذر",'KG1-5'!$AD$7:$IM$7,"✓",'KG1-5'!$AD$5:$IM$5,"&lt;="&amp;D2811))</f>
        <v/>
      </c>
      <c r="G2811">
        <f>G2810+IF(D2811="",0,1)</f>
        <v/>
      </c>
    </row>
    <row r="2812">
      <c r="A2812">
        <f>IF('KG1-5'!$B29="","",'KG1-5'!$B29)</f>
        <v/>
      </c>
      <c r="B2812">
        <f>IF(A2812="","",'KG1-5'!$C29)</f>
        <v/>
      </c>
      <c r="C2812">
        <f>IF(A2812="","",'KG1-5'!$B$2)</f>
        <v/>
      </c>
      <c r="D2812" s="126">
        <f t="array" ref="D2812">IF(A2812="","",IFERROR(SMALL(IF((('KG1-5'!$AD29:$IM29="غياب بدون عذر")+('KG1-5'!$AD29:$IM29="غياب بعذر"))*('KG1-5'!$AD$7:$IM$7="✓"),'KG1-5'!$AD$5:$IM$5),11),""))</f>
        <v/>
      </c>
      <c r="E2812">
        <f>IF(D2812="","",INDEX('KG1-5'!$AD29:$IM29,MATCH(D2812,'KG1-5'!$AD$5:$IM$5,0)))</f>
        <v/>
      </c>
      <c r="F2812">
        <f>IF(D2812="","",COUNTIFS('KG1-5'!$AD29:$IM29,"غياب بدون عذر",'KG1-5'!$AD$7:$IM$7,"✓",'KG1-5'!$AD$5:$IM$5,"&lt;="&amp;D2812))</f>
        <v/>
      </c>
      <c r="G2812">
        <f>G2811+IF(D2812="",0,1)</f>
        <v/>
      </c>
    </row>
    <row r="2813">
      <c r="A2813">
        <f>IF('KG1-5'!$B29="","",'KG1-5'!$B29)</f>
        <v/>
      </c>
      <c r="B2813">
        <f>IF(A2813="","",'KG1-5'!$C29)</f>
        <v/>
      </c>
      <c r="C2813">
        <f>IF(A2813="","",'KG1-5'!$B$2)</f>
        <v/>
      </c>
      <c r="D2813" s="126">
        <f t="array" ref="D2813">IF(A2813="","",IFERROR(SMALL(IF((('KG1-5'!$AD29:$IM29="غياب بدون عذر")+('KG1-5'!$AD29:$IM29="غياب بعذر"))*('KG1-5'!$AD$7:$IM$7="✓"),'KG1-5'!$AD$5:$IM$5),12),""))</f>
        <v/>
      </c>
      <c r="E2813">
        <f>IF(D2813="","",INDEX('KG1-5'!$AD29:$IM29,MATCH(D2813,'KG1-5'!$AD$5:$IM$5,0)))</f>
        <v/>
      </c>
      <c r="F2813">
        <f>IF(D2813="","",COUNTIFS('KG1-5'!$AD29:$IM29,"غياب بدون عذر",'KG1-5'!$AD$7:$IM$7,"✓",'KG1-5'!$AD$5:$IM$5,"&lt;="&amp;D2813))</f>
        <v/>
      </c>
      <c r="G2813">
        <f>G2812+IF(D2813="",0,1)</f>
        <v/>
      </c>
    </row>
    <row r="2814">
      <c r="A2814">
        <f>IF('KG1-5'!$B29="","",'KG1-5'!$B29)</f>
        <v/>
      </c>
      <c r="B2814">
        <f>IF(A2814="","",'KG1-5'!$C29)</f>
        <v/>
      </c>
      <c r="C2814">
        <f>IF(A2814="","",'KG1-5'!$B$2)</f>
        <v/>
      </c>
      <c r="D2814" s="126">
        <f t="array" ref="D2814">IF(A2814="","",IFERROR(SMALL(IF((('KG1-5'!$AD29:$IM29="غياب بدون عذر")+('KG1-5'!$AD29:$IM29="غياب بعذر"))*('KG1-5'!$AD$7:$IM$7="✓"),'KG1-5'!$AD$5:$IM$5),13),""))</f>
        <v/>
      </c>
      <c r="E2814">
        <f>IF(D2814="","",INDEX('KG1-5'!$AD29:$IM29,MATCH(D2814,'KG1-5'!$AD$5:$IM$5,0)))</f>
        <v/>
      </c>
      <c r="F2814">
        <f>IF(D2814="","",COUNTIFS('KG1-5'!$AD29:$IM29,"غياب بدون عذر",'KG1-5'!$AD$7:$IM$7,"✓",'KG1-5'!$AD$5:$IM$5,"&lt;="&amp;D2814))</f>
        <v/>
      </c>
      <c r="G2814">
        <f>G2813+IF(D2814="",0,1)</f>
        <v/>
      </c>
    </row>
    <row r="2815">
      <c r="A2815">
        <f>IF('KG1-5'!$B29="","",'KG1-5'!$B29)</f>
        <v/>
      </c>
      <c r="B2815">
        <f>IF(A2815="","",'KG1-5'!$C29)</f>
        <v/>
      </c>
      <c r="C2815">
        <f>IF(A2815="","",'KG1-5'!$B$2)</f>
        <v/>
      </c>
      <c r="D2815" s="126">
        <f t="array" ref="D2815">IF(A2815="","",IFERROR(SMALL(IF((('KG1-5'!$AD29:$IM29="غياب بدون عذر")+('KG1-5'!$AD29:$IM29="غياب بعذر"))*('KG1-5'!$AD$7:$IM$7="✓"),'KG1-5'!$AD$5:$IM$5),14),""))</f>
        <v/>
      </c>
      <c r="E2815">
        <f>IF(D2815="","",INDEX('KG1-5'!$AD29:$IM29,MATCH(D2815,'KG1-5'!$AD$5:$IM$5,0)))</f>
        <v/>
      </c>
      <c r="F2815">
        <f>IF(D2815="","",COUNTIFS('KG1-5'!$AD29:$IM29,"غياب بدون عذر",'KG1-5'!$AD$7:$IM$7,"✓",'KG1-5'!$AD$5:$IM$5,"&lt;="&amp;D2815))</f>
        <v/>
      </c>
      <c r="G2815">
        <f>G2814+IF(D2815="",0,1)</f>
        <v/>
      </c>
    </row>
    <row r="2816">
      <c r="A2816">
        <f>IF('KG1-5'!$B29="","",'KG1-5'!$B29)</f>
        <v/>
      </c>
      <c r="B2816">
        <f>IF(A2816="","",'KG1-5'!$C29)</f>
        <v/>
      </c>
      <c r="C2816">
        <f>IF(A2816="","",'KG1-5'!$B$2)</f>
        <v/>
      </c>
      <c r="D2816" s="126">
        <f t="array" ref="D2816">IF(A2816="","",IFERROR(SMALL(IF((('KG1-5'!$AD29:$IM29="غياب بدون عذر")+('KG1-5'!$AD29:$IM29="غياب بعذر"))*('KG1-5'!$AD$7:$IM$7="✓"),'KG1-5'!$AD$5:$IM$5),15),""))</f>
        <v/>
      </c>
      <c r="E2816">
        <f>IF(D2816="","",INDEX('KG1-5'!$AD29:$IM29,MATCH(D2816,'KG1-5'!$AD$5:$IM$5,0)))</f>
        <v/>
      </c>
      <c r="F2816">
        <f>IF(D2816="","",COUNTIFS('KG1-5'!$AD29:$IM29,"غياب بدون عذر",'KG1-5'!$AD$7:$IM$7,"✓",'KG1-5'!$AD$5:$IM$5,"&lt;="&amp;D2816))</f>
        <v/>
      </c>
      <c r="G2816">
        <f>G2815+IF(D2816="",0,1)</f>
        <v/>
      </c>
    </row>
    <row r="2817">
      <c r="A2817">
        <f>IF('KG1-5'!$B29="","",'KG1-5'!$B29)</f>
        <v/>
      </c>
      <c r="B2817">
        <f>IF(A2817="","",'KG1-5'!$C29)</f>
        <v/>
      </c>
      <c r="C2817">
        <f>IF(A2817="","",'KG1-5'!$B$2)</f>
        <v/>
      </c>
      <c r="D2817" s="126">
        <f t="array" ref="D2817">IF(A2817="","",IFERROR(SMALL(IF((('KG1-5'!$AD29:$IM29="غياب بدون عذر")+('KG1-5'!$AD29:$IM29="غياب بعذر"))*('KG1-5'!$AD$7:$IM$7="✓"),'KG1-5'!$AD$5:$IM$5),16),""))</f>
        <v/>
      </c>
      <c r="E2817">
        <f>IF(D2817="","",INDEX('KG1-5'!$AD29:$IM29,MATCH(D2817,'KG1-5'!$AD$5:$IM$5,0)))</f>
        <v/>
      </c>
      <c r="F2817">
        <f>IF(D2817="","",COUNTIFS('KG1-5'!$AD29:$IM29,"غياب بدون عذر",'KG1-5'!$AD$7:$IM$7,"✓",'KG1-5'!$AD$5:$IM$5,"&lt;="&amp;D2817))</f>
        <v/>
      </c>
      <c r="G2817">
        <f>G2816+IF(D2817="",0,1)</f>
        <v/>
      </c>
    </row>
    <row r="2818">
      <c r="A2818">
        <f>IF('KG1-5'!$B29="","",'KG1-5'!$B29)</f>
        <v/>
      </c>
      <c r="B2818">
        <f>IF(A2818="","",'KG1-5'!$C29)</f>
        <v/>
      </c>
      <c r="C2818">
        <f>IF(A2818="","",'KG1-5'!$B$2)</f>
        <v/>
      </c>
      <c r="D2818" s="126">
        <f t="array" ref="D2818">IF(A2818="","",IFERROR(SMALL(IF((('KG1-5'!$AD29:$IM29="غياب بدون عذر")+('KG1-5'!$AD29:$IM29="غياب بعذر"))*('KG1-5'!$AD$7:$IM$7="✓"),'KG1-5'!$AD$5:$IM$5),17),""))</f>
        <v/>
      </c>
      <c r="E2818">
        <f>IF(D2818="","",INDEX('KG1-5'!$AD29:$IM29,MATCH(D2818,'KG1-5'!$AD$5:$IM$5,0)))</f>
        <v/>
      </c>
      <c r="F2818">
        <f>IF(D2818="","",COUNTIFS('KG1-5'!$AD29:$IM29,"غياب بدون عذر",'KG1-5'!$AD$7:$IM$7,"✓",'KG1-5'!$AD$5:$IM$5,"&lt;="&amp;D2818))</f>
        <v/>
      </c>
      <c r="G2818">
        <f>G2817+IF(D2818="",0,1)</f>
        <v/>
      </c>
    </row>
    <row r="2819">
      <c r="A2819">
        <f>IF('KG1-5'!$B29="","",'KG1-5'!$B29)</f>
        <v/>
      </c>
      <c r="B2819">
        <f>IF(A2819="","",'KG1-5'!$C29)</f>
        <v/>
      </c>
      <c r="C2819">
        <f>IF(A2819="","",'KG1-5'!$B$2)</f>
        <v/>
      </c>
      <c r="D2819" s="126">
        <f t="array" ref="D2819">IF(A2819="","",IFERROR(SMALL(IF((('KG1-5'!$AD29:$IM29="غياب بدون عذر")+('KG1-5'!$AD29:$IM29="غياب بعذر"))*('KG1-5'!$AD$7:$IM$7="✓"),'KG1-5'!$AD$5:$IM$5),18),""))</f>
        <v/>
      </c>
      <c r="E2819">
        <f>IF(D2819="","",INDEX('KG1-5'!$AD29:$IM29,MATCH(D2819,'KG1-5'!$AD$5:$IM$5,0)))</f>
        <v/>
      </c>
      <c r="F2819">
        <f>IF(D2819="","",COUNTIFS('KG1-5'!$AD29:$IM29,"غياب بدون عذر",'KG1-5'!$AD$7:$IM$7,"✓",'KG1-5'!$AD$5:$IM$5,"&lt;="&amp;D2819))</f>
        <v/>
      </c>
      <c r="G2819">
        <f>G2818+IF(D2819="",0,1)</f>
        <v/>
      </c>
    </row>
    <row r="2820">
      <c r="A2820">
        <f>IF('KG1-5'!$B29="","",'KG1-5'!$B29)</f>
        <v/>
      </c>
      <c r="B2820">
        <f>IF(A2820="","",'KG1-5'!$C29)</f>
        <v/>
      </c>
      <c r="C2820">
        <f>IF(A2820="","",'KG1-5'!$B$2)</f>
        <v/>
      </c>
      <c r="D2820" s="126">
        <f t="array" ref="D2820">IF(A2820="","",IFERROR(SMALL(IF((('KG1-5'!$AD29:$IM29="غياب بدون عذر")+('KG1-5'!$AD29:$IM29="غياب بعذر"))*('KG1-5'!$AD$7:$IM$7="✓"),'KG1-5'!$AD$5:$IM$5),19),""))</f>
        <v/>
      </c>
      <c r="E2820">
        <f>IF(D2820="","",INDEX('KG1-5'!$AD29:$IM29,MATCH(D2820,'KG1-5'!$AD$5:$IM$5,0)))</f>
        <v/>
      </c>
      <c r="F2820">
        <f>IF(D2820="","",COUNTIFS('KG1-5'!$AD29:$IM29,"غياب بدون عذر",'KG1-5'!$AD$7:$IM$7,"✓",'KG1-5'!$AD$5:$IM$5,"&lt;="&amp;D2820))</f>
        <v/>
      </c>
      <c r="G2820">
        <f>G2819+IF(D2820="",0,1)</f>
        <v/>
      </c>
    </row>
    <row r="2821">
      <c r="A2821">
        <f>IF('KG1-5'!$B29="","",'KG1-5'!$B29)</f>
        <v/>
      </c>
      <c r="B2821">
        <f>IF(A2821="","",'KG1-5'!$C29)</f>
        <v/>
      </c>
      <c r="C2821">
        <f>IF(A2821="","",'KG1-5'!$B$2)</f>
        <v/>
      </c>
      <c r="D2821" s="126">
        <f t="array" ref="D2821">IF(A2821="","",IFERROR(SMALL(IF((('KG1-5'!$AD29:$IM29="غياب بدون عذر")+('KG1-5'!$AD29:$IM29="غياب بعذر"))*('KG1-5'!$AD$7:$IM$7="✓"),'KG1-5'!$AD$5:$IM$5),20),""))</f>
        <v/>
      </c>
      <c r="E2821">
        <f>IF(D2821="","",INDEX('KG1-5'!$AD29:$IM29,MATCH(D2821,'KG1-5'!$AD$5:$IM$5,0)))</f>
        <v/>
      </c>
      <c r="F2821">
        <f>IF(D2821="","",COUNTIFS('KG1-5'!$AD29:$IM29,"غياب بدون عذر",'KG1-5'!$AD$7:$IM$7,"✓",'KG1-5'!$AD$5:$IM$5,"&lt;="&amp;D2821))</f>
        <v/>
      </c>
      <c r="G2821">
        <f>G2820+IF(D2821="",0,1)</f>
        <v/>
      </c>
    </row>
    <row r="2822">
      <c r="A2822">
        <f>IF('KG1-5'!$B30="","",'KG1-5'!$B30)</f>
        <v/>
      </c>
      <c r="B2822">
        <f>IF(A2822="","",'KG1-5'!$C30)</f>
        <v/>
      </c>
      <c r="C2822">
        <f>IF(A2822="","",'KG1-5'!$B$2)</f>
        <v/>
      </c>
      <c r="D2822" s="126">
        <f t="array" ref="D2822">IF(A2822="","",IFERROR(SMALL(IF((('KG1-5'!$AD30:$IM30="غياب بدون عذر")+('KG1-5'!$AD30:$IM30="غياب بعذر"))*('KG1-5'!$AD$7:$IM$7="✓"),'KG1-5'!$AD$5:$IM$5),1),""))</f>
        <v/>
      </c>
      <c r="E2822">
        <f>IF(D2822="","",INDEX('KG1-5'!$AD30:$IM30,MATCH(D2822,'KG1-5'!$AD$5:$IM$5,0)))</f>
        <v/>
      </c>
      <c r="F2822">
        <f>IF(D2822="","",COUNTIFS('KG1-5'!$AD30:$IM30,"غياب بدون عذر",'KG1-5'!$AD$7:$IM$7,"✓",'KG1-5'!$AD$5:$IM$5,"&lt;="&amp;D2822))</f>
        <v/>
      </c>
      <c r="G2822">
        <f>G2821+IF(D2822="",0,1)</f>
        <v/>
      </c>
    </row>
    <row r="2823">
      <c r="A2823">
        <f>IF('KG1-5'!$B30="","",'KG1-5'!$B30)</f>
        <v/>
      </c>
      <c r="B2823">
        <f>IF(A2823="","",'KG1-5'!$C30)</f>
        <v/>
      </c>
      <c r="C2823">
        <f>IF(A2823="","",'KG1-5'!$B$2)</f>
        <v/>
      </c>
      <c r="D2823" s="126">
        <f t="array" ref="D2823">IF(A2823="","",IFERROR(SMALL(IF((('KG1-5'!$AD30:$IM30="غياب بدون عذر")+('KG1-5'!$AD30:$IM30="غياب بعذر"))*('KG1-5'!$AD$7:$IM$7="✓"),'KG1-5'!$AD$5:$IM$5),2),""))</f>
        <v/>
      </c>
      <c r="E2823">
        <f>IF(D2823="","",INDEX('KG1-5'!$AD30:$IM30,MATCH(D2823,'KG1-5'!$AD$5:$IM$5,0)))</f>
        <v/>
      </c>
      <c r="F2823">
        <f>IF(D2823="","",COUNTIFS('KG1-5'!$AD30:$IM30,"غياب بدون عذر",'KG1-5'!$AD$7:$IM$7,"✓",'KG1-5'!$AD$5:$IM$5,"&lt;="&amp;D2823))</f>
        <v/>
      </c>
      <c r="G2823">
        <f>G2822+IF(D2823="",0,1)</f>
        <v/>
      </c>
    </row>
    <row r="2824">
      <c r="A2824">
        <f>IF('KG1-5'!$B30="","",'KG1-5'!$B30)</f>
        <v/>
      </c>
      <c r="B2824">
        <f>IF(A2824="","",'KG1-5'!$C30)</f>
        <v/>
      </c>
      <c r="C2824">
        <f>IF(A2824="","",'KG1-5'!$B$2)</f>
        <v/>
      </c>
      <c r="D2824" s="126">
        <f t="array" ref="D2824">IF(A2824="","",IFERROR(SMALL(IF((('KG1-5'!$AD30:$IM30="غياب بدون عذر")+('KG1-5'!$AD30:$IM30="غياب بعذر"))*('KG1-5'!$AD$7:$IM$7="✓"),'KG1-5'!$AD$5:$IM$5),3),""))</f>
        <v/>
      </c>
      <c r="E2824">
        <f>IF(D2824="","",INDEX('KG1-5'!$AD30:$IM30,MATCH(D2824,'KG1-5'!$AD$5:$IM$5,0)))</f>
        <v/>
      </c>
      <c r="F2824">
        <f>IF(D2824="","",COUNTIFS('KG1-5'!$AD30:$IM30,"غياب بدون عذر",'KG1-5'!$AD$7:$IM$7,"✓",'KG1-5'!$AD$5:$IM$5,"&lt;="&amp;D2824))</f>
        <v/>
      </c>
      <c r="G2824">
        <f>G2823+IF(D2824="",0,1)</f>
        <v/>
      </c>
    </row>
    <row r="2825">
      <c r="A2825">
        <f>IF('KG1-5'!$B30="","",'KG1-5'!$B30)</f>
        <v/>
      </c>
      <c r="B2825">
        <f>IF(A2825="","",'KG1-5'!$C30)</f>
        <v/>
      </c>
      <c r="C2825">
        <f>IF(A2825="","",'KG1-5'!$B$2)</f>
        <v/>
      </c>
      <c r="D2825" s="126">
        <f t="array" ref="D2825">IF(A2825="","",IFERROR(SMALL(IF((('KG1-5'!$AD30:$IM30="غياب بدون عذر")+('KG1-5'!$AD30:$IM30="غياب بعذر"))*('KG1-5'!$AD$7:$IM$7="✓"),'KG1-5'!$AD$5:$IM$5),4),""))</f>
        <v/>
      </c>
      <c r="E2825">
        <f>IF(D2825="","",INDEX('KG1-5'!$AD30:$IM30,MATCH(D2825,'KG1-5'!$AD$5:$IM$5,0)))</f>
        <v/>
      </c>
      <c r="F2825">
        <f>IF(D2825="","",COUNTIFS('KG1-5'!$AD30:$IM30,"غياب بدون عذر",'KG1-5'!$AD$7:$IM$7,"✓",'KG1-5'!$AD$5:$IM$5,"&lt;="&amp;D2825))</f>
        <v/>
      </c>
      <c r="G2825">
        <f>G2824+IF(D2825="",0,1)</f>
        <v/>
      </c>
    </row>
    <row r="2826">
      <c r="A2826">
        <f>IF('KG1-5'!$B30="","",'KG1-5'!$B30)</f>
        <v/>
      </c>
      <c r="B2826">
        <f>IF(A2826="","",'KG1-5'!$C30)</f>
        <v/>
      </c>
      <c r="C2826">
        <f>IF(A2826="","",'KG1-5'!$B$2)</f>
        <v/>
      </c>
      <c r="D2826" s="126">
        <f t="array" ref="D2826">IF(A2826="","",IFERROR(SMALL(IF((('KG1-5'!$AD30:$IM30="غياب بدون عذر")+('KG1-5'!$AD30:$IM30="غياب بعذر"))*('KG1-5'!$AD$7:$IM$7="✓"),'KG1-5'!$AD$5:$IM$5),5),""))</f>
        <v/>
      </c>
      <c r="E2826">
        <f>IF(D2826="","",INDEX('KG1-5'!$AD30:$IM30,MATCH(D2826,'KG1-5'!$AD$5:$IM$5,0)))</f>
        <v/>
      </c>
      <c r="F2826">
        <f>IF(D2826="","",COUNTIFS('KG1-5'!$AD30:$IM30,"غياب بدون عذر",'KG1-5'!$AD$7:$IM$7,"✓",'KG1-5'!$AD$5:$IM$5,"&lt;="&amp;D2826))</f>
        <v/>
      </c>
      <c r="G2826">
        <f>G2825+IF(D2826="",0,1)</f>
        <v/>
      </c>
    </row>
    <row r="2827">
      <c r="A2827">
        <f>IF('KG1-5'!$B30="","",'KG1-5'!$B30)</f>
        <v/>
      </c>
      <c r="B2827">
        <f>IF(A2827="","",'KG1-5'!$C30)</f>
        <v/>
      </c>
      <c r="C2827">
        <f>IF(A2827="","",'KG1-5'!$B$2)</f>
        <v/>
      </c>
      <c r="D2827" s="126">
        <f t="array" ref="D2827">IF(A2827="","",IFERROR(SMALL(IF((('KG1-5'!$AD30:$IM30="غياب بدون عذر")+('KG1-5'!$AD30:$IM30="غياب بعذر"))*('KG1-5'!$AD$7:$IM$7="✓"),'KG1-5'!$AD$5:$IM$5),6),""))</f>
        <v/>
      </c>
      <c r="E2827">
        <f>IF(D2827="","",INDEX('KG1-5'!$AD30:$IM30,MATCH(D2827,'KG1-5'!$AD$5:$IM$5,0)))</f>
        <v/>
      </c>
      <c r="F2827">
        <f>IF(D2827="","",COUNTIFS('KG1-5'!$AD30:$IM30,"غياب بدون عذر",'KG1-5'!$AD$7:$IM$7,"✓",'KG1-5'!$AD$5:$IM$5,"&lt;="&amp;D2827))</f>
        <v/>
      </c>
      <c r="G2827">
        <f>G2826+IF(D2827="",0,1)</f>
        <v/>
      </c>
    </row>
    <row r="2828">
      <c r="A2828">
        <f>IF('KG1-5'!$B30="","",'KG1-5'!$B30)</f>
        <v/>
      </c>
      <c r="B2828">
        <f>IF(A2828="","",'KG1-5'!$C30)</f>
        <v/>
      </c>
      <c r="C2828">
        <f>IF(A2828="","",'KG1-5'!$B$2)</f>
        <v/>
      </c>
      <c r="D2828" s="126">
        <f t="array" ref="D2828">IF(A2828="","",IFERROR(SMALL(IF((('KG1-5'!$AD30:$IM30="غياب بدون عذر")+('KG1-5'!$AD30:$IM30="غياب بعذر"))*('KG1-5'!$AD$7:$IM$7="✓"),'KG1-5'!$AD$5:$IM$5),7),""))</f>
        <v/>
      </c>
      <c r="E2828">
        <f>IF(D2828="","",INDEX('KG1-5'!$AD30:$IM30,MATCH(D2828,'KG1-5'!$AD$5:$IM$5,0)))</f>
        <v/>
      </c>
      <c r="F2828">
        <f>IF(D2828="","",COUNTIFS('KG1-5'!$AD30:$IM30,"غياب بدون عذر",'KG1-5'!$AD$7:$IM$7,"✓",'KG1-5'!$AD$5:$IM$5,"&lt;="&amp;D2828))</f>
        <v/>
      </c>
      <c r="G2828">
        <f>G2827+IF(D2828="",0,1)</f>
        <v/>
      </c>
    </row>
    <row r="2829">
      <c r="A2829">
        <f>IF('KG1-5'!$B30="","",'KG1-5'!$B30)</f>
        <v/>
      </c>
      <c r="B2829">
        <f>IF(A2829="","",'KG1-5'!$C30)</f>
        <v/>
      </c>
      <c r="C2829">
        <f>IF(A2829="","",'KG1-5'!$B$2)</f>
        <v/>
      </c>
      <c r="D2829" s="126">
        <f t="array" ref="D2829">IF(A2829="","",IFERROR(SMALL(IF((('KG1-5'!$AD30:$IM30="غياب بدون عذر")+('KG1-5'!$AD30:$IM30="غياب بعذر"))*('KG1-5'!$AD$7:$IM$7="✓"),'KG1-5'!$AD$5:$IM$5),8),""))</f>
        <v/>
      </c>
      <c r="E2829">
        <f>IF(D2829="","",INDEX('KG1-5'!$AD30:$IM30,MATCH(D2829,'KG1-5'!$AD$5:$IM$5,0)))</f>
        <v/>
      </c>
      <c r="F2829">
        <f>IF(D2829="","",COUNTIFS('KG1-5'!$AD30:$IM30,"غياب بدون عذر",'KG1-5'!$AD$7:$IM$7,"✓",'KG1-5'!$AD$5:$IM$5,"&lt;="&amp;D2829))</f>
        <v/>
      </c>
      <c r="G2829">
        <f>G2828+IF(D2829="",0,1)</f>
        <v/>
      </c>
    </row>
    <row r="2830">
      <c r="A2830">
        <f>IF('KG1-5'!$B30="","",'KG1-5'!$B30)</f>
        <v/>
      </c>
      <c r="B2830">
        <f>IF(A2830="","",'KG1-5'!$C30)</f>
        <v/>
      </c>
      <c r="C2830">
        <f>IF(A2830="","",'KG1-5'!$B$2)</f>
        <v/>
      </c>
      <c r="D2830" s="126">
        <f t="array" ref="D2830">IF(A2830="","",IFERROR(SMALL(IF((('KG1-5'!$AD30:$IM30="غياب بدون عذر")+('KG1-5'!$AD30:$IM30="غياب بعذر"))*('KG1-5'!$AD$7:$IM$7="✓"),'KG1-5'!$AD$5:$IM$5),9),""))</f>
        <v/>
      </c>
      <c r="E2830">
        <f>IF(D2830="","",INDEX('KG1-5'!$AD30:$IM30,MATCH(D2830,'KG1-5'!$AD$5:$IM$5,0)))</f>
        <v/>
      </c>
      <c r="F2830">
        <f>IF(D2830="","",COUNTIFS('KG1-5'!$AD30:$IM30,"غياب بدون عذر",'KG1-5'!$AD$7:$IM$7,"✓",'KG1-5'!$AD$5:$IM$5,"&lt;="&amp;D2830))</f>
        <v/>
      </c>
      <c r="G2830">
        <f>G2829+IF(D2830="",0,1)</f>
        <v/>
      </c>
    </row>
    <row r="2831">
      <c r="A2831">
        <f>IF('KG1-5'!$B30="","",'KG1-5'!$B30)</f>
        <v/>
      </c>
      <c r="B2831">
        <f>IF(A2831="","",'KG1-5'!$C30)</f>
        <v/>
      </c>
      <c r="C2831">
        <f>IF(A2831="","",'KG1-5'!$B$2)</f>
        <v/>
      </c>
      <c r="D2831" s="126">
        <f t="array" ref="D2831">IF(A2831="","",IFERROR(SMALL(IF((('KG1-5'!$AD30:$IM30="غياب بدون عذر")+('KG1-5'!$AD30:$IM30="غياب بعذر"))*('KG1-5'!$AD$7:$IM$7="✓"),'KG1-5'!$AD$5:$IM$5),10),""))</f>
        <v/>
      </c>
      <c r="E2831">
        <f>IF(D2831="","",INDEX('KG1-5'!$AD30:$IM30,MATCH(D2831,'KG1-5'!$AD$5:$IM$5,0)))</f>
        <v/>
      </c>
      <c r="F2831">
        <f>IF(D2831="","",COUNTIFS('KG1-5'!$AD30:$IM30,"غياب بدون عذر",'KG1-5'!$AD$7:$IM$7,"✓",'KG1-5'!$AD$5:$IM$5,"&lt;="&amp;D2831))</f>
        <v/>
      </c>
      <c r="G2831">
        <f>G2830+IF(D2831="",0,1)</f>
        <v/>
      </c>
    </row>
    <row r="2832">
      <c r="A2832">
        <f>IF('KG1-5'!$B30="","",'KG1-5'!$B30)</f>
        <v/>
      </c>
      <c r="B2832">
        <f>IF(A2832="","",'KG1-5'!$C30)</f>
        <v/>
      </c>
      <c r="C2832">
        <f>IF(A2832="","",'KG1-5'!$B$2)</f>
        <v/>
      </c>
      <c r="D2832" s="126">
        <f t="array" ref="D2832">IF(A2832="","",IFERROR(SMALL(IF((('KG1-5'!$AD30:$IM30="غياب بدون عذر")+('KG1-5'!$AD30:$IM30="غياب بعذر"))*('KG1-5'!$AD$7:$IM$7="✓"),'KG1-5'!$AD$5:$IM$5),11),""))</f>
        <v/>
      </c>
      <c r="E2832">
        <f>IF(D2832="","",INDEX('KG1-5'!$AD30:$IM30,MATCH(D2832,'KG1-5'!$AD$5:$IM$5,0)))</f>
        <v/>
      </c>
      <c r="F2832">
        <f>IF(D2832="","",COUNTIFS('KG1-5'!$AD30:$IM30,"غياب بدون عذر",'KG1-5'!$AD$7:$IM$7,"✓",'KG1-5'!$AD$5:$IM$5,"&lt;="&amp;D2832))</f>
        <v/>
      </c>
      <c r="G2832">
        <f>G2831+IF(D2832="",0,1)</f>
        <v/>
      </c>
    </row>
    <row r="2833">
      <c r="A2833">
        <f>IF('KG1-5'!$B30="","",'KG1-5'!$B30)</f>
        <v/>
      </c>
      <c r="B2833">
        <f>IF(A2833="","",'KG1-5'!$C30)</f>
        <v/>
      </c>
      <c r="C2833">
        <f>IF(A2833="","",'KG1-5'!$B$2)</f>
        <v/>
      </c>
      <c r="D2833" s="126">
        <f t="array" ref="D2833">IF(A2833="","",IFERROR(SMALL(IF((('KG1-5'!$AD30:$IM30="غياب بدون عذر")+('KG1-5'!$AD30:$IM30="غياب بعذر"))*('KG1-5'!$AD$7:$IM$7="✓"),'KG1-5'!$AD$5:$IM$5),12),""))</f>
        <v/>
      </c>
      <c r="E2833">
        <f>IF(D2833="","",INDEX('KG1-5'!$AD30:$IM30,MATCH(D2833,'KG1-5'!$AD$5:$IM$5,0)))</f>
        <v/>
      </c>
      <c r="F2833">
        <f>IF(D2833="","",COUNTIFS('KG1-5'!$AD30:$IM30,"غياب بدون عذر",'KG1-5'!$AD$7:$IM$7,"✓",'KG1-5'!$AD$5:$IM$5,"&lt;="&amp;D2833))</f>
        <v/>
      </c>
      <c r="G2833">
        <f>G2832+IF(D2833="",0,1)</f>
        <v/>
      </c>
    </row>
    <row r="2834">
      <c r="A2834">
        <f>IF('KG1-5'!$B30="","",'KG1-5'!$B30)</f>
        <v/>
      </c>
      <c r="B2834">
        <f>IF(A2834="","",'KG1-5'!$C30)</f>
        <v/>
      </c>
      <c r="C2834">
        <f>IF(A2834="","",'KG1-5'!$B$2)</f>
        <v/>
      </c>
      <c r="D2834" s="126">
        <f t="array" ref="D2834">IF(A2834="","",IFERROR(SMALL(IF((('KG1-5'!$AD30:$IM30="غياب بدون عذر")+('KG1-5'!$AD30:$IM30="غياب بعذر"))*('KG1-5'!$AD$7:$IM$7="✓"),'KG1-5'!$AD$5:$IM$5),13),""))</f>
        <v/>
      </c>
      <c r="E2834">
        <f>IF(D2834="","",INDEX('KG1-5'!$AD30:$IM30,MATCH(D2834,'KG1-5'!$AD$5:$IM$5,0)))</f>
        <v/>
      </c>
      <c r="F2834">
        <f>IF(D2834="","",COUNTIFS('KG1-5'!$AD30:$IM30,"غياب بدون عذر",'KG1-5'!$AD$7:$IM$7,"✓",'KG1-5'!$AD$5:$IM$5,"&lt;="&amp;D2834))</f>
        <v/>
      </c>
      <c r="G2834">
        <f>G2833+IF(D2834="",0,1)</f>
        <v/>
      </c>
    </row>
    <row r="2835">
      <c r="A2835">
        <f>IF('KG1-5'!$B30="","",'KG1-5'!$B30)</f>
        <v/>
      </c>
      <c r="B2835">
        <f>IF(A2835="","",'KG1-5'!$C30)</f>
        <v/>
      </c>
      <c r="C2835">
        <f>IF(A2835="","",'KG1-5'!$B$2)</f>
        <v/>
      </c>
      <c r="D2835" s="126">
        <f t="array" ref="D2835">IF(A2835="","",IFERROR(SMALL(IF((('KG1-5'!$AD30:$IM30="غياب بدون عذر")+('KG1-5'!$AD30:$IM30="غياب بعذر"))*('KG1-5'!$AD$7:$IM$7="✓"),'KG1-5'!$AD$5:$IM$5),14),""))</f>
        <v/>
      </c>
      <c r="E2835">
        <f>IF(D2835="","",INDEX('KG1-5'!$AD30:$IM30,MATCH(D2835,'KG1-5'!$AD$5:$IM$5,0)))</f>
        <v/>
      </c>
      <c r="F2835">
        <f>IF(D2835="","",COUNTIFS('KG1-5'!$AD30:$IM30,"غياب بدون عذر",'KG1-5'!$AD$7:$IM$7,"✓",'KG1-5'!$AD$5:$IM$5,"&lt;="&amp;D2835))</f>
        <v/>
      </c>
      <c r="G2835">
        <f>G2834+IF(D2835="",0,1)</f>
        <v/>
      </c>
    </row>
    <row r="2836">
      <c r="A2836">
        <f>IF('KG1-5'!$B30="","",'KG1-5'!$B30)</f>
        <v/>
      </c>
      <c r="B2836">
        <f>IF(A2836="","",'KG1-5'!$C30)</f>
        <v/>
      </c>
      <c r="C2836">
        <f>IF(A2836="","",'KG1-5'!$B$2)</f>
        <v/>
      </c>
      <c r="D2836" s="126">
        <f t="array" ref="D2836">IF(A2836="","",IFERROR(SMALL(IF((('KG1-5'!$AD30:$IM30="غياب بدون عذر")+('KG1-5'!$AD30:$IM30="غياب بعذر"))*('KG1-5'!$AD$7:$IM$7="✓"),'KG1-5'!$AD$5:$IM$5),15),""))</f>
        <v/>
      </c>
      <c r="E2836">
        <f>IF(D2836="","",INDEX('KG1-5'!$AD30:$IM30,MATCH(D2836,'KG1-5'!$AD$5:$IM$5,0)))</f>
        <v/>
      </c>
      <c r="F2836">
        <f>IF(D2836="","",COUNTIFS('KG1-5'!$AD30:$IM30,"غياب بدون عذر",'KG1-5'!$AD$7:$IM$7,"✓",'KG1-5'!$AD$5:$IM$5,"&lt;="&amp;D2836))</f>
        <v/>
      </c>
      <c r="G2836">
        <f>G2835+IF(D2836="",0,1)</f>
        <v/>
      </c>
    </row>
    <row r="2837">
      <c r="A2837">
        <f>IF('KG1-5'!$B30="","",'KG1-5'!$B30)</f>
        <v/>
      </c>
      <c r="B2837">
        <f>IF(A2837="","",'KG1-5'!$C30)</f>
        <v/>
      </c>
      <c r="C2837">
        <f>IF(A2837="","",'KG1-5'!$B$2)</f>
        <v/>
      </c>
      <c r="D2837" s="126">
        <f t="array" ref="D2837">IF(A2837="","",IFERROR(SMALL(IF((('KG1-5'!$AD30:$IM30="غياب بدون عذر")+('KG1-5'!$AD30:$IM30="غياب بعذر"))*('KG1-5'!$AD$7:$IM$7="✓"),'KG1-5'!$AD$5:$IM$5),16),""))</f>
        <v/>
      </c>
      <c r="E2837">
        <f>IF(D2837="","",INDEX('KG1-5'!$AD30:$IM30,MATCH(D2837,'KG1-5'!$AD$5:$IM$5,0)))</f>
        <v/>
      </c>
      <c r="F2837">
        <f>IF(D2837="","",COUNTIFS('KG1-5'!$AD30:$IM30,"غياب بدون عذر",'KG1-5'!$AD$7:$IM$7,"✓",'KG1-5'!$AD$5:$IM$5,"&lt;="&amp;D2837))</f>
        <v/>
      </c>
      <c r="G2837">
        <f>G2836+IF(D2837="",0,1)</f>
        <v/>
      </c>
    </row>
    <row r="2838">
      <c r="A2838">
        <f>IF('KG1-5'!$B30="","",'KG1-5'!$B30)</f>
        <v/>
      </c>
      <c r="B2838">
        <f>IF(A2838="","",'KG1-5'!$C30)</f>
        <v/>
      </c>
      <c r="C2838">
        <f>IF(A2838="","",'KG1-5'!$B$2)</f>
        <v/>
      </c>
      <c r="D2838" s="126">
        <f t="array" ref="D2838">IF(A2838="","",IFERROR(SMALL(IF((('KG1-5'!$AD30:$IM30="غياب بدون عذر")+('KG1-5'!$AD30:$IM30="غياب بعذر"))*('KG1-5'!$AD$7:$IM$7="✓"),'KG1-5'!$AD$5:$IM$5),17),""))</f>
        <v/>
      </c>
      <c r="E2838">
        <f>IF(D2838="","",INDEX('KG1-5'!$AD30:$IM30,MATCH(D2838,'KG1-5'!$AD$5:$IM$5,0)))</f>
        <v/>
      </c>
      <c r="F2838">
        <f>IF(D2838="","",COUNTIFS('KG1-5'!$AD30:$IM30,"غياب بدون عذر",'KG1-5'!$AD$7:$IM$7,"✓",'KG1-5'!$AD$5:$IM$5,"&lt;="&amp;D2838))</f>
        <v/>
      </c>
      <c r="G2838">
        <f>G2837+IF(D2838="",0,1)</f>
        <v/>
      </c>
    </row>
    <row r="2839">
      <c r="A2839">
        <f>IF('KG1-5'!$B30="","",'KG1-5'!$B30)</f>
        <v/>
      </c>
      <c r="B2839">
        <f>IF(A2839="","",'KG1-5'!$C30)</f>
        <v/>
      </c>
      <c r="C2839">
        <f>IF(A2839="","",'KG1-5'!$B$2)</f>
        <v/>
      </c>
      <c r="D2839" s="126">
        <f t="array" ref="D2839">IF(A2839="","",IFERROR(SMALL(IF((('KG1-5'!$AD30:$IM30="غياب بدون عذر")+('KG1-5'!$AD30:$IM30="غياب بعذر"))*('KG1-5'!$AD$7:$IM$7="✓"),'KG1-5'!$AD$5:$IM$5),18),""))</f>
        <v/>
      </c>
      <c r="E2839">
        <f>IF(D2839="","",INDEX('KG1-5'!$AD30:$IM30,MATCH(D2839,'KG1-5'!$AD$5:$IM$5,0)))</f>
        <v/>
      </c>
      <c r="F2839">
        <f>IF(D2839="","",COUNTIFS('KG1-5'!$AD30:$IM30,"غياب بدون عذر",'KG1-5'!$AD$7:$IM$7,"✓",'KG1-5'!$AD$5:$IM$5,"&lt;="&amp;D2839))</f>
        <v/>
      </c>
      <c r="G2839">
        <f>G2838+IF(D2839="",0,1)</f>
        <v/>
      </c>
    </row>
    <row r="2840">
      <c r="A2840">
        <f>IF('KG1-5'!$B30="","",'KG1-5'!$B30)</f>
        <v/>
      </c>
      <c r="B2840">
        <f>IF(A2840="","",'KG1-5'!$C30)</f>
        <v/>
      </c>
      <c r="C2840">
        <f>IF(A2840="","",'KG1-5'!$B$2)</f>
        <v/>
      </c>
      <c r="D2840" s="126">
        <f t="array" ref="D2840">IF(A2840="","",IFERROR(SMALL(IF((('KG1-5'!$AD30:$IM30="غياب بدون عذر")+('KG1-5'!$AD30:$IM30="غياب بعذر"))*('KG1-5'!$AD$7:$IM$7="✓"),'KG1-5'!$AD$5:$IM$5),19),""))</f>
        <v/>
      </c>
      <c r="E2840">
        <f>IF(D2840="","",INDEX('KG1-5'!$AD30:$IM30,MATCH(D2840,'KG1-5'!$AD$5:$IM$5,0)))</f>
        <v/>
      </c>
      <c r="F2840">
        <f>IF(D2840="","",COUNTIFS('KG1-5'!$AD30:$IM30,"غياب بدون عذر",'KG1-5'!$AD$7:$IM$7,"✓",'KG1-5'!$AD$5:$IM$5,"&lt;="&amp;D2840))</f>
        <v/>
      </c>
      <c r="G2840">
        <f>G2839+IF(D2840="",0,1)</f>
        <v/>
      </c>
    </row>
    <row r="2841">
      <c r="A2841">
        <f>IF('KG1-5'!$B30="","",'KG1-5'!$B30)</f>
        <v/>
      </c>
      <c r="B2841">
        <f>IF(A2841="","",'KG1-5'!$C30)</f>
        <v/>
      </c>
      <c r="C2841">
        <f>IF(A2841="","",'KG1-5'!$B$2)</f>
        <v/>
      </c>
      <c r="D2841" s="126">
        <f t="array" ref="D2841">IF(A2841="","",IFERROR(SMALL(IF((('KG1-5'!$AD30:$IM30="غياب بدون عذر")+('KG1-5'!$AD30:$IM30="غياب بعذر"))*('KG1-5'!$AD$7:$IM$7="✓"),'KG1-5'!$AD$5:$IM$5),20),""))</f>
        <v/>
      </c>
      <c r="E2841">
        <f>IF(D2841="","",INDEX('KG1-5'!$AD30:$IM30,MATCH(D2841,'KG1-5'!$AD$5:$IM$5,0)))</f>
        <v/>
      </c>
      <c r="F2841">
        <f>IF(D2841="","",COUNTIFS('KG1-5'!$AD30:$IM30,"غياب بدون عذر",'KG1-5'!$AD$7:$IM$7,"✓",'KG1-5'!$AD$5:$IM$5,"&lt;="&amp;D2841))</f>
        <v/>
      </c>
      <c r="G2841">
        <f>G2840+IF(D2841="",0,1)</f>
        <v/>
      </c>
    </row>
    <row r="2842">
      <c r="A2842">
        <f>IF('KG1-5'!$B31="","",'KG1-5'!$B31)</f>
        <v/>
      </c>
      <c r="B2842">
        <f>IF(A2842="","",'KG1-5'!$C31)</f>
        <v/>
      </c>
      <c r="C2842">
        <f>IF(A2842="","",'KG1-5'!$B$2)</f>
        <v/>
      </c>
      <c r="D2842" s="126">
        <f t="array" ref="D2842">IF(A2842="","",IFERROR(SMALL(IF((('KG1-5'!$AD31:$IM31="غياب بدون عذر")+('KG1-5'!$AD31:$IM31="غياب بعذر"))*('KG1-5'!$AD$7:$IM$7="✓"),'KG1-5'!$AD$5:$IM$5),1),""))</f>
        <v/>
      </c>
      <c r="E2842">
        <f>IF(D2842="","",INDEX('KG1-5'!$AD31:$IM31,MATCH(D2842,'KG1-5'!$AD$5:$IM$5,0)))</f>
        <v/>
      </c>
      <c r="F2842">
        <f>IF(D2842="","",COUNTIFS('KG1-5'!$AD31:$IM31,"غياب بدون عذر",'KG1-5'!$AD$7:$IM$7,"✓",'KG1-5'!$AD$5:$IM$5,"&lt;="&amp;D2842))</f>
        <v/>
      </c>
      <c r="G2842">
        <f>G2841+IF(D2842="",0,1)</f>
        <v/>
      </c>
    </row>
    <row r="2843">
      <c r="A2843">
        <f>IF('KG1-5'!$B31="","",'KG1-5'!$B31)</f>
        <v/>
      </c>
      <c r="B2843">
        <f>IF(A2843="","",'KG1-5'!$C31)</f>
        <v/>
      </c>
      <c r="C2843">
        <f>IF(A2843="","",'KG1-5'!$B$2)</f>
        <v/>
      </c>
      <c r="D2843" s="126">
        <f t="array" ref="D2843">IF(A2843="","",IFERROR(SMALL(IF((('KG1-5'!$AD31:$IM31="غياب بدون عذر")+('KG1-5'!$AD31:$IM31="غياب بعذر"))*('KG1-5'!$AD$7:$IM$7="✓"),'KG1-5'!$AD$5:$IM$5),2),""))</f>
        <v/>
      </c>
      <c r="E2843">
        <f>IF(D2843="","",INDEX('KG1-5'!$AD31:$IM31,MATCH(D2843,'KG1-5'!$AD$5:$IM$5,0)))</f>
        <v/>
      </c>
      <c r="F2843">
        <f>IF(D2843="","",COUNTIFS('KG1-5'!$AD31:$IM31,"غياب بدون عذر",'KG1-5'!$AD$7:$IM$7,"✓",'KG1-5'!$AD$5:$IM$5,"&lt;="&amp;D2843))</f>
        <v/>
      </c>
      <c r="G2843">
        <f>G2842+IF(D2843="",0,1)</f>
        <v/>
      </c>
    </row>
    <row r="2844">
      <c r="A2844">
        <f>IF('KG1-5'!$B31="","",'KG1-5'!$B31)</f>
        <v/>
      </c>
      <c r="B2844">
        <f>IF(A2844="","",'KG1-5'!$C31)</f>
        <v/>
      </c>
      <c r="C2844">
        <f>IF(A2844="","",'KG1-5'!$B$2)</f>
        <v/>
      </c>
      <c r="D2844" s="126">
        <f t="array" ref="D2844">IF(A2844="","",IFERROR(SMALL(IF((('KG1-5'!$AD31:$IM31="غياب بدون عذر")+('KG1-5'!$AD31:$IM31="غياب بعذر"))*('KG1-5'!$AD$7:$IM$7="✓"),'KG1-5'!$AD$5:$IM$5),3),""))</f>
        <v/>
      </c>
      <c r="E2844">
        <f>IF(D2844="","",INDEX('KG1-5'!$AD31:$IM31,MATCH(D2844,'KG1-5'!$AD$5:$IM$5,0)))</f>
        <v/>
      </c>
      <c r="F2844">
        <f>IF(D2844="","",COUNTIFS('KG1-5'!$AD31:$IM31,"غياب بدون عذر",'KG1-5'!$AD$7:$IM$7,"✓",'KG1-5'!$AD$5:$IM$5,"&lt;="&amp;D2844))</f>
        <v/>
      </c>
      <c r="G2844">
        <f>G2843+IF(D2844="",0,1)</f>
        <v/>
      </c>
    </row>
    <row r="2845">
      <c r="A2845">
        <f>IF('KG1-5'!$B31="","",'KG1-5'!$B31)</f>
        <v/>
      </c>
      <c r="B2845">
        <f>IF(A2845="","",'KG1-5'!$C31)</f>
        <v/>
      </c>
      <c r="C2845">
        <f>IF(A2845="","",'KG1-5'!$B$2)</f>
        <v/>
      </c>
      <c r="D2845" s="126">
        <f t="array" ref="D2845">IF(A2845="","",IFERROR(SMALL(IF((('KG1-5'!$AD31:$IM31="غياب بدون عذر")+('KG1-5'!$AD31:$IM31="غياب بعذر"))*('KG1-5'!$AD$7:$IM$7="✓"),'KG1-5'!$AD$5:$IM$5),4),""))</f>
        <v/>
      </c>
      <c r="E2845">
        <f>IF(D2845="","",INDEX('KG1-5'!$AD31:$IM31,MATCH(D2845,'KG1-5'!$AD$5:$IM$5,0)))</f>
        <v/>
      </c>
      <c r="F2845">
        <f>IF(D2845="","",COUNTIFS('KG1-5'!$AD31:$IM31,"غياب بدون عذر",'KG1-5'!$AD$7:$IM$7,"✓",'KG1-5'!$AD$5:$IM$5,"&lt;="&amp;D2845))</f>
        <v/>
      </c>
      <c r="G2845">
        <f>G2844+IF(D2845="",0,1)</f>
        <v/>
      </c>
    </row>
    <row r="2846">
      <c r="A2846">
        <f>IF('KG1-5'!$B31="","",'KG1-5'!$B31)</f>
        <v/>
      </c>
      <c r="B2846">
        <f>IF(A2846="","",'KG1-5'!$C31)</f>
        <v/>
      </c>
      <c r="C2846">
        <f>IF(A2846="","",'KG1-5'!$B$2)</f>
        <v/>
      </c>
      <c r="D2846" s="126">
        <f t="array" ref="D2846">IF(A2846="","",IFERROR(SMALL(IF((('KG1-5'!$AD31:$IM31="غياب بدون عذر")+('KG1-5'!$AD31:$IM31="غياب بعذر"))*('KG1-5'!$AD$7:$IM$7="✓"),'KG1-5'!$AD$5:$IM$5),5),""))</f>
        <v/>
      </c>
      <c r="E2846">
        <f>IF(D2846="","",INDEX('KG1-5'!$AD31:$IM31,MATCH(D2846,'KG1-5'!$AD$5:$IM$5,0)))</f>
        <v/>
      </c>
      <c r="F2846">
        <f>IF(D2846="","",COUNTIFS('KG1-5'!$AD31:$IM31,"غياب بدون عذر",'KG1-5'!$AD$7:$IM$7,"✓",'KG1-5'!$AD$5:$IM$5,"&lt;="&amp;D2846))</f>
        <v/>
      </c>
      <c r="G2846">
        <f>G2845+IF(D2846="",0,1)</f>
        <v/>
      </c>
    </row>
    <row r="2847">
      <c r="A2847">
        <f>IF('KG1-5'!$B31="","",'KG1-5'!$B31)</f>
        <v/>
      </c>
      <c r="B2847">
        <f>IF(A2847="","",'KG1-5'!$C31)</f>
        <v/>
      </c>
      <c r="C2847">
        <f>IF(A2847="","",'KG1-5'!$B$2)</f>
        <v/>
      </c>
      <c r="D2847" s="126">
        <f t="array" ref="D2847">IF(A2847="","",IFERROR(SMALL(IF((('KG1-5'!$AD31:$IM31="غياب بدون عذر")+('KG1-5'!$AD31:$IM31="غياب بعذر"))*('KG1-5'!$AD$7:$IM$7="✓"),'KG1-5'!$AD$5:$IM$5),6),""))</f>
        <v/>
      </c>
      <c r="E2847">
        <f>IF(D2847="","",INDEX('KG1-5'!$AD31:$IM31,MATCH(D2847,'KG1-5'!$AD$5:$IM$5,0)))</f>
        <v/>
      </c>
      <c r="F2847">
        <f>IF(D2847="","",COUNTIFS('KG1-5'!$AD31:$IM31,"غياب بدون عذر",'KG1-5'!$AD$7:$IM$7,"✓",'KG1-5'!$AD$5:$IM$5,"&lt;="&amp;D2847))</f>
        <v/>
      </c>
      <c r="G2847">
        <f>G2846+IF(D2847="",0,1)</f>
        <v/>
      </c>
    </row>
    <row r="2848">
      <c r="A2848">
        <f>IF('KG1-5'!$B31="","",'KG1-5'!$B31)</f>
        <v/>
      </c>
      <c r="B2848">
        <f>IF(A2848="","",'KG1-5'!$C31)</f>
        <v/>
      </c>
      <c r="C2848">
        <f>IF(A2848="","",'KG1-5'!$B$2)</f>
        <v/>
      </c>
      <c r="D2848" s="126">
        <f t="array" ref="D2848">IF(A2848="","",IFERROR(SMALL(IF((('KG1-5'!$AD31:$IM31="غياب بدون عذر")+('KG1-5'!$AD31:$IM31="غياب بعذر"))*('KG1-5'!$AD$7:$IM$7="✓"),'KG1-5'!$AD$5:$IM$5),7),""))</f>
        <v/>
      </c>
      <c r="E2848">
        <f>IF(D2848="","",INDEX('KG1-5'!$AD31:$IM31,MATCH(D2848,'KG1-5'!$AD$5:$IM$5,0)))</f>
        <v/>
      </c>
      <c r="F2848">
        <f>IF(D2848="","",COUNTIFS('KG1-5'!$AD31:$IM31,"غياب بدون عذر",'KG1-5'!$AD$7:$IM$7,"✓",'KG1-5'!$AD$5:$IM$5,"&lt;="&amp;D2848))</f>
        <v/>
      </c>
      <c r="G2848">
        <f>G2847+IF(D2848="",0,1)</f>
        <v/>
      </c>
    </row>
    <row r="2849">
      <c r="A2849">
        <f>IF('KG1-5'!$B31="","",'KG1-5'!$B31)</f>
        <v/>
      </c>
      <c r="B2849">
        <f>IF(A2849="","",'KG1-5'!$C31)</f>
        <v/>
      </c>
      <c r="C2849">
        <f>IF(A2849="","",'KG1-5'!$B$2)</f>
        <v/>
      </c>
      <c r="D2849" s="126">
        <f t="array" ref="D2849">IF(A2849="","",IFERROR(SMALL(IF((('KG1-5'!$AD31:$IM31="غياب بدون عذر")+('KG1-5'!$AD31:$IM31="غياب بعذر"))*('KG1-5'!$AD$7:$IM$7="✓"),'KG1-5'!$AD$5:$IM$5),8),""))</f>
        <v/>
      </c>
      <c r="E2849">
        <f>IF(D2849="","",INDEX('KG1-5'!$AD31:$IM31,MATCH(D2849,'KG1-5'!$AD$5:$IM$5,0)))</f>
        <v/>
      </c>
      <c r="F2849">
        <f>IF(D2849="","",COUNTIFS('KG1-5'!$AD31:$IM31,"غياب بدون عذر",'KG1-5'!$AD$7:$IM$7,"✓",'KG1-5'!$AD$5:$IM$5,"&lt;="&amp;D2849))</f>
        <v/>
      </c>
      <c r="G2849">
        <f>G2848+IF(D2849="",0,1)</f>
        <v/>
      </c>
    </row>
    <row r="2850">
      <c r="A2850">
        <f>IF('KG1-5'!$B31="","",'KG1-5'!$B31)</f>
        <v/>
      </c>
      <c r="B2850">
        <f>IF(A2850="","",'KG1-5'!$C31)</f>
        <v/>
      </c>
      <c r="C2850">
        <f>IF(A2850="","",'KG1-5'!$B$2)</f>
        <v/>
      </c>
      <c r="D2850" s="126">
        <f t="array" ref="D2850">IF(A2850="","",IFERROR(SMALL(IF((('KG1-5'!$AD31:$IM31="غياب بدون عذر")+('KG1-5'!$AD31:$IM31="غياب بعذر"))*('KG1-5'!$AD$7:$IM$7="✓"),'KG1-5'!$AD$5:$IM$5),9),""))</f>
        <v/>
      </c>
      <c r="E2850">
        <f>IF(D2850="","",INDEX('KG1-5'!$AD31:$IM31,MATCH(D2850,'KG1-5'!$AD$5:$IM$5,0)))</f>
        <v/>
      </c>
      <c r="F2850">
        <f>IF(D2850="","",COUNTIFS('KG1-5'!$AD31:$IM31,"غياب بدون عذر",'KG1-5'!$AD$7:$IM$7,"✓",'KG1-5'!$AD$5:$IM$5,"&lt;="&amp;D2850))</f>
        <v/>
      </c>
      <c r="G2850">
        <f>G2849+IF(D2850="",0,1)</f>
        <v/>
      </c>
    </row>
    <row r="2851">
      <c r="A2851">
        <f>IF('KG1-5'!$B31="","",'KG1-5'!$B31)</f>
        <v/>
      </c>
      <c r="B2851">
        <f>IF(A2851="","",'KG1-5'!$C31)</f>
        <v/>
      </c>
      <c r="C2851">
        <f>IF(A2851="","",'KG1-5'!$B$2)</f>
        <v/>
      </c>
      <c r="D2851" s="126">
        <f t="array" ref="D2851">IF(A2851="","",IFERROR(SMALL(IF((('KG1-5'!$AD31:$IM31="غياب بدون عذر")+('KG1-5'!$AD31:$IM31="غياب بعذر"))*('KG1-5'!$AD$7:$IM$7="✓"),'KG1-5'!$AD$5:$IM$5),10),""))</f>
        <v/>
      </c>
      <c r="E2851">
        <f>IF(D2851="","",INDEX('KG1-5'!$AD31:$IM31,MATCH(D2851,'KG1-5'!$AD$5:$IM$5,0)))</f>
        <v/>
      </c>
      <c r="F2851">
        <f>IF(D2851="","",COUNTIFS('KG1-5'!$AD31:$IM31,"غياب بدون عذر",'KG1-5'!$AD$7:$IM$7,"✓",'KG1-5'!$AD$5:$IM$5,"&lt;="&amp;D2851))</f>
        <v/>
      </c>
      <c r="G2851">
        <f>G2850+IF(D2851="",0,1)</f>
        <v/>
      </c>
    </row>
    <row r="2852">
      <c r="A2852">
        <f>IF('KG1-5'!$B31="","",'KG1-5'!$B31)</f>
        <v/>
      </c>
      <c r="B2852">
        <f>IF(A2852="","",'KG1-5'!$C31)</f>
        <v/>
      </c>
      <c r="C2852">
        <f>IF(A2852="","",'KG1-5'!$B$2)</f>
        <v/>
      </c>
      <c r="D2852" s="126">
        <f t="array" ref="D2852">IF(A2852="","",IFERROR(SMALL(IF((('KG1-5'!$AD31:$IM31="غياب بدون عذر")+('KG1-5'!$AD31:$IM31="غياب بعذر"))*('KG1-5'!$AD$7:$IM$7="✓"),'KG1-5'!$AD$5:$IM$5),11),""))</f>
        <v/>
      </c>
      <c r="E2852">
        <f>IF(D2852="","",INDEX('KG1-5'!$AD31:$IM31,MATCH(D2852,'KG1-5'!$AD$5:$IM$5,0)))</f>
        <v/>
      </c>
      <c r="F2852">
        <f>IF(D2852="","",COUNTIFS('KG1-5'!$AD31:$IM31,"غياب بدون عذر",'KG1-5'!$AD$7:$IM$7,"✓",'KG1-5'!$AD$5:$IM$5,"&lt;="&amp;D2852))</f>
        <v/>
      </c>
      <c r="G2852">
        <f>G2851+IF(D2852="",0,1)</f>
        <v/>
      </c>
    </row>
    <row r="2853">
      <c r="A2853">
        <f>IF('KG1-5'!$B31="","",'KG1-5'!$B31)</f>
        <v/>
      </c>
      <c r="B2853">
        <f>IF(A2853="","",'KG1-5'!$C31)</f>
        <v/>
      </c>
      <c r="C2853">
        <f>IF(A2853="","",'KG1-5'!$B$2)</f>
        <v/>
      </c>
      <c r="D2853" s="126">
        <f t="array" ref="D2853">IF(A2853="","",IFERROR(SMALL(IF((('KG1-5'!$AD31:$IM31="غياب بدون عذر")+('KG1-5'!$AD31:$IM31="غياب بعذر"))*('KG1-5'!$AD$7:$IM$7="✓"),'KG1-5'!$AD$5:$IM$5),12),""))</f>
        <v/>
      </c>
      <c r="E2853">
        <f>IF(D2853="","",INDEX('KG1-5'!$AD31:$IM31,MATCH(D2853,'KG1-5'!$AD$5:$IM$5,0)))</f>
        <v/>
      </c>
      <c r="F2853">
        <f>IF(D2853="","",COUNTIFS('KG1-5'!$AD31:$IM31,"غياب بدون عذر",'KG1-5'!$AD$7:$IM$7,"✓",'KG1-5'!$AD$5:$IM$5,"&lt;="&amp;D2853))</f>
        <v/>
      </c>
      <c r="G2853">
        <f>G2852+IF(D2853="",0,1)</f>
        <v/>
      </c>
    </row>
    <row r="2854">
      <c r="A2854">
        <f>IF('KG1-5'!$B31="","",'KG1-5'!$B31)</f>
        <v/>
      </c>
      <c r="B2854">
        <f>IF(A2854="","",'KG1-5'!$C31)</f>
        <v/>
      </c>
      <c r="C2854">
        <f>IF(A2854="","",'KG1-5'!$B$2)</f>
        <v/>
      </c>
      <c r="D2854" s="126">
        <f t="array" ref="D2854">IF(A2854="","",IFERROR(SMALL(IF((('KG1-5'!$AD31:$IM31="غياب بدون عذر")+('KG1-5'!$AD31:$IM31="غياب بعذر"))*('KG1-5'!$AD$7:$IM$7="✓"),'KG1-5'!$AD$5:$IM$5),13),""))</f>
        <v/>
      </c>
      <c r="E2854">
        <f>IF(D2854="","",INDEX('KG1-5'!$AD31:$IM31,MATCH(D2854,'KG1-5'!$AD$5:$IM$5,0)))</f>
        <v/>
      </c>
      <c r="F2854">
        <f>IF(D2854="","",COUNTIFS('KG1-5'!$AD31:$IM31,"غياب بدون عذر",'KG1-5'!$AD$7:$IM$7,"✓",'KG1-5'!$AD$5:$IM$5,"&lt;="&amp;D2854))</f>
        <v/>
      </c>
      <c r="G2854">
        <f>G2853+IF(D2854="",0,1)</f>
        <v/>
      </c>
    </row>
    <row r="2855">
      <c r="A2855">
        <f>IF('KG1-5'!$B31="","",'KG1-5'!$B31)</f>
        <v/>
      </c>
      <c r="B2855">
        <f>IF(A2855="","",'KG1-5'!$C31)</f>
        <v/>
      </c>
      <c r="C2855">
        <f>IF(A2855="","",'KG1-5'!$B$2)</f>
        <v/>
      </c>
      <c r="D2855" s="126">
        <f t="array" ref="D2855">IF(A2855="","",IFERROR(SMALL(IF((('KG1-5'!$AD31:$IM31="غياب بدون عذر")+('KG1-5'!$AD31:$IM31="غياب بعذر"))*('KG1-5'!$AD$7:$IM$7="✓"),'KG1-5'!$AD$5:$IM$5),14),""))</f>
        <v/>
      </c>
      <c r="E2855">
        <f>IF(D2855="","",INDEX('KG1-5'!$AD31:$IM31,MATCH(D2855,'KG1-5'!$AD$5:$IM$5,0)))</f>
        <v/>
      </c>
      <c r="F2855">
        <f>IF(D2855="","",COUNTIFS('KG1-5'!$AD31:$IM31,"غياب بدون عذر",'KG1-5'!$AD$7:$IM$7,"✓",'KG1-5'!$AD$5:$IM$5,"&lt;="&amp;D2855))</f>
        <v/>
      </c>
      <c r="G2855">
        <f>G2854+IF(D2855="",0,1)</f>
        <v/>
      </c>
    </row>
    <row r="2856">
      <c r="A2856">
        <f>IF('KG1-5'!$B31="","",'KG1-5'!$B31)</f>
        <v/>
      </c>
      <c r="B2856">
        <f>IF(A2856="","",'KG1-5'!$C31)</f>
        <v/>
      </c>
      <c r="C2856">
        <f>IF(A2856="","",'KG1-5'!$B$2)</f>
        <v/>
      </c>
      <c r="D2856" s="126">
        <f t="array" ref="D2856">IF(A2856="","",IFERROR(SMALL(IF((('KG1-5'!$AD31:$IM31="غياب بدون عذر")+('KG1-5'!$AD31:$IM31="غياب بعذر"))*('KG1-5'!$AD$7:$IM$7="✓"),'KG1-5'!$AD$5:$IM$5),15),""))</f>
        <v/>
      </c>
      <c r="E2856">
        <f>IF(D2856="","",INDEX('KG1-5'!$AD31:$IM31,MATCH(D2856,'KG1-5'!$AD$5:$IM$5,0)))</f>
        <v/>
      </c>
      <c r="F2856">
        <f>IF(D2856="","",COUNTIFS('KG1-5'!$AD31:$IM31,"غياب بدون عذر",'KG1-5'!$AD$7:$IM$7,"✓",'KG1-5'!$AD$5:$IM$5,"&lt;="&amp;D2856))</f>
        <v/>
      </c>
      <c r="G2856">
        <f>G2855+IF(D2856="",0,1)</f>
        <v/>
      </c>
    </row>
    <row r="2857">
      <c r="A2857">
        <f>IF('KG1-5'!$B31="","",'KG1-5'!$B31)</f>
        <v/>
      </c>
      <c r="B2857">
        <f>IF(A2857="","",'KG1-5'!$C31)</f>
        <v/>
      </c>
      <c r="C2857">
        <f>IF(A2857="","",'KG1-5'!$B$2)</f>
        <v/>
      </c>
      <c r="D2857" s="126">
        <f t="array" ref="D2857">IF(A2857="","",IFERROR(SMALL(IF((('KG1-5'!$AD31:$IM31="غياب بدون عذر")+('KG1-5'!$AD31:$IM31="غياب بعذر"))*('KG1-5'!$AD$7:$IM$7="✓"),'KG1-5'!$AD$5:$IM$5),16),""))</f>
        <v/>
      </c>
      <c r="E2857">
        <f>IF(D2857="","",INDEX('KG1-5'!$AD31:$IM31,MATCH(D2857,'KG1-5'!$AD$5:$IM$5,0)))</f>
        <v/>
      </c>
      <c r="F2857">
        <f>IF(D2857="","",COUNTIFS('KG1-5'!$AD31:$IM31,"غياب بدون عذر",'KG1-5'!$AD$7:$IM$7,"✓",'KG1-5'!$AD$5:$IM$5,"&lt;="&amp;D2857))</f>
        <v/>
      </c>
      <c r="G2857">
        <f>G2856+IF(D2857="",0,1)</f>
        <v/>
      </c>
    </row>
    <row r="2858">
      <c r="A2858">
        <f>IF('KG1-5'!$B31="","",'KG1-5'!$B31)</f>
        <v/>
      </c>
      <c r="B2858">
        <f>IF(A2858="","",'KG1-5'!$C31)</f>
        <v/>
      </c>
      <c r="C2858">
        <f>IF(A2858="","",'KG1-5'!$B$2)</f>
        <v/>
      </c>
      <c r="D2858" s="126">
        <f t="array" ref="D2858">IF(A2858="","",IFERROR(SMALL(IF((('KG1-5'!$AD31:$IM31="غياب بدون عذر")+('KG1-5'!$AD31:$IM31="غياب بعذر"))*('KG1-5'!$AD$7:$IM$7="✓"),'KG1-5'!$AD$5:$IM$5),17),""))</f>
        <v/>
      </c>
      <c r="E2858">
        <f>IF(D2858="","",INDEX('KG1-5'!$AD31:$IM31,MATCH(D2858,'KG1-5'!$AD$5:$IM$5,0)))</f>
        <v/>
      </c>
      <c r="F2858">
        <f>IF(D2858="","",COUNTIFS('KG1-5'!$AD31:$IM31,"غياب بدون عذر",'KG1-5'!$AD$7:$IM$7,"✓",'KG1-5'!$AD$5:$IM$5,"&lt;="&amp;D2858))</f>
        <v/>
      </c>
      <c r="G2858">
        <f>G2857+IF(D2858="",0,1)</f>
        <v/>
      </c>
    </row>
    <row r="2859">
      <c r="A2859">
        <f>IF('KG1-5'!$B31="","",'KG1-5'!$B31)</f>
        <v/>
      </c>
      <c r="B2859">
        <f>IF(A2859="","",'KG1-5'!$C31)</f>
        <v/>
      </c>
      <c r="C2859">
        <f>IF(A2859="","",'KG1-5'!$B$2)</f>
        <v/>
      </c>
      <c r="D2859" s="126">
        <f t="array" ref="D2859">IF(A2859="","",IFERROR(SMALL(IF((('KG1-5'!$AD31:$IM31="غياب بدون عذر")+('KG1-5'!$AD31:$IM31="غياب بعذر"))*('KG1-5'!$AD$7:$IM$7="✓"),'KG1-5'!$AD$5:$IM$5),18),""))</f>
        <v/>
      </c>
      <c r="E2859">
        <f>IF(D2859="","",INDEX('KG1-5'!$AD31:$IM31,MATCH(D2859,'KG1-5'!$AD$5:$IM$5,0)))</f>
        <v/>
      </c>
      <c r="F2859">
        <f>IF(D2859="","",COUNTIFS('KG1-5'!$AD31:$IM31,"غياب بدون عذر",'KG1-5'!$AD$7:$IM$7,"✓",'KG1-5'!$AD$5:$IM$5,"&lt;="&amp;D2859))</f>
        <v/>
      </c>
      <c r="G2859">
        <f>G2858+IF(D2859="",0,1)</f>
        <v/>
      </c>
    </row>
    <row r="2860">
      <c r="A2860">
        <f>IF('KG1-5'!$B31="","",'KG1-5'!$B31)</f>
        <v/>
      </c>
      <c r="B2860">
        <f>IF(A2860="","",'KG1-5'!$C31)</f>
        <v/>
      </c>
      <c r="C2860">
        <f>IF(A2860="","",'KG1-5'!$B$2)</f>
        <v/>
      </c>
      <c r="D2860" s="126">
        <f t="array" ref="D2860">IF(A2860="","",IFERROR(SMALL(IF((('KG1-5'!$AD31:$IM31="غياب بدون عذر")+('KG1-5'!$AD31:$IM31="غياب بعذر"))*('KG1-5'!$AD$7:$IM$7="✓"),'KG1-5'!$AD$5:$IM$5),19),""))</f>
        <v/>
      </c>
      <c r="E2860">
        <f>IF(D2860="","",INDEX('KG1-5'!$AD31:$IM31,MATCH(D2860,'KG1-5'!$AD$5:$IM$5,0)))</f>
        <v/>
      </c>
      <c r="F2860">
        <f>IF(D2860="","",COUNTIFS('KG1-5'!$AD31:$IM31,"غياب بدون عذر",'KG1-5'!$AD$7:$IM$7,"✓",'KG1-5'!$AD$5:$IM$5,"&lt;="&amp;D2860))</f>
        <v/>
      </c>
      <c r="G2860">
        <f>G2859+IF(D2860="",0,1)</f>
        <v/>
      </c>
    </row>
    <row r="2861">
      <c r="A2861">
        <f>IF('KG1-5'!$B31="","",'KG1-5'!$B31)</f>
        <v/>
      </c>
      <c r="B2861">
        <f>IF(A2861="","",'KG1-5'!$C31)</f>
        <v/>
      </c>
      <c r="C2861">
        <f>IF(A2861="","",'KG1-5'!$B$2)</f>
        <v/>
      </c>
      <c r="D2861" s="126">
        <f t="array" ref="D2861">IF(A2861="","",IFERROR(SMALL(IF((('KG1-5'!$AD31:$IM31="غياب بدون عذر")+('KG1-5'!$AD31:$IM31="غياب بعذر"))*('KG1-5'!$AD$7:$IM$7="✓"),'KG1-5'!$AD$5:$IM$5),20),""))</f>
        <v/>
      </c>
      <c r="E2861">
        <f>IF(D2861="","",INDEX('KG1-5'!$AD31:$IM31,MATCH(D2861,'KG1-5'!$AD$5:$IM$5,0)))</f>
        <v/>
      </c>
      <c r="F2861">
        <f>IF(D2861="","",COUNTIFS('KG1-5'!$AD31:$IM31,"غياب بدون عذر",'KG1-5'!$AD$7:$IM$7,"✓",'KG1-5'!$AD$5:$IM$5,"&lt;="&amp;D2861))</f>
        <v/>
      </c>
      <c r="G2861">
        <f>G2860+IF(D2861="",0,1)</f>
        <v/>
      </c>
    </row>
    <row r="2862">
      <c r="A2862">
        <f>IF('KG1-5'!$B32="","",'KG1-5'!$B32)</f>
        <v/>
      </c>
      <c r="B2862">
        <f>IF(A2862="","",'KG1-5'!$C32)</f>
        <v/>
      </c>
      <c r="C2862">
        <f>IF(A2862="","",'KG1-5'!$B$2)</f>
        <v/>
      </c>
      <c r="D2862" s="126">
        <f t="array" ref="D2862">IF(A2862="","",IFERROR(SMALL(IF((('KG1-5'!$AD32:$IM32="غياب بدون عذر")+('KG1-5'!$AD32:$IM32="غياب بعذر"))*('KG1-5'!$AD$7:$IM$7="✓"),'KG1-5'!$AD$5:$IM$5),1),""))</f>
        <v/>
      </c>
      <c r="E2862">
        <f>IF(D2862="","",INDEX('KG1-5'!$AD32:$IM32,MATCH(D2862,'KG1-5'!$AD$5:$IM$5,0)))</f>
        <v/>
      </c>
      <c r="F2862">
        <f>IF(D2862="","",COUNTIFS('KG1-5'!$AD32:$IM32,"غياب بدون عذر",'KG1-5'!$AD$7:$IM$7,"✓",'KG1-5'!$AD$5:$IM$5,"&lt;="&amp;D2862))</f>
        <v/>
      </c>
      <c r="G2862">
        <f>G2861+IF(D2862="",0,1)</f>
        <v/>
      </c>
    </row>
    <row r="2863">
      <c r="A2863">
        <f>IF('KG1-5'!$B32="","",'KG1-5'!$B32)</f>
        <v/>
      </c>
      <c r="B2863">
        <f>IF(A2863="","",'KG1-5'!$C32)</f>
        <v/>
      </c>
      <c r="C2863">
        <f>IF(A2863="","",'KG1-5'!$B$2)</f>
        <v/>
      </c>
      <c r="D2863" s="126">
        <f t="array" ref="D2863">IF(A2863="","",IFERROR(SMALL(IF((('KG1-5'!$AD32:$IM32="غياب بدون عذر")+('KG1-5'!$AD32:$IM32="غياب بعذر"))*('KG1-5'!$AD$7:$IM$7="✓"),'KG1-5'!$AD$5:$IM$5),2),""))</f>
        <v/>
      </c>
      <c r="E2863">
        <f>IF(D2863="","",INDEX('KG1-5'!$AD32:$IM32,MATCH(D2863,'KG1-5'!$AD$5:$IM$5,0)))</f>
        <v/>
      </c>
      <c r="F2863">
        <f>IF(D2863="","",COUNTIFS('KG1-5'!$AD32:$IM32,"غياب بدون عذر",'KG1-5'!$AD$7:$IM$7,"✓",'KG1-5'!$AD$5:$IM$5,"&lt;="&amp;D2863))</f>
        <v/>
      </c>
      <c r="G2863">
        <f>G2862+IF(D2863="",0,1)</f>
        <v/>
      </c>
    </row>
    <row r="2864">
      <c r="A2864">
        <f>IF('KG1-5'!$B32="","",'KG1-5'!$B32)</f>
        <v/>
      </c>
      <c r="B2864">
        <f>IF(A2864="","",'KG1-5'!$C32)</f>
        <v/>
      </c>
      <c r="C2864">
        <f>IF(A2864="","",'KG1-5'!$B$2)</f>
        <v/>
      </c>
      <c r="D2864" s="126">
        <f t="array" ref="D2864">IF(A2864="","",IFERROR(SMALL(IF((('KG1-5'!$AD32:$IM32="غياب بدون عذر")+('KG1-5'!$AD32:$IM32="غياب بعذر"))*('KG1-5'!$AD$7:$IM$7="✓"),'KG1-5'!$AD$5:$IM$5),3),""))</f>
        <v/>
      </c>
      <c r="E2864">
        <f>IF(D2864="","",INDEX('KG1-5'!$AD32:$IM32,MATCH(D2864,'KG1-5'!$AD$5:$IM$5,0)))</f>
        <v/>
      </c>
      <c r="F2864">
        <f>IF(D2864="","",COUNTIFS('KG1-5'!$AD32:$IM32,"غياب بدون عذر",'KG1-5'!$AD$7:$IM$7,"✓",'KG1-5'!$AD$5:$IM$5,"&lt;="&amp;D2864))</f>
        <v/>
      </c>
      <c r="G2864">
        <f>G2863+IF(D2864="",0,1)</f>
        <v/>
      </c>
    </row>
    <row r="2865">
      <c r="A2865">
        <f>IF('KG1-5'!$B32="","",'KG1-5'!$B32)</f>
        <v/>
      </c>
      <c r="B2865">
        <f>IF(A2865="","",'KG1-5'!$C32)</f>
        <v/>
      </c>
      <c r="C2865">
        <f>IF(A2865="","",'KG1-5'!$B$2)</f>
        <v/>
      </c>
      <c r="D2865" s="126">
        <f t="array" ref="D2865">IF(A2865="","",IFERROR(SMALL(IF((('KG1-5'!$AD32:$IM32="غياب بدون عذر")+('KG1-5'!$AD32:$IM32="غياب بعذر"))*('KG1-5'!$AD$7:$IM$7="✓"),'KG1-5'!$AD$5:$IM$5),4),""))</f>
        <v/>
      </c>
      <c r="E2865">
        <f>IF(D2865="","",INDEX('KG1-5'!$AD32:$IM32,MATCH(D2865,'KG1-5'!$AD$5:$IM$5,0)))</f>
        <v/>
      </c>
      <c r="F2865">
        <f>IF(D2865="","",COUNTIFS('KG1-5'!$AD32:$IM32,"غياب بدون عذر",'KG1-5'!$AD$7:$IM$7,"✓",'KG1-5'!$AD$5:$IM$5,"&lt;="&amp;D2865))</f>
        <v/>
      </c>
      <c r="G2865">
        <f>G2864+IF(D2865="",0,1)</f>
        <v/>
      </c>
    </row>
    <row r="2866">
      <c r="A2866">
        <f>IF('KG1-5'!$B32="","",'KG1-5'!$B32)</f>
        <v/>
      </c>
      <c r="B2866">
        <f>IF(A2866="","",'KG1-5'!$C32)</f>
        <v/>
      </c>
      <c r="C2866">
        <f>IF(A2866="","",'KG1-5'!$B$2)</f>
        <v/>
      </c>
      <c r="D2866" s="126">
        <f t="array" ref="D2866">IF(A2866="","",IFERROR(SMALL(IF((('KG1-5'!$AD32:$IM32="غياب بدون عذر")+('KG1-5'!$AD32:$IM32="غياب بعذر"))*('KG1-5'!$AD$7:$IM$7="✓"),'KG1-5'!$AD$5:$IM$5),5),""))</f>
        <v/>
      </c>
      <c r="E2866">
        <f>IF(D2866="","",INDEX('KG1-5'!$AD32:$IM32,MATCH(D2866,'KG1-5'!$AD$5:$IM$5,0)))</f>
        <v/>
      </c>
      <c r="F2866">
        <f>IF(D2866="","",COUNTIFS('KG1-5'!$AD32:$IM32,"غياب بدون عذر",'KG1-5'!$AD$7:$IM$7,"✓",'KG1-5'!$AD$5:$IM$5,"&lt;="&amp;D2866))</f>
        <v/>
      </c>
      <c r="G2866">
        <f>G2865+IF(D2866="",0,1)</f>
        <v/>
      </c>
    </row>
    <row r="2867">
      <c r="A2867">
        <f>IF('KG1-5'!$B32="","",'KG1-5'!$B32)</f>
        <v/>
      </c>
      <c r="B2867">
        <f>IF(A2867="","",'KG1-5'!$C32)</f>
        <v/>
      </c>
      <c r="C2867">
        <f>IF(A2867="","",'KG1-5'!$B$2)</f>
        <v/>
      </c>
      <c r="D2867" s="126">
        <f t="array" ref="D2867">IF(A2867="","",IFERROR(SMALL(IF((('KG1-5'!$AD32:$IM32="غياب بدون عذر")+('KG1-5'!$AD32:$IM32="غياب بعذر"))*('KG1-5'!$AD$7:$IM$7="✓"),'KG1-5'!$AD$5:$IM$5),6),""))</f>
        <v/>
      </c>
      <c r="E2867">
        <f>IF(D2867="","",INDEX('KG1-5'!$AD32:$IM32,MATCH(D2867,'KG1-5'!$AD$5:$IM$5,0)))</f>
        <v/>
      </c>
      <c r="F2867">
        <f>IF(D2867="","",COUNTIFS('KG1-5'!$AD32:$IM32,"غياب بدون عذر",'KG1-5'!$AD$7:$IM$7,"✓",'KG1-5'!$AD$5:$IM$5,"&lt;="&amp;D2867))</f>
        <v/>
      </c>
      <c r="G2867">
        <f>G2866+IF(D2867="",0,1)</f>
        <v/>
      </c>
    </row>
    <row r="2868">
      <c r="A2868">
        <f>IF('KG1-5'!$B32="","",'KG1-5'!$B32)</f>
        <v/>
      </c>
      <c r="B2868">
        <f>IF(A2868="","",'KG1-5'!$C32)</f>
        <v/>
      </c>
      <c r="C2868">
        <f>IF(A2868="","",'KG1-5'!$B$2)</f>
        <v/>
      </c>
      <c r="D2868" s="126">
        <f t="array" ref="D2868">IF(A2868="","",IFERROR(SMALL(IF((('KG1-5'!$AD32:$IM32="غياب بدون عذر")+('KG1-5'!$AD32:$IM32="غياب بعذر"))*('KG1-5'!$AD$7:$IM$7="✓"),'KG1-5'!$AD$5:$IM$5),7),""))</f>
        <v/>
      </c>
      <c r="E2868">
        <f>IF(D2868="","",INDEX('KG1-5'!$AD32:$IM32,MATCH(D2868,'KG1-5'!$AD$5:$IM$5,0)))</f>
        <v/>
      </c>
      <c r="F2868">
        <f>IF(D2868="","",COUNTIFS('KG1-5'!$AD32:$IM32,"غياب بدون عذر",'KG1-5'!$AD$7:$IM$7,"✓",'KG1-5'!$AD$5:$IM$5,"&lt;="&amp;D2868))</f>
        <v/>
      </c>
      <c r="G2868">
        <f>G2867+IF(D2868="",0,1)</f>
        <v/>
      </c>
    </row>
    <row r="2869">
      <c r="A2869">
        <f>IF('KG1-5'!$B32="","",'KG1-5'!$B32)</f>
        <v/>
      </c>
      <c r="B2869">
        <f>IF(A2869="","",'KG1-5'!$C32)</f>
        <v/>
      </c>
      <c r="C2869">
        <f>IF(A2869="","",'KG1-5'!$B$2)</f>
        <v/>
      </c>
      <c r="D2869" s="126">
        <f t="array" ref="D2869">IF(A2869="","",IFERROR(SMALL(IF((('KG1-5'!$AD32:$IM32="غياب بدون عذر")+('KG1-5'!$AD32:$IM32="غياب بعذر"))*('KG1-5'!$AD$7:$IM$7="✓"),'KG1-5'!$AD$5:$IM$5),8),""))</f>
        <v/>
      </c>
      <c r="E2869">
        <f>IF(D2869="","",INDEX('KG1-5'!$AD32:$IM32,MATCH(D2869,'KG1-5'!$AD$5:$IM$5,0)))</f>
        <v/>
      </c>
      <c r="F2869">
        <f>IF(D2869="","",COUNTIFS('KG1-5'!$AD32:$IM32,"غياب بدون عذر",'KG1-5'!$AD$7:$IM$7,"✓",'KG1-5'!$AD$5:$IM$5,"&lt;="&amp;D2869))</f>
        <v/>
      </c>
      <c r="G2869">
        <f>G2868+IF(D2869="",0,1)</f>
        <v/>
      </c>
    </row>
    <row r="2870">
      <c r="A2870">
        <f>IF('KG1-5'!$B32="","",'KG1-5'!$B32)</f>
        <v/>
      </c>
      <c r="B2870">
        <f>IF(A2870="","",'KG1-5'!$C32)</f>
        <v/>
      </c>
      <c r="C2870">
        <f>IF(A2870="","",'KG1-5'!$B$2)</f>
        <v/>
      </c>
      <c r="D2870" s="126">
        <f t="array" ref="D2870">IF(A2870="","",IFERROR(SMALL(IF((('KG1-5'!$AD32:$IM32="غياب بدون عذر")+('KG1-5'!$AD32:$IM32="غياب بعذر"))*('KG1-5'!$AD$7:$IM$7="✓"),'KG1-5'!$AD$5:$IM$5),9),""))</f>
        <v/>
      </c>
      <c r="E2870">
        <f>IF(D2870="","",INDEX('KG1-5'!$AD32:$IM32,MATCH(D2870,'KG1-5'!$AD$5:$IM$5,0)))</f>
        <v/>
      </c>
      <c r="F2870">
        <f>IF(D2870="","",COUNTIFS('KG1-5'!$AD32:$IM32,"غياب بدون عذر",'KG1-5'!$AD$7:$IM$7,"✓",'KG1-5'!$AD$5:$IM$5,"&lt;="&amp;D2870))</f>
        <v/>
      </c>
      <c r="G2870">
        <f>G2869+IF(D2870="",0,1)</f>
        <v/>
      </c>
    </row>
    <row r="2871">
      <c r="A2871">
        <f>IF('KG1-5'!$B32="","",'KG1-5'!$B32)</f>
        <v/>
      </c>
      <c r="B2871">
        <f>IF(A2871="","",'KG1-5'!$C32)</f>
        <v/>
      </c>
      <c r="C2871">
        <f>IF(A2871="","",'KG1-5'!$B$2)</f>
        <v/>
      </c>
      <c r="D2871" s="126">
        <f t="array" ref="D2871">IF(A2871="","",IFERROR(SMALL(IF((('KG1-5'!$AD32:$IM32="غياب بدون عذر")+('KG1-5'!$AD32:$IM32="غياب بعذر"))*('KG1-5'!$AD$7:$IM$7="✓"),'KG1-5'!$AD$5:$IM$5),10),""))</f>
        <v/>
      </c>
      <c r="E2871">
        <f>IF(D2871="","",INDEX('KG1-5'!$AD32:$IM32,MATCH(D2871,'KG1-5'!$AD$5:$IM$5,0)))</f>
        <v/>
      </c>
      <c r="F2871">
        <f>IF(D2871="","",COUNTIFS('KG1-5'!$AD32:$IM32,"غياب بدون عذر",'KG1-5'!$AD$7:$IM$7,"✓",'KG1-5'!$AD$5:$IM$5,"&lt;="&amp;D2871))</f>
        <v/>
      </c>
      <c r="G2871">
        <f>G2870+IF(D2871="",0,1)</f>
        <v/>
      </c>
    </row>
    <row r="2872">
      <c r="A2872">
        <f>IF('KG1-5'!$B32="","",'KG1-5'!$B32)</f>
        <v/>
      </c>
      <c r="B2872">
        <f>IF(A2872="","",'KG1-5'!$C32)</f>
        <v/>
      </c>
      <c r="C2872">
        <f>IF(A2872="","",'KG1-5'!$B$2)</f>
        <v/>
      </c>
      <c r="D2872" s="126">
        <f t="array" ref="D2872">IF(A2872="","",IFERROR(SMALL(IF((('KG1-5'!$AD32:$IM32="غياب بدون عذر")+('KG1-5'!$AD32:$IM32="غياب بعذر"))*('KG1-5'!$AD$7:$IM$7="✓"),'KG1-5'!$AD$5:$IM$5),11),""))</f>
        <v/>
      </c>
      <c r="E2872">
        <f>IF(D2872="","",INDEX('KG1-5'!$AD32:$IM32,MATCH(D2872,'KG1-5'!$AD$5:$IM$5,0)))</f>
        <v/>
      </c>
      <c r="F2872">
        <f>IF(D2872="","",COUNTIFS('KG1-5'!$AD32:$IM32,"غياب بدون عذر",'KG1-5'!$AD$7:$IM$7,"✓",'KG1-5'!$AD$5:$IM$5,"&lt;="&amp;D2872))</f>
        <v/>
      </c>
      <c r="G2872">
        <f>G2871+IF(D2872="",0,1)</f>
        <v/>
      </c>
    </row>
    <row r="2873">
      <c r="A2873">
        <f>IF('KG1-5'!$B32="","",'KG1-5'!$B32)</f>
        <v/>
      </c>
      <c r="B2873">
        <f>IF(A2873="","",'KG1-5'!$C32)</f>
        <v/>
      </c>
      <c r="C2873">
        <f>IF(A2873="","",'KG1-5'!$B$2)</f>
        <v/>
      </c>
      <c r="D2873" s="126">
        <f t="array" ref="D2873">IF(A2873="","",IFERROR(SMALL(IF((('KG1-5'!$AD32:$IM32="غياب بدون عذر")+('KG1-5'!$AD32:$IM32="غياب بعذر"))*('KG1-5'!$AD$7:$IM$7="✓"),'KG1-5'!$AD$5:$IM$5),12),""))</f>
        <v/>
      </c>
      <c r="E2873">
        <f>IF(D2873="","",INDEX('KG1-5'!$AD32:$IM32,MATCH(D2873,'KG1-5'!$AD$5:$IM$5,0)))</f>
        <v/>
      </c>
      <c r="F2873">
        <f>IF(D2873="","",COUNTIFS('KG1-5'!$AD32:$IM32,"غياب بدون عذر",'KG1-5'!$AD$7:$IM$7,"✓",'KG1-5'!$AD$5:$IM$5,"&lt;="&amp;D2873))</f>
        <v/>
      </c>
      <c r="G2873">
        <f>G2872+IF(D2873="",0,1)</f>
        <v/>
      </c>
    </row>
    <row r="2874">
      <c r="A2874">
        <f>IF('KG1-5'!$B32="","",'KG1-5'!$B32)</f>
        <v/>
      </c>
      <c r="B2874">
        <f>IF(A2874="","",'KG1-5'!$C32)</f>
        <v/>
      </c>
      <c r="C2874">
        <f>IF(A2874="","",'KG1-5'!$B$2)</f>
        <v/>
      </c>
      <c r="D2874" s="126">
        <f t="array" ref="D2874">IF(A2874="","",IFERROR(SMALL(IF((('KG1-5'!$AD32:$IM32="غياب بدون عذر")+('KG1-5'!$AD32:$IM32="غياب بعذر"))*('KG1-5'!$AD$7:$IM$7="✓"),'KG1-5'!$AD$5:$IM$5),13),""))</f>
        <v/>
      </c>
      <c r="E2874">
        <f>IF(D2874="","",INDEX('KG1-5'!$AD32:$IM32,MATCH(D2874,'KG1-5'!$AD$5:$IM$5,0)))</f>
        <v/>
      </c>
      <c r="F2874">
        <f>IF(D2874="","",COUNTIFS('KG1-5'!$AD32:$IM32,"غياب بدون عذر",'KG1-5'!$AD$7:$IM$7,"✓",'KG1-5'!$AD$5:$IM$5,"&lt;="&amp;D2874))</f>
        <v/>
      </c>
      <c r="G2874">
        <f>G2873+IF(D2874="",0,1)</f>
        <v/>
      </c>
    </row>
    <row r="2875">
      <c r="A2875">
        <f>IF('KG1-5'!$B32="","",'KG1-5'!$B32)</f>
        <v/>
      </c>
      <c r="B2875">
        <f>IF(A2875="","",'KG1-5'!$C32)</f>
        <v/>
      </c>
      <c r="C2875">
        <f>IF(A2875="","",'KG1-5'!$B$2)</f>
        <v/>
      </c>
      <c r="D2875" s="126">
        <f t="array" ref="D2875">IF(A2875="","",IFERROR(SMALL(IF((('KG1-5'!$AD32:$IM32="غياب بدون عذر")+('KG1-5'!$AD32:$IM32="غياب بعذر"))*('KG1-5'!$AD$7:$IM$7="✓"),'KG1-5'!$AD$5:$IM$5),14),""))</f>
        <v/>
      </c>
      <c r="E2875">
        <f>IF(D2875="","",INDEX('KG1-5'!$AD32:$IM32,MATCH(D2875,'KG1-5'!$AD$5:$IM$5,0)))</f>
        <v/>
      </c>
      <c r="F2875">
        <f>IF(D2875="","",COUNTIFS('KG1-5'!$AD32:$IM32,"غياب بدون عذر",'KG1-5'!$AD$7:$IM$7,"✓",'KG1-5'!$AD$5:$IM$5,"&lt;="&amp;D2875))</f>
        <v/>
      </c>
      <c r="G2875">
        <f>G2874+IF(D2875="",0,1)</f>
        <v/>
      </c>
    </row>
    <row r="2876">
      <c r="A2876">
        <f>IF('KG1-5'!$B32="","",'KG1-5'!$B32)</f>
        <v/>
      </c>
      <c r="B2876">
        <f>IF(A2876="","",'KG1-5'!$C32)</f>
        <v/>
      </c>
      <c r="C2876">
        <f>IF(A2876="","",'KG1-5'!$B$2)</f>
        <v/>
      </c>
      <c r="D2876" s="126">
        <f t="array" ref="D2876">IF(A2876="","",IFERROR(SMALL(IF((('KG1-5'!$AD32:$IM32="غياب بدون عذر")+('KG1-5'!$AD32:$IM32="غياب بعذر"))*('KG1-5'!$AD$7:$IM$7="✓"),'KG1-5'!$AD$5:$IM$5),15),""))</f>
        <v/>
      </c>
      <c r="E2876">
        <f>IF(D2876="","",INDEX('KG1-5'!$AD32:$IM32,MATCH(D2876,'KG1-5'!$AD$5:$IM$5,0)))</f>
        <v/>
      </c>
      <c r="F2876">
        <f>IF(D2876="","",COUNTIFS('KG1-5'!$AD32:$IM32,"غياب بدون عذر",'KG1-5'!$AD$7:$IM$7,"✓",'KG1-5'!$AD$5:$IM$5,"&lt;="&amp;D2876))</f>
        <v/>
      </c>
      <c r="G2876">
        <f>G2875+IF(D2876="",0,1)</f>
        <v/>
      </c>
    </row>
    <row r="2877">
      <c r="A2877">
        <f>IF('KG1-5'!$B32="","",'KG1-5'!$B32)</f>
        <v/>
      </c>
      <c r="B2877">
        <f>IF(A2877="","",'KG1-5'!$C32)</f>
        <v/>
      </c>
      <c r="C2877">
        <f>IF(A2877="","",'KG1-5'!$B$2)</f>
        <v/>
      </c>
      <c r="D2877" s="126">
        <f t="array" ref="D2877">IF(A2877="","",IFERROR(SMALL(IF((('KG1-5'!$AD32:$IM32="غياب بدون عذر")+('KG1-5'!$AD32:$IM32="غياب بعذر"))*('KG1-5'!$AD$7:$IM$7="✓"),'KG1-5'!$AD$5:$IM$5),16),""))</f>
        <v/>
      </c>
      <c r="E2877">
        <f>IF(D2877="","",INDEX('KG1-5'!$AD32:$IM32,MATCH(D2877,'KG1-5'!$AD$5:$IM$5,0)))</f>
        <v/>
      </c>
      <c r="F2877">
        <f>IF(D2877="","",COUNTIFS('KG1-5'!$AD32:$IM32,"غياب بدون عذر",'KG1-5'!$AD$7:$IM$7,"✓",'KG1-5'!$AD$5:$IM$5,"&lt;="&amp;D2877))</f>
        <v/>
      </c>
      <c r="G2877">
        <f>G2876+IF(D2877="",0,1)</f>
        <v/>
      </c>
    </row>
    <row r="2878">
      <c r="A2878">
        <f>IF('KG1-5'!$B32="","",'KG1-5'!$B32)</f>
        <v/>
      </c>
      <c r="B2878">
        <f>IF(A2878="","",'KG1-5'!$C32)</f>
        <v/>
      </c>
      <c r="C2878">
        <f>IF(A2878="","",'KG1-5'!$B$2)</f>
        <v/>
      </c>
      <c r="D2878" s="126">
        <f t="array" ref="D2878">IF(A2878="","",IFERROR(SMALL(IF((('KG1-5'!$AD32:$IM32="غياب بدون عذر")+('KG1-5'!$AD32:$IM32="غياب بعذر"))*('KG1-5'!$AD$7:$IM$7="✓"),'KG1-5'!$AD$5:$IM$5),17),""))</f>
        <v/>
      </c>
      <c r="E2878">
        <f>IF(D2878="","",INDEX('KG1-5'!$AD32:$IM32,MATCH(D2878,'KG1-5'!$AD$5:$IM$5,0)))</f>
        <v/>
      </c>
      <c r="F2878">
        <f>IF(D2878="","",COUNTIFS('KG1-5'!$AD32:$IM32,"غياب بدون عذر",'KG1-5'!$AD$7:$IM$7,"✓",'KG1-5'!$AD$5:$IM$5,"&lt;="&amp;D2878))</f>
        <v/>
      </c>
      <c r="G2878">
        <f>G2877+IF(D2878="",0,1)</f>
        <v/>
      </c>
    </row>
    <row r="2879">
      <c r="A2879">
        <f>IF('KG1-5'!$B32="","",'KG1-5'!$B32)</f>
        <v/>
      </c>
      <c r="B2879">
        <f>IF(A2879="","",'KG1-5'!$C32)</f>
        <v/>
      </c>
      <c r="C2879">
        <f>IF(A2879="","",'KG1-5'!$B$2)</f>
        <v/>
      </c>
      <c r="D2879" s="126">
        <f t="array" ref="D2879">IF(A2879="","",IFERROR(SMALL(IF((('KG1-5'!$AD32:$IM32="غياب بدون عذر")+('KG1-5'!$AD32:$IM32="غياب بعذر"))*('KG1-5'!$AD$7:$IM$7="✓"),'KG1-5'!$AD$5:$IM$5),18),""))</f>
        <v/>
      </c>
      <c r="E2879">
        <f>IF(D2879="","",INDEX('KG1-5'!$AD32:$IM32,MATCH(D2879,'KG1-5'!$AD$5:$IM$5,0)))</f>
        <v/>
      </c>
      <c r="F2879">
        <f>IF(D2879="","",COUNTIFS('KG1-5'!$AD32:$IM32,"غياب بدون عذر",'KG1-5'!$AD$7:$IM$7,"✓",'KG1-5'!$AD$5:$IM$5,"&lt;="&amp;D2879))</f>
        <v/>
      </c>
      <c r="G2879">
        <f>G2878+IF(D2879="",0,1)</f>
        <v/>
      </c>
    </row>
    <row r="2880">
      <c r="A2880">
        <f>IF('KG1-5'!$B32="","",'KG1-5'!$B32)</f>
        <v/>
      </c>
      <c r="B2880">
        <f>IF(A2880="","",'KG1-5'!$C32)</f>
        <v/>
      </c>
      <c r="C2880">
        <f>IF(A2880="","",'KG1-5'!$B$2)</f>
        <v/>
      </c>
      <c r="D2880" s="126">
        <f t="array" ref="D2880">IF(A2880="","",IFERROR(SMALL(IF((('KG1-5'!$AD32:$IM32="غياب بدون عذر")+('KG1-5'!$AD32:$IM32="غياب بعذر"))*('KG1-5'!$AD$7:$IM$7="✓"),'KG1-5'!$AD$5:$IM$5),19),""))</f>
        <v/>
      </c>
      <c r="E2880">
        <f>IF(D2880="","",INDEX('KG1-5'!$AD32:$IM32,MATCH(D2880,'KG1-5'!$AD$5:$IM$5,0)))</f>
        <v/>
      </c>
      <c r="F2880">
        <f>IF(D2880="","",COUNTIFS('KG1-5'!$AD32:$IM32,"غياب بدون عذر",'KG1-5'!$AD$7:$IM$7,"✓",'KG1-5'!$AD$5:$IM$5,"&lt;="&amp;D2880))</f>
        <v/>
      </c>
      <c r="G2880">
        <f>G2879+IF(D2880="",0,1)</f>
        <v/>
      </c>
    </row>
    <row r="2881">
      <c r="A2881">
        <f>IF('KG1-5'!$B32="","",'KG1-5'!$B32)</f>
        <v/>
      </c>
      <c r="B2881">
        <f>IF(A2881="","",'KG1-5'!$C32)</f>
        <v/>
      </c>
      <c r="C2881">
        <f>IF(A2881="","",'KG1-5'!$B$2)</f>
        <v/>
      </c>
      <c r="D2881" s="126">
        <f t="array" ref="D2881">IF(A2881="","",IFERROR(SMALL(IF((('KG1-5'!$AD32:$IM32="غياب بدون عذر")+('KG1-5'!$AD32:$IM32="غياب بعذر"))*('KG1-5'!$AD$7:$IM$7="✓"),'KG1-5'!$AD$5:$IM$5),20),""))</f>
        <v/>
      </c>
      <c r="E2881">
        <f>IF(D2881="","",INDEX('KG1-5'!$AD32:$IM32,MATCH(D2881,'KG1-5'!$AD$5:$IM$5,0)))</f>
        <v/>
      </c>
      <c r="F2881">
        <f>IF(D2881="","",COUNTIFS('KG1-5'!$AD32:$IM32,"غياب بدون عذر",'KG1-5'!$AD$7:$IM$7,"✓",'KG1-5'!$AD$5:$IM$5,"&lt;="&amp;D2881))</f>
        <v/>
      </c>
      <c r="G2881">
        <f>G2880+IF(D2881="",0,1)</f>
        <v/>
      </c>
    </row>
    <row r="2882">
      <c r="A2882">
        <f>IF('KG1-5'!$B33="","",'KG1-5'!$B33)</f>
        <v/>
      </c>
      <c r="B2882">
        <f>IF(A2882="","",'KG1-5'!$C33)</f>
        <v/>
      </c>
      <c r="C2882">
        <f>IF(A2882="","",'KG1-5'!$B$2)</f>
        <v/>
      </c>
      <c r="D2882" s="126">
        <f t="array" ref="D2882">IF(A2882="","",IFERROR(SMALL(IF((('KG1-5'!$AD33:$IM33="غياب بدون عذر")+('KG1-5'!$AD33:$IM33="غياب بعذر"))*('KG1-5'!$AD$7:$IM$7="✓"),'KG1-5'!$AD$5:$IM$5),1),""))</f>
        <v/>
      </c>
      <c r="E2882">
        <f>IF(D2882="","",INDEX('KG1-5'!$AD33:$IM33,MATCH(D2882,'KG1-5'!$AD$5:$IM$5,0)))</f>
        <v/>
      </c>
      <c r="F2882">
        <f>IF(D2882="","",COUNTIFS('KG1-5'!$AD33:$IM33,"غياب بدون عذر",'KG1-5'!$AD$7:$IM$7,"✓",'KG1-5'!$AD$5:$IM$5,"&lt;="&amp;D2882))</f>
        <v/>
      </c>
      <c r="G2882">
        <f>G2881+IF(D2882="",0,1)</f>
        <v/>
      </c>
    </row>
    <row r="2883">
      <c r="A2883">
        <f>IF('KG1-5'!$B33="","",'KG1-5'!$B33)</f>
        <v/>
      </c>
      <c r="B2883">
        <f>IF(A2883="","",'KG1-5'!$C33)</f>
        <v/>
      </c>
      <c r="C2883">
        <f>IF(A2883="","",'KG1-5'!$B$2)</f>
        <v/>
      </c>
      <c r="D2883" s="126">
        <f t="array" ref="D2883">IF(A2883="","",IFERROR(SMALL(IF((('KG1-5'!$AD33:$IM33="غياب بدون عذر")+('KG1-5'!$AD33:$IM33="غياب بعذر"))*('KG1-5'!$AD$7:$IM$7="✓"),'KG1-5'!$AD$5:$IM$5),2),""))</f>
        <v/>
      </c>
      <c r="E2883">
        <f>IF(D2883="","",INDEX('KG1-5'!$AD33:$IM33,MATCH(D2883,'KG1-5'!$AD$5:$IM$5,0)))</f>
        <v/>
      </c>
      <c r="F2883">
        <f>IF(D2883="","",COUNTIFS('KG1-5'!$AD33:$IM33,"غياب بدون عذر",'KG1-5'!$AD$7:$IM$7,"✓",'KG1-5'!$AD$5:$IM$5,"&lt;="&amp;D2883))</f>
        <v/>
      </c>
      <c r="G2883">
        <f>G2882+IF(D2883="",0,1)</f>
        <v/>
      </c>
    </row>
    <row r="2884">
      <c r="A2884">
        <f>IF('KG1-5'!$B33="","",'KG1-5'!$B33)</f>
        <v/>
      </c>
      <c r="B2884">
        <f>IF(A2884="","",'KG1-5'!$C33)</f>
        <v/>
      </c>
      <c r="C2884">
        <f>IF(A2884="","",'KG1-5'!$B$2)</f>
        <v/>
      </c>
      <c r="D2884" s="126">
        <f t="array" ref="D2884">IF(A2884="","",IFERROR(SMALL(IF((('KG1-5'!$AD33:$IM33="غياب بدون عذر")+('KG1-5'!$AD33:$IM33="غياب بعذر"))*('KG1-5'!$AD$7:$IM$7="✓"),'KG1-5'!$AD$5:$IM$5),3),""))</f>
        <v/>
      </c>
      <c r="E2884">
        <f>IF(D2884="","",INDEX('KG1-5'!$AD33:$IM33,MATCH(D2884,'KG1-5'!$AD$5:$IM$5,0)))</f>
        <v/>
      </c>
      <c r="F2884">
        <f>IF(D2884="","",COUNTIFS('KG1-5'!$AD33:$IM33,"غياب بدون عذر",'KG1-5'!$AD$7:$IM$7,"✓",'KG1-5'!$AD$5:$IM$5,"&lt;="&amp;D2884))</f>
        <v/>
      </c>
      <c r="G2884">
        <f>G2883+IF(D2884="",0,1)</f>
        <v/>
      </c>
    </row>
    <row r="2885">
      <c r="A2885">
        <f>IF('KG1-5'!$B33="","",'KG1-5'!$B33)</f>
        <v/>
      </c>
      <c r="B2885">
        <f>IF(A2885="","",'KG1-5'!$C33)</f>
        <v/>
      </c>
      <c r="C2885">
        <f>IF(A2885="","",'KG1-5'!$B$2)</f>
        <v/>
      </c>
      <c r="D2885" s="126">
        <f t="array" ref="D2885">IF(A2885="","",IFERROR(SMALL(IF((('KG1-5'!$AD33:$IM33="غياب بدون عذر")+('KG1-5'!$AD33:$IM33="غياب بعذر"))*('KG1-5'!$AD$7:$IM$7="✓"),'KG1-5'!$AD$5:$IM$5),4),""))</f>
        <v/>
      </c>
      <c r="E2885">
        <f>IF(D2885="","",INDEX('KG1-5'!$AD33:$IM33,MATCH(D2885,'KG1-5'!$AD$5:$IM$5,0)))</f>
        <v/>
      </c>
      <c r="F2885">
        <f>IF(D2885="","",COUNTIFS('KG1-5'!$AD33:$IM33,"غياب بدون عذر",'KG1-5'!$AD$7:$IM$7,"✓",'KG1-5'!$AD$5:$IM$5,"&lt;="&amp;D2885))</f>
        <v/>
      </c>
      <c r="G2885">
        <f>G2884+IF(D2885="",0,1)</f>
        <v/>
      </c>
    </row>
    <row r="2886">
      <c r="A2886">
        <f>IF('KG1-5'!$B33="","",'KG1-5'!$B33)</f>
        <v/>
      </c>
      <c r="B2886">
        <f>IF(A2886="","",'KG1-5'!$C33)</f>
        <v/>
      </c>
      <c r="C2886">
        <f>IF(A2886="","",'KG1-5'!$B$2)</f>
        <v/>
      </c>
      <c r="D2886" s="126">
        <f t="array" ref="D2886">IF(A2886="","",IFERROR(SMALL(IF((('KG1-5'!$AD33:$IM33="غياب بدون عذر")+('KG1-5'!$AD33:$IM33="غياب بعذر"))*('KG1-5'!$AD$7:$IM$7="✓"),'KG1-5'!$AD$5:$IM$5),5),""))</f>
        <v/>
      </c>
      <c r="E2886">
        <f>IF(D2886="","",INDEX('KG1-5'!$AD33:$IM33,MATCH(D2886,'KG1-5'!$AD$5:$IM$5,0)))</f>
        <v/>
      </c>
      <c r="F2886">
        <f>IF(D2886="","",COUNTIFS('KG1-5'!$AD33:$IM33,"غياب بدون عذر",'KG1-5'!$AD$7:$IM$7,"✓",'KG1-5'!$AD$5:$IM$5,"&lt;="&amp;D2886))</f>
        <v/>
      </c>
      <c r="G2886">
        <f>G2885+IF(D2886="",0,1)</f>
        <v/>
      </c>
    </row>
    <row r="2887">
      <c r="A2887">
        <f>IF('KG1-5'!$B33="","",'KG1-5'!$B33)</f>
        <v/>
      </c>
      <c r="B2887">
        <f>IF(A2887="","",'KG1-5'!$C33)</f>
        <v/>
      </c>
      <c r="C2887">
        <f>IF(A2887="","",'KG1-5'!$B$2)</f>
        <v/>
      </c>
      <c r="D2887" s="126">
        <f t="array" ref="D2887">IF(A2887="","",IFERROR(SMALL(IF((('KG1-5'!$AD33:$IM33="غياب بدون عذر")+('KG1-5'!$AD33:$IM33="غياب بعذر"))*('KG1-5'!$AD$7:$IM$7="✓"),'KG1-5'!$AD$5:$IM$5),6),""))</f>
        <v/>
      </c>
      <c r="E2887">
        <f>IF(D2887="","",INDEX('KG1-5'!$AD33:$IM33,MATCH(D2887,'KG1-5'!$AD$5:$IM$5,0)))</f>
        <v/>
      </c>
      <c r="F2887">
        <f>IF(D2887="","",COUNTIFS('KG1-5'!$AD33:$IM33,"غياب بدون عذر",'KG1-5'!$AD$7:$IM$7,"✓",'KG1-5'!$AD$5:$IM$5,"&lt;="&amp;D2887))</f>
        <v/>
      </c>
      <c r="G2887">
        <f>G2886+IF(D2887="",0,1)</f>
        <v/>
      </c>
    </row>
    <row r="2888">
      <c r="A2888">
        <f>IF('KG1-5'!$B33="","",'KG1-5'!$B33)</f>
        <v/>
      </c>
      <c r="B2888">
        <f>IF(A2888="","",'KG1-5'!$C33)</f>
        <v/>
      </c>
      <c r="C2888">
        <f>IF(A2888="","",'KG1-5'!$B$2)</f>
        <v/>
      </c>
      <c r="D2888" s="126">
        <f t="array" ref="D2888">IF(A2888="","",IFERROR(SMALL(IF((('KG1-5'!$AD33:$IM33="غياب بدون عذر")+('KG1-5'!$AD33:$IM33="غياب بعذر"))*('KG1-5'!$AD$7:$IM$7="✓"),'KG1-5'!$AD$5:$IM$5),7),""))</f>
        <v/>
      </c>
      <c r="E2888">
        <f>IF(D2888="","",INDEX('KG1-5'!$AD33:$IM33,MATCH(D2888,'KG1-5'!$AD$5:$IM$5,0)))</f>
        <v/>
      </c>
      <c r="F2888">
        <f>IF(D2888="","",COUNTIFS('KG1-5'!$AD33:$IM33,"غياب بدون عذر",'KG1-5'!$AD$7:$IM$7,"✓",'KG1-5'!$AD$5:$IM$5,"&lt;="&amp;D2888))</f>
        <v/>
      </c>
      <c r="G2888">
        <f>G2887+IF(D2888="",0,1)</f>
        <v/>
      </c>
    </row>
    <row r="2889">
      <c r="A2889">
        <f>IF('KG1-5'!$B33="","",'KG1-5'!$B33)</f>
        <v/>
      </c>
      <c r="B2889">
        <f>IF(A2889="","",'KG1-5'!$C33)</f>
        <v/>
      </c>
      <c r="C2889">
        <f>IF(A2889="","",'KG1-5'!$B$2)</f>
        <v/>
      </c>
      <c r="D2889" s="126">
        <f t="array" ref="D2889">IF(A2889="","",IFERROR(SMALL(IF((('KG1-5'!$AD33:$IM33="غياب بدون عذر")+('KG1-5'!$AD33:$IM33="غياب بعذر"))*('KG1-5'!$AD$7:$IM$7="✓"),'KG1-5'!$AD$5:$IM$5),8),""))</f>
        <v/>
      </c>
      <c r="E2889">
        <f>IF(D2889="","",INDEX('KG1-5'!$AD33:$IM33,MATCH(D2889,'KG1-5'!$AD$5:$IM$5,0)))</f>
        <v/>
      </c>
      <c r="F2889">
        <f>IF(D2889="","",COUNTIFS('KG1-5'!$AD33:$IM33,"غياب بدون عذر",'KG1-5'!$AD$7:$IM$7,"✓",'KG1-5'!$AD$5:$IM$5,"&lt;="&amp;D2889))</f>
        <v/>
      </c>
      <c r="G2889">
        <f>G2888+IF(D2889="",0,1)</f>
        <v/>
      </c>
    </row>
    <row r="2890">
      <c r="A2890">
        <f>IF('KG1-5'!$B33="","",'KG1-5'!$B33)</f>
        <v/>
      </c>
      <c r="B2890">
        <f>IF(A2890="","",'KG1-5'!$C33)</f>
        <v/>
      </c>
      <c r="C2890">
        <f>IF(A2890="","",'KG1-5'!$B$2)</f>
        <v/>
      </c>
      <c r="D2890" s="126">
        <f t="array" ref="D2890">IF(A2890="","",IFERROR(SMALL(IF((('KG1-5'!$AD33:$IM33="غياب بدون عذر")+('KG1-5'!$AD33:$IM33="غياب بعذر"))*('KG1-5'!$AD$7:$IM$7="✓"),'KG1-5'!$AD$5:$IM$5),9),""))</f>
        <v/>
      </c>
      <c r="E2890">
        <f>IF(D2890="","",INDEX('KG1-5'!$AD33:$IM33,MATCH(D2890,'KG1-5'!$AD$5:$IM$5,0)))</f>
        <v/>
      </c>
      <c r="F2890">
        <f>IF(D2890="","",COUNTIFS('KG1-5'!$AD33:$IM33,"غياب بدون عذر",'KG1-5'!$AD$7:$IM$7,"✓",'KG1-5'!$AD$5:$IM$5,"&lt;="&amp;D2890))</f>
        <v/>
      </c>
      <c r="G2890">
        <f>G2889+IF(D2890="",0,1)</f>
        <v/>
      </c>
    </row>
    <row r="2891">
      <c r="A2891">
        <f>IF('KG1-5'!$B33="","",'KG1-5'!$B33)</f>
        <v/>
      </c>
      <c r="B2891">
        <f>IF(A2891="","",'KG1-5'!$C33)</f>
        <v/>
      </c>
      <c r="C2891">
        <f>IF(A2891="","",'KG1-5'!$B$2)</f>
        <v/>
      </c>
      <c r="D2891" s="126">
        <f t="array" ref="D2891">IF(A2891="","",IFERROR(SMALL(IF((('KG1-5'!$AD33:$IM33="غياب بدون عذر")+('KG1-5'!$AD33:$IM33="غياب بعذر"))*('KG1-5'!$AD$7:$IM$7="✓"),'KG1-5'!$AD$5:$IM$5),10),""))</f>
        <v/>
      </c>
      <c r="E2891">
        <f>IF(D2891="","",INDEX('KG1-5'!$AD33:$IM33,MATCH(D2891,'KG1-5'!$AD$5:$IM$5,0)))</f>
        <v/>
      </c>
      <c r="F2891">
        <f>IF(D2891="","",COUNTIFS('KG1-5'!$AD33:$IM33,"غياب بدون عذر",'KG1-5'!$AD$7:$IM$7,"✓",'KG1-5'!$AD$5:$IM$5,"&lt;="&amp;D2891))</f>
        <v/>
      </c>
      <c r="G2891">
        <f>G2890+IF(D2891="",0,1)</f>
        <v/>
      </c>
    </row>
    <row r="2892">
      <c r="A2892">
        <f>IF('KG1-5'!$B33="","",'KG1-5'!$B33)</f>
        <v/>
      </c>
      <c r="B2892">
        <f>IF(A2892="","",'KG1-5'!$C33)</f>
        <v/>
      </c>
      <c r="C2892">
        <f>IF(A2892="","",'KG1-5'!$B$2)</f>
        <v/>
      </c>
      <c r="D2892" s="126">
        <f t="array" ref="D2892">IF(A2892="","",IFERROR(SMALL(IF((('KG1-5'!$AD33:$IM33="غياب بدون عذر")+('KG1-5'!$AD33:$IM33="غياب بعذر"))*('KG1-5'!$AD$7:$IM$7="✓"),'KG1-5'!$AD$5:$IM$5),11),""))</f>
        <v/>
      </c>
      <c r="E2892">
        <f>IF(D2892="","",INDEX('KG1-5'!$AD33:$IM33,MATCH(D2892,'KG1-5'!$AD$5:$IM$5,0)))</f>
        <v/>
      </c>
      <c r="F2892">
        <f>IF(D2892="","",COUNTIFS('KG1-5'!$AD33:$IM33,"غياب بدون عذر",'KG1-5'!$AD$7:$IM$7,"✓",'KG1-5'!$AD$5:$IM$5,"&lt;="&amp;D2892))</f>
        <v/>
      </c>
      <c r="G2892">
        <f>G2891+IF(D2892="",0,1)</f>
        <v/>
      </c>
    </row>
    <row r="2893">
      <c r="A2893">
        <f>IF('KG1-5'!$B33="","",'KG1-5'!$B33)</f>
        <v/>
      </c>
      <c r="B2893">
        <f>IF(A2893="","",'KG1-5'!$C33)</f>
        <v/>
      </c>
      <c r="C2893">
        <f>IF(A2893="","",'KG1-5'!$B$2)</f>
        <v/>
      </c>
      <c r="D2893" s="126">
        <f t="array" ref="D2893">IF(A2893="","",IFERROR(SMALL(IF((('KG1-5'!$AD33:$IM33="غياب بدون عذر")+('KG1-5'!$AD33:$IM33="غياب بعذر"))*('KG1-5'!$AD$7:$IM$7="✓"),'KG1-5'!$AD$5:$IM$5),12),""))</f>
        <v/>
      </c>
      <c r="E2893">
        <f>IF(D2893="","",INDEX('KG1-5'!$AD33:$IM33,MATCH(D2893,'KG1-5'!$AD$5:$IM$5,0)))</f>
        <v/>
      </c>
      <c r="F2893">
        <f>IF(D2893="","",COUNTIFS('KG1-5'!$AD33:$IM33,"غياب بدون عذر",'KG1-5'!$AD$7:$IM$7,"✓",'KG1-5'!$AD$5:$IM$5,"&lt;="&amp;D2893))</f>
        <v/>
      </c>
      <c r="G2893">
        <f>G2892+IF(D2893="",0,1)</f>
        <v/>
      </c>
    </row>
    <row r="2894">
      <c r="A2894">
        <f>IF('KG1-5'!$B33="","",'KG1-5'!$B33)</f>
        <v/>
      </c>
      <c r="B2894">
        <f>IF(A2894="","",'KG1-5'!$C33)</f>
        <v/>
      </c>
      <c r="C2894">
        <f>IF(A2894="","",'KG1-5'!$B$2)</f>
        <v/>
      </c>
      <c r="D2894" s="126">
        <f t="array" ref="D2894">IF(A2894="","",IFERROR(SMALL(IF((('KG1-5'!$AD33:$IM33="غياب بدون عذر")+('KG1-5'!$AD33:$IM33="غياب بعذر"))*('KG1-5'!$AD$7:$IM$7="✓"),'KG1-5'!$AD$5:$IM$5),13),""))</f>
        <v/>
      </c>
      <c r="E2894">
        <f>IF(D2894="","",INDEX('KG1-5'!$AD33:$IM33,MATCH(D2894,'KG1-5'!$AD$5:$IM$5,0)))</f>
        <v/>
      </c>
      <c r="F2894">
        <f>IF(D2894="","",COUNTIFS('KG1-5'!$AD33:$IM33,"غياب بدون عذر",'KG1-5'!$AD$7:$IM$7,"✓",'KG1-5'!$AD$5:$IM$5,"&lt;="&amp;D2894))</f>
        <v/>
      </c>
      <c r="G2894">
        <f>G2893+IF(D2894="",0,1)</f>
        <v/>
      </c>
    </row>
    <row r="2895">
      <c r="A2895">
        <f>IF('KG1-5'!$B33="","",'KG1-5'!$B33)</f>
        <v/>
      </c>
      <c r="B2895">
        <f>IF(A2895="","",'KG1-5'!$C33)</f>
        <v/>
      </c>
      <c r="C2895">
        <f>IF(A2895="","",'KG1-5'!$B$2)</f>
        <v/>
      </c>
      <c r="D2895" s="126">
        <f t="array" ref="D2895">IF(A2895="","",IFERROR(SMALL(IF((('KG1-5'!$AD33:$IM33="غياب بدون عذر")+('KG1-5'!$AD33:$IM33="غياب بعذر"))*('KG1-5'!$AD$7:$IM$7="✓"),'KG1-5'!$AD$5:$IM$5),14),""))</f>
        <v/>
      </c>
      <c r="E2895">
        <f>IF(D2895="","",INDEX('KG1-5'!$AD33:$IM33,MATCH(D2895,'KG1-5'!$AD$5:$IM$5,0)))</f>
        <v/>
      </c>
      <c r="F2895">
        <f>IF(D2895="","",COUNTIFS('KG1-5'!$AD33:$IM33,"غياب بدون عذر",'KG1-5'!$AD$7:$IM$7,"✓",'KG1-5'!$AD$5:$IM$5,"&lt;="&amp;D2895))</f>
        <v/>
      </c>
      <c r="G2895">
        <f>G2894+IF(D2895="",0,1)</f>
        <v/>
      </c>
    </row>
    <row r="2896">
      <c r="A2896">
        <f>IF('KG1-5'!$B33="","",'KG1-5'!$B33)</f>
        <v/>
      </c>
      <c r="B2896">
        <f>IF(A2896="","",'KG1-5'!$C33)</f>
        <v/>
      </c>
      <c r="C2896">
        <f>IF(A2896="","",'KG1-5'!$B$2)</f>
        <v/>
      </c>
      <c r="D2896" s="126">
        <f t="array" ref="D2896">IF(A2896="","",IFERROR(SMALL(IF((('KG1-5'!$AD33:$IM33="غياب بدون عذر")+('KG1-5'!$AD33:$IM33="غياب بعذر"))*('KG1-5'!$AD$7:$IM$7="✓"),'KG1-5'!$AD$5:$IM$5),15),""))</f>
        <v/>
      </c>
      <c r="E2896">
        <f>IF(D2896="","",INDEX('KG1-5'!$AD33:$IM33,MATCH(D2896,'KG1-5'!$AD$5:$IM$5,0)))</f>
        <v/>
      </c>
      <c r="F2896">
        <f>IF(D2896="","",COUNTIFS('KG1-5'!$AD33:$IM33,"غياب بدون عذر",'KG1-5'!$AD$7:$IM$7,"✓",'KG1-5'!$AD$5:$IM$5,"&lt;="&amp;D2896))</f>
        <v/>
      </c>
      <c r="G2896">
        <f>G2895+IF(D2896="",0,1)</f>
        <v/>
      </c>
    </row>
    <row r="2897">
      <c r="A2897">
        <f>IF('KG1-5'!$B33="","",'KG1-5'!$B33)</f>
        <v/>
      </c>
      <c r="B2897">
        <f>IF(A2897="","",'KG1-5'!$C33)</f>
        <v/>
      </c>
      <c r="C2897">
        <f>IF(A2897="","",'KG1-5'!$B$2)</f>
        <v/>
      </c>
      <c r="D2897" s="126">
        <f t="array" ref="D2897">IF(A2897="","",IFERROR(SMALL(IF((('KG1-5'!$AD33:$IM33="غياب بدون عذر")+('KG1-5'!$AD33:$IM33="غياب بعذر"))*('KG1-5'!$AD$7:$IM$7="✓"),'KG1-5'!$AD$5:$IM$5),16),""))</f>
        <v/>
      </c>
      <c r="E2897">
        <f>IF(D2897="","",INDEX('KG1-5'!$AD33:$IM33,MATCH(D2897,'KG1-5'!$AD$5:$IM$5,0)))</f>
        <v/>
      </c>
      <c r="F2897">
        <f>IF(D2897="","",COUNTIFS('KG1-5'!$AD33:$IM33,"غياب بدون عذر",'KG1-5'!$AD$7:$IM$7,"✓",'KG1-5'!$AD$5:$IM$5,"&lt;="&amp;D2897))</f>
        <v/>
      </c>
      <c r="G2897">
        <f>G2896+IF(D2897="",0,1)</f>
        <v/>
      </c>
    </row>
    <row r="2898">
      <c r="A2898">
        <f>IF('KG1-5'!$B33="","",'KG1-5'!$B33)</f>
        <v/>
      </c>
      <c r="B2898">
        <f>IF(A2898="","",'KG1-5'!$C33)</f>
        <v/>
      </c>
      <c r="C2898">
        <f>IF(A2898="","",'KG1-5'!$B$2)</f>
        <v/>
      </c>
      <c r="D2898" s="126">
        <f t="array" ref="D2898">IF(A2898="","",IFERROR(SMALL(IF((('KG1-5'!$AD33:$IM33="غياب بدون عذر")+('KG1-5'!$AD33:$IM33="غياب بعذر"))*('KG1-5'!$AD$7:$IM$7="✓"),'KG1-5'!$AD$5:$IM$5),17),""))</f>
        <v/>
      </c>
      <c r="E2898">
        <f>IF(D2898="","",INDEX('KG1-5'!$AD33:$IM33,MATCH(D2898,'KG1-5'!$AD$5:$IM$5,0)))</f>
        <v/>
      </c>
      <c r="F2898">
        <f>IF(D2898="","",COUNTIFS('KG1-5'!$AD33:$IM33,"غياب بدون عذر",'KG1-5'!$AD$7:$IM$7,"✓",'KG1-5'!$AD$5:$IM$5,"&lt;="&amp;D2898))</f>
        <v/>
      </c>
      <c r="G2898">
        <f>G2897+IF(D2898="",0,1)</f>
        <v/>
      </c>
    </row>
    <row r="2899">
      <c r="A2899">
        <f>IF('KG1-5'!$B33="","",'KG1-5'!$B33)</f>
        <v/>
      </c>
      <c r="B2899">
        <f>IF(A2899="","",'KG1-5'!$C33)</f>
        <v/>
      </c>
      <c r="C2899">
        <f>IF(A2899="","",'KG1-5'!$B$2)</f>
        <v/>
      </c>
      <c r="D2899" s="126">
        <f t="array" ref="D2899">IF(A2899="","",IFERROR(SMALL(IF((('KG1-5'!$AD33:$IM33="غياب بدون عذر")+('KG1-5'!$AD33:$IM33="غياب بعذر"))*('KG1-5'!$AD$7:$IM$7="✓"),'KG1-5'!$AD$5:$IM$5),18),""))</f>
        <v/>
      </c>
      <c r="E2899">
        <f>IF(D2899="","",INDEX('KG1-5'!$AD33:$IM33,MATCH(D2899,'KG1-5'!$AD$5:$IM$5,0)))</f>
        <v/>
      </c>
      <c r="F2899">
        <f>IF(D2899="","",COUNTIFS('KG1-5'!$AD33:$IM33,"غياب بدون عذر",'KG1-5'!$AD$7:$IM$7,"✓",'KG1-5'!$AD$5:$IM$5,"&lt;="&amp;D2899))</f>
        <v/>
      </c>
      <c r="G2899">
        <f>G2898+IF(D2899="",0,1)</f>
        <v/>
      </c>
    </row>
    <row r="2900">
      <c r="A2900">
        <f>IF('KG1-5'!$B33="","",'KG1-5'!$B33)</f>
        <v/>
      </c>
      <c r="B2900">
        <f>IF(A2900="","",'KG1-5'!$C33)</f>
        <v/>
      </c>
      <c r="C2900">
        <f>IF(A2900="","",'KG1-5'!$B$2)</f>
        <v/>
      </c>
      <c r="D2900" s="126">
        <f t="array" ref="D2900">IF(A2900="","",IFERROR(SMALL(IF((('KG1-5'!$AD33:$IM33="غياب بدون عذر")+('KG1-5'!$AD33:$IM33="غياب بعذر"))*('KG1-5'!$AD$7:$IM$7="✓"),'KG1-5'!$AD$5:$IM$5),19),""))</f>
        <v/>
      </c>
      <c r="E2900">
        <f>IF(D2900="","",INDEX('KG1-5'!$AD33:$IM33,MATCH(D2900,'KG1-5'!$AD$5:$IM$5,0)))</f>
        <v/>
      </c>
      <c r="F2900">
        <f>IF(D2900="","",COUNTIFS('KG1-5'!$AD33:$IM33,"غياب بدون عذر",'KG1-5'!$AD$7:$IM$7,"✓",'KG1-5'!$AD$5:$IM$5,"&lt;="&amp;D2900))</f>
        <v/>
      </c>
      <c r="G2900">
        <f>G2899+IF(D2900="",0,1)</f>
        <v/>
      </c>
    </row>
    <row r="2901">
      <c r="A2901">
        <f>IF('KG1-5'!$B33="","",'KG1-5'!$B33)</f>
        <v/>
      </c>
      <c r="B2901">
        <f>IF(A2901="","",'KG1-5'!$C33)</f>
        <v/>
      </c>
      <c r="C2901">
        <f>IF(A2901="","",'KG1-5'!$B$2)</f>
        <v/>
      </c>
      <c r="D2901" s="126">
        <f t="array" ref="D2901">IF(A2901="","",IFERROR(SMALL(IF((('KG1-5'!$AD33:$IM33="غياب بدون عذر")+('KG1-5'!$AD33:$IM33="غياب بعذر"))*('KG1-5'!$AD$7:$IM$7="✓"),'KG1-5'!$AD$5:$IM$5),20),""))</f>
        <v/>
      </c>
      <c r="E2901">
        <f>IF(D2901="","",INDEX('KG1-5'!$AD33:$IM33,MATCH(D2901,'KG1-5'!$AD$5:$IM$5,0)))</f>
        <v/>
      </c>
      <c r="F2901">
        <f>IF(D2901="","",COUNTIFS('KG1-5'!$AD33:$IM33,"غياب بدون عذر",'KG1-5'!$AD$7:$IM$7,"✓",'KG1-5'!$AD$5:$IM$5,"&lt;="&amp;D2901))</f>
        <v/>
      </c>
      <c r="G2901">
        <f>G2900+IF(D2901="",0,1)</f>
        <v/>
      </c>
    </row>
    <row r="2902">
      <c r="A2902">
        <f>IF('KG1-5'!$B34="","",'KG1-5'!$B34)</f>
        <v/>
      </c>
      <c r="B2902">
        <f>IF(A2902="","",'KG1-5'!$C34)</f>
        <v/>
      </c>
      <c r="C2902">
        <f>IF(A2902="","",'KG1-5'!$B$2)</f>
        <v/>
      </c>
      <c r="D2902" s="126">
        <f t="array" ref="D2902">IF(A2902="","",IFERROR(SMALL(IF((('KG1-5'!$AD34:$IM34="غياب بدون عذر")+('KG1-5'!$AD34:$IM34="غياب بعذر"))*('KG1-5'!$AD$7:$IM$7="✓"),'KG1-5'!$AD$5:$IM$5),1),""))</f>
        <v/>
      </c>
      <c r="E2902">
        <f>IF(D2902="","",INDEX('KG1-5'!$AD34:$IM34,MATCH(D2902,'KG1-5'!$AD$5:$IM$5,0)))</f>
        <v/>
      </c>
      <c r="F2902">
        <f>IF(D2902="","",COUNTIFS('KG1-5'!$AD34:$IM34,"غياب بدون عذر",'KG1-5'!$AD$7:$IM$7,"✓",'KG1-5'!$AD$5:$IM$5,"&lt;="&amp;D2902))</f>
        <v/>
      </c>
      <c r="G2902">
        <f>G2901+IF(D2902="",0,1)</f>
        <v/>
      </c>
    </row>
    <row r="2903">
      <c r="A2903">
        <f>IF('KG1-5'!$B34="","",'KG1-5'!$B34)</f>
        <v/>
      </c>
      <c r="B2903">
        <f>IF(A2903="","",'KG1-5'!$C34)</f>
        <v/>
      </c>
      <c r="C2903">
        <f>IF(A2903="","",'KG1-5'!$B$2)</f>
        <v/>
      </c>
      <c r="D2903" s="126">
        <f t="array" ref="D2903">IF(A2903="","",IFERROR(SMALL(IF((('KG1-5'!$AD34:$IM34="غياب بدون عذر")+('KG1-5'!$AD34:$IM34="غياب بعذر"))*('KG1-5'!$AD$7:$IM$7="✓"),'KG1-5'!$AD$5:$IM$5),2),""))</f>
        <v/>
      </c>
      <c r="E2903">
        <f>IF(D2903="","",INDEX('KG1-5'!$AD34:$IM34,MATCH(D2903,'KG1-5'!$AD$5:$IM$5,0)))</f>
        <v/>
      </c>
      <c r="F2903">
        <f>IF(D2903="","",COUNTIFS('KG1-5'!$AD34:$IM34,"غياب بدون عذر",'KG1-5'!$AD$7:$IM$7,"✓",'KG1-5'!$AD$5:$IM$5,"&lt;="&amp;D2903))</f>
        <v/>
      </c>
      <c r="G2903">
        <f>G2902+IF(D2903="",0,1)</f>
        <v/>
      </c>
    </row>
    <row r="2904">
      <c r="A2904">
        <f>IF('KG1-5'!$B34="","",'KG1-5'!$B34)</f>
        <v/>
      </c>
      <c r="B2904">
        <f>IF(A2904="","",'KG1-5'!$C34)</f>
        <v/>
      </c>
      <c r="C2904">
        <f>IF(A2904="","",'KG1-5'!$B$2)</f>
        <v/>
      </c>
      <c r="D2904" s="126">
        <f t="array" ref="D2904">IF(A2904="","",IFERROR(SMALL(IF((('KG1-5'!$AD34:$IM34="غياب بدون عذر")+('KG1-5'!$AD34:$IM34="غياب بعذر"))*('KG1-5'!$AD$7:$IM$7="✓"),'KG1-5'!$AD$5:$IM$5),3),""))</f>
        <v/>
      </c>
      <c r="E2904">
        <f>IF(D2904="","",INDEX('KG1-5'!$AD34:$IM34,MATCH(D2904,'KG1-5'!$AD$5:$IM$5,0)))</f>
        <v/>
      </c>
      <c r="F2904">
        <f>IF(D2904="","",COUNTIFS('KG1-5'!$AD34:$IM34,"غياب بدون عذر",'KG1-5'!$AD$7:$IM$7,"✓",'KG1-5'!$AD$5:$IM$5,"&lt;="&amp;D2904))</f>
        <v/>
      </c>
      <c r="G2904">
        <f>G2903+IF(D2904="",0,1)</f>
        <v/>
      </c>
    </row>
    <row r="2905">
      <c r="A2905">
        <f>IF('KG1-5'!$B34="","",'KG1-5'!$B34)</f>
        <v/>
      </c>
      <c r="B2905">
        <f>IF(A2905="","",'KG1-5'!$C34)</f>
        <v/>
      </c>
      <c r="C2905">
        <f>IF(A2905="","",'KG1-5'!$B$2)</f>
        <v/>
      </c>
      <c r="D2905" s="126">
        <f t="array" ref="D2905">IF(A2905="","",IFERROR(SMALL(IF((('KG1-5'!$AD34:$IM34="غياب بدون عذر")+('KG1-5'!$AD34:$IM34="غياب بعذر"))*('KG1-5'!$AD$7:$IM$7="✓"),'KG1-5'!$AD$5:$IM$5),4),""))</f>
        <v/>
      </c>
      <c r="E2905">
        <f>IF(D2905="","",INDEX('KG1-5'!$AD34:$IM34,MATCH(D2905,'KG1-5'!$AD$5:$IM$5,0)))</f>
        <v/>
      </c>
      <c r="F2905">
        <f>IF(D2905="","",COUNTIFS('KG1-5'!$AD34:$IM34,"غياب بدون عذر",'KG1-5'!$AD$7:$IM$7,"✓",'KG1-5'!$AD$5:$IM$5,"&lt;="&amp;D2905))</f>
        <v/>
      </c>
      <c r="G2905">
        <f>G2904+IF(D2905="",0,1)</f>
        <v/>
      </c>
    </row>
    <row r="2906">
      <c r="A2906">
        <f>IF('KG1-5'!$B34="","",'KG1-5'!$B34)</f>
        <v/>
      </c>
      <c r="B2906">
        <f>IF(A2906="","",'KG1-5'!$C34)</f>
        <v/>
      </c>
      <c r="C2906">
        <f>IF(A2906="","",'KG1-5'!$B$2)</f>
        <v/>
      </c>
      <c r="D2906" s="126">
        <f t="array" ref="D2906">IF(A2906="","",IFERROR(SMALL(IF((('KG1-5'!$AD34:$IM34="غياب بدون عذر")+('KG1-5'!$AD34:$IM34="غياب بعذر"))*('KG1-5'!$AD$7:$IM$7="✓"),'KG1-5'!$AD$5:$IM$5),5),""))</f>
        <v/>
      </c>
      <c r="E2906">
        <f>IF(D2906="","",INDEX('KG1-5'!$AD34:$IM34,MATCH(D2906,'KG1-5'!$AD$5:$IM$5,0)))</f>
        <v/>
      </c>
      <c r="F2906">
        <f>IF(D2906="","",COUNTIFS('KG1-5'!$AD34:$IM34,"غياب بدون عذر",'KG1-5'!$AD$7:$IM$7,"✓",'KG1-5'!$AD$5:$IM$5,"&lt;="&amp;D2906))</f>
        <v/>
      </c>
      <c r="G2906">
        <f>G2905+IF(D2906="",0,1)</f>
        <v/>
      </c>
    </row>
    <row r="2907">
      <c r="A2907">
        <f>IF('KG1-5'!$B34="","",'KG1-5'!$B34)</f>
        <v/>
      </c>
      <c r="B2907">
        <f>IF(A2907="","",'KG1-5'!$C34)</f>
        <v/>
      </c>
      <c r="C2907">
        <f>IF(A2907="","",'KG1-5'!$B$2)</f>
        <v/>
      </c>
      <c r="D2907" s="126">
        <f t="array" ref="D2907">IF(A2907="","",IFERROR(SMALL(IF((('KG1-5'!$AD34:$IM34="غياب بدون عذر")+('KG1-5'!$AD34:$IM34="غياب بعذر"))*('KG1-5'!$AD$7:$IM$7="✓"),'KG1-5'!$AD$5:$IM$5),6),""))</f>
        <v/>
      </c>
      <c r="E2907">
        <f>IF(D2907="","",INDEX('KG1-5'!$AD34:$IM34,MATCH(D2907,'KG1-5'!$AD$5:$IM$5,0)))</f>
        <v/>
      </c>
      <c r="F2907">
        <f>IF(D2907="","",COUNTIFS('KG1-5'!$AD34:$IM34,"غياب بدون عذر",'KG1-5'!$AD$7:$IM$7,"✓",'KG1-5'!$AD$5:$IM$5,"&lt;="&amp;D2907))</f>
        <v/>
      </c>
      <c r="G2907">
        <f>G2906+IF(D2907="",0,1)</f>
        <v/>
      </c>
    </row>
    <row r="2908">
      <c r="A2908">
        <f>IF('KG1-5'!$B34="","",'KG1-5'!$B34)</f>
        <v/>
      </c>
      <c r="B2908">
        <f>IF(A2908="","",'KG1-5'!$C34)</f>
        <v/>
      </c>
      <c r="C2908">
        <f>IF(A2908="","",'KG1-5'!$B$2)</f>
        <v/>
      </c>
      <c r="D2908" s="126">
        <f t="array" ref="D2908">IF(A2908="","",IFERROR(SMALL(IF((('KG1-5'!$AD34:$IM34="غياب بدون عذر")+('KG1-5'!$AD34:$IM34="غياب بعذر"))*('KG1-5'!$AD$7:$IM$7="✓"),'KG1-5'!$AD$5:$IM$5),7),""))</f>
        <v/>
      </c>
      <c r="E2908">
        <f>IF(D2908="","",INDEX('KG1-5'!$AD34:$IM34,MATCH(D2908,'KG1-5'!$AD$5:$IM$5,0)))</f>
        <v/>
      </c>
      <c r="F2908">
        <f>IF(D2908="","",COUNTIFS('KG1-5'!$AD34:$IM34,"غياب بدون عذر",'KG1-5'!$AD$7:$IM$7,"✓",'KG1-5'!$AD$5:$IM$5,"&lt;="&amp;D2908))</f>
        <v/>
      </c>
      <c r="G2908">
        <f>G2907+IF(D2908="",0,1)</f>
        <v/>
      </c>
    </row>
    <row r="2909">
      <c r="A2909">
        <f>IF('KG1-5'!$B34="","",'KG1-5'!$B34)</f>
        <v/>
      </c>
      <c r="B2909">
        <f>IF(A2909="","",'KG1-5'!$C34)</f>
        <v/>
      </c>
      <c r="C2909">
        <f>IF(A2909="","",'KG1-5'!$B$2)</f>
        <v/>
      </c>
      <c r="D2909" s="126">
        <f t="array" ref="D2909">IF(A2909="","",IFERROR(SMALL(IF((('KG1-5'!$AD34:$IM34="غياب بدون عذر")+('KG1-5'!$AD34:$IM34="غياب بعذر"))*('KG1-5'!$AD$7:$IM$7="✓"),'KG1-5'!$AD$5:$IM$5),8),""))</f>
        <v/>
      </c>
      <c r="E2909">
        <f>IF(D2909="","",INDEX('KG1-5'!$AD34:$IM34,MATCH(D2909,'KG1-5'!$AD$5:$IM$5,0)))</f>
        <v/>
      </c>
      <c r="F2909">
        <f>IF(D2909="","",COUNTIFS('KG1-5'!$AD34:$IM34,"غياب بدون عذر",'KG1-5'!$AD$7:$IM$7,"✓",'KG1-5'!$AD$5:$IM$5,"&lt;="&amp;D2909))</f>
        <v/>
      </c>
      <c r="G2909">
        <f>G2908+IF(D2909="",0,1)</f>
        <v/>
      </c>
    </row>
    <row r="2910">
      <c r="A2910">
        <f>IF('KG1-5'!$B34="","",'KG1-5'!$B34)</f>
        <v/>
      </c>
      <c r="B2910">
        <f>IF(A2910="","",'KG1-5'!$C34)</f>
        <v/>
      </c>
      <c r="C2910">
        <f>IF(A2910="","",'KG1-5'!$B$2)</f>
        <v/>
      </c>
      <c r="D2910" s="126">
        <f t="array" ref="D2910">IF(A2910="","",IFERROR(SMALL(IF((('KG1-5'!$AD34:$IM34="غياب بدون عذر")+('KG1-5'!$AD34:$IM34="غياب بعذر"))*('KG1-5'!$AD$7:$IM$7="✓"),'KG1-5'!$AD$5:$IM$5),9),""))</f>
        <v/>
      </c>
      <c r="E2910">
        <f>IF(D2910="","",INDEX('KG1-5'!$AD34:$IM34,MATCH(D2910,'KG1-5'!$AD$5:$IM$5,0)))</f>
        <v/>
      </c>
      <c r="F2910">
        <f>IF(D2910="","",COUNTIFS('KG1-5'!$AD34:$IM34,"غياب بدون عذر",'KG1-5'!$AD$7:$IM$7,"✓",'KG1-5'!$AD$5:$IM$5,"&lt;="&amp;D2910))</f>
        <v/>
      </c>
      <c r="G2910">
        <f>G2909+IF(D2910="",0,1)</f>
        <v/>
      </c>
    </row>
    <row r="2911">
      <c r="A2911">
        <f>IF('KG1-5'!$B34="","",'KG1-5'!$B34)</f>
        <v/>
      </c>
      <c r="B2911">
        <f>IF(A2911="","",'KG1-5'!$C34)</f>
        <v/>
      </c>
      <c r="C2911">
        <f>IF(A2911="","",'KG1-5'!$B$2)</f>
        <v/>
      </c>
      <c r="D2911" s="126">
        <f t="array" ref="D2911">IF(A2911="","",IFERROR(SMALL(IF((('KG1-5'!$AD34:$IM34="غياب بدون عذر")+('KG1-5'!$AD34:$IM34="غياب بعذر"))*('KG1-5'!$AD$7:$IM$7="✓"),'KG1-5'!$AD$5:$IM$5),10),""))</f>
        <v/>
      </c>
      <c r="E2911">
        <f>IF(D2911="","",INDEX('KG1-5'!$AD34:$IM34,MATCH(D2911,'KG1-5'!$AD$5:$IM$5,0)))</f>
        <v/>
      </c>
      <c r="F2911">
        <f>IF(D2911="","",COUNTIFS('KG1-5'!$AD34:$IM34,"غياب بدون عذر",'KG1-5'!$AD$7:$IM$7,"✓",'KG1-5'!$AD$5:$IM$5,"&lt;="&amp;D2911))</f>
        <v/>
      </c>
      <c r="G2911">
        <f>G2910+IF(D2911="",0,1)</f>
        <v/>
      </c>
    </row>
    <row r="2912">
      <c r="A2912">
        <f>IF('KG1-5'!$B34="","",'KG1-5'!$B34)</f>
        <v/>
      </c>
      <c r="B2912">
        <f>IF(A2912="","",'KG1-5'!$C34)</f>
        <v/>
      </c>
      <c r="C2912">
        <f>IF(A2912="","",'KG1-5'!$B$2)</f>
        <v/>
      </c>
      <c r="D2912" s="126">
        <f t="array" ref="D2912">IF(A2912="","",IFERROR(SMALL(IF((('KG1-5'!$AD34:$IM34="غياب بدون عذر")+('KG1-5'!$AD34:$IM34="غياب بعذر"))*('KG1-5'!$AD$7:$IM$7="✓"),'KG1-5'!$AD$5:$IM$5),11),""))</f>
        <v/>
      </c>
      <c r="E2912">
        <f>IF(D2912="","",INDEX('KG1-5'!$AD34:$IM34,MATCH(D2912,'KG1-5'!$AD$5:$IM$5,0)))</f>
        <v/>
      </c>
      <c r="F2912">
        <f>IF(D2912="","",COUNTIFS('KG1-5'!$AD34:$IM34,"غياب بدون عذر",'KG1-5'!$AD$7:$IM$7,"✓",'KG1-5'!$AD$5:$IM$5,"&lt;="&amp;D2912))</f>
        <v/>
      </c>
      <c r="G2912">
        <f>G2911+IF(D2912="",0,1)</f>
        <v/>
      </c>
    </row>
    <row r="2913">
      <c r="A2913">
        <f>IF('KG1-5'!$B34="","",'KG1-5'!$B34)</f>
        <v/>
      </c>
      <c r="B2913">
        <f>IF(A2913="","",'KG1-5'!$C34)</f>
        <v/>
      </c>
      <c r="C2913">
        <f>IF(A2913="","",'KG1-5'!$B$2)</f>
        <v/>
      </c>
      <c r="D2913" s="126">
        <f t="array" ref="D2913">IF(A2913="","",IFERROR(SMALL(IF((('KG1-5'!$AD34:$IM34="غياب بدون عذر")+('KG1-5'!$AD34:$IM34="غياب بعذر"))*('KG1-5'!$AD$7:$IM$7="✓"),'KG1-5'!$AD$5:$IM$5),12),""))</f>
        <v/>
      </c>
      <c r="E2913">
        <f>IF(D2913="","",INDEX('KG1-5'!$AD34:$IM34,MATCH(D2913,'KG1-5'!$AD$5:$IM$5,0)))</f>
        <v/>
      </c>
      <c r="F2913">
        <f>IF(D2913="","",COUNTIFS('KG1-5'!$AD34:$IM34,"غياب بدون عذر",'KG1-5'!$AD$7:$IM$7,"✓",'KG1-5'!$AD$5:$IM$5,"&lt;="&amp;D2913))</f>
        <v/>
      </c>
      <c r="G2913">
        <f>G2912+IF(D2913="",0,1)</f>
        <v/>
      </c>
    </row>
    <row r="2914">
      <c r="A2914">
        <f>IF('KG1-5'!$B34="","",'KG1-5'!$B34)</f>
        <v/>
      </c>
      <c r="B2914">
        <f>IF(A2914="","",'KG1-5'!$C34)</f>
        <v/>
      </c>
      <c r="C2914">
        <f>IF(A2914="","",'KG1-5'!$B$2)</f>
        <v/>
      </c>
      <c r="D2914" s="126">
        <f t="array" ref="D2914">IF(A2914="","",IFERROR(SMALL(IF((('KG1-5'!$AD34:$IM34="غياب بدون عذر")+('KG1-5'!$AD34:$IM34="غياب بعذر"))*('KG1-5'!$AD$7:$IM$7="✓"),'KG1-5'!$AD$5:$IM$5),13),""))</f>
        <v/>
      </c>
      <c r="E2914">
        <f>IF(D2914="","",INDEX('KG1-5'!$AD34:$IM34,MATCH(D2914,'KG1-5'!$AD$5:$IM$5,0)))</f>
        <v/>
      </c>
      <c r="F2914">
        <f>IF(D2914="","",COUNTIFS('KG1-5'!$AD34:$IM34,"غياب بدون عذر",'KG1-5'!$AD$7:$IM$7,"✓",'KG1-5'!$AD$5:$IM$5,"&lt;="&amp;D2914))</f>
        <v/>
      </c>
      <c r="G2914">
        <f>G2913+IF(D2914="",0,1)</f>
        <v/>
      </c>
    </row>
    <row r="2915">
      <c r="A2915">
        <f>IF('KG1-5'!$B34="","",'KG1-5'!$B34)</f>
        <v/>
      </c>
      <c r="B2915">
        <f>IF(A2915="","",'KG1-5'!$C34)</f>
        <v/>
      </c>
      <c r="C2915">
        <f>IF(A2915="","",'KG1-5'!$B$2)</f>
        <v/>
      </c>
      <c r="D2915" s="126">
        <f t="array" ref="D2915">IF(A2915="","",IFERROR(SMALL(IF((('KG1-5'!$AD34:$IM34="غياب بدون عذر")+('KG1-5'!$AD34:$IM34="غياب بعذر"))*('KG1-5'!$AD$7:$IM$7="✓"),'KG1-5'!$AD$5:$IM$5),14),""))</f>
        <v/>
      </c>
      <c r="E2915">
        <f>IF(D2915="","",INDEX('KG1-5'!$AD34:$IM34,MATCH(D2915,'KG1-5'!$AD$5:$IM$5,0)))</f>
        <v/>
      </c>
      <c r="F2915">
        <f>IF(D2915="","",COUNTIFS('KG1-5'!$AD34:$IM34,"غياب بدون عذر",'KG1-5'!$AD$7:$IM$7,"✓",'KG1-5'!$AD$5:$IM$5,"&lt;="&amp;D2915))</f>
        <v/>
      </c>
      <c r="G2915">
        <f>G2914+IF(D2915="",0,1)</f>
        <v/>
      </c>
    </row>
    <row r="2916">
      <c r="A2916">
        <f>IF('KG1-5'!$B34="","",'KG1-5'!$B34)</f>
        <v/>
      </c>
      <c r="B2916">
        <f>IF(A2916="","",'KG1-5'!$C34)</f>
        <v/>
      </c>
      <c r="C2916">
        <f>IF(A2916="","",'KG1-5'!$B$2)</f>
        <v/>
      </c>
      <c r="D2916" s="126">
        <f t="array" ref="D2916">IF(A2916="","",IFERROR(SMALL(IF((('KG1-5'!$AD34:$IM34="غياب بدون عذر")+('KG1-5'!$AD34:$IM34="غياب بعذر"))*('KG1-5'!$AD$7:$IM$7="✓"),'KG1-5'!$AD$5:$IM$5),15),""))</f>
        <v/>
      </c>
      <c r="E2916">
        <f>IF(D2916="","",INDEX('KG1-5'!$AD34:$IM34,MATCH(D2916,'KG1-5'!$AD$5:$IM$5,0)))</f>
        <v/>
      </c>
      <c r="F2916">
        <f>IF(D2916="","",COUNTIFS('KG1-5'!$AD34:$IM34,"غياب بدون عذر",'KG1-5'!$AD$7:$IM$7,"✓",'KG1-5'!$AD$5:$IM$5,"&lt;="&amp;D2916))</f>
        <v/>
      </c>
      <c r="G2916">
        <f>G2915+IF(D2916="",0,1)</f>
        <v/>
      </c>
    </row>
    <row r="2917">
      <c r="A2917">
        <f>IF('KG1-5'!$B34="","",'KG1-5'!$B34)</f>
        <v/>
      </c>
      <c r="B2917">
        <f>IF(A2917="","",'KG1-5'!$C34)</f>
        <v/>
      </c>
      <c r="C2917">
        <f>IF(A2917="","",'KG1-5'!$B$2)</f>
        <v/>
      </c>
      <c r="D2917" s="126">
        <f t="array" ref="D2917">IF(A2917="","",IFERROR(SMALL(IF((('KG1-5'!$AD34:$IM34="غياب بدون عذر")+('KG1-5'!$AD34:$IM34="غياب بعذر"))*('KG1-5'!$AD$7:$IM$7="✓"),'KG1-5'!$AD$5:$IM$5),16),""))</f>
        <v/>
      </c>
      <c r="E2917">
        <f>IF(D2917="","",INDEX('KG1-5'!$AD34:$IM34,MATCH(D2917,'KG1-5'!$AD$5:$IM$5,0)))</f>
        <v/>
      </c>
      <c r="F2917">
        <f>IF(D2917="","",COUNTIFS('KG1-5'!$AD34:$IM34,"غياب بدون عذر",'KG1-5'!$AD$7:$IM$7,"✓",'KG1-5'!$AD$5:$IM$5,"&lt;="&amp;D2917))</f>
        <v/>
      </c>
      <c r="G2917">
        <f>G2916+IF(D2917="",0,1)</f>
        <v/>
      </c>
    </row>
    <row r="2918">
      <c r="A2918">
        <f>IF('KG1-5'!$B34="","",'KG1-5'!$B34)</f>
        <v/>
      </c>
      <c r="B2918">
        <f>IF(A2918="","",'KG1-5'!$C34)</f>
        <v/>
      </c>
      <c r="C2918">
        <f>IF(A2918="","",'KG1-5'!$B$2)</f>
        <v/>
      </c>
      <c r="D2918" s="126">
        <f t="array" ref="D2918">IF(A2918="","",IFERROR(SMALL(IF((('KG1-5'!$AD34:$IM34="غياب بدون عذر")+('KG1-5'!$AD34:$IM34="غياب بعذر"))*('KG1-5'!$AD$7:$IM$7="✓"),'KG1-5'!$AD$5:$IM$5),17),""))</f>
        <v/>
      </c>
      <c r="E2918">
        <f>IF(D2918="","",INDEX('KG1-5'!$AD34:$IM34,MATCH(D2918,'KG1-5'!$AD$5:$IM$5,0)))</f>
        <v/>
      </c>
      <c r="F2918">
        <f>IF(D2918="","",COUNTIFS('KG1-5'!$AD34:$IM34,"غياب بدون عذر",'KG1-5'!$AD$7:$IM$7,"✓",'KG1-5'!$AD$5:$IM$5,"&lt;="&amp;D2918))</f>
        <v/>
      </c>
      <c r="G2918">
        <f>G2917+IF(D2918="",0,1)</f>
        <v/>
      </c>
    </row>
    <row r="2919">
      <c r="A2919">
        <f>IF('KG1-5'!$B34="","",'KG1-5'!$B34)</f>
        <v/>
      </c>
      <c r="B2919">
        <f>IF(A2919="","",'KG1-5'!$C34)</f>
        <v/>
      </c>
      <c r="C2919">
        <f>IF(A2919="","",'KG1-5'!$B$2)</f>
        <v/>
      </c>
      <c r="D2919" s="126">
        <f t="array" ref="D2919">IF(A2919="","",IFERROR(SMALL(IF((('KG1-5'!$AD34:$IM34="غياب بدون عذر")+('KG1-5'!$AD34:$IM34="غياب بعذر"))*('KG1-5'!$AD$7:$IM$7="✓"),'KG1-5'!$AD$5:$IM$5),18),""))</f>
        <v/>
      </c>
      <c r="E2919">
        <f>IF(D2919="","",INDEX('KG1-5'!$AD34:$IM34,MATCH(D2919,'KG1-5'!$AD$5:$IM$5,0)))</f>
        <v/>
      </c>
      <c r="F2919">
        <f>IF(D2919="","",COUNTIFS('KG1-5'!$AD34:$IM34,"غياب بدون عذر",'KG1-5'!$AD$7:$IM$7,"✓",'KG1-5'!$AD$5:$IM$5,"&lt;="&amp;D2919))</f>
        <v/>
      </c>
      <c r="G2919">
        <f>G2918+IF(D2919="",0,1)</f>
        <v/>
      </c>
    </row>
    <row r="2920">
      <c r="A2920">
        <f>IF('KG1-5'!$B34="","",'KG1-5'!$B34)</f>
        <v/>
      </c>
      <c r="B2920">
        <f>IF(A2920="","",'KG1-5'!$C34)</f>
        <v/>
      </c>
      <c r="C2920">
        <f>IF(A2920="","",'KG1-5'!$B$2)</f>
        <v/>
      </c>
      <c r="D2920" s="126">
        <f t="array" ref="D2920">IF(A2920="","",IFERROR(SMALL(IF((('KG1-5'!$AD34:$IM34="غياب بدون عذر")+('KG1-5'!$AD34:$IM34="غياب بعذر"))*('KG1-5'!$AD$7:$IM$7="✓"),'KG1-5'!$AD$5:$IM$5),19),""))</f>
        <v/>
      </c>
      <c r="E2920">
        <f>IF(D2920="","",INDEX('KG1-5'!$AD34:$IM34,MATCH(D2920,'KG1-5'!$AD$5:$IM$5,0)))</f>
        <v/>
      </c>
      <c r="F2920">
        <f>IF(D2920="","",COUNTIFS('KG1-5'!$AD34:$IM34,"غياب بدون عذر",'KG1-5'!$AD$7:$IM$7,"✓",'KG1-5'!$AD$5:$IM$5,"&lt;="&amp;D2920))</f>
        <v/>
      </c>
      <c r="G2920">
        <f>G2919+IF(D2920="",0,1)</f>
        <v/>
      </c>
    </row>
    <row r="2921">
      <c r="A2921">
        <f>IF('KG1-5'!$B34="","",'KG1-5'!$B34)</f>
        <v/>
      </c>
      <c r="B2921">
        <f>IF(A2921="","",'KG1-5'!$C34)</f>
        <v/>
      </c>
      <c r="C2921">
        <f>IF(A2921="","",'KG1-5'!$B$2)</f>
        <v/>
      </c>
      <c r="D2921" s="126">
        <f t="array" ref="D2921">IF(A2921="","",IFERROR(SMALL(IF((('KG1-5'!$AD34:$IM34="غياب بدون عذر")+('KG1-5'!$AD34:$IM34="غياب بعذر"))*('KG1-5'!$AD$7:$IM$7="✓"),'KG1-5'!$AD$5:$IM$5),20),""))</f>
        <v/>
      </c>
      <c r="E2921">
        <f>IF(D2921="","",INDEX('KG1-5'!$AD34:$IM34,MATCH(D2921,'KG1-5'!$AD$5:$IM$5,0)))</f>
        <v/>
      </c>
      <c r="F2921">
        <f>IF(D2921="","",COUNTIFS('KG1-5'!$AD34:$IM34,"غياب بدون عذر",'KG1-5'!$AD$7:$IM$7,"✓",'KG1-5'!$AD$5:$IM$5,"&lt;="&amp;D2921))</f>
        <v/>
      </c>
      <c r="G2921">
        <f>G2920+IF(D2921="",0,1)</f>
        <v/>
      </c>
    </row>
    <row r="2922">
      <c r="A2922">
        <f>IF('KG1-5'!$B35="","",'KG1-5'!$B35)</f>
        <v/>
      </c>
      <c r="B2922">
        <f>IF(A2922="","",'KG1-5'!$C35)</f>
        <v/>
      </c>
      <c r="C2922">
        <f>IF(A2922="","",'KG1-5'!$B$2)</f>
        <v/>
      </c>
      <c r="D2922" s="126">
        <f t="array" ref="D2922">IF(A2922="","",IFERROR(SMALL(IF((('KG1-5'!$AD35:$IM35="غياب بدون عذر")+('KG1-5'!$AD35:$IM35="غياب بعذر"))*('KG1-5'!$AD$7:$IM$7="✓"),'KG1-5'!$AD$5:$IM$5),1),""))</f>
        <v/>
      </c>
      <c r="E2922">
        <f>IF(D2922="","",INDEX('KG1-5'!$AD35:$IM35,MATCH(D2922,'KG1-5'!$AD$5:$IM$5,0)))</f>
        <v/>
      </c>
      <c r="F2922">
        <f>IF(D2922="","",COUNTIFS('KG1-5'!$AD35:$IM35,"غياب بدون عذر",'KG1-5'!$AD$7:$IM$7,"✓",'KG1-5'!$AD$5:$IM$5,"&lt;="&amp;D2922))</f>
        <v/>
      </c>
      <c r="G2922">
        <f>G2921+IF(D2922="",0,1)</f>
        <v/>
      </c>
    </row>
    <row r="2923">
      <c r="A2923">
        <f>IF('KG1-5'!$B35="","",'KG1-5'!$B35)</f>
        <v/>
      </c>
      <c r="B2923">
        <f>IF(A2923="","",'KG1-5'!$C35)</f>
        <v/>
      </c>
      <c r="C2923">
        <f>IF(A2923="","",'KG1-5'!$B$2)</f>
        <v/>
      </c>
      <c r="D2923" s="126">
        <f t="array" ref="D2923">IF(A2923="","",IFERROR(SMALL(IF((('KG1-5'!$AD35:$IM35="غياب بدون عذر")+('KG1-5'!$AD35:$IM35="غياب بعذر"))*('KG1-5'!$AD$7:$IM$7="✓"),'KG1-5'!$AD$5:$IM$5),2),""))</f>
        <v/>
      </c>
      <c r="E2923">
        <f>IF(D2923="","",INDEX('KG1-5'!$AD35:$IM35,MATCH(D2923,'KG1-5'!$AD$5:$IM$5,0)))</f>
        <v/>
      </c>
      <c r="F2923">
        <f>IF(D2923="","",COUNTIFS('KG1-5'!$AD35:$IM35,"غياب بدون عذر",'KG1-5'!$AD$7:$IM$7,"✓",'KG1-5'!$AD$5:$IM$5,"&lt;="&amp;D2923))</f>
        <v/>
      </c>
      <c r="G2923">
        <f>G2922+IF(D2923="",0,1)</f>
        <v/>
      </c>
    </row>
    <row r="2924">
      <c r="A2924">
        <f>IF('KG1-5'!$B35="","",'KG1-5'!$B35)</f>
        <v/>
      </c>
      <c r="B2924">
        <f>IF(A2924="","",'KG1-5'!$C35)</f>
        <v/>
      </c>
      <c r="C2924">
        <f>IF(A2924="","",'KG1-5'!$B$2)</f>
        <v/>
      </c>
      <c r="D2924" s="126">
        <f t="array" ref="D2924">IF(A2924="","",IFERROR(SMALL(IF((('KG1-5'!$AD35:$IM35="غياب بدون عذر")+('KG1-5'!$AD35:$IM35="غياب بعذر"))*('KG1-5'!$AD$7:$IM$7="✓"),'KG1-5'!$AD$5:$IM$5),3),""))</f>
        <v/>
      </c>
      <c r="E2924">
        <f>IF(D2924="","",INDEX('KG1-5'!$AD35:$IM35,MATCH(D2924,'KG1-5'!$AD$5:$IM$5,0)))</f>
        <v/>
      </c>
      <c r="F2924">
        <f>IF(D2924="","",COUNTIFS('KG1-5'!$AD35:$IM35,"غياب بدون عذر",'KG1-5'!$AD$7:$IM$7,"✓",'KG1-5'!$AD$5:$IM$5,"&lt;="&amp;D2924))</f>
        <v/>
      </c>
      <c r="G2924">
        <f>G2923+IF(D2924="",0,1)</f>
        <v/>
      </c>
    </row>
    <row r="2925">
      <c r="A2925">
        <f>IF('KG1-5'!$B35="","",'KG1-5'!$B35)</f>
        <v/>
      </c>
      <c r="B2925">
        <f>IF(A2925="","",'KG1-5'!$C35)</f>
        <v/>
      </c>
      <c r="C2925">
        <f>IF(A2925="","",'KG1-5'!$B$2)</f>
        <v/>
      </c>
      <c r="D2925" s="126">
        <f t="array" ref="D2925">IF(A2925="","",IFERROR(SMALL(IF((('KG1-5'!$AD35:$IM35="غياب بدون عذر")+('KG1-5'!$AD35:$IM35="غياب بعذر"))*('KG1-5'!$AD$7:$IM$7="✓"),'KG1-5'!$AD$5:$IM$5),4),""))</f>
        <v/>
      </c>
      <c r="E2925">
        <f>IF(D2925="","",INDEX('KG1-5'!$AD35:$IM35,MATCH(D2925,'KG1-5'!$AD$5:$IM$5,0)))</f>
        <v/>
      </c>
      <c r="F2925">
        <f>IF(D2925="","",COUNTIFS('KG1-5'!$AD35:$IM35,"غياب بدون عذر",'KG1-5'!$AD$7:$IM$7,"✓",'KG1-5'!$AD$5:$IM$5,"&lt;="&amp;D2925))</f>
        <v/>
      </c>
      <c r="G2925">
        <f>G2924+IF(D2925="",0,1)</f>
        <v/>
      </c>
    </row>
    <row r="2926">
      <c r="A2926">
        <f>IF('KG1-5'!$B35="","",'KG1-5'!$B35)</f>
        <v/>
      </c>
      <c r="B2926">
        <f>IF(A2926="","",'KG1-5'!$C35)</f>
        <v/>
      </c>
      <c r="C2926">
        <f>IF(A2926="","",'KG1-5'!$B$2)</f>
        <v/>
      </c>
      <c r="D2926" s="126">
        <f t="array" ref="D2926">IF(A2926="","",IFERROR(SMALL(IF((('KG1-5'!$AD35:$IM35="غياب بدون عذر")+('KG1-5'!$AD35:$IM35="غياب بعذر"))*('KG1-5'!$AD$7:$IM$7="✓"),'KG1-5'!$AD$5:$IM$5),5),""))</f>
        <v/>
      </c>
      <c r="E2926">
        <f>IF(D2926="","",INDEX('KG1-5'!$AD35:$IM35,MATCH(D2926,'KG1-5'!$AD$5:$IM$5,0)))</f>
        <v/>
      </c>
      <c r="F2926">
        <f>IF(D2926="","",COUNTIFS('KG1-5'!$AD35:$IM35,"غياب بدون عذر",'KG1-5'!$AD$7:$IM$7,"✓",'KG1-5'!$AD$5:$IM$5,"&lt;="&amp;D2926))</f>
        <v/>
      </c>
      <c r="G2926">
        <f>G2925+IF(D2926="",0,1)</f>
        <v/>
      </c>
    </row>
    <row r="2927">
      <c r="A2927">
        <f>IF('KG1-5'!$B35="","",'KG1-5'!$B35)</f>
        <v/>
      </c>
      <c r="B2927">
        <f>IF(A2927="","",'KG1-5'!$C35)</f>
        <v/>
      </c>
      <c r="C2927">
        <f>IF(A2927="","",'KG1-5'!$B$2)</f>
        <v/>
      </c>
      <c r="D2927" s="126">
        <f t="array" ref="D2927">IF(A2927="","",IFERROR(SMALL(IF((('KG1-5'!$AD35:$IM35="غياب بدون عذر")+('KG1-5'!$AD35:$IM35="غياب بعذر"))*('KG1-5'!$AD$7:$IM$7="✓"),'KG1-5'!$AD$5:$IM$5),6),""))</f>
        <v/>
      </c>
      <c r="E2927">
        <f>IF(D2927="","",INDEX('KG1-5'!$AD35:$IM35,MATCH(D2927,'KG1-5'!$AD$5:$IM$5,0)))</f>
        <v/>
      </c>
      <c r="F2927">
        <f>IF(D2927="","",COUNTIFS('KG1-5'!$AD35:$IM35,"غياب بدون عذر",'KG1-5'!$AD$7:$IM$7,"✓",'KG1-5'!$AD$5:$IM$5,"&lt;="&amp;D2927))</f>
        <v/>
      </c>
      <c r="G2927">
        <f>G2926+IF(D2927="",0,1)</f>
        <v/>
      </c>
    </row>
    <row r="2928">
      <c r="A2928">
        <f>IF('KG1-5'!$B35="","",'KG1-5'!$B35)</f>
        <v/>
      </c>
      <c r="B2928">
        <f>IF(A2928="","",'KG1-5'!$C35)</f>
        <v/>
      </c>
      <c r="C2928">
        <f>IF(A2928="","",'KG1-5'!$B$2)</f>
        <v/>
      </c>
      <c r="D2928" s="126">
        <f t="array" ref="D2928">IF(A2928="","",IFERROR(SMALL(IF((('KG1-5'!$AD35:$IM35="غياب بدون عذر")+('KG1-5'!$AD35:$IM35="غياب بعذر"))*('KG1-5'!$AD$7:$IM$7="✓"),'KG1-5'!$AD$5:$IM$5),7),""))</f>
        <v/>
      </c>
      <c r="E2928">
        <f>IF(D2928="","",INDEX('KG1-5'!$AD35:$IM35,MATCH(D2928,'KG1-5'!$AD$5:$IM$5,0)))</f>
        <v/>
      </c>
      <c r="F2928">
        <f>IF(D2928="","",COUNTIFS('KG1-5'!$AD35:$IM35,"غياب بدون عذر",'KG1-5'!$AD$7:$IM$7,"✓",'KG1-5'!$AD$5:$IM$5,"&lt;="&amp;D2928))</f>
        <v/>
      </c>
      <c r="G2928">
        <f>G2927+IF(D2928="",0,1)</f>
        <v/>
      </c>
    </row>
    <row r="2929">
      <c r="A2929">
        <f>IF('KG1-5'!$B35="","",'KG1-5'!$B35)</f>
        <v/>
      </c>
      <c r="B2929">
        <f>IF(A2929="","",'KG1-5'!$C35)</f>
        <v/>
      </c>
      <c r="C2929">
        <f>IF(A2929="","",'KG1-5'!$B$2)</f>
        <v/>
      </c>
      <c r="D2929" s="126">
        <f t="array" ref="D2929">IF(A2929="","",IFERROR(SMALL(IF((('KG1-5'!$AD35:$IM35="غياب بدون عذر")+('KG1-5'!$AD35:$IM35="غياب بعذر"))*('KG1-5'!$AD$7:$IM$7="✓"),'KG1-5'!$AD$5:$IM$5),8),""))</f>
        <v/>
      </c>
      <c r="E2929">
        <f>IF(D2929="","",INDEX('KG1-5'!$AD35:$IM35,MATCH(D2929,'KG1-5'!$AD$5:$IM$5,0)))</f>
        <v/>
      </c>
      <c r="F2929">
        <f>IF(D2929="","",COUNTIFS('KG1-5'!$AD35:$IM35,"غياب بدون عذر",'KG1-5'!$AD$7:$IM$7,"✓",'KG1-5'!$AD$5:$IM$5,"&lt;="&amp;D2929))</f>
        <v/>
      </c>
      <c r="G2929">
        <f>G2928+IF(D2929="",0,1)</f>
        <v/>
      </c>
    </row>
    <row r="2930">
      <c r="A2930">
        <f>IF('KG1-5'!$B35="","",'KG1-5'!$B35)</f>
        <v/>
      </c>
      <c r="B2930">
        <f>IF(A2930="","",'KG1-5'!$C35)</f>
        <v/>
      </c>
      <c r="C2930">
        <f>IF(A2930="","",'KG1-5'!$B$2)</f>
        <v/>
      </c>
      <c r="D2930" s="126">
        <f t="array" ref="D2930">IF(A2930="","",IFERROR(SMALL(IF((('KG1-5'!$AD35:$IM35="غياب بدون عذر")+('KG1-5'!$AD35:$IM35="غياب بعذر"))*('KG1-5'!$AD$7:$IM$7="✓"),'KG1-5'!$AD$5:$IM$5),9),""))</f>
        <v/>
      </c>
      <c r="E2930">
        <f>IF(D2930="","",INDEX('KG1-5'!$AD35:$IM35,MATCH(D2930,'KG1-5'!$AD$5:$IM$5,0)))</f>
        <v/>
      </c>
      <c r="F2930">
        <f>IF(D2930="","",COUNTIFS('KG1-5'!$AD35:$IM35,"غياب بدون عذر",'KG1-5'!$AD$7:$IM$7,"✓",'KG1-5'!$AD$5:$IM$5,"&lt;="&amp;D2930))</f>
        <v/>
      </c>
      <c r="G2930">
        <f>G2929+IF(D2930="",0,1)</f>
        <v/>
      </c>
    </row>
    <row r="2931">
      <c r="A2931">
        <f>IF('KG1-5'!$B35="","",'KG1-5'!$B35)</f>
        <v/>
      </c>
      <c r="B2931">
        <f>IF(A2931="","",'KG1-5'!$C35)</f>
        <v/>
      </c>
      <c r="C2931">
        <f>IF(A2931="","",'KG1-5'!$B$2)</f>
        <v/>
      </c>
      <c r="D2931" s="126">
        <f t="array" ref="D2931">IF(A2931="","",IFERROR(SMALL(IF((('KG1-5'!$AD35:$IM35="غياب بدون عذر")+('KG1-5'!$AD35:$IM35="غياب بعذر"))*('KG1-5'!$AD$7:$IM$7="✓"),'KG1-5'!$AD$5:$IM$5),10),""))</f>
        <v/>
      </c>
      <c r="E2931">
        <f>IF(D2931="","",INDEX('KG1-5'!$AD35:$IM35,MATCH(D2931,'KG1-5'!$AD$5:$IM$5,0)))</f>
        <v/>
      </c>
      <c r="F2931">
        <f>IF(D2931="","",COUNTIFS('KG1-5'!$AD35:$IM35,"غياب بدون عذر",'KG1-5'!$AD$7:$IM$7,"✓",'KG1-5'!$AD$5:$IM$5,"&lt;="&amp;D2931))</f>
        <v/>
      </c>
      <c r="G2931">
        <f>G2930+IF(D2931="",0,1)</f>
        <v/>
      </c>
    </row>
    <row r="2932">
      <c r="A2932">
        <f>IF('KG1-5'!$B35="","",'KG1-5'!$B35)</f>
        <v/>
      </c>
      <c r="B2932">
        <f>IF(A2932="","",'KG1-5'!$C35)</f>
        <v/>
      </c>
      <c r="C2932">
        <f>IF(A2932="","",'KG1-5'!$B$2)</f>
        <v/>
      </c>
      <c r="D2932" s="126">
        <f t="array" ref="D2932">IF(A2932="","",IFERROR(SMALL(IF((('KG1-5'!$AD35:$IM35="غياب بدون عذر")+('KG1-5'!$AD35:$IM35="غياب بعذر"))*('KG1-5'!$AD$7:$IM$7="✓"),'KG1-5'!$AD$5:$IM$5),11),""))</f>
        <v/>
      </c>
      <c r="E2932">
        <f>IF(D2932="","",INDEX('KG1-5'!$AD35:$IM35,MATCH(D2932,'KG1-5'!$AD$5:$IM$5,0)))</f>
        <v/>
      </c>
      <c r="F2932">
        <f>IF(D2932="","",COUNTIFS('KG1-5'!$AD35:$IM35,"غياب بدون عذر",'KG1-5'!$AD$7:$IM$7,"✓",'KG1-5'!$AD$5:$IM$5,"&lt;="&amp;D2932))</f>
        <v/>
      </c>
      <c r="G2932">
        <f>G2931+IF(D2932="",0,1)</f>
        <v/>
      </c>
    </row>
    <row r="2933">
      <c r="A2933">
        <f>IF('KG1-5'!$B35="","",'KG1-5'!$B35)</f>
        <v/>
      </c>
      <c r="B2933">
        <f>IF(A2933="","",'KG1-5'!$C35)</f>
        <v/>
      </c>
      <c r="C2933">
        <f>IF(A2933="","",'KG1-5'!$B$2)</f>
        <v/>
      </c>
      <c r="D2933" s="126">
        <f t="array" ref="D2933">IF(A2933="","",IFERROR(SMALL(IF((('KG1-5'!$AD35:$IM35="غياب بدون عذر")+('KG1-5'!$AD35:$IM35="غياب بعذر"))*('KG1-5'!$AD$7:$IM$7="✓"),'KG1-5'!$AD$5:$IM$5),12),""))</f>
        <v/>
      </c>
      <c r="E2933">
        <f>IF(D2933="","",INDEX('KG1-5'!$AD35:$IM35,MATCH(D2933,'KG1-5'!$AD$5:$IM$5,0)))</f>
        <v/>
      </c>
      <c r="F2933">
        <f>IF(D2933="","",COUNTIFS('KG1-5'!$AD35:$IM35,"غياب بدون عذر",'KG1-5'!$AD$7:$IM$7,"✓",'KG1-5'!$AD$5:$IM$5,"&lt;="&amp;D2933))</f>
        <v/>
      </c>
      <c r="G2933">
        <f>G2932+IF(D2933="",0,1)</f>
        <v/>
      </c>
    </row>
    <row r="2934">
      <c r="A2934">
        <f>IF('KG1-5'!$B35="","",'KG1-5'!$B35)</f>
        <v/>
      </c>
      <c r="B2934">
        <f>IF(A2934="","",'KG1-5'!$C35)</f>
        <v/>
      </c>
      <c r="C2934">
        <f>IF(A2934="","",'KG1-5'!$B$2)</f>
        <v/>
      </c>
      <c r="D2934" s="126">
        <f t="array" ref="D2934">IF(A2934="","",IFERROR(SMALL(IF((('KG1-5'!$AD35:$IM35="غياب بدون عذر")+('KG1-5'!$AD35:$IM35="غياب بعذر"))*('KG1-5'!$AD$7:$IM$7="✓"),'KG1-5'!$AD$5:$IM$5),13),""))</f>
        <v/>
      </c>
      <c r="E2934">
        <f>IF(D2934="","",INDEX('KG1-5'!$AD35:$IM35,MATCH(D2934,'KG1-5'!$AD$5:$IM$5,0)))</f>
        <v/>
      </c>
      <c r="F2934">
        <f>IF(D2934="","",COUNTIFS('KG1-5'!$AD35:$IM35,"غياب بدون عذر",'KG1-5'!$AD$7:$IM$7,"✓",'KG1-5'!$AD$5:$IM$5,"&lt;="&amp;D2934))</f>
        <v/>
      </c>
      <c r="G2934">
        <f>G2933+IF(D2934="",0,1)</f>
        <v/>
      </c>
    </row>
    <row r="2935">
      <c r="A2935">
        <f>IF('KG1-5'!$B35="","",'KG1-5'!$B35)</f>
        <v/>
      </c>
      <c r="B2935">
        <f>IF(A2935="","",'KG1-5'!$C35)</f>
        <v/>
      </c>
      <c r="C2935">
        <f>IF(A2935="","",'KG1-5'!$B$2)</f>
        <v/>
      </c>
      <c r="D2935" s="126">
        <f t="array" ref="D2935">IF(A2935="","",IFERROR(SMALL(IF((('KG1-5'!$AD35:$IM35="غياب بدون عذر")+('KG1-5'!$AD35:$IM35="غياب بعذر"))*('KG1-5'!$AD$7:$IM$7="✓"),'KG1-5'!$AD$5:$IM$5),14),""))</f>
        <v/>
      </c>
      <c r="E2935">
        <f>IF(D2935="","",INDEX('KG1-5'!$AD35:$IM35,MATCH(D2935,'KG1-5'!$AD$5:$IM$5,0)))</f>
        <v/>
      </c>
      <c r="F2935">
        <f>IF(D2935="","",COUNTIFS('KG1-5'!$AD35:$IM35,"غياب بدون عذر",'KG1-5'!$AD$7:$IM$7,"✓",'KG1-5'!$AD$5:$IM$5,"&lt;="&amp;D2935))</f>
        <v/>
      </c>
      <c r="G2935">
        <f>G2934+IF(D2935="",0,1)</f>
        <v/>
      </c>
    </row>
    <row r="2936">
      <c r="A2936">
        <f>IF('KG1-5'!$B35="","",'KG1-5'!$B35)</f>
        <v/>
      </c>
      <c r="B2936">
        <f>IF(A2936="","",'KG1-5'!$C35)</f>
        <v/>
      </c>
      <c r="C2936">
        <f>IF(A2936="","",'KG1-5'!$B$2)</f>
        <v/>
      </c>
      <c r="D2936" s="126">
        <f t="array" ref="D2936">IF(A2936="","",IFERROR(SMALL(IF((('KG1-5'!$AD35:$IM35="غياب بدون عذر")+('KG1-5'!$AD35:$IM35="غياب بعذر"))*('KG1-5'!$AD$7:$IM$7="✓"),'KG1-5'!$AD$5:$IM$5),15),""))</f>
        <v/>
      </c>
      <c r="E2936">
        <f>IF(D2936="","",INDEX('KG1-5'!$AD35:$IM35,MATCH(D2936,'KG1-5'!$AD$5:$IM$5,0)))</f>
        <v/>
      </c>
      <c r="F2936">
        <f>IF(D2936="","",COUNTIFS('KG1-5'!$AD35:$IM35,"غياب بدون عذر",'KG1-5'!$AD$7:$IM$7,"✓",'KG1-5'!$AD$5:$IM$5,"&lt;="&amp;D2936))</f>
        <v/>
      </c>
      <c r="G2936">
        <f>G2935+IF(D2936="",0,1)</f>
        <v/>
      </c>
    </row>
    <row r="2937">
      <c r="A2937">
        <f>IF('KG1-5'!$B35="","",'KG1-5'!$B35)</f>
        <v/>
      </c>
      <c r="B2937">
        <f>IF(A2937="","",'KG1-5'!$C35)</f>
        <v/>
      </c>
      <c r="C2937">
        <f>IF(A2937="","",'KG1-5'!$B$2)</f>
        <v/>
      </c>
      <c r="D2937" s="126">
        <f t="array" ref="D2937">IF(A2937="","",IFERROR(SMALL(IF((('KG1-5'!$AD35:$IM35="غياب بدون عذر")+('KG1-5'!$AD35:$IM35="غياب بعذر"))*('KG1-5'!$AD$7:$IM$7="✓"),'KG1-5'!$AD$5:$IM$5),16),""))</f>
        <v/>
      </c>
      <c r="E2937">
        <f>IF(D2937="","",INDEX('KG1-5'!$AD35:$IM35,MATCH(D2937,'KG1-5'!$AD$5:$IM$5,0)))</f>
        <v/>
      </c>
      <c r="F2937">
        <f>IF(D2937="","",COUNTIFS('KG1-5'!$AD35:$IM35,"غياب بدون عذر",'KG1-5'!$AD$7:$IM$7,"✓",'KG1-5'!$AD$5:$IM$5,"&lt;="&amp;D2937))</f>
        <v/>
      </c>
      <c r="G2937">
        <f>G2936+IF(D2937="",0,1)</f>
        <v/>
      </c>
    </row>
    <row r="2938">
      <c r="A2938">
        <f>IF('KG1-5'!$B35="","",'KG1-5'!$B35)</f>
        <v/>
      </c>
      <c r="B2938">
        <f>IF(A2938="","",'KG1-5'!$C35)</f>
        <v/>
      </c>
      <c r="C2938">
        <f>IF(A2938="","",'KG1-5'!$B$2)</f>
        <v/>
      </c>
      <c r="D2938" s="126">
        <f t="array" ref="D2938">IF(A2938="","",IFERROR(SMALL(IF((('KG1-5'!$AD35:$IM35="غياب بدون عذر")+('KG1-5'!$AD35:$IM35="غياب بعذر"))*('KG1-5'!$AD$7:$IM$7="✓"),'KG1-5'!$AD$5:$IM$5),17),""))</f>
        <v/>
      </c>
      <c r="E2938">
        <f>IF(D2938="","",INDEX('KG1-5'!$AD35:$IM35,MATCH(D2938,'KG1-5'!$AD$5:$IM$5,0)))</f>
        <v/>
      </c>
      <c r="F2938">
        <f>IF(D2938="","",COUNTIFS('KG1-5'!$AD35:$IM35,"غياب بدون عذر",'KG1-5'!$AD$7:$IM$7,"✓",'KG1-5'!$AD$5:$IM$5,"&lt;="&amp;D2938))</f>
        <v/>
      </c>
      <c r="G2938">
        <f>G2937+IF(D2938="",0,1)</f>
        <v/>
      </c>
    </row>
    <row r="2939">
      <c r="A2939">
        <f>IF('KG1-5'!$B35="","",'KG1-5'!$B35)</f>
        <v/>
      </c>
      <c r="B2939">
        <f>IF(A2939="","",'KG1-5'!$C35)</f>
        <v/>
      </c>
      <c r="C2939">
        <f>IF(A2939="","",'KG1-5'!$B$2)</f>
        <v/>
      </c>
      <c r="D2939" s="126">
        <f t="array" ref="D2939">IF(A2939="","",IFERROR(SMALL(IF((('KG1-5'!$AD35:$IM35="غياب بدون عذر")+('KG1-5'!$AD35:$IM35="غياب بعذر"))*('KG1-5'!$AD$7:$IM$7="✓"),'KG1-5'!$AD$5:$IM$5),18),""))</f>
        <v/>
      </c>
      <c r="E2939">
        <f>IF(D2939="","",INDEX('KG1-5'!$AD35:$IM35,MATCH(D2939,'KG1-5'!$AD$5:$IM$5,0)))</f>
        <v/>
      </c>
      <c r="F2939">
        <f>IF(D2939="","",COUNTIFS('KG1-5'!$AD35:$IM35,"غياب بدون عذر",'KG1-5'!$AD$7:$IM$7,"✓",'KG1-5'!$AD$5:$IM$5,"&lt;="&amp;D2939))</f>
        <v/>
      </c>
      <c r="G2939">
        <f>G2938+IF(D2939="",0,1)</f>
        <v/>
      </c>
    </row>
    <row r="2940">
      <c r="A2940">
        <f>IF('KG1-5'!$B35="","",'KG1-5'!$B35)</f>
        <v/>
      </c>
      <c r="B2940">
        <f>IF(A2940="","",'KG1-5'!$C35)</f>
        <v/>
      </c>
      <c r="C2940">
        <f>IF(A2940="","",'KG1-5'!$B$2)</f>
        <v/>
      </c>
      <c r="D2940" s="126">
        <f t="array" ref="D2940">IF(A2940="","",IFERROR(SMALL(IF((('KG1-5'!$AD35:$IM35="غياب بدون عذر")+('KG1-5'!$AD35:$IM35="غياب بعذر"))*('KG1-5'!$AD$7:$IM$7="✓"),'KG1-5'!$AD$5:$IM$5),19),""))</f>
        <v/>
      </c>
      <c r="E2940">
        <f>IF(D2940="","",INDEX('KG1-5'!$AD35:$IM35,MATCH(D2940,'KG1-5'!$AD$5:$IM$5,0)))</f>
        <v/>
      </c>
      <c r="F2940">
        <f>IF(D2940="","",COUNTIFS('KG1-5'!$AD35:$IM35,"غياب بدون عذر",'KG1-5'!$AD$7:$IM$7,"✓",'KG1-5'!$AD$5:$IM$5,"&lt;="&amp;D2940))</f>
        <v/>
      </c>
      <c r="G2940">
        <f>G2939+IF(D2940="",0,1)</f>
        <v/>
      </c>
    </row>
    <row r="2941">
      <c r="A2941">
        <f>IF('KG1-5'!$B35="","",'KG1-5'!$B35)</f>
        <v/>
      </c>
      <c r="B2941">
        <f>IF(A2941="","",'KG1-5'!$C35)</f>
        <v/>
      </c>
      <c r="C2941">
        <f>IF(A2941="","",'KG1-5'!$B$2)</f>
        <v/>
      </c>
      <c r="D2941" s="126">
        <f t="array" ref="D2941">IF(A2941="","",IFERROR(SMALL(IF((('KG1-5'!$AD35:$IM35="غياب بدون عذر")+('KG1-5'!$AD35:$IM35="غياب بعذر"))*('KG1-5'!$AD$7:$IM$7="✓"),'KG1-5'!$AD$5:$IM$5),20),""))</f>
        <v/>
      </c>
      <c r="E2941">
        <f>IF(D2941="","",INDEX('KG1-5'!$AD35:$IM35,MATCH(D2941,'KG1-5'!$AD$5:$IM$5,0)))</f>
        <v/>
      </c>
      <c r="F2941">
        <f>IF(D2941="","",COUNTIFS('KG1-5'!$AD35:$IM35,"غياب بدون عذر",'KG1-5'!$AD$7:$IM$7,"✓",'KG1-5'!$AD$5:$IM$5,"&lt;="&amp;D2941))</f>
        <v/>
      </c>
      <c r="G2941">
        <f>G2940+IF(D2941="",0,1)</f>
        <v/>
      </c>
    </row>
    <row r="2942">
      <c r="A2942">
        <f>IF('KG1-5'!$B36="","",'KG1-5'!$B36)</f>
        <v/>
      </c>
      <c r="B2942">
        <f>IF(A2942="","",'KG1-5'!$C36)</f>
        <v/>
      </c>
      <c r="C2942">
        <f>IF(A2942="","",'KG1-5'!$B$2)</f>
        <v/>
      </c>
      <c r="D2942" s="126">
        <f t="array" ref="D2942">IF(A2942="","",IFERROR(SMALL(IF((('KG1-5'!$AD36:$IM36="غياب بدون عذر")+('KG1-5'!$AD36:$IM36="غياب بعذر"))*('KG1-5'!$AD$7:$IM$7="✓"),'KG1-5'!$AD$5:$IM$5),1),""))</f>
        <v/>
      </c>
      <c r="E2942">
        <f>IF(D2942="","",INDEX('KG1-5'!$AD36:$IM36,MATCH(D2942,'KG1-5'!$AD$5:$IM$5,0)))</f>
        <v/>
      </c>
      <c r="F2942">
        <f>IF(D2942="","",COUNTIFS('KG1-5'!$AD36:$IM36,"غياب بدون عذر",'KG1-5'!$AD$7:$IM$7,"✓",'KG1-5'!$AD$5:$IM$5,"&lt;="&amp;D2942))</f>
        <v/>
      </c>
      <c r="G2942">
        <f>G2941+IF(D2942="",0,1)</f>
        <v/>
      </c>
    </row>
    <row r="2943">
      <c r="A2943">
        <f>IF('KG1-5'!$B36="","",'KG1-5'!$B36)</f>
        <v/>
      </c>
      <c r="B2943">
        <f>IF(A2943="","",'KG1-5'!$C36)</f>
        <v/>
      </c>
      <c r="C2943">
        <f>IF(A2943="","",'KG1-5'!$B$2)</f>
        <v/>
      </c>
      <c r="D2943" s="126">
        <f t="array" ref="D2943">IF(A2943="","",IFERROR(SMALL(IF((('KG1-5'!$AD36:$IM36="غياب بدون عذر")+('KG1-5'!$AD36:$IM36="غياب بعذر"))*('KG1-5'!$AD$7:$IM$7="✓"),'KG1-5'!$AD$5:$IM$5),2),""))</f>
        <v/>
      </c>
      <c r="E2943">
        <f>IF(D2943="","",INDEX('KG1-5'!$AD36:$IM36,MATCH(D2943,'KG1-5'!$AD$5:$IM$5,0)))</f>
        <v/>
      </c>
      <c r="F2943">
        <f>IF(D2943="","",COUNTIFS('KG1-5'!$AD36:$IM36,"غياب بدون عذر",'KG1-5'!$AD$7:$IM$7,"✓",'KG1-5'!$AD$5:$IM$5,"&lt;="&amp;D2943))</f>
        <v/>
      </c>
      <c r="G2943">
        <f>G2942+IF(D2943="",0,1)</f>
        <v/>
      </c>
    </row>
    <row r="2944">
      <c r="A2944">
        <f>IF('KG1-5'!$B36="","",'KG1-5'!$B36)</f>
        <v/>
      </c>
      <c r="B2944">
        <f>IF(A2944="","",'KG1-5'!$C36)</f>
        <v/>
      </c>
      <c r="C2944">
        <f>IF(A2944="","",'KG1-5'!$B$2)</f>
        <v/>
      </c>
      <c r="D2944" s="126">
        <f t="array" ref="D2944">IF(A2944="","",IFERROR(SMALL(IF((('KG1-5'!$AD36:$IM36="غياب بدون عذر")+('KG1-5'!$AD36:$IM36="غياب بعذر"))*('KG1-5'!$AD$7:$IM$7="✓"),'KG1-5'!$AD$5:$IM$5),3),""))</f>
        <v/>
      </c>
      <c r="E2944">
        <f>IF(D2944="","",INDEX('KG1-5'!$AD36:$IM36,MATCH(D2944,'KG1-5'!$AD$5:$IM$5,0)))</f>
        <v/>
      </c>
      <c r="F2944">
        <f>IF(D2944="","",COUNTIFS('KG1-5'!$AD36:$IM36,"غياب بدون عذر",'KG1-5'!$AD$7:$IM$7,"✓",'KG1-5'!$AD$5:$IM$5,"&lt;="&amp;D2944))</f>
        <v/>
      </c>
      <c r="G2944">
        <f>G2943+IF(D2944="",0,1)</f>
        <v/>
      </c>
    </row>
    <row r="2945">
      <c r="A2945">
        <f>IF('KG1-5'!$B36="","",'KG1-5'!$B36)</f>
        <v/>
      </c>
      <c r="B2945">
        <f>IF(A2945="","",'KG1-5'!$C36)</f>
        <v/>
      </c>
      <c r="C2945">
        <f>IF(A2945="","",'KG1-5'!$B$2)</f>
        <v/>
      </c>
      <c r="D2945" s="126">
        <f t="array" ref="D2945">IF(A2945="","",IFERROR(SMALL(IF((('KG1-5'!$AD36:$IM36="غياب بدون عذر")+('KG1-5'!$AD36:$IM36="غياب بعذر"))*('KG1-5'!$AD$7:$IM$7="✓"),'KG1-5'!$AD$5:$IM$5),4),""))</f>
        <v/>
      </c>
      <c r="E2945">
        <f>IF(D2945="","",INDEX('KG1-5'!$AD36:$IM36,MATCH(D2945,'KG1-5'!$AD$5:$IM$5,0)))</f>
        <v/>
      </c>
      <c r="F2945">
        <f>IF(D2945="","",COUNTIFS('KG1-5'!$AD36:$IM36,"غياب بدون عذر",'KG1-5'!$AD$7:$IM$7,"✓",'KG1-5'!$AD$5:$IM$5,"&lt;="&amp;D2945))</f>
        <v/>
      </c>
      <c r="G2945">
        <f>G2944+IF(D2945="",0,1)</f>
        <v/>
      </c>
    </row>
    <row r="2946">
      <c r="A2946">
        <f>IF('KG1-5'!$B36="","",'KG1-5'!$B36)</f>
        <v/>
      </c>
      <c r="B2946">
        <f>IF(A2946="","",'KG1-5'!$C36)</f>
        <v/>
      </c>
      <c r="C2946">
        <f>IF(A2946="","",'KG1-5'!$B$2)</f>
        <v/>
      </c>
      <c r="D2946" s="126">
        <f t="array" ref="D2946">IF(A2946="","",IFERROR(SMALL(IF((('KG1-5'!$AD36:$IM36="غياب بدون عذر")+('KG1-5'!$AD36:$IM36="غياب بعذر"))*('KG1-5'!$AD$7:$IM$7="✓"),'KG1-5'!$AD$5:$IM$5),5),""))</f>
        <v/>
      </c>
      <c r="E2946">
        <f>IF(D2946="","",INDEX('KG1-5'!$AD36:$IM36,MATCH(D2946,'KG1-5'!$AD$5:$IM$5,0)))</f>
        <v/>
      </c>
      <c r="F2946">
        <f>IF(D2946="","",COUNTIFS('KG1-5'!$AD36:$IM36,"غياب بدون عذر",'KG1-5'!$AD$7:$IM$7,"✓",'KG1-5'!$AD$5:$IM$5,"&lt;="&amp;D2946))</f>
        <v/>
      </c>
      <c r="G2946">
        <f>G2945+IF(D2946="",0,1)</f>
        <v/>
      </c>
    </row>
    <row r="2947">
      <c r="A2947">
        <f>IF('KG1-5'!$B36="","",'KG1-5'!$B36)</f>
        <v/>
      </c>
      <c r="B2947">
        <f>IF(A2947="","",'KG1-5'!$C36)</f>
        <v/>
      </c>
      <c r="C2947">
        <f>IF(A2947="","",'KG1-5'!$B$2)</f>
        <v/>
      </c>
      <c r="D2947" s="126">
        <f t="array" ref="D2947">IF(A2947="","",IFERROR(SMALL(IF((('KG1-5'!$AD36:$IM36="غياب بدون عذر")+('KG1-5'!$AD36:$IM36="غياب بعذر"))*('KG1-5'!$AD$7:$IM$7="✓"),'KG1-5'!$AD$5:$IM$5),6),""))</f>
        <v/>
      </c>
      <c r="E2947">
        <f>IF(D2947="","",INDEX('KG1-5'!$AD36:$IM36,MATCH(D2947,'KG1-5'!$AD$5:$IM$5,0)))</f>
        <v/>
      </c>
      <c r="F2947">
        <f>IF(D2947="","",COUNTIFS('KG1-5'!$AD36:$IM36,"غياب بدون عذر",'KG1-5'!$AD$7:$IM$7,"✓",'KG1-5'!$AD$5:$IM$5,"&lt;="&amp;D2947))</f>
        <v/>
      </c>
      <c r="G2947">
        <f>G2946+IF(D2947="",0,1)</f>
        <v/>
      </c>
    </row>
    <row r="2948">
      <c r="A2948">
        <f>IF('KG1-5'!$B36="","",'KG1-5'!$B36)</f>
        <v/>
      </c>
      <c r="B2948">
        <f>IF(A2948="","",'KG1-5'!$C36)</f>
        <v/>
      </c>
      <c r="C2948">
        <f>IF(A2948="","",'KG1-5'!$B$2)</f>
        <v/>
      </c>
      <c r="D2948" s="126">
        <f t="array" ref="D2948">IF(A2948="","",IFERROR(SMALL(IF((('KG1-5'!$AD36:$IM36="غياب بدون عذر")+('KG1-5'!$AD36:$IM36="غياب بعذر"))*('KG1-5'!$AD$7:$IM$7="✓"),'KG1-5'!$AD$5:$IM$5),7),""))</f>
        <v/>
      </c>
      <c r="E2948">
        <f>IF(D2948="","",INDEX('KG1-5'!$AD36:$IM36,MATCH(D2948,'KG1-5'!$AD$5:$IM$5,0)))</f>
        <v/>
      </c>
      <c r="F2948">
        <f>IF(D2948="","",COUNTIFS('KG1-5'!$AD36:$IM36,"غياب بدون عذر",'KG1-5'!$AD$7:$IM$7,"✓",'KG1-5'!$AD$5:$IM$5,"&lt;="&amp;D2948))</f>
        <v/>
      </c>
      <c r="G2948">
        <f>G2947+IF(D2948="",0,1)</f>
        <v/>
      </c>
    </row>
    <row r="2949">
      <c r="A2949">
        <f>IF('KG1-5'!$B36="","",'KG1-5'!$B36)</f>
        <v/>
      </c>
      <c r="B2949">
        <f>IF(A2949="","",'KG1-5'!$C36)</f>
        <v/>
      </c>
      <c r="C2949">
        <f>IF(A2949="","",'KG1-5'!$B$2)</f>
        <v/>
      </c>
      <c r="D2949" s="126">
        <f t="array" ref="D2949">IF(A2949="","",IFERROR(SMALL(IF((('KG1-5'!$AD36:$IM36="غياب بدون عذر")+('KG1-5'!$AD36:$IM36="غياب بعذر"))*('KG1-5'!$AD$7:$IM$7="✓"),'KG1-5'!$AD$5:$IM$5),8),""))</f>
        <v/>
      </c>
      <c r="E2949">
        <f>IF(D2949="","",INDEX('KG1-5'!$AD36:$IM36,MATCH(D2949,'KG1-5'!$AD$5:$IM$5,0)))</f>
        <v/>
      </c>
      <c r="F2949">
        <f>IF(D2949="","",COUNTIFS('KG1-5'!$AD36:$IM36,"غياب بدون عذر",'KG1-5'!$AD$7:$IM$7,"✓",'KG1-5'!$AD$5:$IM$5,"&lt;="&amp;D2949))</f>
        <v/>
      </c>
      <c r="G2949">
        <f>G2948+IF(D2949="",0,1)</f>
        <v/>
      </c>
    </row>
    <row r="2950">
      <c r="A2950">
        <f>IF('KG1-5'!$B36="","",'KG1-5'!$B36)</f>
        <v/>
      </c>
      <c r="B2950">
        <f>IF(A2950="","",'KG1-5'!$C36)</f>
        <v/>
      </c>
      <c r="C2950">
        <f>IF(A2950="","",'KG1-5'!$B$2)</f>
        <v/>
      </c>
      <c r="D2950" s="126">
        <f t="array" ref="D2950">IF(A2950="","",IFERROR(SMALL(IF((('KG1-5'!$AD36:$IM36="غياب بدون عذر")+('KG1-5'!$AD36:$IM36="غياب بعذر"))*('KG1-5'!$AD$7:$IM$7="✓"),'KG1-5'!$AD$5:$IM$5),9),""))</f>
        <v/>
      </c>
      <c r="E2950">
        <f>IF(D2950="","",INDEX('KG1-5'!$AD36:$IM36,MATCH(D2950,'KG1-5'!$AD$5:$IM$5,0)))</f>
        <v/>
      </c>
      <c r="F2950">
        <f>IF(D2950="","",COUNTIFS('KG1-5'!$AD36:$IM36,"غياب بدون عذر",'KG1-5'!$AD$7:$IM$7,"✓",'KG1-5'!$AD$5:$IM$5,"&lt;="&amp;D2950))</f>
        <v/>
      </c>
      <c r="G2950">
        <f>G2949+IF(D2950="",0,1)</f>
        <v/>
      </c>
    </row>
    <row r="2951">
      <c r="A2951">
        <f>IF('KG1-5'!$B36="","",'KG1-5'!$B36)</f>
        <v/>
      </c>
      <c r="B2951">
        <f>IF(A2951="","",'KG1-5'!$C36)</f>
        <v/>
      </c>
      <c r="C2951">
        <f>IF(A2951="","",'KG1-5'!$B$2)</f>
        <v/>
      </c>
      <c r="D2951" s="126">
        <f t="array" ref="D2951">IF(A2951="","",IFERROR(SMALL(IF((('KG1-5'!$AD36:$IM36="غياب بدون عذر")+('KG1-5'!$AD36:$IM36="غياب بعذر"))*('KG1-5'!$AD$7:$IM$7="✓"),'KG1-5'!$AD$5:$IM$5),10),""))</f>
        <v/>
      </c>
      <c r="E2951">
        <f>IF(D2951="","",INDEX('KG1-5'!$AD36:$IM36,MATCH(D2951,'KG1-5'!$AD$5:$IM$5,0)))</f>
        <v/>
      </c>
      <c r="F2951">
        <f>IF(D2951="","",COUNTIFS('KG1-5'!$AD36:$IM36,"غياب بدون عذر",'KG1-5'!$AD$7:$IM$7,"✓",'KG1-5'!$AD$5:$IM$5,"&lt;="&amp;D2951))</f>
        <v/>
      </c>
      <c r="G2951">
        <f>G2950+IF(D2951="",0,1)</f>
        <v/>
      </c>
    </row>
    <row r="2952">
      <c r="A2952">
        <f>IF('KG1-5'!$B36="","",'KG1-5'!$B36)</f>
        <v/>
      </c>
      <c r="B2952">
        <f>IF(A2952="","",'KG1-5'!$C36)</f>
        <v/>
      </c>
      <c r="C2952">
        <f>IF(A2952="","",'KG1-5'!$B$2)</f>
        <v/>
      </c>
      <c r="D2952" s="126">
        <f t="array" ref="D2952">IF(A2952="","",IFERROR(SMALL(IF((('KG1-5'!$AD36:$IM36="غياب بدون عذر")+('KG1-5'!$AD36:$IM36="غياب بعذر"))*('KG1-5'!$AD$7:$IM$7="✓"),'KG1-5'!$AD$5:$IM$5),11),""))</f>
        <v/>
      </c>
      <c r="E2952">
        <f>IF(D2952="","",INDEX('KG1-5'!$AD36:$IM36,MATCH(D2952,'KG1-5'!$AD$5:$IM$5,0)))</f>
        <v/>
      </c>
      <c r="F2952">
        <f>IF(D2952="","",COUNTIFS('KG1-5'!$AD36:$IM36,"غياب بدون عذر",'KG1-5'!$AD$7:$IM$7,"✓",'KG1-5'!$AD$5:$IM$5,"&lt;="&amp;D2952))</f>
        <v/>
      </c>
      <c r="G2952">
        <f>G2951+IF(D2952="",0,1)</f>
        <v/>
      </c>
    </row>
    <row r="2953">
      <c r="A2953">
        <f>IF('KG1-5'!$B36="","",'KG1-5'!$B36)</f>
        <v/>
      </c>
      <c r="B2953">
        <f>IF(A2953="","",'KG1-5'!$C36)</f>
        <v/>
      </c>
      <c r="C2953">
        <f>IF(A2953="","",'KG1-5'!$B$2)</f>
        <v/>
      </c>
      <c r="D2953" s="126">
        <f t="array" ref="D2953">IF(A2953="","",IFERROR(SMALL(IF((('KG1-5'!$AD36:$IM36="غياب بدون عذر")+('KG1-5'!$AD36:$IM36="غياب بعذر"))*('KG1-5'!$AD$7:$IM$7="✓"),'KG1-5'!$AD$5:$IM$5),12),""))</f>
        <v/>
      </c>
      <c r="E2953">
        <f>IF(D2953="","",INDEX('KG1-5'!$AD36:$IM36,MATCH(D2953,'KG1-5'!$AD$5:$IM$5,0)))</f>
        <v/>
      </c>
      <c r="F2953">
        <f>IF(D2953="","",COUNTIFS('KG1-5'!$AD36:$IM36,"غياب بدون عذر",'KG1-5'!$AD$7:$IM$7,"✓",'KG1-5'!$AD$5:$IM$5,"&lt;="&amp;D2953))</f>
        <v/>
      </c>
      <c r="G2953">
        <f>G2952+IF(D2953="",0,1)</f>
        <v/>
      </c>
    </row>
    <row r="2954">
      <c r="A2954">
        <f>IF('KG1-5'!$B36="","",'KG1-5'!$B36)</f>
        <v/>
      </c>
      <c r="B2954">
        <f>IF(A2954="","",'KG1-5'!$C36)</f>
        <v/>
      </c>
      <c r="C2954">
        <f>IF(A2954="","",'KG1-5'!$B$2)</f>
        <v/>
      </c>
      <c r="D2954" s="126">
        <f t="array" ref="D2954">IF(A2954="","",IFERROR(SMALL(IF((('KG1-5'!$AD36:$IM36="غياب بدون عذر")+('KG1-5'!$AD36:$IM36="غياب بعذر"))*('KG1-5'!$AD$7:$IM$7="✓"),'KG1-5'!$AD$5:$IM$5),13),""))</f>
        <v/>
      </c>
      <c r="E2954">
        <f>IF(D2954="","",INDEX('KG1-5'!$AD36:$IM36,MATCH(D2954,'KG1-5'!$AD$5:$IM$5,0)))</f>
        <v/>
      </c>
      <c r="F2954">
        <f>IF(D2954="","",COUNTIFS('KG1-5'!$AD36:$IM36,"غياب بدون عذر",'KG1-5'!$AD$7:$IM$7,"✓",'KG1-5'!$AD$5:$IM$5,"&lt;="&amp;D2954))</f>
        <v/>
      </c>
      <c r="G2954">
        <f>G2953+IF(D2954="",0,1)</f>
        <v/>
      </c>
    </row>
    <row r="2955">
      <c r="A2955">
        <f>IF('KG1-5'!$B36="","",'KG1-5'!$B36)</f>
        <v/>
      </c>
      <c r="B2955">
        <f>IF(A2955="","",'KG1-5'!$C36)</f>
        <v/>
      </c>
      <c r="C2955">
        <f>IF(A2955="","",'KG1-5'!$B$2)</f>
        <v/>
      </c>
      <c r="D2955" s="126">
        <f t="array" ref="D2955">IF(A2955="","",IFERROR(SMALL(IF((('KG1-5'!$AD36:$IM36="غياب بدون عذر")+('KG1-5'!$AD36:$IM36="غياب بعذر"))*('KG1-5'!$AD$7:$IM$7="✓"),'KG1-5'!$AD$5:$IM$5),14),""))</f>
        <v/>
      </c>
      <c r="E2955">
        <f>IF(D2955="","",INDEX('KG1-5'!$AD36:$IM36,MATCH(D2955,'KG1-5'!$AD$5:$IM$5,0)))</f>
        <v/>
      </c>
      <c r="F2955">
        <f>IF(D2955="","",COUNTIFS('KG1-5'!$AD36:$IM36,"غياب بدون عذر",'KG1-5'!$AD$7:$IM$7,"✓",'KG1-5'!$AD$5:$IM$5,"&lt;="&amp;D2955))</f>
        <v/>
      </c>
      <c r="G2955">
        <f>G2954+IF(D2955="",0,1)</f>
        <v/>
      </c>
    </row>
    <row r="2956">
      <c r="A2956">
        <f>IF('KG1-5'!$B36="","",'KG1-5'!$B36)</f>
        <v/>
      </c>
      <c r="B2956">
        <f>IF(A2956="","",'KG1-5'!$C36)</f>
        <v/>
      </c>
      <c r="C2956">
        <f>IF(A2956="","",'KG1-5'!$B$2)</f>
        <v/>
      </c>
      <c r="D2956" s="126">
        <f t="array" ref="D2956">IF(A2956="","",IFERROR(SMALL(IF((('KG1-5'!$AD36:$IM36="غياب بدون عذر")+('KG1-5'!$AD36:$IM36="غياب بعذر"))*('KG1-5'!$AD$7:$IM$7="✓"),'KG1-5'!$AD$5:$IM$5),15),""))</f>
        <v/>
      </c>
      <c r="E2956">
        <f>IF(D2956="","",INDEX('KG1-5'!$AD36:$IM36,MATCH(D2956,'KG1-5'!$AD$5:$IM$5,0)))</f>
        <v/>
      </c>
      <c r="F2956">
        <f>IF(D2956="","",COUNTIFS('KG1-5'!$AD36:$IM36,"غياب بدون عذر",'KG1-5'!$AD$7:$IM$7,"✓",'KG1-5'!$AD$5:$IM$5,"&lt;="&amp;D2956))</f>
        <v/>
      </c>
      <c r="G2956">
        <f>G2955+IF(D2956="",0,1)</f>
        <v/>
      </c>
    </row>
    <row r="2957">
      <c r="A2957">
        <f>IF('KG1-5'!$B36="","",'KG1-5'!$B36)</f>
        <v/>
      </c>
      <c r="B2957">
        <f>IF(A2957="","",'KG1-5'!$C36)</f>
        <v/>
      </c>
      <c r="C2957">
        <f>IF(A2957="","",'KG1-5'!$B$2)</f>
        <v/>
      </c>
      <c r="D2957" s="126">
        <f t="array" ref="D2957">IF(A2957="","",IFERROR(SMALL(IF((('KG1-5'!$AD36:$IM36="غياب بدون عذر")+('KG1-5'!$AD36:$IM36="غياب بعذر"))*('KG1-5'!$AD$7:$IM$7="✓"),'KG1-5'!$AD$5:$IM$5),16),""))</f>
        <v/>
      </c>
      <c r="E2957">
        <f>IF(D2957="","",INDEX('KG1-5'!$AD36:$IM36,MATCH(D2957,'KG1-5'!$AD$5:$IM$5,0)))</f>
        <v/>
      </c>
      <c r="F2957">
        <f>IF(D2957="","",COUNTIFS('KG1-5'!$AD36:$IM36,"غياب بدون عذر",'KG1-5'!$AD$7:$IM$7,"✓",'KG1-5'!$AD$5:$IM$5,"&lt;="&amp;D2957))</f>
        <v/>
      </c>
      <c r="G2957">
        <f>G2956+IF(D2957="",0,1)</f>
        <v/>
      </c>
    </row>
    <row r="2958">
      <c r="A2958">
        <f>IF('KG1-5'!$B36="","",'KG1-5'!$B36)</f>
        <v/>
      </c>
      <c r="B2958">
        <f>IF(A2958="","",'KG1-5'!$C36)</f>
        <v/>
      </c>
      <c r="C2958">
        <f>IF(A2958="","",'KG1-5'!$B$2)</f>
        <v/>
      </c>
      <c r="D2958" s="126">
        <f t="array" ref="D2958">IF(A2958="","",IFERROR(SMALL(IF((('KG1-5'!$AD36:$IM36="غياب بدون عذر")+('KG1-5'!$AD36:$IM36="غياب بعذر"))*('KG1-5'!$AD$7:$IM$7="✓"),'KG1-5'!$AD$5:$IM$5),17),""))</f>
        <v/>
      </c>
      <c r="E2958">
        <f>IF(D2958="","",INDEX('KG1-5'!$AD36:$IM36,MATCH(D2958,'KG1-5'!$AD$5:$IM$5,0)))</f>
        <v/>
      </c>
      <c r="F2958">
        <f>IF(D2958="","",COUNTIFS('KG1-5'!$AD36:$IM36,"غياب بدون عذر",'KG1-5'!$AD$7:$IM$7,"✓",'KG1-5'!$AD$5:$IM$5,"&lt;="&amp;D2958))</f>
        <v/>
      </c>
      <c r="G2958">
        <f>G2957+IF(D2958="",0,1)</f>
        <v/>
      </c>
    </row>
    <row r="2959">
      <c r="A2959">
        <f>IF('KG1-5'!$B36="","",'KG1-5'!$B36)</f>
        <v/>
      </c>
      <c r="B2959">
        <f>IF(A2959="","",'KG1-5'!$C36)</f>
        <v/>
      </c>
      <c r="C2959">
        <f>IF(A2959="","",'KG1-5'!$B$2)</f>
        <v/>
      </c>
      <c r="D2959" s="126">
        <f t="array" ref="D2959">IF(A2959="","",IFERROR(SMALL(IF((('KG1-5'!$AD36:$IM36="غياب بدون عذر")+('KG1-5'!$AD36:$IM36="غياب بعذر"))*('KG1-5'!$AD$7:$IM$7="✓"),'KG1-5'!$AD$5:$IM$5),18),""))</f>
        <v/>
      </c>
      <c r="E2959">
        <f>IF(D2959="","",INDEX('KG1-5'!$AD36:$IM36,MATCH(D2959,'KG1-5'!$AD$5:$IM$5,0)))</f>
        <v/>
      </c>
      <c r="F2959">
        <f>IF(D2959="","",COUNTIFS('KG1-5'!$AD36:$IM36,"غياب بدون عذر",'KG1-5'!$AD$7:$IM$7,"✓",'KG1-5'!$AD$5:$IM$5,"&lt;="&amp;D2959))</f>
        <v/>
      </c>
      <c r="G2959">
        <f>G2958+IF(D2959="",0,1)</f>
        <v/>
      </c>
    </row>
    <row r="2960">
      <c r="A2960">
        <f>IF('KG1-5'!$B36="","",'KG1-5'!$B36)</f>
        <v/>
      </c>
      <c r="B2960">
        <f>IF(A2960="","",'KG1-5'!$C36)</f>
        <v/>
      </c>
      <c r="C2960">
        <f>IF(A2960="","",'KG1-5'!$B$2)</f>
        <v/>
      </c>
      <c r="D2960" s="126">
        <f t="array" ref="D2960">IF(A2960="","",IFERROR(SMALL(IF((('KG1-5'!$AD36:$IM36="غياب بدون عذر")+('KG1-5'!$AD36:$IM36="غياب بعذر"))*('KG1-5'!$AD$7:$IM$7="✓"),'KG1-5'!$AD$5:$IM$5),19),""))</f>
        <v/>
      </c>
      <c r="E2960">
        <f>IF(D2960="","",INDEX('KG1-5'!$AD36:$IM36,MATCH(D2960,'KG1-5'!$AD$5:$IM$5,0)))</f>
        <v/>
      </c>
      <c r="F2960">
        <f>IF(D2960="","",COUNTIFS('KG1-5'!$AD36:$IM36,"غياب بدون عذر",'KG1-5'!$AD$7:$IM$7,"✓",'KG1-5'!$AD$5:$IM$5,"&lt;="&amp;D2960))</f>
        <v/>
      </c>
      <c r="G2960">
        <f>G2959+IF(D2960="",0,1)</f>
        <v/>
      </c>
    </row>
    <row r="2961">
      <c r="A2961">
        <f>IF('KG1-5'!$B36="","",'KG1-5'!$B36)</f>
        <v/>
      </c>
      <c r="B2961">
        <f>IF(A2961="","",'KG1-5'!$C36)</f>
        <v/>
      </c>
      <c r="C2961">
        <f>IF(A2961="","",'KG1-5'!$B$2)</f>
        <v/>
      </c>
      <c r="D2961" s="126">
        <f t="array" ref="D2961">IF(A2961="","",IFERROR(SMALL(IF((('KG1-5'!$AD36:$IM36="غياب بدون عذر")+('KG1-5'!$AD36:$IM36="غياب بعذر"))*('KG1-5'!$AD$7:$IM$7="✓"),'KG1-5'!$AD$5:$IM$5),20),""))</f>
        <v/>
      </c>
      <c r="E2961">
        <f>IF(D2961="","",INDEX('KG1-5'!$AD36:$IM36,MATCH(D2961,'KG1-5'!$AD$5:$IM$5,0)))</f>
        <v/>
      </c>
      <c r="F2961">
        <f>IF(D2961="","",COUNTIFS('KG1-5'!$AD36:$IM36,"غياب بدون عذر",'KG1-5'!$AD$7:$IM$7,"✓",'KG1-5'!$AD$5:$IM$5,"&lt;="&amp;D2961))</f>
        <v/>
      </c>
      <c r="G2961">
        <f>G2960+IF(D2961="",0,1)</f>
        <v/>
      </c>
    </row>
    <row r="2962">
      <c r="A2962">
        <f>IF('KG1-5'!$B37="","",'KG1-5'!$B37)</f>
        <v/>
      </c>
      <c r="B2962">
        <f>IF(A2962="","",'KG1-5'!$C37)</f>
        <v/>
      </c>
      <c r="C2962">
        <f>IF(A2962="","",'KG1-5'!$B$2)</f>
        <v/>
      </c>
      <c r="D2962" s="126">
        <f t="array" ref="D2962">IF(A2962="","",IFERROR(SMALL(IF((('KG1-5'!$AD37:$IM37="غياب بدون عذر")+('KG1-5'!$AD37:$IM37="غياب بعذر"))*('KG1-5'!$AD$7:$IM$7="✓"),'KG1-5'!$AD$5:$IM$5),1),""))</f>
        <v/>
      </c>
      <c r="E2962">
        <f>IF(D2962="","",INDEX('KG1-5'!$AD37:$IM37,MATCH(D2962,'KG1-5'!$AD$5:$IM$5,0)))</f>
        <v/>
      </c>
      <c r="F2962">
        <f>IF(D2962="","",COUNTIFS('KG1-5'!$AD37:$IM37,"غياب بدون عذر",'KG1-5'!$AD$7:$IM$7,"✓",'KG1-5'!$AD$5:$IM$5,"&lt;="&amp;D2962))</f>
        <v/>
      </c>
      <c r="G2962">
        <f>G2961+IF(D2962="",0,1)</f>
        <v/>
      </c>
    </row>
    <row r="2963">
      <c r="A2963">
        <f>IF('KG1-5'!$B37="","",'KG1-5'!$B37)</f>
        <v/>
      </c>
      <c r="B2963">
        <f>IF(A2963="","",'KG1-5'!$C37)</f>
        <v/>
      </c>
      <c r="C2963">
        <f>IF(A2963="","",'KG1-5'!$B$2)</f>
        <v/>
      </c>
      <c r="D2963" s="126">
        <f t="array" ref="D2963">IF(A2963="","",IFERROR(SMALL(IF((('KG1-5'!$AD37:$IM37="غياب بدون عذر")+('KG1-5'!$AD37:$IM37="غياب بعذر"))*('KG1-5'!$AD$7:$IM$7="✓"),'KG1-5'!$AD$5:$IM$5),2),""))</f>
        <v/>
      </c>
      <c r="E2963">
        <f>IF(D2963="","",INDEX('KG1-5'!$AD37:$IM37,MATCH(D2963,'KG1-5'!$AD$5:$IM$5,0)))</f>
        <v/>
      </c>
      <c r="F2963">
        <f>IF(D2963="","",COUNTIFS('KG1-5'!$AD37:$IM37,"غياب بدون عذر",'KG1-5'!$AD$7:$IM$7,"✓",'KG1-5'!$AD$5:$IM$5,"&lt;="&amp;D2963))</f>
        <v/>
      </c>
      <c r="G2963">
        <f>G2962+IF(D2963="",0,1)</f>
        <v/>
      </c>
    </row>
    <row r="2964">
      <c r="A2964">
        <f>IF('KG1-5'!$B37="","",'KG1-5'!$B37)</f>
        <v/>
      </c>
      <c r="B2964">
        <f>IF(A2964="","",'KG1-5'!$C37)</f>
        <v/>
      </c>
      <c r="C2964">
        <f>IF(A2964="","",'KG1-5'!$B$2)</f>
        <v/>
      </c>
      <c r="D2964" s="126">
        <f t="array" ref="D2964">IF(A2964="","",IFERROR(SMALL(IF((('KG1-5'!$AD37:$IM37="غياب بدون عذر")+('KG1-5'!$AD37:$IM37="غياب بعذر"))*('KG1-5'!$AD$7:$IM$7="✓"),'KG1-5'!$AD$5:$IM$5),3),""))</f>
        <v/>
      </c>
      <c r="E2964">
        <f>IF(D2964="","",INDEX('KG1-5'!$AD37:$IM37,MATCH(D2964,'KG1-5'!$AD$5:$IM$5,0)))</f>
        <v/>
      </c>
      <c r="F2964">
        <f>IF(D2964="","",COUNTIFS('KG1-5'!$AD37:$IM37,"غياب بدون عذر",'KG1-5'!$AD$7:$IM$7,"✓",'KG1-5'!$AD$5:$IM$5,"&lt;="&amp;D2964))</f>
        <v/>
      </c>
      <c r="G2964">
        <f>G2963+IF(D2964="",0,1)</f>
        <v/>
      </c>
    </row>
    <row r="2965">
      <c r="A2965">
        <f>IF('KG1-5'!$B37="","",'KG1-5'!$B37)</f>
        <v/>
      </c>
      <c r="B2965">
        <f>IF(A2965="","",'KG1-5'!$C37)</f>
        <v/>
      </c>
      <c r="C2965">
        <f>IF(A2965="","",'KG1-5'!$B$2)</f>
        <v/>
      </c>
      <c r="D2965" s="126">
        <f t="array" ref="D2965">IF(A2965="","",IFERROR(SMALL(IF((('KG1-5'!$AD37:$IM37="غياب بدون عذر")+('KG1-5'!$AD37:$IM37="غياب بعذر"))*('KG1-5'!$AD$7:$IM$7="✓"),'KG1-5'!$AD$5:$IM$5),4),""))</f>
        <v/>
      </c>
      <c r="E2965">
        <f>IF(D2965="","",INDEX('KG1-5'!$AD37:$IM37,MATCH(D2965,'KG1-5'!$AD$5:$IM$5,0)))</f>
        <v/>
      </c>
      <c r="F2965">
        <f>IF(D2965="","",COUNTIFS('KG1-5'!$AD37:$IM37,"غياب بدون عذر",'KG1-5'!$AD$7:$IM$7,"✓",'KG1-5'!$AD$5:$IM$5,"&lt;="&amp;D2965))</f>
        <v/>
      </c>
      <c r="G2965">
        <f>G2964+IF(D2965="",0,1)</f>
        <v/>
      </c>
    </row>
    <row r="2966">
      <c r="A2966">
        <f>IF('KG1-5'!$B37="","",'KG1-5'!$B37)</f>
        <v/>
      </c>
      <c r="B2966">
        <f>IF(A2966="","",'KG1-5'!$C37)</f>
        <v/>
      </c>
      <c r="C2966">
        <f>IF(A2966="","",'KG1-5'!$B$2)</f>
        <v/>
      </c>
      <c r="D2966" s="126">
        <f t="array" ref="D2966">IF(A2966="","",IFERROR(SMALL(IF((('KG1-5'!$AD37:$IM37="غياب بدون عذر")+('KG1-5'!$AD37:$IM37="غياب بعذر"))*('KG1-5'!$AD$7:$IM$7="✓"),'KG1-5'!$AD$5:$IM$5),5),""))</f>
        <v/>
      </c>
      <c r="E2966">
        <f>IF(D2966="","",INDEX('KG1-5'!$AD37:$IM37,MATCH(D2966,'KG1-5'!$AD$5:$IM$5,0)))</f>
        <v/>
      </c>
      <c r="F2966">
        <f>IF(D2966="","",COUNTIFS('KG1-5'!$AD37:$IM37,"غياب بدون عذر",'KG1-5'!$AD$7:$IM$7,"✓",'KG1-5'!$AD$5:$IM$5,"&lt;="&amp;D2966))</f>
        <v/>
      </c>
      <c r="G2966">
        <f>G2965+IF(D2966="",0,1)</f>
        <v/>
      </c>
    </row>
    <row r="2967">
      <c r="A2967">
        <f>IF('KG1-5'!$B37="","",'KG1-5'!$B37)</f>
        <v/>
      </c>
      <c r="B2967">
        <f>IF(A2967="","",'KG1-5'!$C37)</f>
        <v/>
      </c>
      <c r="C2967">
        <f>IF(A2967="","",'KG1-5'!$B$2)</f>
        <v/>
      </c>
      <c r="D2967" s="126">
        <f t="array" ref="D2967">IF(A2967="","",IFERROR(SMALL(IF((('KG1-5'!$AD37:$IM37="غياب بدون عذر")+('KG1-5'!$AD37:$IM37="غياب بعذر"))*('KG1-5'!$AD$7:$IM$7="✓"),'KG1-5'!$AD$5:$IM$5),6),""))</f>
        <v/>
      </c>
      <c r="E2967">
        <f>IF(D2967="","",INDEX('KG1-5'!$AD37:$IM37,MATCH(D2967,'KG1-5'!$AD$5:$IM$5,0)))</f>
        <v/>
      </c>
      <c r="F2967">
        <f>IF(D2967="","",COUNTIFS('KG1-5'!$AD37:$IM37,"غياب بدون عذر",'KG1-5'!$AD$7:$IM$7,"✓",'KG1-5'!$AD$5:$IM$5,"&lt;="&amp;D2967))</f>
        <v/>
      </c>
      <c r="G2967">
        <f>G2966+IF(D2967="",0,1)</f>
        <v/>
      </c>
    </row>
    <row r="2968">
      <c r="A2968">
        <f>IF('KG1-5'!$B37="","",'KG1-5'!$B37)</f>
        <v/>
      </c>
      <c r="B2968">
        <f>IF(A2968="","",'KG1-5'!$C37)</f>
        <v/>
      </c>
      <c r="C2968">
        <f>IF(A2968="","",'KG1-5'!$B$2)</f>
        <v/>
      </c>
      <c r="D2968" s="126">
        <f t="array" ref="D2968">IF(A2968="","",IFERROR(SMALL(IF((('KG1-5'!$AD37:$IM37="غياب بدون عذر")+('KG1-5'!$AD37:$IM37="غياب بعذر"))*('KG1-5'!$AD$7:$IM$7="✓"),'KG1-5'!$AD$5:$IM$5),7),""))</f>
        <v/>
      </c>
      <c r="E2968">
        <f>IF(D2968="","",INDEX('KG1-5'!$AD37:$IM37,MATCH(D2968,'KG1-5'!$AD$5:$IM$5,0)))</f>
        <v/>
      </c>
      <c r="F2968">
        <f>IF(D2968="","",COUNTIFS('KG1-5'!$AD37:$IM37,"غياب بدون عذر",'KG1-5'!$AD$7:$IM$7,"✓",'KG1-5'!$AD$5:$IM$5,"&lt;="&amp;D2968))</f>
        <v/>
      </c>
      <c r="G2968">
        <f>G2967+IF(D2968="",0,1)</f>
        <v/>
      </c>
    </row>
    <row r="2969">
      <c r="A2969">
        <f>IF('KG1-5'!$B37="","",'KG1-5'!$B37)</f>
        <v/>
      </c>
      <c r="B2969">
        <f>IF(A2969="","",'KG1-5'!$C37)</f>
        <v/>
      </c>
      <c r="C2969">
        <f>IF(A2969="","",'KG1-5'!$B$2)</f>
        <v/>
      </c>
      <c r="D2969" s="126">
        <f t="array" ref="D2969">IF(A2969="","",IFERROR(SMALL(IF((('KG1-5'!$AD37:$IM37="غياب بدون عذر")+('KG1-5'!$AD37:$IM37="غياب بعذر"))*('KG1-5'!$AD$7:$IM$7="✓"),'KG1-5'!$AD$5:$IM$5),8),""))</f>
        <v/>
      </c>
      <c r="E2969">
        <f>IF(D2969="","",INDEX('KG1-5'!$AD37:$IM37,MATCH(D2969,'KG1-5'!$AD$5:$IM$5,0)))</f>
        <v/>
      </c>
      <c r="F2969">
        <f>IF(D2969="","",COUNTIFS('KG1-5'!$AD37:$IM37,"غياب بدون عذر",'KG1-5'!$AD$7:$IM$7,"✓",'KG1-5'!$AD$5:$IM$5,"&lt;="&amp;D2969))</f>
        <v/>
      </c>
      <c r="G2969">
        <f>G2968+IF(D2969="",0,1)</f>
        <v/>
      </c>
    </row>
    <row r="2970">
      <c r="A2970">
        <f>IF('KG1-5'!$B37="","",'KG1-5'!$B37)</f>
        <v/>
      </c>
      <c r="B2970">
        <f>IF(A2970="","",'KG1-5'!$C37)</f>
        <v/>
      </c>
      <c r="C2970">
        <f>IF(A2970="","",'KG1-5'!$B$2)</f>
        <v/>
      </c>
      <c r="D2970" s="126">
        <f t="array" ref="D2970">IF(A2970="","",IFERROR(SMALL(IF((('KG1-5'!$AD37:$IM37="غياب بدون عذر")+('KG1-5'!$AD37:$IM37="غياب بعذر"))*('KG1-5'!$AD$7:$IM$7="✓"),'KG1-5'!$AD$5:$IM$5),9),""))</f>
        <v/>
      </c>
      <c r="E2970">
        <f>IF(D2970="","",INDEX('KG1-5'!$AD37:$IM37,MATCH(D2970,'KG1-5'!$AD$5:$IM$5,0)))</f>
        <v/>
      </c>
      <c r="F2970">
        <f>IF(D2970="","",COUNTIFS('KG1-5'!$AD37:$IM37,"غياب بدون عذر",'KG1-5'!$AD$7:$IM$7,"✓",'KG1-5'!$AD$5:$IM$5,"&lt;="&amp;D2970))</f>
        <v/>
      </c>
      <c r="G2970">
        <f>G2969+IF(D2970="",0,1)</f>
        <v/>
      </c>
    </row>
    <row r="2971">
      <c r="A2971">
        <f>IF('KG1-5'!$B37="","",'KG1-5'!$B37)</f>
        <v/>
      </c>
      <c r="B2971">
        <f>IF(A2971="","",'KG1-5'!$C37)</f>
        <v/>
      </c>
      <c r="C2971">
        <f>IF(A2971="","",'KG1-5'!$B$2)</f>
        <v/>
      </c>
      <c r="D2971" s="126">
        <f t="array" ref="D2971">IF(A2971="","",IFERROR(SMALL(IF((('KG1-5'!$AD37:$IM37="غياب بدون عذر")+('KG1-5'!$AD37:$IM37="غياب بعذر"))*('KG1-5'!$AD$7:$IM$7="✓"),'KG1-5'!$AD$5:$IM$5),10),""))</f>
        <v/>
      </c>
      <c r="E2971">
        <f>IF(D2971="","",INDEX('KG1-5'!$AD37:$IM37,MATCH(D2971,'KG1-5'!$AD$5:$IM$5,0)))</f>
        <v/>
      </c>
      <c r="F2971">
        <f>IF(D2971="","",COUNTIFS('KG1-5'!$AD37:$IM37,"غياب بدون عذر",'KG1-5'!$AD$7:$IM$7,"✓",'KG1-5'!$AD$5:$IM$5,"&lt;="&amp;D2971))</f>
        <v/>
      </c>
      <c r="G2971">
        <f>G2970+IF(D2971="",0,1)</f>
        <v/>
      </c>
    </row>
    <row r="2972">
      <c r="A2972">
        <f>IF('KG1-5'!$B37="","",'KG1-5'!$B37)</f>
        <v/>
      </c>
      <c r="B2972">
        <f>IF(A2972="","",'KG1-5'!$C37)</f>
        <v/>
      </c>
      <c r="C2972">
        <f>IF(A2972="","",'KG1-5'!$B$2)</f>
        <v/>
      </c>
      <c r="D2972" s="126">
        <f t="array" ref="D2972">IF(A2972="","",IFERROR(SMALL(IF((('KG1-5'!$AD37:$IM37="غياب بدون عذر")+('KG1-5'!$AD37:$IM37="غياب بعذر"))*('KG1-5'!$AD$7:$IM$7="✓"),'KG1-5'!$AD$5:$IM$5),11),""))</f>
        <v/>
      </c>
      <c r="E2972">
        <f>IF(D2972="","",INDEX('KG1-5'!$AD37:$IM37,MATCH(D2972,'KG1-5'!$AD$5:$IM$5,0)))</f>
        <v/>
      </c>
      <c r="F2972">
        <f>IF(D2972="","",COUNTIFS('KG1-5'!$AD37:$IM37,"غياب بدون عذر",'KG1-5'!$AD$7:$IM$7,"✓",'KG1-5'!$AD$5:$IM$5,"&lt;="&amp;D2972))</f>
        <v/>
      </c>
      <c r="G2972">
        <f>G2971+IF(D2972="",0,1)</f>
        <v/>
      </c>
    </row>
    <row r="2973">
      <c r="A2973">
        <f>IF('KG1-5'!$B37="","",'KG1-5'!$B37)</f>
        <v/>
      </c>
      <c r="B2973">
        <f>IF(A2973="","",'KG1-5'!$C37)</f>
        <v/>
      </c>
      <c r="C2973">
        <f>IF(A2973="","",'KG1-5'!$B$2)</f>
        <v/>
      </c>
      <c r="D2973" s="126">
        <f t="array" ref="D2973">IF(A2973="","",IFERROR(SMALL(IF((('KG1-5'!$AD37:$IM37="غياب بدون عذر")+('KG1-5'!$AD37:$IM37="غياب بعذر"))*('KG1-5'!$AD$7:$IM$7="✓"),'KG1-5'!$AD$5:$IM$5),12),""))</f>
        <v/>
      </c>
      <c r="E2973">
        <f>IF(D2973="","",INDEX('KG1-5'!$AD37:$IM37,MATCH(D2973,'KG1-5'!$AD$5:$IM$5,0)))</f>
        <v/>
      </c>
      <c r="F2973">
        <f>IF(D2973="","",COUNTIFS('KG1-5'!$AD37:$IM37,"غياب بدون عذر",'KG1-5'!$AD$7:$IM$7,"✓",'KG1-5'!$AD$5:$IM$5,"&lt;="&amp;D2973))</f>
        <v/>
      </c>
      <c r="G2973">
        <f>G2972+IF(D2973="",0,1)</f>
        <v/>
      </c>
    </row>
    <row r="2974">
      <c r="A2974">
        <f>IF('KG1-5'!$B37="","",'KG1-5'!$B37)</f>
        <v/>
      </c>
      <c r="B2974">
        <f>IF(A2974="","",'KG1-5'!$C37)</f>
        <v/>
      </c>
      <c r="C2974">
        <f>IF(A2974="","",'KG1-5'!$B$2)</f>
        <v/>
      </c>
      <c r="D2974" s="126">
        <f t="array" ref="D2974">IF(A2974="","",IFERROR(SMALL(IF((('KG1-5'!$AD37:$IM37="غياب بدون عذر")+('KG1-5'!$AD37:$IM37="غياب بعذر"))*('KG1-5'!$AD$7:$IM$7="✓"),'KG1-5'!$AD$5:$IM$5),13),""))</f>
        <v/>
      </c>
      <c r="E2974">
        <f>IF(D2974="","",INDEX('KG1-5'!$AD37:$IM37,MATCH(D2974,'KG1-5'!$AD$5:$IM$5,0)))</f>
        <v/>
      </c>
      <c r="F2974">
        <f>IF(D2974="","",COUNTIFS('KG1-5'!$AD37:$IM37,"غياب بدون عذر",'KG1-5'!$AD$7:$IM$7,"✓",'KG1-5'!$AD$5:$IM$5,"&lt;="&amp;D2974))</f>
        <v/>
      </c>
      <c r="G2974">
        <f>G2973+IF(D2974="",0,1)</f>
        <v/>
      </c>
    </row>
    <row r="2975">
      <c r="A2975">
        <f>IF('KG1-5'!$B37="","",'KG1-5'!$B37)</f>
        <v/>
      </c>
      <c r="B2975">
        <f>IF(A2975="","",'KG1-5'!$C37)</f>
        <v/>
      </c>
      <c r="C2975">
        <f>IF(A2975="","",'KG1-5'!$B$2)</f>
        <v/>
      </c>
      <c r="D2975" s="126">
        <f t="array" ref="D2975">IF(A2975="","",IFERROR(SMALL(IF((('KG1-5'!$AD37:$IM37="غياب بدون عذر")+('KG1-5'!$AD37:$IM37="غياب بعذر"))*('KG1-5'!$AD$7:$IM$7="✓"),'KG1-5'!$AD$5:$IM$5),14),""))</f>
        <v/>
      </c>
      <c r="E2975">
        <f>IF(D2975="","",INDEX('KG1-5'!$AD37:$IM37,MATCH(D2975,'KG1-5'!$AD$5:$IM$5,0)))</f>
        <v/>
      </c>
      <c r="F2975">
        <f>IF(D2975="","",COUNTIFS('KG1-5'!$AD37:$IM37,"غياب بدون عذر",'KG1-5'!$AD$7:$IM$7,"✓",'KG1-5'!$AD$5:$IM$5,"&lt;="&amp;D2975))</f>
        <v/>
      </c>
      <c r="G2975">
        <f>G2974+IF(D2975="",0,1)</f>
        <v/>
      </c>
    </row>
    <row r="2976">
      <c r="A2976">
        <f>IF('KG1-5'!$B37="","",'KG1-5'!$B37)</f>
        <v/>
      </c>
      <c r="B2976">
        <f>IF(A2976="","",'KG1-5'!$C37)</f>
        <v/>
      </c>
      <c r="C2976">
        <f>IF(A2976="","",'KG1-5'!$B$2)</f>
        <v/>
      </c>
      <c r="D2976" s="126">
        <f t="array" ref="D2976">IF(A2976="","",IFERROR(SMALL(IF((('KG1-5'!$AD37:$IM37="غياب بدون عذر")+('KG1-5'!$AD37:$IM37="غياب بعذر"))*('KG1-5'!$AD$7:$IM$7="✓"),'KG1-5'!$AD$5:$IM$5),15),""))</f>
        <v/>
      </c>
      <c r="E2976">
        <f>IF(D2976="","",INDEX('KG1-5'!$AD37:$IM37,MATCH(D2976,'KG1-5'!$AD$5:$IM$5,0)))</f>
        <v/>
      </c>
      <c r="F2976">
        <f>IF(D2976="","",COUNTIFS('KG1-5'!$AD37:$IM37,"غياب بدون عذر",'KG1-5'!$AD$7:$IM$7,"✓",'KG1-5'!$AD$5:$IM$5,"&lt;="&amp;D2976))</f>
        <v/>
      </c>
      <c r="G2976">
        <f>G2975+IF(D2976="",0,1)</f>
        <v/>
      </c>
    </row>
    <row r="2977">
      <c r="A2977">
        <f>IF('KG1-5'!$B37="","",'KG1-5'!$B37)</f>
        <v/>
      </c>
      <c r="B2977">
        <f>IF(A2977="","",'KG1-5'!$C37)</f>
        <v/>
      </c>
      <c r="C2977">
        <f>IF(A2977="","",'KG1-5'!$B$2)</f>
        <v/>
      </c>
      <c r="D2977" s="126">
        <f t="array" ref="D2977">IF(A2977="","",IFERROR(SMALL(IF((('KG1-5'!$AD37:$IM37="غياب بدون عذر")+('KG1-5'!$AD37:$IM37="غياب بعذر"))*('KG1-5'!$AD$7:$IM$7="✓"),'KG1-5'!$AD$5:$IM$5),16),""))</f>
        <v/>
      </c>
      <c r="E2977">
        <f>IF(D2977="","",INDEX('KG1-5'!$AD37:$IM37,MATCH(D2977,'KG1-5'!$AD$5:$IM$5,0)))</f>
        <v/>
      </c>
      <c r="F2977">
        <f>IF(D2977="","",COUNTIFS('KG1-5'!$AD37:$IM37,"غياب بدون عذر",'KG1-5'!$AD$7:$IM$7,"✓",'KG1-5'!$AD$5:$IM$5,"&lt;="&amp;D2977))</f>
        <v/>
      </c>
      <c r="G2977">
        <f>G2976+IF(D2977="",0,1)</f>
        <v/>
      </c>
    </row>
    <row r="2978">
      <c r="A2978">
        <f>IF('KG1-5'!$B37="","",'KG1-5'!$B37)</f>
        <v/>
      </c>
      <c r="B2978">
        <f>IF(A2978="","",'KG1-5'!$C37)</f>
        <v/>
      </c>
      <c r="C2978">
        <f>IF(A2978="","",'KG1-5'!$B$2)</f>
        <v/>
      </c>
      <c r="D2978" s="126">
        <f t="array" ref="D2978">IF(A2978="","",IFERROR(SMALL(IF((('KG1-5'!$AD37:$IM37="غياب بدون عذر")+('KG1-5'!$AD37:$IM37="غياب بعذر"))*('KG1-5'!$AD$7:$IM$7="✓"),'KG1-5'!$AD$5:$IM$5),17),""))</f>
        <v/>
      </c>
      <c r="E2978">
        <f>IF(D2978="","",INDEX('KG1-5'!$AD37:$IM37,MATCH(D2978,'KG1-5'!$AD$5:$IM$5,0)))</f>
        <v/>
      </c>
      <c r="F2978">
        <f>IF(D2978="","",COUNTIFS('KG1-5'!$AD37:$IM37,"غياب بدون عذر",'KG1-5'!$AD$7:$IM$7,"✓",'KG1-5'!$AD$5:$IM$5,"&lt;="&amp;D2978))</f>
        <v/>
      </c>
      <c r="G2978">
        <f>G2977+IF(D2978="",0,1)</f>
        <v/>
      </c>
    </row>
    <row r="2979">
      <c r="A2979">
        <f>IF('KG1-5'!$B37="","",'KG1-5'!$B37)</f>
        <v/>
      </c>
      <c r="B2979">
        <f>IF(A2979="","",'KG1-5'!$C37)</f>
        <v/>
      </c>
      <c r="C2979">
        <f>IF(A2979="","",'KG1-5'!$B$2)</f>
        <v/>
      </c>
      <c r="D2979" s="126">
        <f t="array" ref="D2979">IF(A2979="","",IFERROR(SMALL(IF((('KG1-5'!$AD37:$IM37="غياب بدون عذر")+('KG1-5'!$AD37:$IM37="غياب بعذر"))*('KG1-5'!$AD$7:$IM$7="✓"),'KG1-5'!$AD$5:$IM$5),18),""))</f>
        <v/>
      </c>
      <c r="E2979">
        <f>IF(D2979="","",INDEX('KG1-5'!$AD37:$IM37,MATCH(D2979,'KG1-5'!$AD$5:$IM$5,0)))</f>
        <v/>
      </c>
      <c r="F2979">
        <f>IF(D2979="","",COUNTIFS('KG1-5'!$AD37:$IM37,"غياب بدون عذر",'KG1-5'!$AD$7:$IM$7,"✓",'KG1-5'!$AD$5:$IM$5,"&lt;="&amp;D2979))</f>
        <v/>
      </c>
      <c r="G2979">
        <f>G2978+IF(D2979="",0,1)</f>
        <v/>
      </c>
    </row>
    <row r="2980">
      <c r="A2980">
        <f>IF('KG1-5'!$B37="","",'KG1-5'!$B37)</f>
        <v/>
      </c>
      <c r="B2980">
        <f>IF(A2980="","",'KG1-5'!$C37)</f>
        <v/>
      </c>
      <c r="C2980">
        <f>IF(A2980="","",'KG1-5'!$B$2)</f>
        <v/>
      </c>
      <c r="D2980" s="126">
        <f t="array" ref="D2980">IF(A2980="","",IFERROR(SMALL(IF((('KG1-5'!$AD37:$IM37="غياب بدون عذر")+('KG1-5'!$AD37:$IM37="غياب بعذر"))*('KG1-5'!$AD$7:$IM$7="✓"),'KG1-5'!$AD$5:$IM$5),19),""))</f>
        <v/>
      </c>
      <c r="E2980">
        <f>IF(D2980="","",INDEX('KG1-5'!$AD37:$IM37,MATCH(D2980,'KG1-5'!$AD$5:$IM$5,0)))</f>
        <v/>
      </c>
      <c r="F2980">
        <f>IF(D2980="","",COUNTIFS('KG1-5'!$AD37:$IM37,"غياب بدون عذر",'KG1-5'!$AD$7:$IM$7,"✓",'KG1-5'!$AD$5:$IM$5,"&lt;="&amp;D2980))</f>
        <v/>
      </c>
      <c r="G2980">
        <f>G2979+IF(D2980="",0,1)</f>
        <v/>
      </c>
    </row>
    <row r="2981">
      <c r="A2981">
        <f>IF('KG1-5'!$B37="","",'KG1-5'!$B37)</f>
        <v/>
      </c>
      <c r="B2981">
        <f>IF(A2981="","",'KG1-5'!$C37)</f>
        <v/>
      </c>
      <c r="C2981">
        <f>IF(A2981="","",'KG1-5'!$B$2)</f>
        <v/>
      </c>
      <c r="D2981" s="126">
        <f t="array" ref="D2981">IF(A2981="","",IFERROR(SMALL(IF((('KG1-5'!$AD37:$IM37="غياب بدون عذر")+('KG1-5'!$AD37:$IM37="غياب بعذر"))*('KG1-5'!$AD$7:$IM$7="✓"),'KG1-5'!$AD$5:$IM$5),20),""))</f>
        <v/>
      </c>
      <c r="E2981">
        <f>IF(D2981="","",INDEX('KG1-5'!$AD37:$IM37,MATCH(D2981,'KG1-5'!$AD$5:$IM$5,0)))</f>
        <v/>
      </c>
      <c r="F2981">
        <f>IF(D2981="","",COUNTIFS('KG1-5'!$AD37:$IM37,"غياب بدون عذر",'KG1-5'!$AD$7:$IM$7,"✓",'KG1-5'!$AD$5:$IM$5,"&lt;="&amp;D2981))</f>
        <v/>
      </c>
      <c r="G2981">
        <f>G2980+IF(D2981="",0,1)</f>
        <v/>
      </c>
    </row>
    <row r="2982">
      <c r="A2982">
        <f>IF('KG1-5'!$B38="","",'KG1-5'!$B38)</f>
        <v/>
      </c>
      <c r="B2982">
        <f>IF(A2982="","",'KG1-5'!$C38)</f>
        <v/>
      </c>
      <c r="C2982">
        <f>IF(A2982="","",'KG1-5'!$B$2)</f>
        <v/>
      </c>
      <c r="D2982" s="126">
        <f t="array" ref="D2982">IF(A2982="","",IFERROR(SMALL(IF((('KG1-5'!$AD38:$IM38="غياب بدون عذر")+('KG1-5'!$AD38:$IM38="غياب بعذر"))*('KG1-5'!$AD$7:$IM$7="✓"),'KG1-5'!$AD$5:$IM$5),1),""))</f>
        <v/>
      </c>
      <c r="E2982">
        <f>IF(D2982="","",INDEX('KG1-5'!$AD38:$IM38,MATCH(D2982,'KG1-5'!$AD$5:$IM$5,0)))</f>
        <v/>
      </c>
      <c r="F2982">
        <f>IF(D2982="","",COUNTIFS('KG1-5'!$AD38:$IM38,"غياب بدون عذر",'KG1-5'!$AD$7:$IM$7,"✓",'KG1-5'!$AD$5:$IM$5,"&lt;="&amp;D2982))</f>
        <v/>
      </c>
      <c r="G2982">
        <f>G2981+IF(D2982="",0,1)</f>
        <v/>
      </c>
    </row>
    <row r="2983">
      <c r="A2983">
        <f>IF('KG1-5'!$B38="","",'KG1-5'!$B38)</f>
        <v/>
      </c>
      <c r="B2983">
        <f>IF(A2983="","",'KG1-5'!$C38)</f>
        <v/>
      </c>
      <c r="C2983">
        <f>IF(A2983="","",'KG1-5'!$B$2)</f>
        <v/>
      </c>
      <c r="D2983" s="126">
        <f t="array" ref="D2983">IF(A2983="","",IFERROR(SMALL(IF((('KG1-5'!$AD38:$IM38="غياب بدون عذر")+('KG1-5'!$AD38:$IM38="غياب بعذر"))*('KG1-5'!$AD$7:$IM$7="✓"),'KG1-5'!$AD$5:$IM$5),2),""))</f>
        <v/>
      </c>
      <c r="E2983">
        <f>IF(D2983="","",INDEX('KG1-5'!$AD38:$IM38,MATCH(D2983,'KG1-5'!$AD$5:$IM$5,0)))</f>
        <v/>
      </c>
      <c r="F2983">
        <f>IF(D2983="","",COUNTIFS('KG1-5'!$AD38:$IM38,"غياب بدون عذر",'KG1-5'!$AD$7:$IM$7,"✓",'KG1-5'!$AD$5:$IM$5,"&lt;="&amp;D2983))</f>
        <v/>
      </c>
      <c r="G2983">
        <f>G2982+IF(D2983="",0,1)</f>
        <v/>
      </c>
    </row>
    <row r="2984">
      <c r="A2984">
        <f>IF('KG1-5'!$B38="","",'KG1-5'!$B38)</f>
        <v/>
      </c>
      <c r="B2984">
        <f>IF(A2984="","",'KG1-5'!$C38)</f>
        <v/>
      </c>
      <c r="C2984">
        <f>IF(A2984="","",'KG1-5'!$B$2)</f>
        <v/>
      </c>
      <c r="D2984" s="126">
        <f t="array" ref="D2984">IF(A2984="","",IFERROR(SMALL(IF((('KG1-5'!$AD38:$IM38="غياب بدون عذر")+('KG1-5'!$AD38:$IM38="غياب بعذر"))*('KG1-5'!$AD$7:$IM$7="✓"),'KG1-5'!$AD$5:$IM$5),3),""))</f>
        <v/>
      </c>
      <c r="E2984">
        <f>IF(D2984="","",INDEX('KG1-5'!$AD38:$IM38,MATCH(D2984,'KG1-5'!$AD$5:$IM$5,0)))</f>
        <v/>
      </c>
      <c r="F2984">
        <f>IF(D2984="","",COUNTIFS('KG1-5'!$AD38:$IM38,"غياب بدون عذر",'KG1-5'!$AD$7:$IM$7,"✓",'KG1-5'!$AD$5:$IM$5,"&lt;="&amp;D2984))</f>
        <v/>
      </c>
      <c r="G2984">
        <f>G2983+IF(D2984="",0,1)</f>
        <v/>
      </c>
    </row>
    <row r="2985">
      <c r="A2985">
        <f>IF('KG1-5'!$B38="","",'KG1-5'!$B38)</f>
        <v/>
      </c>
      <c r="B2985">
        <f>IF(A2985="","",'KG1-5'!$C38)</f>
        <v/>
      </c>
      <c r="C2985">
        <f>IF(A2985="","",'KG1-5'!$B$2)</f>
        <v/>
      </c>
      <c r="D2985" s="126">
        <f t="array" ref="D2985">IF(A2985="","",IFERROR(SMALL(IF((('KG1-5'!$AD38:$IM38="غياب بدون عذر")+('KG1-5'!$AD38:$IM38="غياب بعذر"))*('KG1-5'!$AD$7:$IM$7="✓"),'KG1-5'!$AD$5:$IM$5),4),""))</f>
        <v/>
      </c>
      <c r="E2985">
        <f>IF(D2985="","",INDEX('KG1-5'!$AD38:$IM38,MATCH(D2985,'KG1-5'!$AD$5:$IM$5,0)))</f>
        <v/>
      </c>
      <c r="F2985">
        <f>IF(D2985="","",COUNTIFS('KG1-5'!$AD38:$IM38,"غياب بدون عذر",'KG1-5'!$AD$7:$IM$7,"✓",'KG1-5'!$AD$5:$IM$5,"&lt;="&amp;D2985))</f>
        <v/>
      </c>
      <c r="G2985">
        <f>G2984+IF(D2985="",0,1)</f>
        <v/>
      </c>
    </row>
    <row r="2986">
      <c r="A2986">
        <f>IF('KG1-5'!$B38="","",'KG1-5'!$B38)</f>
        <v/>
      </c>
      <c r="B2986">
        <f>IF(A2986="","",'KG1-5'!$C38)</f>
        <v/>
      </c>
      <c r="C2986">
        <f>IF(A2986="","",'KG1-5'!$B$2)</f>
        <v/>
      </c>
      <c r="D2986" s="126">
        <f t="array" ref="D2986">IF(A2986="","",IFERROR(SMALL(IF((('KG1-5'!$AD38:$IM38="غياب بدون عذر")+('KG1-5'!$AD38:$IM38="غياب بعذر"))*('KG1-5'!$AD$7:$IM$7="✓"),'KG1-5'!$AD$5:$IM$5),5),""))</f>
        <v/>
      </c>
      <c r="E2986">
        <f>IF(D2986="","",INDEX('KG1-5'!$AD38:$IM38,MATCH(D2986,'KG1-5'!$AD$5:$IM$5,0)))</f>
        <v/>
      </c>
      <c r="F2986">
        <f>IF(D2986="","",COUNTIFS('KG1-5'!$AD38:$IM38,"غياب بدون عذر",'KG1-5'!$AD$7:$IM$7,"✓",'KG1-5'!$AD$5:$IM$5,"&lt;="&amp;D2986))</f>
        <v/>
      </c>
      <c r="G2986">
        <f>G2985+IF(D2986="",0,1)</f>
        <v/>
      </c>
    </row>
    <row r="2987">
      <c r="A2987">
        <f>IF('KG1-5'!$B38="","",'KG1-5'!$B38)</f>
        <v/>
      </c>
      <c r="B2987">
        <f>IF(A2987="","",'KG1-5'!$C38)</f>
        <v/>
      </c>
      <c r="C2987">
        <f>IF(A2987="","",'KG1-5'!$B$2)</f>
        <v/>
      </c>
      <c r="D2987" s="126">
        <f t="array" ref="D2987">IF(A2987="","",IFERROR(SMALL(IF((('KG1-5'!$AD38:$IM38="غياب بدون عذر")+('KG1-5'!$AD38:$IM38="غياب بعذر"))*('KG1-5'!$AD$7:$IM$7="✓"),'KG1-5'!$AD$5:$IM$5),6),""))</f>
        <v/>
      </c>
      <c r="E2987">
        <f>IF(D2987="","",INDEX('KG1-5'!$AD38:$IM38,MATCH(D2987,'KG1-5'!$AD$5:$IM$5,0)))</f>
        <v/>
      </c>
      <c r="F2987">
        <f>IF(D2987="","",COUNTIFS('KG1-5'!$AD38:$IM38,"غياب بدون عذر",'KG1-5'!$AD$7:$IM$7,"✓",'KG1-5'!$AD$5:$IM$5,"&lt;="&amp;D2987))</f>
        <v/>
      </c>
      <c r="G2987">
        <f>G2986+IF(D2987="",0,1)</f>
        <v/>
      </c>
    </row>
    <row r="2988">
      <c r="A2988">
        <f>IF('KG1-5'!$B38="","",'KG1-5'!$B38)</f>
        <v/>
      </c>
      <c r="B2988">
        <f>IF(A2988="","",'KG1-5'!$C38)</f>
        <v/>
      </c>
      <c r="C2988">
        <f>IF(A2988="","",'KG1-5'!$B$2)</f>
        <v/>
      </c>
      <c r="D2988" s="126">
        <f t="array" ref="D2988">IF(A2988="","",IFERROR(SMALL(IF((('KG1-5'!$AD38:$IM38="غياب بدون عذر")+('KG1-5'!$AD38:$IM38="غياب بعذر"))*('KG1-5'!$AD$7:$IM$7="✓"),'KG1-5'!$AD$5:$IM$5),7),""))</f>
        <v/>
      </c>
      <c r="E2988">
        <f>IF(D2988="","",INDEX('KG1-5'!$AD38:$IM38,MATCH(D2988,'KG1-5'!$AD$5:$IM$5,0)))</f>
        <v/>
      </c>
      <c r="F2988">
        <f>IF(D2988="","",COUNTIFS('KG1-5'!$AD38:$IM38,"غياب بدون عذر",'KG1-5'!$AD$7:$IM$7,"✓",'KG1-5'!$AD$5:$IM$5,"&lt;="&amp;D2988))</f>
        <v/>
      </c>
      <c r="G2988">
        <f>G2987+IF(D2988="",0,1)</f>
        <v/>
      </c>
    </row>
    <row r="2989">
      <c r="A2989">
        <f>IF('KG1-5'!$B38="","",'KG1-5'!$B38)</f>
        <v/>
      </c>
      <c r="B2989">
        <f>IF(A2989="","",'KG1-5'!$C38)</f>
        <v/>
      </c>
      <c r="C2989">
        <f>IF(A2989="","",'KG1-5'!$B$2)</f>
        <v/>
      </c>
      <c r="D2989" s="126">
        <f t="array" ref="D2989">IF(A2989="","",IFERROR(SMALL(IF((('KG1-5'!$AD38:$IM38="غياب بدون عذر")+('KG1-5'!$AD38:$IM38="غياب بعذر"))*('KG1-5'!$AD$7:$IM$7="✓"),'KG1-5'!$AD$5:$IM$5),8),""))</f>
        <v/>
      </c>
      <c r="E2989">
        <f>IF(D2989="","",INDEX('KG1-5'!$AD38:$IM38,MATCH(D2989,'KG1-5'!$AD$5:$IM$5,0)))</f>
        <v/>
      </c>
      <c r="F2989">
        <f>IF(D2989="","",COUNTIFS('KG1-5'!$AD38:$IM38,"غياب بدون عذر",'KG1-5'!$AD$7:$IM$7,"✓",'KG1-5'!$AD$5:$IM$5,"&lt;="&amp;D2989))</f>
        <v/>
      </c>
      <c r="G2989">
        <f>G2988+IF(D2989="",0,1)</f>
        <v/>
      </c>
    </row>
    <row r="2990">
      <c r="A2990">
        <f>IF('KG1-5'!$B38="","",'KG1-5'!$B38)</f>
        <v/>
      </c>
      <c r="B2990">
        <f>IF(A2990="","",'KG1-5'!$C38)</f>
        <v/>
      </c>
      <c r="C2990">
        <f>IF(A2990="","",'KG1-5'!$B$2)</f>
        <v/>
      </c>
      <c r="D2990" s="126">
        <f t="array" ref="D2990">IF(A2990="","",IFERROR(SMALL(IF((('KG1-5'!$AD38:$IM38="غياب بدون عذر")+('KG1-5'!$AD38:$IM38="غياب بعذر"))*('KG1-5'!$AD$7:$IM$7="✓"),'KG1-5'!$AD$5:$IM$5),9),""))</f>
        <v/>
      </c>
      <c r="E2990">
        <f>IF(D2990="","",INDEX('KG1-5'!$AD38:$IM38,MATCH(D2990,'KG1-5'!$AD$5:$IM$5,0)))</f>
        <v/>
      </c>
      <c r="F2990">
        <f>IF(D2990="","",COUNTIFS('KG1-5'!$AD38:$IM38,"غياب بدون عذر",'KG1-5'!$AD$7:$IM$7,"✓",'KG1-5'!$AD$5:$IM$5,"&lt;="&amp;D2990))</f>
        <v/>
      </c>
      <c r="G2990">
        <f>G2989+IF(D2990="",0,1)</f>
        <v/>
      </c>
    </row>
    <row r="2991">
      <c r="A2991">
        <f>IF('KG1-5'!$B38="","",'KG1-5'!$B38)</f>
        <v/>
      </c>
      <c r="B2991">
        <f>IF(A2991="","",'KG1-5'!$C38)</f>
        <v/>
      </c>
      <c r="C2991">
        <f>IF(A2991="","",'KG1-5'!$B$2)</f>
        <v/>
      </c>
      <c r="D2991" s="126">
        <f t="array" ref="D2991">IF(A2991="","",IFERROR(SMALL(IF((('KG1-5'!$AD38:$IM38="غياب بدون عذر")+('KG1-5'!$AD38:$IM38="غياب بعذر"))*('KG1-5'!$AD$7:$IM$7="✓"),'KG1-5'!$AD$5:$IM$5),10),""))</f>
        <v/>
      </c>
      <c r="E2991">
        <f>IF(D2991="","",INDEX('KG1-5'!$AD38:$IM38,MATCH(D2991,'KG1-5'!$AD$5:$IM$5,0)))</f>
        <v/>
      </c>
      <c r="F2991">
        <f>IF(D2991="","",COUNTIFS('KG1-5'!$AD38:$IM38,"غياب بدون عذر",'KG1-5'!$AD$7:$IM$7,"✓",'KG1-5'!$AD$5:$IM$5,"&lt;="&amp;D2991))</f>
        <v/>
      </c>
      <c r="G2991">
        <f>G2990+IF(D2991="",0,1)</f>
        <v/>
      </c>
    </row>
    <row r="2992">
      <c r="A2992">
        <f>IF('KG1-5'!$B38="","",'KG1-5'!$B38)</f>
        <v/>
      </c>
      <c r="B2992">
        <f>IF(A2992="","",'KG1-5'!$C38)</f>
        <v/>
      </c>
      <c r="C2992">
        <f>IF(A2992="","",'KG1-5'!$B$2)</f>
        <v/>
      </c>
      <c r="D2992" s="126">
        <f t="array" ref="D2992">IF(A2992="","",IFERROR(SMALL(IF((('KG1-5'!$AD38:$IM38="غياب بدون عذر")+('KG1-5'!$AD38:$IM38="غياب بعذر"))*('KG1-5'!$AD$7:$IM$7="✓"),'KG1-5'!$AD$5:$IM$5),11),""))</f>
        <v/>
      </c>
      <c r="E2992">
        <f>IF(D2992="","",INDEX('KG1-5'!$AD38:$IM38,MATCH(D2992,'KG1-5'!$AD$5:$IM$5,0)))</f>
        <v/>
      </c>
      <c r="F2992">
        <f>IF(D2992="","",COUNTIFS('KG1-5'!$AD38:$IM38,"غياب بدون عذر",'KG1-5'!$AD$7:$IM$7,"✓",'KG1-5'!$AD$5:$IM$5,"&lt;="&amp;D2992))</f>
        <v/>
      </c>
      <c r="G2992">
        <f>G2991+IF(D2992="",0,1)</f>
        <v/>
      </c>
    </row>
    <row r="2993">
      <c r="A2993">
        <f>IF('KG1-5'!$B38="","",'KG1-5'!$B38)</f>
        <v/>
      </c>
      <c r="B2993">
        <f>IF(A2993="","",'KG1-5'!$C38)</f>
        <v/>
      </c>
      <c r="C2993">
        <f>IF(A2993="","",'KG1-5'!$B$2)</f>
        <v/>
      </c>
      <c r="D2993" s="126">
        <f t="array" ref="D2993">IF(A2993="","",IFERROR(SMALL(IF((('KG1-5'!$AD38:$IM38="غياب بدون عذر")+('KG1-5'!$AD38:$IM38="غياب بعذر"))*('KG1-5'!$AD$7:$IM$7="✓"),'KG1-5'!$AD$5:$IM$5),12),""))</f>
        <v/>
      </c>
      <c r="E2993">
        <f>IF(D2993="","",INDEX('KG1-5'!$AD38:$IM38,MATCH(D2993,'KG1-5'!$AD$5:$IM$5,0)))</f>
        <v/>
      </c>
      <c r="F2993">
        <f>IF(D2993="","",COUNTIFS('KG1-5'!$AD38:$IM38,"غياب بدون عذر",'KG1-5'!$AD$7:$IM$7,"✓",'KG1-5'!$AD$5:$IM$5,"&lt;="&amp;D2993))</f>
        <v/>
      </c>
      <c r="G2993">
        <f>G2992+IF(D2993="",0,1)</f>
        <v/>
      </c>
    </row>
    <row r="2994">
      <c r="A2994">
        <f>IF('KG1-5'!$B38="","",'KG1-5'!$B38)</f>
        <v/>
      </c>
      <c r="B2994">
        <f>IF(A2994="","",'KG1-5'!$C38)</f>
        <v/>
      </c>
      <c r="C2994">
        <f>IF(A2994="","",'KG1-5'!$B$2)</f>
        <v/>
      </c>
      <c r="D2994" s="126">
        <f t="array" ref="D2994">IF(A2994="","",IFERROR(SMALL(IF((('KG1-5'!$AD38:$IM38="غياب بدون عذر")+('KG1-5'!$AD38:$IM38="غياب بعذر"))*('KG1-5'!$AD$7:$IM$7="✓"),'KG1-5'!$AD$5:$IM$5),13),""))</f>
        <v/>
      </c>
      <c r="E2994">
        <f>IF(D2994="","",INDEX('KG1-5'!$AD38:$IM38,MATCH(D2994,'KG1-5'!$AD$5:$IM$5,0)))</f>
        <v/>
      </c>
      <c r="F2994">
        <f>IF(D2994="","",COUNTIFS('KG1-5'!$AD38:$IM38,"غياب بدون عذر",'KG1-5'!$AD$7:$IM$7,"✓",'KG1-5'!$AD$5:$IM$5,"&lt;="&amp;D2994))</f>
        <v/>
      </c>
      <c r="G2994">
        <f>G2993+IF(D2994="",0,1)</f>
        <v/>
      </c>
    </row>
    <row r="2995">
      <c r="A2995">
        <f>IF('KG1-5'!$B38="","",'KG1-5'!$B38)</f>
        <v/>
      </c>
      <c r="B2995">
        <f>IF(A2995="","",'KG1-5'!$C38)</f>
        <v/>
      </c>
      <c r="C2995">
        <f>IF(A2995="","",'KG1-5'!$B$2)</f>
        <v/>
      </c>
      <c r="D2995" s="126">
        <f t="array" ref="D2995">IF(A2995="","",IFERROR(SMALL(IF((('KG1-5'!$AD38:$IM38="غياب بدون عذر")+('KG1-5'!$AD38:$IM38="غياب بعذر"))*('KG1-5'!$AD$7:$IM$7="✓"),'KG1-5'!$AD$5:$IM$5),14),""))</f>
        <v/>
      </c>
      <c r="E2995">
        <f>IF(D2995="","",INDEX('KG1-5'!$AD38:$IM38,MATCH(D2995,'KG1-5'!$AD$5:$IM$5,0)))</f>
        <v/>
      </c>
      <c r="F2995">
        <f>IF(D2995="","",COUNTIFS('KG1-5'!$AD38:$IM38,"غياب بدون عذر",'KG1-5'!$AD$7:$IM$7,"✓",'KG1-5'!$AD$5:$IM$5,"&lt;="&amp;D2995))</f>
        <v/>
      </c>
      <c r="G2995">
        <f>G2994+IF(D2995="",0,1)</f>
        <v/>
      </c>
    </row>
    <row r="2996">
      <c r="A2996">
        <f>IF('KG1-5'!$B38="","",'KG1-5'!$B38)</f>
        <v/>
      </c>
      <c r="B2996">
        <f>IF(A2996="","",'KG1-5'!$C38)</f>
        <v/>
      </c>
      <c r="C2996">
        <f>IF(A2996="","",'KG1-5'!$B$2)</f>
        <v/>
      </c>
      <c r="D2996" s="126">
        <f t="array" ref="D2996">IF(A2996="","",IFERROR(SMALL(IF((('KG1-5'!$AD38:$IM38="غياب بدون عذر")+('KG1-5'!$AD38:$IM38="غياب بعذر"))*('KG1-5'!$AD$7:$IM$7="✓"),'KG1-5'!$AD$5:$IM$5),15),""))</f>
        <v/>
      </c>
      <c r="E2996">
        <f>IF(D2996="","",INDEX('KG1-5'!$AD38:$IM38,MATCH(D2996,'KG1-5'!$AD$5:$IM$5,0)))</f>
        <v/>
      </c>
      <c r="F2996">
        <f>IF(D2996="","",COUNTIFS('KG1-5'!$AD38:$IM38,"غياب بدون عذر",'KG1-5'!$AD$7:$IM$7,"✓",'KG1-5'!$AD$5:$IM$5,"&lt;="&amp;D2996))</f>
        <v/>
      </c>
      <c r="G2996">
        <f>G2995+IF(D2996="",0,1)</f>
        <v/>
      </c>
    </row>
    <row r="2997">
      <c r="A2997">
        <f>IF('KG1-5'!$B38="","",'KG1-5'!$B38)</f>
        <v/>
      </c>
      <c r="B2997">
        <f>IF(A2997="","",'KG1-5'!$C38)</f>
        <v/>
      </c>
      <c r="C2997">
        <f>IF(A2997="","",'KG1-5'!$B$2)</f>
        <v/>
      </c>
      <c r="D2997" s="126">
        <f t="array" ref="D2997">IF(A2997="","",IFERROR(SMALL(IF((('KG1-5'!$AD38:$IM38="غياب بدون عذر")+('KG1-5'!$AD38:$IM38="غياب بعذر"))*('KG1-5'!$AD$7:$IM$7="✓"),'KG1-5'!$AD$5:$IM$5),16),""))</f>
        <v/>
      </c>
      <c r="E2997">
        <f>IF(D2997="","",INDEX('KG1-5'!$AD38:$IM38,MATCH(D2997,'KG1-5'!$AD$5:$IM$5,0)))</f>
        <v/>
      </c>
      <c r="F2997">
        <f>IF(D2997="","",COUNTIFS('KG1-5'!$AD38:$IM38,"غياب بدون عذر",'KG1-5'!$AD$7:$IM$7,"✓",'KG1-5'!$AD$5:$IM$5,"&lt;="&amp;D2997))</f>
        <v/>
      </c>
      <c r="G2997">
        <f>G2996+IF(D2997="",0,1)</f>
        <v/>
      </c>
    </row>
    <row r="2998">
      <c r="A2998">
        <f>IF('KG1-5'!$B38="","",'KG1-5'!$B38)</f>
        <v/>
      </c>
      <c r="B2998">
        <f>IF(A2998="","",'KG1-5'!$C38)</f>
        <v/>
      </c>
      <c r="C2998">
        <f>IF(A2998="","",'KG1-5'!$B$2)</f>
        <v/>
      </c>
      <c r="D2998" s="126">
        <f t="array" ref="D2998">IF(A2998="","",IFERROR(SMALL(IF((('KG1-5'!$AD38:$IM38="غياب بدون عذر")+('KG1-5'!$AD38:$IM38="غياب بعذر"))*('KG1-5'!$AD$7:$IM$7="✓"),'KG1-5'!$AD$5:$IM$5),17),""))</f>
        <v/>
      </c>
      <c r="E2998">
        <f>IF(D2998="","",INDEX('KG1-5'!$AD38:$IM38,MATCH(D2998,'KG1-5'!$AD$5:$IM$5,0)))</f>
        <v/>
      </c>
      <c r="F2998">
        <f>IF(D2998="","",COUNTIFS('KG1-5'!$AD38:$IM38,"غياب بدون عذر",'KG1-5'!$AD$7:$IM$7,"✓",'KG1-5'!$AD$5:$IM$5,"&lt;="&amp;D2998))</f>
        <v/>
      </c>
      <c r="G2998">
        <f>G2997+IF(D2998="",0,1)</f>
        <v/>
      </c>
    </row>
    <row r="2999">
      <c r="A2999">
        <f>IF('KG1-5'!$B38="","",'KG1-5'!$B38)</f>
        <v/>
      </c>
      <c r="B2999">
        <f>IF(A2999="","",'KG1-5'!$C38)</f>
        <v/>
      </c>
      <c r="C2999">
        <f>IF(A2999="","",'KG1-5'!$B$2)</f>
        <v/>
      </c>
      <c r="D2999" s="126">
        <f t="array" ref="D2999">IF(A2999="","",IFERROR(SMALL(IF((('KG1-5'!$AD38:$IM38="غياب بدون عذر")+('KG1-5'!$AD38:$IM38="غياب بعذر"))*('KG1-5'!$AD$7:$IM$7="✓"),'KG1-5'!$AD$5:$IM$5),18),""))</f>
        <v/>
      </c>
      <c r="E2999">
        <f>IF(D2999="","",INDEX('KG1-5'!$AD38:$IM38,MATCH(D2999,'KG1-5'!$AD$5:$IM$5,0)))</f>
        <v/>
      </c>
      <c r="F2999">
        <f>IF(D2999="","",COUNTIFS('KG1-5'!$AD38:$IM38,"غياب بدون عذر",'KG1-5'!$AD$7:$IM$7,"✓",'KG1-5'!$AD$5:$IM$5,"&lt;="&amp;D2999))</f>
        <v/>
      </c>
      <c r="G2999">
        <f>G2998+IF(D2999="",0,1)</f>
        <v/>
      </c>
    </row>
    <row r="3000">
      <c r="A3000">
        <f>IF('KG1-5'!$B38="","",'KG1-5'!$B38)</f>
        <v/>
      </c>
      <c r="B3000">
        <f>IF(A3000="","",'KG1-5'!$C38)</f>
        <v/>
      </c>
      <c r="C3000">
        <f>IF(A3000="","",'KG1-5'!$B$2)</f>
        <v/>
      </c>
      <c r="D3000" s="126">
        <f t="array" ref="D3000">IF(A3000="","",IFERROR(SMALL(IF((('KG1-5'!$AD38:$IM38="غياب بدون عذر")+('KG1-5'!$AD38:$IM38="غياب بعذر"))*('KG1-5'!$AD$7:$IM$7="✓"),'KG1-5'!$AD$5:$IM$5),19),""))</f>
        <v/>
      </c>
      <c r="E3000">
        <f>IF(D3000="","",INDEX('KG1-5'!$AD38:$IM38,MATCH(D3000,'KG1-5'!$AD$5:$IM$5,0)))</f>
        <v/>
      </c>
      <c r="F3000">
        <f>IF(D3000="","",COUNTIFS('KG1-5'!$AD38:$IM38,"غياب بدون عذر",'KG1-5'!$AD$7:$IM$7,"✓",'KG1-5'!$AD$5:$IM$5,"&lt;="&amp;D3000))</f>
        <v/>
      </c>
      <c r="G3000">
        <f>G2999+IF(D3000="",0,1)</f>
        <v/>
      </c>
    </row>
    <row r="3001">
      <c r="A3001">
        <f>IF('KG1-5'!$B38="","",'KG1-5'!$B38)</f>
        <v/>
      </c>
      <c r="B3001">
        <f>IF(A3001="","",'KG1-5'!$C38)</f>
        <v/>
      </c>
      <c r="C3001">
        <f>IF(A3001="","",'KG1-5'!$B$2)</f>
        <v/>
      </c>
      <c r="D3001" s="126">
        <f t="array" ref="D3001">IF(A3001="","",IFERROR(SMALL(IF((('KG1-5'!$AD38:$IM38="غياب بدون عذر")+('KG1-5'!$AD38:$IM38="غياب بعذر"))*('KG1-5'!$AD$7:$IM$7="✓"),'KG1-5'!$AD$5:$IM$5),20),""))</f>
        <v/>
      </c>
      <c r="E3001">
        <f>IF(D3001="","",INDEX('KG1-5'!$AD38:$IM38,MATCH(D3001,'KG1-5'!$AD$5:$IM$5,0)))</f>
        <v/>
      </c>
      <c r="F3001">
        <f>IF(D3001="","",COUNTIFS('KG1-5'!$AD38:$IM38,"غياب بدون عذر",'KG1-5'!$AD$7:$IM$7,"✓",'KG1-5'!$AD$5:$IM$5,"&lt;="&amp;D3001))</f>
        <v/>
      </c>
      <c r="G3001">
        <f>G3000+IF(D3001="",0,1)</f>
        <v/>
      </c>
    </row>
    <row r="3002">
      <c r="A3002">
        <f>IF('KG1-6'!$B9="","",'KG1-6'!$B9)</f>
        <v/>
      </c>
      <c r="B3002">
        <f>IF(A3002="","",'KG1-6'!$C9)</f>
        <v/>
      </c>
      <c r="C3002">
        <f>IF(A3002="","",'KG1-6'!$B$2)</f>
        <v/>
      </c>
      <c r="D3002" s="126">
        <f t="array" ref="D3002">IF(A3002="","",IFERROR(SMALL(IF((('KG1-6'!$AD9:$IM9="غياب بدون عذر")+('KG1-6'!$AD9:$IM9="غياب بعذر"))*('KG1-6'!$AD$7:$IM$7="✓"),'KG1-6'!$AD$5:$IM$5),1),""))</f>
        <v/>
      </c>
      <c r="E3002">
        <f>IF(D3002="","",INDEX('KG1-6'!$AD9:$IM9,MATCH(D3002,'KG1-6'!$AD$5:$IM$5,0)))</f>
        <v/>
      </c>
      <c r="F3002">
        <f>IF(D3002="","",COUNTIFS('KG1-6'!$AD9:$IM9,"غياب بدون عذر",'KG1-6'!$AD$7:$IM$7,"✓",'KG1-6'!$AD$5:$IM$5,"&lt;="&amp;D3002))</f>
        <v/>
      </c>
      <c r="G3002">
        <f>G3001+IF(D3002="",0,1)</f>
        <v/>
      </c>
    </row>
    <row r="3003">
      <c r="A3003">
        <f>IF('KG1-6'!$B9="","",'KG1-6'!$B9)</f>
        <v/>
      </c>
      <c r="B3003">
        <f>IF(A3003="","",'KG1-6'!$C9)</f>
        <v/>
      </c>
      <c r="C3003">
        <f>IF(A3003="","",'KG1-6'!$B$2)</f>
        <v/>
      </c>
      <c r="D3003" s="126">
        <f t="array" ref="D3003">IF(A3003="","",IFERROR(SMALL(IF((('KG1-6'!$AD9:$IM9="غياب بدون عذر")+('KG1-6'!$AD9:$IM9="غياب بعذر"))*('KG1-6'!$AD$7:$IM$7="✓"),'KG1-6'!$AD$5:$IM$5),2),""))</f>
        <v/>
      </c>
      <c r="E3003">
        <f>IF(D3003="","",INDEX('KG1-6'!$AD9:$IM9,MATCH(D3003,'KG1-6'!$AD$5:$IM$5,0)))</f>
        <v/>
      </c>
      <c r="F3003">
        <f>IF(D3003="","",COUNTIFS('KG1-6'!$AD9:$IM9,"غياب بدون عذر",'KG1-6'!$AD$7:$IM$7,"✓",'KG1-6'!$AD$5:$IM$5,"&lt;="&amp;D3003))</f>
        <v/>
      </c>
      <c r="G3003">
        <f>G3002+IF(D3003="",0,1)</f>
        <v/>
      </c>
    </row>
    <row r="3004">
      <c r="A3004">
        <f>IF('KG1-6'!$B9="","",'KG1-6'!$B9)</f>
        <v/>
      </c>
      <c r="B3004">
        <f>IF(A3004="","",'KG1-6'!$C9)</f>
        <v/>
      </c>
      <c r="C3004">
        <f>IF(A3004="","",'KG1-6'!$B$2)</f>
        <v/>
      </c>
      <c r="D3004" s="126">
        <f t="array" ref="D3004">IF(A3004="","",IFERROR(SMALL(IF((('KG1-6'!$AD9:$IM9="غياب بدون عذر")+('KG1-6'!$AD9:$IM9="غياب بعذر"))*('KG1-6'!$AD$7:$IM$7="✓"),'KG1-6'!$AD$5:$IM$5),3),""))</f>
        <v/>
      </c>
      <c r="E3004">
        <f>IF(D3004="","",INDEX('KG1-6'!$AD9:$IM9,MATCH(D3004,'KG1-6'!$AD$5:$IM$5,0)))</f>
        <v/>
      </c>
      <c r="F3004">
        <f>IF(D3004="","",COUNTIFS('KG1-6'!$AD9:$IM9,"غياب بدون عذر",'KG1-6'!$AD$7:$IM$7,"✓",'KG1-6'!$AD$5:$IM$5,"&lt;="&amp;D3004))</f>
        <v/>
      </c>
      <c r="G3004">
        <f>G3003+IF(D3004="",0,1)</f>
        <v/>
      </c>
    </row>
    <row r="3005">
      <c r="A3005">
        <f>IF('KG1-6'!$B9="","",'KG1-6'!$B9)</f>
        <v/>
      </c>
      <c r="B3005">
        <f>IF(A3005="","",'KG1-6'!$C9)</f>
        <v/>
      </c>
      <c r="C3005">
        <f>IF(A3005="","",'KG1-6'!$B$2)</f>
        <v/>
      </c>
      <c r="D3005" s="126">
        <f t="array" ref="D3005">IF(A3005="","",IFERROR(SMALL(IF((('KG1-6'!$AD9:$IM9="غياب بدون عذر")+('KG1-6'!$AD9:$IM9="غياب بعذر"))*('KG1-6'!$AD$7:$IM$7="✓"),'KG1-6'!$AD$5:$IM$5),4),""))</f>
        <v/>
      </c>
      <c r="E3005">
        <f>IF(D3005="","",INDEX('KG1-6'!$AD9:$IM9,MATCH(D3005,'KG1-6'!$AD$5:$IM$5,0)))</f>
        <v/>
      </c>
      <c r="F3005">
        <f>IF(D3005="","",COUNTIFS('KG1-6'!$AD9:$IM9,"غياب بدون عذر",'KG1-6'!$AD$7:$IM$7,"✓",'KG1-6'!$AD$5:$IM$5,"&lt;="&amp;D3005))</f>
        <v/>
      </c>
      <c r="G3005">
        <f>G3004+IF(D3005="",0,1)</f>
        <v/>
      </c>
    </row>
    <row r="3006">
      <c r="A3006">
        <f>IF('KG1-6'!$B9="","",'KG1-6'!$B9)</f>
        <v/>
      </c>
      <c r="B3006">
        <f>IF(A3006="","",'KG1-6'!$C9)</f>
        <v/>
      </c>
      <c r="C3006">
        <f>IF(A3006="","",'KG1-6'!$B$2)</f>
        <v/>
      </c>
      <c r="D3006" s="126">
        <f t="array" ref="D3006">IF(A3006="","",IFERROR(SMALL(IF((('KG1-6'!$AD9:$IM9="غياب بدون عذر")+('KG1-6'!$AD9:$IM9="غياب بعذر"))*('KG1-6'!$AD$7:$IM$7="✓"),'KG1-6'!$AD$5:$IM$5),5),""))</f>
        <v/>
      </c>
      <c r="E3006">
        <f>IF(D3006="","",INDEX('KG1-6'!$AD9:$IM9,MATCH(D3006,'KG1-6'!$AD$5:$IM$5,0)))</f>
        <v/>
      </c>
      <c r="F3006">
        <f>IF(D3006="","",COUNTIFS('KG1-6'!$AD9:$IM9,"غياب بدون عذر",'KG1-6'!$AD$7:$IM$7,"✓",'KG1-6'!$AD$5:$IM$5,"&lt;="&amp;D3006))</f>
        <v/>
      </c>
      <c r="G3006">
        <f>G3005+IF(D3006="",0,1)</f>
        <v/>
      </c>
    </row>
    <row r="3007">
      <c r="A3007">
        <f>IF('KG1-6'!$B9="","",'KG1-6'!$B9)</f>
        <v/>
      </c>
      <c r="B3007">
        <f>IF(A3007="","",'KG1-6'!$C9)</f>
        <v/>
      </c>
      <c r="C3007">
        <f>IF(A3007="","",'KG1-6'!$B$2)</f>
        <v/>
      </c>
      <c r="D3007" s="126">
        <f t="array" ref="D3007">IF(A3007="","",IFERROR(SMALL(IF((('KG1-6'!$AD9:$IM9="غياب بدون عذر")+('KG1-6'!$AD9:$IM9="غياب بعذر"))*('KG1-6'!$AD$7:$IM$7="✓"),'KG1-6'!$AD$5:$IM$5),6),""))</f>
        <v/>
      </c>
      <c r="E3007">
        <f>IF(D3007="","",INDEX('KG1-6'!$AD9:$IM9,MATCH(D3007,'KG1-6'!$AD$5:$IM$5,0)))</f>
        <v/>
      </c>
      <c r="F3007">
        <f>IF(D3007="","",COUNTIFS('KG1-6'!$AD9:$IM9,"غياب بدون عذر",'KG1-6'!$AD$7:$IM$7,"✓",'KG1-6'!$AD$5:$IM$5,"&lt;="&amp;D3007))</f>
        <v/>
      </c>
      <c r="G3007">
        <f>G3006+IF(D3007="",0,1)</f>
        <v/>
      </c>
    </row>
    <row r="3008">
      <c r="A3008">
        <f>IF('KG1-6'!$B9="","",'KG1-6'!$B9)</f>
        <v/>
      </c>
      <c r="B3008">
        <f>IF(A3008="","",'KG1-6'!$C9)</f>
        <v/>
      </c>
      <c r="C3008">
        <f>IF(A3008="","",'KG1-6'!$B$2)</f>
        <v/>
      </c>
      <c r="D3008" s="126">
        <f t="array" ref="D3008">IF(A3008="","",IFERROR(SMALL(IF((('KG1-6'!$AD9:$IM9="غياب بدون عذر")+('KG1-6'!$AD9:$IM9="غياب بعذر"))*('KG1-6'!$AD$7:$IM$7="✓"),'KG1-6'!$AD$5:$IM$5),7),""))</f>
        <v/>
      </c>
      <c r="E3008">
        <f>IF(D3008="","",INDEX('KG1-6'!$AD9:$IM9,MATCH(D3008,'KG1-6'!$AD$5:$IM$5,0)))</f>
        <v/>
      </c>
      <c r="F3008">
        <f>IF(D3008="","",COUNTIFS('KG1-6'!$AD9:$IM9,"غياب بدون عذر",'KG1-6'!$AD$7:$IM$7,"✓",'KG1-6'!$AD$5:$IM$5,"&lt;="&amp;D3008))</f>
        <v/>
      </c>
      <c r="G3008">
        <f>G3007+IF(D3008="",0,1)</f>
        <v/>
      </c>
    </row>
    <row r="3009">
      <c r="A3009">
        <f>IF('KG1-6'!$B9="","",'KG1-6'!$B9)</f>
        <v/>
      </c>
      <c r="B3009">
        <f>IF(A3009="","",'KG1-6'!$C9)</f>
        <v/>
      </c>
      <c r="C3009">
        <f>IF(A3009="","",'KG1-6'!$B$2)</f>
        <v/>
      </c>
      <c r="D3009" s="126">
        <f t="array" ref="D3009">IF(A3009="","",IFERROR(SMALL(IF((('KG1-6'!$AD9:$IM9="غياب بدون عذر")+('KG1-6'!$AD9:$IM9="غياب بعذر"))*('KG1-6'!$AD$7:$IM$7="✓"),'KG1-6'!$AD$5:$IM$5),8),""))</f>
        <v/>
      </c>
      <c r="E3009">
        <f>IF(D3009="","",INDEX('KG1-6'!$AD9:$IM9,MATCH(D3009,'KG1-6'!$AD$5:$IM$5,0)))</f>
        <v/>
      </c>
      <c r="F3009">
        <f>IF(D3009="","",COUNTIFS('KG1-6'!$AD9:$IM9,"غياب بدون عذر",'KG1-6'!$AD$7:$IM$7,"✓",'KG1-6'!$AD$5:$IM$5,"&lt;="&amp;D3009))</f>
        <v/>
      </c>
      <c r="G3009">
        <f>G3008+IF(D3009="",0,1)</f>
        <v/>
      </c>
    </row>
    <row r="3010">
      <c r="A3010">
        <f>IF('KG1-6'!$B9="","",'KG1-6'!$B9)</f>
        <v/>
      </c>
      <c r="B3010">
        <f>IF(A3010="","",'KG1-6'!$C9)</f>
        <v/>
      </c>
      <c r="C3010">
        <f>IF(A3010="","",'KG1-6'!$B$2)</f>
        <v/>
      </c>
      <c r="D3010" s="126">
        <f t="array" ref="D3010">IF(A3010="","",IFERROR(SMALL(IF((('KG1-6'!$AD9:$IM9="غياب بدون عذر")+('KG1-6'!$AD9:$IM9="غياب بعذر"))*('KG1-6'!$AD$7:$IM$7="✓"),'KG1-6'!$AD$5:$IM$5),9),""))</f>
        <v/>
      </c>
      <c r="E3010">
        <f>IF(D3010="","",INDEX('KG1-6'!$AD9:$IM9,MATCH(D3010,'KG1-6'!$AD$5:$IM$5,0)))</f>
        <v/>
      </c>
      <c r="F3010">
        <f>IF(D3010="","",COUNTIFS('KG1-6'!$AD9:$IM9,"غياب بدون عذر",'KG1-6'!$AD$7:$IM$7,"✓",'KG1-6'!$AD$5:$IM$5,"&lt;="&amp;D3010))</f>
        <v/>
      </c>
      <c r="G3010">
        <f>G3009+IF(D3010="",0,1)</f>
        <v/>
      </c>
    </row>
    <row r="3011">
      <c r="A3011">
        <f>IF('KG1-6'!$B9="","",'KG1-6'!$B9)</f>
        <v/>
      </c>
      <c r="B3011">
        <f>IF(A3011="","",'KG1-6'!$C9)</f>
        <v/>
      </c>
      <c r="C3011">
        <f>IF(A3011="","",'KG1-6'!$B$2)</f>
        <v/>
      </c>
      <c r="D3011" s="126">
        <f t="array" ref="D3011">IF(A3011="","",IFERROR(SMALL(IF((('KG1-6'!$AD9:$IM9="غياب بدون عذر")+('KG1-6'!$AD9:$IM9="غياب بعذر"))*('KG1-6'!$AD$7:$IM$7="✓"),'KG1-6'!$AD$5:$IM$5),10),""))</f>
        <v/>
      </c>
      <c r="E3011">
        <f>IF(D3011="","",INDEX('KG1-6'!$AD9:$IM9,MATCH(D3011,'KG1-6'!$AD$5:$IM$5,0)))</f>
        <v/>
      </c>
      <c r="F3011">
        <f>IF(D3011="","",COUNTIFS('KG1-6'!$AD9:$IM9,"غياب بدون عذر",'KG1-6'!$AD$7:$IM$7,"✓",'KG1-6'!$AD$5:$IM$5,"&lt;="&amp;D3011))</f>
        <v/>
      </c>
      <c r="G3011">
        <f>G3010+IF(D3011="",0,1)</f>
        <v/>
      </c>
    </row>
    <row r="3012">
      <c r="A3012">
        <f>IF('KG1-6'!$B9="","",'KG1-6'!$B9)</f>
        <v/>
      </c>
      <c r="B3012">
        <f>IF(A3012="","",'KG1-6'!$C9)</f>
        <v/>
      </c>
      <c r="C3012">
        <f>IF(A3012="","",'KG1-6'!$B$2)</f>
        <v/>
      </c>
      <c r="D3012" s="126">
        <f t="array" ref="D3012">IF(A3012="","",IFERROR(SMALL(IF((('KG1-6'!$AD9:$IM9="غياب بدون عذر")+('KG1-6'!$AD9:$IM9="غياب بعذر"))*('KG1-6'!$AD$7:$IM$7="✓"),'KG1-6'!$AD$5:$IM$5),11),""))</f>
        <v/>
      </c>
      <c r="E3012">
        <f>IF(D3012="","",INDEX('KG1-6'!$AD9:$IM9,MATCH(D3012,'KG1-6'!$AD$5:$IM$5,0)))</f>
        <v/>
      </c>
      <c r="F3012">
        <f>IF(D3012="","",COUNTIFS('KG1-6'!$AD9:$IM9,"غياب بدون عذر",'KG1-6'!$AD$7:$IM$7,"✓",'KG1-6'!$AD$5:$IM$5,"&lt;="&amp;D3012))</f>
        <v/>
      </c>
      <c r="G3012">
        <f>G3011+IF(D3012="",0,1)</f>
        <v/>
      </c>
    </row>
    <row r="3013">
      <c r="A3013">
        <f>IF('KG1-6'!$B9="","",'KG1-6'!$B9)</f>
        <v/>
      </c>
      <c r="B3013">
        <f>IF(A3013="","",'KG1-6'!$C9)</f>
        <v/>
      </c>
      <c r="C3013">
        <f>IF(A3013="","",'KG1-6'!$B$2)</f>
        <v/>
      </c>
      <c r="D3013" s="126">
        <f t="array" ref="D3013">IF(A3013="","",IFERROR(SMALL(IF((('KG1-6'!$AD9:$IM9="غياب بدون عذر")+('KG1-6'!$AD9:$IM9="غياب بعذر"))*('KG1-6'!$AD$7:$IM$7="✓"),'KG1-6'!$AD$5:$IM$5),12),""))</f>
        <v/>
      </c>
      <c r="E3013">
        <f>IF(D3013="","",INDEX('KG1-6'!$AD9:$IM9,MATCH(D3013,'KG1-6'!$AD$5:$IM$5,0)))</f>
        <v/>
      </c>
      <c r="F3013">
        <f>IF(D3013="","",COUNTIFS('KG1-6'!$AD9:$IM9,"غياب بدون عذر",'KG1-6'!$AD$7:$IM$7,"✓",'KG1-6'!$AD$5:$IM$5,"&lt;="&amp;D3013))</f>
        <v/>
      </c>
      <c r="G3013">
        <f>G3012+IF(D3013="",0,1)</f>
        <v/>
      </c>
    </row>
    <row r="3014">
      <c r="A3014">
        <f>IF('KG1-6'!$B9="","",'KG1-6'!$B9)</f>
        <v/>
      </c>
      <c r="B3014">
        <f>IF(A3014="","",'KG1-6'!$C9)</f>
        <v/>
      </c>
      <c r="C3014">
        <f>IF(A3014="","",'KG1-6'!$B$2)</f>
        <v/>
      </c>
      <c r="D3014" s="126">
        <f t="array" ref="D3014">IF(A3014="","",IFERROR(SMALL(IF((('KG1-6'!$AD9:$IM9="غياب بدون عذر")+('KG1-6'!$AD9:$IM9="غياب بعذر"))*('KG1-6'!$AD$7:$IM$7="✓"),'KG1-6'!$AD$5:$IM$5),13),""))</f>
        <v/>
      </c>
      <c r="E3014">
        <f>IF(D3014="","",INDEX('KG1-6'!$AD9:$IM9,MATCH(D3014,'KG1-6'!$AD$5:$IM$5,0)))</f>
        <v/>
      </c>
      <c r="F3014">
        <f>IF(D3014="","",COUNTIFS('KG1-6'!$AD9:$IM9,"غياب بدون عذر",'KG1-6'!$AD$7:$IM$7,"✓",'KG1-6'!$AD$5:$IM$5,"&lt;="&amp;D3014))</f>
        <v/>
      </c>
      <c r="G3014">
        <f>G3013+IF(D3014="",0,1)</f>
        <v/>
      </c>
    </row>
    <row r="3015">
      <c r="A3015">
        <f>IF('KG1-6'!$B9="","",'KG1-6'!$B9)</f>
        <v/>
      </c>
      <c r="B3015">
        <f>IF(A3015="","",'KG1-6'!$C9)</f>
        <v/>
      </c>
      <c r="C3015">
        <f>IF(A3015="","",'KG1-6'!$B$2)</f>
        <v/>
      </c>
      <c r="D3015" s="126">
        <f t="array" ref="D3015">IF(A3015="","",IFERROR(SMALL(IF((('KG1-6'!$AD9:$IM9="غياب بدون عذر")+('KG1-6'!$AD9:$IM9="غياب بعذر"))*('KG1-6'!$AD$7:$IM$7="✓"),'KG1-6'!$AD$5:$IM$5),14),""))</f>
        <v/>
      </c>
      <c r="E3015">
        <f>IF(D3015="","",INDEX('KG1-6'!$AD9:$IM9,MATCH(D3015,'KG1-6'!$AD$5:$IM$5,0)))</f>
        <v/>
      </c>
      <c r="F3015">
        <f>IF(D3015="","",COUNTIFS('KG1-6'!$AD9:$IM9,"غياب بدون عذر",'KG1-6'!$AD$7:$IM$7,"✓",'KG1-6'!$AD$5:$IM$5,"&lt;="&amp;D3015))</f>
        <v/>
      </c>
      <c r="G3015">
        <f>G3014+IF(D3015="",0,1)</f>
        <v/>
      </c>
    </row>
    <row r="3016">
      <c r="A3016">
        <f>IF('KG1-6'!$B9="","",'KG1-6'!$B9)</f>
        <v/>
      </c>
      <c r="B3016">
        <f>IF(A3016="","",'KG1-6'!$C9)</f>
        <v/>
      </c>
      <c r="C3016">
        <f>IF(A3016="","",'KG1-6'!$B$2)</f>
        <v/>
      </c>
      <c r="D3016" s="126">
        <f t="array" ref="D3016">IF(A3016="","",IFERROR(SMALL(IF((('KG1-6'!$AD9:$IM9="غياب بدون عذر")+('KG1-6'!$AD9:$IM9="غياب بعذر"))*('KG1-6'!$AD$7:$IM$7="✓"),'KG1-6'!$AD$5:$IM$5),15),""))</f>
        <v/>
      </c>
      <c r="E3016">
        <f>IF(D3016="","",INDEX('KG1-6'!$AD9:$IM9,MATCH(D3016,'KG1-6'!$AD$5:$IM$5,0)))</f>
        <v/>
      </c>
      <c r="F3016">
        <f>IF(D3016="","",COUNTIFS('KG1-6'!$AD9:$IM9,"غياب بدون عذر",'KG1-6'!$AD$7:$IM$7,"✓",'KG1-6'!$AD$5:$IM$5,"&lt;="&amp;D3016))</f>
        <v/>
      </c>
      <c r="G3016">
        <f>G3015+IF(D3016="",0,1)</f>
        <v/>
      </c>
    </row>
    <row r="3017">
      <c r="A3017">
        <f>IF('KG1-6'!$B9="","",'KG1-6'!$B9)</f>
        <v/>
      </c>
      <c r="B3017">
        <f>IF(A3017="","",'KG1-6'!$C9)</f>
        <v/>
      </c>
      <c r="C3017">
        <f>IF(A3017="","",'KG1-6'!$B$2)</f>
        <v/>
      </c>
      <c r="D3017" s="126">
        <f t="array" ref="D3017">IF(A3017="","",IFERROR(SMALL(IF((('KG1-6'!$AD9:$IM9="غياب بدون عذر")+('KG1-6'!$AD9:$IM9="غياب بعذر"))*('KG1-6'!$AD$7:$IM$7="✓"),'KG1-6'!$AD$5:$IM$5),16),""))</f>
        <v/>
      </c>
      <c r="E3017">
        <f>IF(D3017="","",INDEX('KG1-6'!$AD9:$IM9,MATCH(D3017,'KG1-6'!$AD$5:$IM$5,0)))</f>
        <v/>
      </c>
      <c r="F3017">
        <f>IF(D3017="","",COUNTIFS('KG1-6'!$AD9:$IM9,"غياب بدون عذر",'KG1-6'!$AD$7:$IM$7,"✓",'KG1-6'!$AD$5:$IM$5,"&lt;="&amp;D3017))</f>
        <v/>
      </c>
      <c r="G3017">
        <f>G3016+IF(D3017="",0,1)</f>
        <v/>
      </c>
    </row>
    <row r="3018">
      <c r="A3018">
        <f>IF('KG1-6'!$B9="","",'KG1-6'!$B9)</f>
        <v/>
      </c>
      <c r="B3018">
        <f>IF(A3018="","",'KG1-6'!$C9)</f>
        <v/>
      </c>
      <c r="C3018">
        <f>IF(A3018="","",'KG1-6'!$B$2)</f>
        <v/>
      </c>
      <c r="D3018" s="126">
        <f t="array" ref="D3018">IF(A3018="","",IFERROR(SMALL(IF((('KG1-6'!$AD9:$IM9="غياب بدون عذر")+('KG1-6'!$AD9:$IM9="غياب بعذر"))*('KG1-6'!$AD$7:$IM$7="✓"),'KG1-6'!$AD$5:$IM$5),17),""))</f>
        <v/>
      </c>
      <c r="E3018">
        <f>IF(D3018="","",INDEX('KG1-6'!$AD9:$IM9,MATCH(D3018,'KG1-6'!$AD$5:$IM$5,0)))</f>
        <v/>
      </c>
      <c r="F3018">
        <f>IF(D3018="","",COUNTIFS('KG1-6'!$AD9:$IM9,"غياب بدون عذر",'KG1-6'!$AD$7:$IM$7,"✓",'KG1-6'!$AD$5:$IM$5,"&lt;="&amp;D3018))</f>
        <v/>
      </c>
      <c r="G3018">
        <f>G3017+IF(D3018="",0,1)</f>
        <v/>
      </c>
    </row>
    <row r="3019">
      <c r="A3019">
        <f>IF('KG1-6'!$B9="","",'KG1-6'!$B9)</f>
        <v/>
      </c>
      <c r="B3019">
        <f>IF(A3019="","",'KG1-6'!$C9)</f>
        <v/>
      </c>
      <c r="C3019">
        <f>IF(A3019="","",'KG1-6'!$B$2)</f>
        <v/>
      </c>
      <c r="D3019" s="126">
        <f t="array" ref="D3019">IF(A3019="","",IFERROR(SMALL(IF((('KG1-6'!$AD9:$IM9="غياب بدون عذر")+('KG1-6'!$AD9:$IM9="غياب بعذر"))*('KG1-6'!$AD$7:$IM$7="✓"),'KG1-6'!$AD$5:$IM$5),18),""))</f>
        <v/>
      </c>
      <c r="E3019">
        <f>IF(D3019="","",INDEX('KG1-6'!$AD9:$IM9,MATCH(D3019,'KG1-6'!$AD$5:$IM$5,0)))</f>
        <v/>
      </c>
      <c r="F3019">
        <f>IF(D3019="","",COUNTIFS('KG1-6'!$AD9:$IM9,"غياب بدون عذر",'KG1-6'!$AD$7:$IM$7,"✓",'KG1-6'!$AD$5:$IM$5,"&lt;="&amp;D3019))</f>
        <v/>
      </c>
      <c r="G3019">
        <f>G3018+IF(D3019="",0,1)</f>
        <v/>
      </c>
    </row>
    <row r="3020">
      <c r="A3020">
        <f>IF('KG1-6'!$B9="","",'KG1-6'!$B9)</f>
        <v/>
      </c>
      <c r="B3020">
        <f>IF(A3020="","",'KG1-6'!$C9)</f>
        <v/>
      </c>
      <c r="C3020">
        <f>IF(A3020="","",'KG1-6'!$B$2)</f>
        <v/>
      </c>
      <c r="D3020" s="126">
        <f t="array" ref="D3020">IF(A3020="","",IFERROR(SMALL(IF((('KG1-6'!$AD9:$IM9="غياب بدون عذر")+('KG1-6'!$AD9:$IM9="غياب بعذر"))*('KG1-6'!$AD$7:$IM$7="✓"),'KG1-6'!$AD$5:$IM$5),19),""))</f>
        <v/>
      </c>
      <c r="E3020">
        <f>IF(D3020="","",INDEX('KG1-6'!$AD9:$IM9,MATCH(D3020,'KG1-6'!$AD$5:$IM$5,0)))</f>
        <v/>
      </c>
      <c r="F3020">
        <f>IF(D3020="","",COUNTIFS('KG1-6'!$AD9:$IM9,"غياب بدون عذر",'KG1-6'!$AD$7:$IM$7,"✓",'KG1-6'!$AD$5:$IM$5,"&lt;="&amp;D3020))</f>
        <v/>
      </c>
      <c r="G3020">
        <f>G3019+IF(D3020="",0,1)</f>
        <v/>
      </c>
    </row>
    <row r="3021">
      <c r="A3021">
        <f>IF('KG1-6'!$B9="","",'KG1-6'!$B9)</f>
        <v/>
      </c>
      <c r="B3021">
        <f>IF(A3021="","",'KG1-6'!$C9)</f>
        <v/>
      </c>
      <c r="C3021">
        <f>IF(A3021="","",'KG1-6'!$B$2)</f>
        <v/>
      </c>
      <c r="D3021" s="126">
        <f t="array" ref="D3021">IF(A3021="","",IFERROR(SMALL(IF((('KG1-6'!$AD9:$IM9="غياب بدون عذر")+('KG1-6'!$AD9:$IM9="غياب بعذر"))*('KG1-6'!$AD$7:$IM$7="✓"),'KG1-6'!$AD$5:$IM$5),20),""))</f>
        <v/>
      </c>
      <c r="E3021">
        <f>IF(D3021="","",INDEX('KG1-6'!$AD9:$IM9,MATCH(D3021,'KG1-6'!$AD$5:$IM$5,0)))</f>
        <v/>
      </c>
      <c r="F3021">
        <f>IF(D3021="","",COUNTIFS('KG1-6'!$AD9:$IM9,"غياب بدون عذر",'KG1-6'!$AD$7:$IM$7,"✓",'KG1-6'!$AD$5:$IM$5,"&lt;="&amp;D3021))</f>
        <v/>
      </c>
      <c r="G3021">
        <f>G3020+IF(D3021="",0,1)</f>
        <v/>
      </c>
    </row>
    <row r="3022">
      <c r="A3022">
        <f>IF('KG1-6'!$B10="","",'KG1-6'!$B10)</f>
        <v/>
      </c>
      <c r="B3022">
        <f>IF(A3022="","",'KG1-6'!$C10)</f>
        <v/>
      </c>
      <c r="C3022">
        <f>IF(A3022="","",'KG1-6'!$B$2)</f>
        <v/>
      </c>
      <c r="D3022" s="126">
        <f t="array" ref="D3022">IF(A3022="","",IFERROR(SMALL(IF((('KG1-6'!$AD10:$IM10="غياب بدون عذر")+('KG1-6'!$AD10:$IM10="غياب بعذر"))*('KG1-6'!$AD$7:$IM$7="✓"),'KG1-6'!$AD$5:$IM$5),1),""))</f>
        <v/>
      </c>
      <c r="E3022">
        <f>IF(D3022="","",INDEX('KG1-6'!$AD10:$IM10,MATCH(D3022,'KG1-6'!$AD$5:$IM$5,0)))</f>
        <v/>
      </c>
      <c r="F3022">
        <f>IF(D3022="","",COUNTIFS('KG1-6'!$AD10:$IM10,"غياب بدون عذر",'KG1-6'!$AD$7:$IM$7,"✓",'KG1-6'!$AD$5:$IM$5,"&lt;="&amp;D3022))</f>
        <v/>
      </c>
      <c r="G3022">
        <f>G3021+IF(D3022="",0,1)</f>
        <v/>
      </c>
    </row>
    <row r="3023">
      <c r="A3023">
        <f>IF('KG1-6'!$B10="","",'KG1-6'!$B10)</f>
        <v/>
      </c>
      <c r="B3023">
        <f>IF(A3023="","",'KG1-6'!$C10)</f>
        <v/>
      </c>
      <c r="C3023">
        <f>IF(A3023="","",'KG1-6'!$B$2)</f>
        <v/>
      </c>
      <c r="D3023" s="126">
        <f t="array" ref="D3023">IF(A3023="","",IFERROR(SMALL(IF((('KG1-6'!$AD10:$IM10="غياب بدون عذر")+('KG1-6'!$AD10:$IM10="غياب بعذر"))*('KG1-6'!$AD$7:$IM$7="✓"),'KG1-6'!$AD$5:$IM$5),2),""))</f>
        <v/>
      </c>
      <c r="E3023">
        <f>IF(D3023="","",INDEX('KG1-6'!$AD10:$IM10,MATCH(D3023,'KG1-6'!$AD$5:$IM$5,0)))</f>
        <v/>
      </c>
      <c r="F3023">
        <f>IF(D3023="","",COUNTIFS('KG1-6'!$AD10:$IM10,"غياب بدون عذر",'KG1-6'!$AD$7:$IM$7,"✓",'KG1-6'!$AD$5:$IM$5,"&lt;="&amp;D3023))</f>
        <v/>
      </c>
      <c r="G3023">
        <f>G3022+IF(D3023="",0,1)</f>
        <v/>
      </c>
    </row>
    <row r="3024">
      <c r="A3024">
        <f>IF('KG1-6'!$B10="","",'KG1-6'!$B10)</f>
        <v/>
      </c>
      <c r="B3024">
        <f>IF(A3024="","",'KG1-6'!$C10)</f>
        <v/>
      </c>
      <c r="C3024">
        <f>IF(A3024="","",'KG1-6'!$B$2)</f>
        <v/>
      </c>
      <c r="D3024" s="126">
        <f t="array" ref="D3024">IF(A3024="","",IFERROR(SMALL(IF((('KG1-6'!$AD10:$IM10="غياب بدون عذر")+('KG1-6'!$AD10:$IM10="غياب بعذر"))*('KG1-6'!$AD$7:$IM$7="✓"),'KG1-6'!$AD$5:$IM$5),3),""))</f>
        <v/>
      </c>
      <c r="E3024">
        <f>IF(D3024="","",INDEX('KG1-6'!$AD10:$IM10,MATCH(D3024,'KG1-6'!$AD$5:$IM$5,0)))</f>
        <v/>
      </c>
      <c r="F3024">
        <f>IF(D3024="","",COUNTIFS('KG1-6'!$AD10:$IM10,"غياب بدون عذر",'KG1-6'!$AD$7:$IM$7,"✓",'KG1-6'!$AD$5:$IM$5,"&lt;="&amp;D3024))</f>
        <v/>
      </c>
      <c r="G3024">
        <f>G3023+IF(D3024="",0,1)</f>
        <v/>
      </c>
    </row>
    <row r="3025">
      <c r="A3025">
        <f>IF('KG1-6'!$B10="","",'KG1-6'!$B10)</f>
        <v/>
      </c>
      <c r="B3025">
        <f>IF(A3025="","",'KG1-6'!$C10)</f>
        <v/>
      </c>
      <c r="C3025">
        <f>IF(A3025="","",'KG1-6'!$B$2)</f>
        <v/>
      </c>
      <c r="D3025" s="126">
        <f t="array" ref="D3025">IF(A3025="","",IFERROR(SMALL(IF((('KG1-6'!$AD10:$IM10="غياب بدون عذر")+('KG1-6'!$AD10:$IM10="غياب بعذر"))*('KG1-6'!$AD$7:$IM$7="✓"),'KG1-6'!$AD$5:$IM$5),4),""))</f>
        <v/>
      </c>
      <c r="E3025">
        <f>IF(D3025="","",INDEX('KG1-6'!$AD10:$IM10,MATCH(D3025,'KG1-6'!$AD$5:$IM$5,0)))</f>
        <v/>
      </c>
      <c r="F3025">
        <f>IF(D3025="","",COUNTIFS('KG1-6'!$AD10:$IM10,"غياب بدون عذر",'KG1-6'!$AD$7:$IM$7,"✓",'KG1-6'!$AD$5:$IM$5,"&lt;="&amp;D3025))</f>
        <v/>
      </c>
      <c r="G3025">
        <f>G3024+IF(D3025="",0,1)</f>
        <v/>
      </c>
    </row>
    <row r="3026">
      <c r="A3026">
        <f>IF('KG1-6'!$B10="","",'KG1-6'!$B10)</f>
        <v/>
      </c>
      <c r="B3026">
        <f>IF(A3026="","",'KG1-6'!$C10)</f>
        <v/>
      </c>
      <c r="C3026">
        <f>IF(A3026="","",'KG1-6'!$B$2)</f>
        <v/>
      </c>
      <c r="D3026" s="126">
        <f t="array" ref="D3026">IF(A3026="","",IFERROR(SMALL(IF((('KG1-6'!$AD10:$IM10="غياب بدون عذر")+('KG1-6'!$AD10:$IM10="غياب بعذر"))*('KG1-6'!$AD$7:$IM$7="✓"),'KG1-6'!$AD$5:$IM$5),5),""))</f>
        <v/>
      </c>
      <c r="E3026">
        <f>IF(D3026="","",INDEX('KG1-6'!$AD10:$IM10,MATCH(D3026,'KG1-6'!$AD$5:$IM$5,0)))</f>
        <v/>
      </c>
      <c r="F3026">
        <f>IF(D3026="","",COUNTIFS('KG1-6'!$AD10:$IM10,"غياب بدون عذر",'KG1-6'!$AD$7:$IM$7,"✓",'KG1-6'!$AD$5:$IM$5,"&lt;="&amp;D3026))</f>
        <v/>
      </c>
      <c r="G3026">
        <f>G3025+IF(D3026="",0,1)</f>
        <v/>
      </c>
    </row>
    <row r="3027">
      <c r="A3027">
        <f>IF('KG1-6'!$B10="","",'KG1-6'!$B10)</f>
        <v/>
      </c>
      <c r="B3027">
        <f>IF(A3027="","",'KG1-6'!$C10)</f>
        <v/>
      </c>
      <c r="C3027">
        <f>IF(A3027="","",'KG1-6'!$B$2)</f>
        <v/>
      </c>
      <c r="D3027" s="126">
        <f t="array" ref="D3027">IF(A3027="","",IFERROR(SMALL(IF((('KG1-6'!$AD10:$IM10="غياب بدون عذر")+('KG1-6'!$AD10:$IM10="غياب بعذر"))*('KG1-6'!$AD$7:$IM$7="✓"),'KG1-6'!$AD$5:$IM$5),6),""))</f>
        <v/>
      </c>
      <c r="E3027">
        <f>IF(D3027="","",INDEX('KG1-6'!$AD10:$IM10,MATCH(D3027,'KG1-6'!$AD$5:$IM$5,0)))</f>
        <v/>
      </c>
      <c r="F3027">
        <f>IF(D3027="","",COUNTIFS('KG1-6'!$AD10:$IM10,"غياب بدون عذر",'KG1-6'!$AD$7:$IM$7,"✓",'KG1-6'!$AD$5:$IM$5,"&lt;="&amp;D3027))</f>
        <v/>
      </c>
      <c r="G3027">
        <f>G3026+IF(D3027="",0,1)</f>
        <v/>
      </c>
    </row>
    <row r="3028">
      <c r="A3028">
        <f>IF('KG1-6'!$B10="","",'KG1-6'!$B10)</f>
        <v/>
      </c>
      <c r="B3028">
        <f>IF(A3028="","",'KG1-6'!$C10)</f>
        <v/>
      </c>
      <c r="C3028">
        <f>IF(A3028="","",'KG1-6'!$B$2)</f>
        <v/>
      </c>
      <c r="D3028" s="126">
        <f t="array" ref="D3028">IF(A3028="","",IFERROR(SMALL(IF((('KG1-6'!$AD10:$IM10="غياب بدون عذر")+('KG1-6'!$AD10:$IM10="غياب بعذر"))*('KG1-6'!$AD$7:$IM$7="✓"),'KG1-6'!$AD$5:$IM$5),7),""))</f>
        <v/>
      </c>
      <c r="E3028">
        <f>IF(D3028="","",INDEX('KG1-6'!$AD10:$IM10,MATCH(D3028,'KG1-6'!$AD$5:$IM$5,0)))</f>
        <v/>
      </c>
      <c r="F3028">
        <f>IF(D3028="","",COUNTIFS('KG1-6'!$AD10:$IM10,"غياب بدون عذر",'KG1-6'!$AD$7:$IM$7,"✓",'KG1-6'!$AD$5:$IM$5,"&lt;="&amp;D3028))</f>
        <v/>
      </c>
      <c r="G3028">
        <f>G3027+IF(D3028="",0,1)</f>
        <v/>
      </c>
    </row>
    <row r="3029">
      <c r="A3029">
        <f>IF('KG1-6'!$B10="","",'KG1-6'!$B10)</f>
        <v/>
      </c>
      <c r="B3029">
        <f>IF(A3029="","",'KG1-6'!$C10)</f>
        <v/>
      </c>
      <c r="C3029">
        <f>IF(A3029="","",'KG1-6'!$B$2)</f>
        <v/>
      </c>
      <c r="D3029" s="126">
        <f t="array" ref="D3029">IF(A3029="","",IFERROR(SMALL(IF((('KG1-6'!$AD10:$IM10="غياب بدون عذر")+('KG1-6'!$AD10:$IM10="غياب بعذر"))*('KG1-6'!$AD$7:$IM$7="✓"),'KG1-6'!$AD$5:$IM$5),8),""))</f>
        <v/>
      </c>
      <c r="E3029">
        <f>IF(D3029="","",INDEX('KG1-6'!$AD10:$IM10,MATCH(D3029,'KG1-6'!$AD$5:$IM$5,0)))</f>
        <v/>
      </c>
      <c r="F3029">
        <f>IF(D3029="","",COUNTIFS('KG1-6'!$AD10:$IM10,"غياب بدون عذر",'KG1-6'!$AD$7:$IM$7,"✓",'KG1-6'!$AD$5:$IM$5,"&lt;="&amp;D3029))</f>
        <v/>
      </c>
      <c r="G3029">
        <f>G3028+IF(D3029="",0,1)</f>
        <v/>
      </c>
    </row>
    <row r="3030">
      <c r="A3030">
        <f>IF('KG1-6'!$B10="","",'KG1-6'!$B10)</f>
        <v/>
      </c>
      <c r="B3030">
        <f>IF(A3030="","",'KG1-6'!$C10)</f>
        <v/>
      </c>
      <c r="C3030">
        <f>IF(A3030="","",'KG1-6'!$B$2)</f>
        <v/>
      </c>
      <c r="D3030" s="126">
        <f t="array" ref="D3030">IF(A3030="","",IFERROR(SMALL(IF((('KG1-6'!$AD10:$IM10="غياب بدون عذر")+('KG1-6'!$AD10:$IM10="غياب بعذر"))*('KG1-6'!$AD$7:$IM$7="✓"),'KG1-6'!$AD$5:$IM$5),9),""))</f>
        <v/>
      </c>
      <c r="E3030">
        <f>IF(D3030="","",INDEX('KG1-6'!$AD10:$IM10,MATCH(D3030,'KG1-6'!$AD$5:$IM$5,0)))</f>
        <v/>
      </c>
      <c r="F3030">
        <f>IF(D3030="","",COUNTIFS('KG1-6'!$AD10:$IM10,"غياب بدون عذر",'KG1-6'!$AD$7:$IM$7,"✓",'KG1-6'!$AD$5:$IM$5,"&lt;="&amp;D3030))</f>
        <v/>
      </c>
      <c r="G3030">
        <f>G3029+IF(D3030="",0,1)</f>
        <v/>
      </c>
    </row>
    <row r="3031">
      <c r="A3031">
        <f>IF('KG1-6'!$B10="","",'KG1-6'!$B10)</f>
        <v/>
      </c>
      <c r="B3031">
        <f>IF(A3031="","",'KG1-6'!$C10)</f>
        <v/>
      </c>
      <c r="C3031">
        <f>IF(A3031="","",'KG1-6'!$B$2)</f>
        <v/>
      </c>
      <c r="D3031" s="126">
        <f t="array" ref="D3031">IF(A3031="","",IFERROR(SMALL(IF((('KG1-6'!$AD10:$IM10="غياب بدون عذر")+('KG1-6'!$AD10:$IM10="غياب بعذر"))*('KG1-6'!$AD$7:$IM$7="✓"),'KG1-6'!$AD$5:$IM$5),10),""))</f>
        <v/>
      </c>
      <c r="E3031">
        <f>IF(D3031="","",INDEX('KG1-6'!$AD10:$IM10,MATCH(D3031,'KG1-6'!$AD$5:$IM$5,0)))</f>
        <v/>
      </c>
      <c r="F3031">
        <f>IF(D3031="","",COUNTIFS('KG1-6'!$AD10:$IM10,"غياب بدون عذر",'KG1-6'!$AD$7:$IM$7,"✓",'KG1-6'!$AD$5:$IM$5,"&lt;="&amp;D3031))</f>
        <v/>
      </c>
      <c r="G3031">
        <f>G3030+IF(D3031="",0,1)</f>
        <v/>
      </c>
    </row>
    <row r="3032">
      <c r="A3032">
        <f>IF('KG1-6'!$B10="","",'KG1-6'!$B10)</f>
        <v/>
      </c>
      <c r="B3032">
        <f>IF(A3032="","",'KG1-6'!$C10)</f>
        <v/>
      </c>
      <c r="C3032">
        <f>IF(A3032="","",'KG1-6'!$B$2)</f>
        <v/>
      </c>
      <c r="D3032" s="126">
        <f t="array" ref="D3032">IF(A3032="","",IFERROR(SMALL(IF((('KG1-6'!$AD10:$IM10="غياب بدون عذر")+('KG1-6'!$AD10:$IM10="غياب بعذر"))*('KG1-6'!$AD$7:$IM$7="✓"),'KG1-6'!$AD$5:$IM$5),11),""))</f>
        <v/>
      </c>
      <c r="E3032">
        <f>IF(D3032="","",INDEX('KG1-6'!$AD10:$IM10,MATCH(D3032,'KG1-6'!$AD$5:$IM$5,0)))</f>
        <v/>
      </c>
      <c r="F3032">
        <f>IF(D3032="","",COUNTIFS('KG1-6'!$AD10:$IM10,"غياب بدون عذر",'KG1-6'!$AD$7:$IM$7,"✓",'KG1-6'!$AD$5:$IM$5,"&lt;="&amp;D3032))</f>
        <v/>
      </c>
      <c r="G3032">
        <f>G3031+IF(D3032="",0,1)</f>
        <v/>
      </c>
    </row>
    <row r="3033">
      <c r="A3033">
        <f>IF('KG1-6'!$B10="","",'KG1-6'!$B10)</f>
        <v/>
      </c>
      <c r="B3033">
        <f>IF(A3033="","",'KG1-6'!$C10)</f>
        <v/>
      </c>
      <c r="C3033">
        <f>IF(A3033="","",'KG1-6'!$B$2)</f>
        <v/>
      </c>
      <c r="D3033" s="126">
        <f t="array" ref="D3033">IF(A3033="","",IFERROR(SMALL(IF((('KG1-6'!$AD10:$IM10="غياب بدون عذر")+('KG1-6'!$AD10:$IM10="غياب بعذر"))*('KG1-6'!$AD$7:$IM$7="✓"),'KG1-6'!$AD$5:$IM$5),12),""))</f>
        <v/>
      </c>
      <c r="E3033">
        <f>IF(D3033="","",INDEX('KG1-6'!$AD10:$IM10,MATCH(D3033,'KG1-6'!$AD$5:$IM$5,0)))</f>
        <v/>
      </c>
      <c r="F3033">
        <f>IF(D3033="","",COUNTIFS('KG1-6'!$AD10:$IM10,"غياب بدون عذر",'KG1-6'!$AD$7:$IM$7,"✓",'KG1-6'!$AD$5:$IM$5,"&lt;="&amp;D3033))</f>
        <v/>
      </c>
      <c r="G3033">
        <f>G3032+IF(D3033="",0,1)</f>
        <v/>
      </c>
    </row>
    <row r="3034">
      <c r="A3034">
        <f>IF('KG1-6'!$B10="","",'KG1-6'!$B10)</f>
        <v/>
      </c>
      <c r="B3034">
        <f>IF(A3034="","",'KG1-6'!$C10)</f>
        <v/>
      </c>
      <c r="C3034">
        <f>IF(A3034="","",'KG1-6'!$B$2)</f>
        <v/>
      </c>
      <c r="D3034" s="126">
        <f t="array" ref="D3034">IF(A3034="","",IFERROR(SMALL(IF((('KG1-6'!$AD10:$IM10="غياب بدون عذر")+('KG1-6'!$AD10:$IM10="غياب بعذر"))*('KG1-6'!$AD$7:$IM$7="✓"),'KG1-6'!$AD$5:$IM$5),13),""))</f>
        <v/>
      </c>
      <c r="E3034">
        <f>IF(D3034="","",INDEX('KG1-6'!$AD10:$IM10,MATCH(D3034,'KG1-6'!$AD$5:$IM$5,0)))</f>
        <v/>
      </c>
      <c r="F3034">
        <f>IF(D3034="","",COUNTIFS('KG1-6'!$AD10:$IM10,"غياب بدون عذر",'KG1-6'!$AD$7:$IM$7,"✓",'KG1-6'!$AD$5:$IM$5,"&lt;="&amp;D3034))</f>
        <v/>
      </c>
      <c r="G3034">
        <f>G3033+IF(D3034="",0,1)</f>
        <v/>
      </c>
    </row>
    <row r="3035">
      <c r="A3035">
        <f>IF('KG1-6'!$B10="","",'KG1-6'!$B10)</f>
        <v/>
      </c>
      <c r="B3035">
        <f>IF(A3035="","",'KG1-6'!$C10)</f>
        <v/>
      </c>
      <c r="C3035">
        <f>IF(A3035="","",'KG1-6'!$B$2)</f>
        <v/>
      </c>
      <c r="D3035" s="126">
        <f t="array" ref="D3035">IF(A3035="","",IFERROR(SMALL(IF((('KG1-6'!$AD10:$IM10="غياب بدون عذر")+('KG1-6'!$AD10:$IM10="غياب بعذر"))*('KG1-6'!$AD$7:$IM$7="✓"),'KG1-6'!$AD$5:$IM$5),14),""))</f>
        <v/>
      </c>
      <c r="E3035">
        <f>IF(D3035="","",INDEX('KG1-6'!$AD10:$IM10,MATCH(D3035,'KG1-6'!$AD$5:$IM$5,0)))</f>
        <v/>
      </c>
      <c r="F3035">
        <f>IF(D3035="","",COUNTIFS('KG1-6'!$AD10:$IM10,"غياب بدون عذر",'KG1-6'!$AD$7:$IM$7,"✓",'KG1-6'!$AD$5:$IM$5,"&lt;="&amp;D3035))</f>
        <v/>
      </c>
      <c r="G3035">
        <f>G3034+IF(D3035="",0,1)</f>
        <v/>
      </c>
    </row>
    <row r="3036">
      <c r="A3036">
        <f>IF('KG1-6'!$B10="","",'KG1-6'!$B10)</f>
        <v/>
      </c>
      <c r="B3036">
        <f>IF(A3036="","",'KG1-6'!$C10)</f>
        <v/>
      </c>
      <c r="C3036">
        <f>IF(A3036="","",'KG1-6'!$B$2)</f>
        <v/>
      </c>
      <c r="D3036" s="126">
        <f t="array" ref="D3036">IF(A3036="","",IFERROR(SMALL(IF((('KG1-6'!$AD10:$IM10="غياب بدون عذر")+('KG1-6'!$AD10:$IM10="غياب بعذر"))*('KG1-6'!$AD$7:$IM$7="✓"),'KG1-6'!$AD$5:$IM$5),15),""))</f>
        <v/>
      </c>
      <c r="E3036">
        <f>IF(D3036="","",INDEX('KG1-6'!$AD10:$IM10,MATCH(D3036,'KG1-6'!$AD$5:$IM$5,0)))</f>
        <v/>
      </c>
      <c r="F3036">
        <f>IF(D3036="","",COUNTIFS('KG1-6'!$AD10:$IM10,"غياب بدون عذر",'KG1-6'!$AD$7:$IM$7,"✓",'KG1-6'!$AD$5:$IM$5,"&lt;="&amp;D3036))</f>
        <v/>
      </c>
      <c r="G3036">
        <f>G3035+IF(D3036="",0,1)</f>
        <v/>
      </c>
    </row>
    <row r="3037">
      <c r="A3037">
        <f>IF('KG1-6'!$B10="","",'KG1-6'!$B10)</f>
        <v/>
      </c>
      <c r="B3037">
        <f>IF(A3037="","",'KG1-6'!$C10)</f>
        <v/>
      </c>
      <c r="C3037">
        <f>IF(A3037="","",'KG1-6'!$B$2)</f>
        <v/>
      </c>
      <c r="D3037" s="126">
        <f t="array" ref="D3037">IF(A3037="","",IFERROR(SMALL(IF((('KG1-6'!$AD10:$IM10="غياب بدون عذر")+('KG1-6'!$AD10:$IM10="غياب بعذر"))*('KG1-6'!$AD$7:$IM$7="✓"),'KG1-6'!$AD$5:$IM$5),16),""))</f>
        <v/>
      </c>
      <c r="E3037">
        <f>IF(D3037="","",INDEX('KG1-6'!$AD10:$IM10,MATCH(D3037,'KG1-6'!$AD$5:$IM$5,0)))</f>
        <v/>
      </c>
      <c r="F3037">
        <f>IF(D3037="","",COUNTIFS('KG1-6'!$AD10:$IM10,"غياب بدون عذر",'KG1-6'!$AD$7:$IM$7,"✓",'KG1-6'!$AD$5:$IM$5,"&lt;="&amp;D3037))</f>
        <v/>
      </c>
      <c r="G3037">
        <f>G3036+IF(D3037="",0,1)</f>
        <v/>
      </c>
    </row>
    <row r="3038">
      <c r="A3038">
        <f>IF('KG1-6'!$B10="","",'KG1-6'!$B10)</f>
        <v/>
      </c>
      <c r="B3038">
        <f>IF(A3038="","",'KG1-6'!$C10)</f>
        <v/>
      </c>
      <c r="C3038">
        <f>IF(A3038="","",'KG1-6'!$B$2)</f>
        <v/>
      </c>
      <c r="D3038" s="126">
        <f t="array" ref="D3038">IF(A3038="","",IFERROR(SMALL(IF((('KG1-6'!$AD10:$IM10="غياب بدون عذر")+('KG1-6'!$AD10:$IM10="غياب بعذر"))*('KG1-6'!$AD$7:$IM$7="✓"),'KG1-6'!$AD$5:$IM$5),17),""))</f>
        <v/>
      </c>
      <c r="E3038">
        <f>IF(D3038="","",INDEX('KG1-6'!$AD10:$IM10,MATCH(D3038,'KG1-6'!$AD$5:$IM$5,0)))</f>
        <v/>
      </c>
      <c r="F3038">
        <f>IF(D3038="","",COUNTIFS('KG1-6'!$AD10:$IM10,"غياب بدون عذر",'KG1-6'!$AD$7:$IM$7,"✓",'KG1-6'!$AD$5:$IM$5,"&lt;="&amp;D3038))</f>
        <v/>
      </c>
      <c r="G3038">
        <f>G3037+IF(D3038="",0,1)</f>
        <v/>
      </c>
    </row>
    <row r="3039">
      <c r="A3039">
        <f>IF('KG1-6'!$B10="","",'KG1-6'!$B10)</f>
        <v/>
      </c>
      <c r="B3039">
        <f>IF(A3039="","",'KG1-6'!$C10)</f>
        <v/>
      </c>
      <c r="C3039">
        <f>IF(A3039="","",'KG1-6'!$B$2)</f>
        <v/>
      </c>
      <c r="D3039" s="126">
        <f t="array" ref="D3039">IF(A3039="","",IFERROR(SMALL(IF((('KG1-6'!$AD10:$IM10="غياب بدون عذر")+('KG1-6'!$AD10:$IM10="غياب بعذر"))*('KG1-6'!$AD$7:$IM$7="✓"),'KG1-6'!$AD$5:$IM$5),18),""))</f>
        <v/>
      </c>
      <c r="E3039">
        <f>IF(D3039="","",INDEX('KG1-6'!$AD10:$IM10,MATCH(D3039,'KG1-6'!$AD$5:$IM$5,0)))</f>
        <v/>
      </c>
      <c r="F3039">
        <f>IF(D3039="","",COUNTIFS('KG1-6'!$AD10:$IM10,"غياب بدون عذر",'KG1-6'!$AD$7:$IM$7,"✓",'KG1-6'!$AD$5:$IM$5,"&lt;="&amp;D3039))</f>
        <v/>
      </c>
      <c r="G3039">
        <f>G3038+IF(D3039="",0,1)</f>
        <v/>
      </c>
    </row>
    <row r="3040">
      <c r="A3040">
        <f>IF('KG1-6'!$B10="","",'KG1-6'!$B10)</f>
        <v/>
      </c>
      <c r="B3040">
        <f>IF(A3040="","",'KG1-6'!$C10)</f>
        <v/>
      </c>
      <c r="C3040">
        <f>IF(A3040="","",'KG1-6'!$B$2)</f>
        <v/>
      </c>
      <c r="D3040" s="126">
        <f t="array" ref="D3040">IF(A3040="","",IFERROR(SMALL(IF((('KG1-6'!$AD10:$IM10="غياب بدون عذر")+('KG1-6'!$AD10:$IM10="غياب بعذر"))*('KG1-6'!$AD$7:$IM$7="✓"),'KG1-6'!$AD$5:$IM$5),19),""))</f>
        <v/>
      </c>
      <c r="E3040">
        <f>IF(D3040="","",INDEX('KG1-6'!$AD10:$IM10,MATCH(D3040,'KG1-6'!$AD$5:$IM$5,0)))</f>
        <v/>
      </c>
      <c r="F3040">
        <f>IF(D3040="","",COUNTIFS('KG1-6'!$AD10:$IM10,"غياب بدون عذر",'KG1-6'!$AD$7:$IM$7,"✓",'KG1-6'!$AD$5:$IM$5,"&lt;="&amp;D3040))</f>
        <v/>
      </c>
      <c r="G3040">
        <f>G3039+IF(D3040="",0,1)</f>
        <v/>
      </c>
    </row>
    <row r="3041">
      <c r="A3041">
        <f>IF('KG1-6'!$B10="","",'KG1-6'!$B10)</f>
        <v/>
      </c>
      <c r="B3041">
        <f>IF(A3041="","",'KG1-6'!$C10)</f>
        <v/>
      </c>
      <c r="C3041">
        <f>IF(A3041="","",'KG1-6'!$B$2)</f>
        <v/>
      </c>
      <c r="D3041" s="126">
        <f t="array" ref="D3041">IF(A3041="","",IFERROR(SMALL(IF((('KG1-6'!$AD10:$IM10="غياب بدون عذر")+('KG1-6'!$AD10:$IM10="غياب بعذر"))*('KG1-6'!$AD$7:$IM$7="✓"),'KG1-6'!$AD$5:$IM$5),20),""))</f>
        <v/>
      </c>
      <c r="E3041">
        <f>IF(D3041="","",INDEX('KG1-6'!$AD10:$IM10,MATCH(D3041,'KG1-6'!$AD$5:$IM$5,0)))</f>
        <v/>
      </c>
      <c r="F3041">
        <f>IF(D3041="","",COUNTIFS('KG1-6'!$AD10:$IM10,"غياب بدون عذر",'KG1-6'!$AD$7:$IM$7,"✓",'KG1-6'!$AD$5:$IM$5,"&lt;="&amp;D3041))</f>
        <v/>
      </c>
      <c r="G3041">
        <f>G3040+IF(D3041="",0,1)</f>
        <v/>
      </c>
    </row>
    <row r="3042">
      <c r="A3042">
        <f>IF('KG1-6'!$B11="","",'KG1-6'!$B11)</f>
        <v/>
      </c>
      <c r="B3042">
        <f>IF(A3042="","",'KG1-6'!$C11)</f>
        <v/>
      </c>
      <c r="C3042">
        <f>IF(A3042="","",'KG1-6'!$B$2)</f>
        <v/>
      </c>
      <c r="D3042" s="126">
        <f t="array" ref="D3042">IF(A3042="","",IFERROR(SMALL(IF((('KG1-6'!$AD11:$IM11="غياب بدون عذر")+('KG1-6'!$AD11:$IM11="غياب بعذر"))*('KG1-6'!$AD$7:$IM$7="✓"),'KG1-6'!$AD$5:$IM$5),1),""))</f>
        <v/>
      </c>
      <c r="E3042">
        <f>IF(D3042="","",INDEX('KG1-6'!$AD11:$IM11,MATCH(D3042,'KG1-6'!$AD$5:$IM$5,0)))</f>
        <v/>
      </c>
      <c r="F3042">
        <f>IF(D3042="","",COUNTIFS('KG1-6'!$AD11:$IM11,"غياب بدون عذر",'KG1-6'!$AD$7:$IM$7,"✓",'KG1-6'!$AD$5:$IM$5,"&lt;="&amp;D3042))</f>
        <v/>
      </c>
      <c r="G3042">
        <f>G3041+IF(D3042="",0,1)</f>
        <v/>
      </c>
    </row>
    <row r="3043">
      <c r="A3043">
        <f>IF('KG1-6'!$B11="","",'KG1-6'!$B11)</f>
        <v/>
      </c>
      <c r="B3043">
        <f>IF(A3043="","",'KG1-6'!$C11)</f>
        <v/>
      </c>
      <c r="C3043">
        <f>IF(A3043="","",'KG1-6'!$B$2)</f>
        <v/>
      </c>
      <c r="D3043" s="126">
        <f t="array" ref="D3043">IF(A3043="","",IFERROR(SMALL(IF((('KG1-6'!$AD11:$IM11="غياب بدون عذر")+('KG1-6'!$AD11:$IM11="غياب بعذر"))*('KG1-6'!$AD$7:$IM$7="✓"),'KG1-6'!$AD$5:$IM$5),2),""))</f>
        <v/>
      </c>
      <c r="E3043">
        <f>IF(D3043="","",INDEX('KG1-6'!$AD11:$IM11,MATCH(D3043,'KG1-6'!$AD$5:$IM$5,0)))</f>
        <v/>
      </c>
      <c r="F3043">
        <f>IF(D3043="","",COUNTIFS('KG1-6'!$AD11:$IM11,"غياب بدون عذر",'KG1-6'!$AD$7:$IM$7,"✓",'KG1-6'!$AD$5:$IM$5,"&lt;="&amp;D3043))</f>
        <v/>
      </c>
      <c r="G3043">
        <f>G3042+IF(D3043="",0,1)</f>
        <v/>
      </c>
    </row>
    <row r="3044">
      <c r="A3044">
        <f>IF('KG1-6'!$B11="","",'KG1-6'!$B11)</f>
        <v/>
      </c>
      <c r="B3044">
        <f>IF(A3044="","",'KG1-6'!$C11)</f>
        <v/>
      </c>
      <c r="C3044">
        <f>IF(A3044="","",'KG1-6'!$B$2)</f>
        <v/>
      </c>
      <c r="D3044" s="126">
        <f t="array" ref="D3044">IF(A3044="","",IFERROR(SMALL(IF((('KG1-6'!$AD11:$IM11="غياب بدون عذر")+('KG1-6'!$AD11:$IM11="غياب بعذر"))*('KG1-6'!$AD$7:$IM$7="✓"),'KG1-6'!$AD$5:$IM$5),3),""))</f>
        <v/>
      </c>
      <c r="E3044">
        <f>IF(D3044="","",INDEX('KG1-6'!$AD11:$IM11,MATCH(D3044,'KG1-6'!$AD$5:$IM$5,0)))</f>
        <v/>
      </c>
      <c r="F3044">
        <f>IF(D3044="","",COUNTIFS('KG1-6'!$AD11:$IM11,"غياب بدون عذر",'KG1-6'!$AD$7:$IM$7,"✓",'KG1-6'!$AD$5:$IM$5,"&lt;="&amp;D3044))</f>
        <v/>
      </c>
      <c r="G3044">
        <f>G3043+IF(D3044="",0,1)</f>
        <v/>
      </c>
    </row>
    <row r="3045">
      <c r="A3045">
        <f>IF('KG1-6'!$B11="","",'KG1-6'!$B11)</f>
        <v/>
      </c>
      <c r="B3045">
        <f>IF(A3045="","",'KG1-6'!$C11)</f>
        <v/>
      </c>
      <c r="C3045">
        <f>IF(A3045="","",'KG1-6'!$B$2)</f>
        <v/>
      </c>
      <c r="D3045" s="126">
        <f t="array" ref="D3045">IF(A3045="","",IFERROR(SMALL(IF((('KG1-6'!$AD11:$IM11="غياب بدون عذر")+('KG1-6'!$AD11:$IM11="غياب بعذر"))*('KG1-6'!$AD$7:$IM$7="✓"),'KG1-6'!$AD$5:$IM$5),4),""))</f>
        <v/>
      </c>
      <c r="E3045">
        <f>IF(D3045="","",INDEX('KG1-6'!$AD11:$IM11,MATCH(D3045,'KG1-6'!$AD$5:$IM$5,0)))</f>
        <v/>
      </c>
      <c r="F3045">
        <f>IF(D3045="","",COUNTIFS('KG1-6'!$AD11:$IM11,"غياب بدون عذر",'KG1-6'!$AD$7:$IM$7,"✓",'KG1-6'!$AD$5:$IM$5,"&lt;="&amp;D3045))</f>
        <v/>
      </c>
      <c r="G3045">
        <f>G3044+IF(D3045="",0,1)</f>
        <v/>
      </c>
    </row>
    <row r="3046">
      <c r="A3046">
        <f>IF('KG1-6'!$B11="","",'KG1-6'!$B11)</f>
        <v/>
      </c>
      <c r="B3046">
        <f>IF(A3046="","",'KG1-6'!$C11)</f>
        <v/>
      </c>
      <c r="C3046">
        <f>IF(A3046="","",'KG1-6'!$B$2)</f>
        <v/>
      </c>
      <c r="D3046" s="126">
        <f t="array" ref="D3046">IF(A3046="","",IFERROR(SMALL(IF((('KG1-6'!$AD11:$IM11="غياب بدون عذر")+('KG1-6'!$AD11:$IM11="غياب بعذر"))*('KG1-6'!$AD$7:$IM$7="✓"),'KG1-6'!$AD$5:$IM$5),5),""))</f>
        <v/>
      </c>
      <c r="E3046">
        <f>IF(D3046="","",INDEX('KG1-6'!$AD11:$IM11,MATCH(D3046,'KG1-6'!$AD$5:$IM$5,0)))</f>
        <v/>
      </c>
      <c r="F3046">
        <f>IF(D3046="","",COUNTIFS('KG1-6'!$AD11:$IM11,"غياب بدون عذر",'KG1-6'!$AD$7:$IM$7,"✓",'KG1-6'!$AD$5:$IM$5,"&lt;="&amp;D3046))</f>
        <v/>
      </c>
      <c r="G3046">
        <f>G3045+IF(D3046="",0,1)</f>
        <v/>
      </c>
    </row>
    <row r="3047">
      <c r="A3047">
        <f>IF('KG1-6'!$B11="","",'KG1-6'!$B11)</f>
        <v/>
      </c>
      <c r="B3047">
        <f>IF(A3047="","",'KG1-6'!$C11)</f>
        <v/>
      </c>
      <c r="C3047">
        <f>IF(A3047="","",'KG1-6'!$B$2)</f>
        <v/>
      </c>
      <c r="D3047" s="126">
        <f t="array" ref="D3047">IF(A3047="","",IFERROR(SMALL(IF((('KG1-6'!$AD11:$IM11="غياب بدون عذر")+('KG1-6'!$AD11:$IM11="غياب بعذر"))*('KG1-6'!$AD$7:$IM$7="✓"),'KG1-6'!$AD$5:$IM$5),6),""))</f>
        <v/>
      </c>
      <c r="E3047">
        <f>IF(D3047="","",INDEX('KG1-6'!$AD11:$IM11,MATCH(D3047,'KG1-6'!$AD$5:$IM$5,0)))</f>
        <v/>
      </c>
      <c r="F3047">
        <f>IF(D3047="","",COUNTIFS('KG1-6'!$AD11:$IM11,"غياب بدون عذر",'KG1-6'!$AD$7:$IM$7,"✓",'KG1-6'!$AD$5:$IM$5,"&lt;="&amp;D3047))</f>
        <v/>
      </c>
      <c r="G3047">
        <f>G3046+IF(D3047="",0,1)</f>
        <v/>
      </c>
    </row>
    <row r="3048">
      <c r="A3048">
        <f>IF('KG1-6'!$B11="","",'KG1-6'!$B11)</f>
        <v/>
      </c>
      <c r="B3048">
        <f>IF(A3048="","",'KG1-6'!$C11)</f>
        <v/>
      </c>
      <c r="C3048">
        <f>IF(A3048="","",'KG1-6'!$B$2)</f>
        <v/>
      </c>
      <c r="D3048" s="126">
        <f t="array" ref="D3048">IF(A3048="","",IFERROR(SMALL(IF((('KG1-6'!$AD11:$IM11="غياب بدون عذر")+('KG1-6'!$AD11:$IM11="غياب بعذر"))*('KG1-6'!$AD$7:$IM$7="✓"),'KG1-6'!$AD$5:$IM$5),7),""))</f>
        <v/>
      </c>
      <c r="E3048">
        <f>IF(D3048="","",INDEX('KG1-6'!$AD11:$IM11,MATCH(D3048,'KG1-6'!$AD$5:$IM$5,0)))</f>
        <v/>
      </c>
      <c r="F3048">
        <f>IF(D3048="","",COUNTIFS('KG1-6'!$AD11:$IM11,"غياب بدون عذر",'KG1-6'!$AD$7:$IM$7,"✓",'KG1-6'!$AD$5:$IM$5,"&lt;="&amp;D3048))</f>
        <v/>
      </c>
      <c r="G3048">
        <f>G3047+IF(D3048="",0,1)</f>
        <v/>
      </c>
    </row>
    <row r="3049">
      <c r="A3049">
        <f>IF('KG1-6'!$B11="","",'KG1-6'!$B11)</f>
        <v/>
      </c>
      <c r="B3049">
        <f>IF(A3049="","",'KG1-6'!$C11)</f>
        <v/>
      </c>
      <c r="C3049">
        <f>IF(A3049="","",'KG1-6'!$B$2)</f>
        <v/>
      </c>
      <c r="D3049" s="126">
        <f t="array" ref="D3049">IF(A3049="","",IFERROR(SMALL(IF((('KG1-6'!$AD11:$IM11="غياب بدون عذر")+('KG1-6'!$AD11:$IM11="غياب بعذر"))*('KG1-6'!$AD$7:$IM$7="✓"),'KG1-6'!$AD$5:$IM$5),8),""))</f>
        <v/>
      </c>
      <c r="E3049">
        <f>IF(D3049="","",INDEX('KG1-6'!$AD11:$IM11,MATCH(D3049,'KG1-6'!$AD$5:$IM$5,0)))</f>
        <v/>
      </c>
      <c r="F3049">
        <f>IF(D3049="","",COUNTIFS('KG1-6'!$AD11:$IM11,"غياب بدون عذر",'KG1-6'!$AD$7:$IM$7,"✓",'KG1-6'!$AD$5:$IM$5,"&lt;="&amp;D3049))</f>
        <v/>
      </c>
      <c r="G3049">
        <f>G3048+IF(D3049="",0,1)</f>
        <v/>
      </c>
    </row>
    <row r="3050">
      <c r="A3050">
        <f>IF('KG1-6'!$B11="","",'KG1-6'!$B11)</f>
        <v/>
      </c>
      <c r="B3050">
        <f>IF(A3050="","",'KG1-6'!$C11)</f>
        <v/>
      </c>
      <c r="C3050">
        <f>IF(A3050="","",'KG1-6'!$B$2)</f>
        <v/>
      </c>
      <c r="D3050" s="126">
        <f t="array" ref="D3050">IF(A3050="","",IFERROR(SMALL(IF((('KG1-6'!$AD11:$IM11="غياب بدون عذر")+('KG1-6'!$AD11:$IM11="غياب بعذر"))*('KG1-6'!$AD$7:$IM$7="✓"),'KG1-6'!$AD$5:$IM$5),9),""))</f>
        <v/>
      </c>
      <c r="E3050">
        <f>IF(D3050="","",INDEX('KG1-6'!$AD11:$IM11,MATCH(D3050,'KG1-6'!$AD$5:$IM$5,0)))</f>
        <v/>
      </c>
      <c r="F3050">
        <f>IF(D3050="","",COUNTIFS('KG1-6'!$AD11:$IM11,"غياب بدون عذر",'KG1-6'!$AD$7:$IM$7,"✓",'KG1-6'!$AD$5:$IM$5,"&lt;="&amp;D3050))</f>
        <v/>
      </c>
      <c r="G3050">
        <f>G3049+IF(D3050="",0,1)</f>
        <v/>
      </c>
    </row>
    <row r="3051">
      <c r="A3051">
        <f>IF('KG1-6'!$B11="","",'KG1-6'!$B11)</f>
        <v/>
      </c>
      <c r="B3051">
        <f>IF(A3051="","",'KG1-6'!$C11)</f>
        <v/>
      </c>
      <c r="C3051">
        <f>IF(A3051="","",'KG1-6'!$B$2)</f>
        <v/>
      </c>
      <c r="D3051" s="126">
        <f t="array" ref="D3051">IF(A3051="","",IFERROR(SMALL(IF((('KG1-6'!$AD11:$IM11="غياب بدون عذر")+('KG1-6'!$AD11:$IM11="غياب بعذر"))*('KG1-6'!$AD$7:$IM$7="✓"),'KG1-6'!$AD$5:$IM$5),10),""))</f>
        <v/>
      </c>
      <c r="E3051">
        <f>IF(D3051="","",INDEX('KG1-6'!$AD11:$IM11,MATCH(D3051,'KG1-6'!$AD$5:$IM$5,0)))</f>
        <v/>
      </c>
      <c r="F3051">
        <f>IF(D3051="","",COUNTIFS('KG1-6'!$AD11:$IM11,"غياب بدون عذر",'KG1-6'!$AD$7:$IM$7,"✓",'KG1-6'!$AD$5:$IM$5,"&lt;="&amp;D3051))</f>
        <v/>
      </c>
      <c r="G3051">
        <f>G3050+IF(D3051="",0,1)</f>
        <v/>
      </c>
    </row>
    <row r="3052">
      <c r="A3052">
        <f>IF('KG1-6'!$B11="","",'KG1-6'!$B11)</f>
        <v/>
      </c>
      <c r="B3052">
        <f>IF(A3052="","",'KG1-6'!$C11)</f>
        <v/>
      </c>
      <c r="C3052">
        <f>IF(A3052="","",'KG1-6'!$B$2)</f>
        <v/>
      </c>
      <c r="D3052" s="126">
        <f t="array" ref="D3052">IF(A3052="","",IFERROR(SMALL(IF((('KG1-6'!$AD11:$IM11="غياب بدون عذر")+('KG1-6'!$AD11:$IM11="غياب بعذر"))*('KG1-6'!$AD$7:$IM$7="✓"),'KG1-6'!$AD$5:$IM$5),11),""))</f>
        <v/>
      </c>
      <c r="E3052">
        <f>IF(D3052="","",INDEX('KG1-6'!$AD11:$IM11,MATCH(D3052,'KG1-6'!$AD$5:$IM$5,0)))</f>
        <v/>
      </c>
      <c r="F3052">
        <f>IF(D3052="","",COUNTIFS('KG1-6'!$AD11:$IM11,"غياب بدون عذر",'KG1-6'!$AD$7:$IM$7,"✓",'KG1-6'!$AD$5:$IM$5,"&lt;="&amp;D3052))</f>
        <v/>
      </c>
      <c r="G3052">
        <f>G3051+IF(D3052="",0,1)</f>
        <v/>
      </c>
    </row>
    <row r="3053">
      <c r="A3053">
        <f>IF('KG1-6'!$B11="","",'KG1-6'!$B11)</f>
        <v/>
      </c>
      <c r="B3053">
        <f>IF(A3053="","",'KG1-6'!$C11)</f>
        <v/>
      </c>
      <c r="C3053">
        <f>IF(A3053="","",'KG1-6'!$B$2)</f>
        <v/>
      </c>
      <c r="D3053" s="126">
        <f t="array" ref="D3053">IF(A3053="","",IFERROR(SMALL(IF((('KG1-6'!$AD11:$IM11="غياب بدون عذر")+('KG1-6'!$AD11:$IM11="غياب بعذر"))*('KG1-6'!$AD$7:$IM$7="✓"),'KG1-6'!$AD$5:$IM$5),12),""))</f>
        <v/>
      </c>
      <c r="E3053">
        <f>IF(D3053="","",INDEX('KG1-6'!$AD11:$IM11,MATCH(D3053,'KG1-6'!$AD$5:$IM$5,0)))</f>
        <v/>
      </c>
      <c r="F3053">
        <f>IF(D3053="","",COUNTIFS('KG1-6'!$AD11:$IM11,"غياب بدون عذر",'KG1-6'!$AD$7:$IM$7,"✓",'KG1-6'!$AD$5:$IM$5,"&lt;="&amp;D3053))</f>
        <v/>
      </c>
      <c r="G3053">
        <f>G3052+IF(D3053="",0,1)</f>
        <v/>
      </c>
    </row>
    <row r="3054">
      <c r="A3054">
        <f>IF('KG1-6'!$B11="","",'KG1-6'!$B11)</f>
        <v/>
      </c>
      <c r="B3054">
        <f>IF(A3054="","",'KG1-6'!$C11)</f>
        <v/>
      </c>
      <c r="C3054">
        <f>IF(A3054="","",'KG1-6'!$B$2)</f>
        <v/>
      </c>
      <c r="D3054" s="126">
        <f t="array" ref="D3054">IF(A3054="","",IFERROR(SMALL(IF((('KG1-6'!$AD11:$IM11="غياب بدون عذر")+('KG1-6'!$AD11:$IM11="غياب بعذر"))*('KG1-6'!$AD$7:$IM$7="✓"),'KG1-6'!$AD$5:$IM$5),13),""))</f>
        <v/>
      </c>
      <c r="E3054">
        <f>IF(D3054="","",INDEX('KG1-6'!$AD11:$IM11,MATCH(D3054,'KG1-6'!$AD$5:$IM$5,0)))</f>
        <v/>
      </c>
      <c r="F3054">
        <f>IF(D3054="","",COUNTIFS('KG1-6'!$AD11:$IM11,"غياب بدون عذر",'KG1-6'!$AD$7:$IM$7,"✓",'KG1-6'!$AD$5:$IM$5,"&lt;="&amp;D3054))</f>
        <v/>
      </c>
      <c r="G3054">
        <f>G3053+IF(D3054="",0,1)</f>
        <v/>
      </c>
    </row>
    <row r="3055">
      <c r="A3055">
        <f>IF('KG1-6'!$B11="","",'KG1-6'!$B11)</f>
        <v/>
      </c>
      <c r="B3055">
        <f>IF(A3055="","",'KG1-6'!$C11)</f>
        <v/>
      </c>
      <c r="C3055">
        <f>IF(A3055="","",'KG1-6'!$B$2)</f>
        <v/>
      </c>
      <c r="D3055" s="126">
        <f t="array" ref="D3055">IF(A3055="","",IFERROR(SMALL(IF((('KG1-6'!$AD11:$IM11="غياب بدون عذر")+('KG1-6'!$AD11:$IM11="غياب بعذر"))*('KG1-6'!$AD$7:$IM$7="✓"),'KG1-6'!$AD$5:$IM$5),14),""))</f>
        <v/>
      </c>
      <c r="E3055">
        <f>IF(D3055="","",INDEX('KG1-6'!$AD11:$IM11,MATCH(D3055,'KG1-6'!$AD$5:$IM$5,0)))</f>
        <v/>
      </c>
      <c r="F3055">
        <f>IF(D3055="","",COUNTIFS('KG1-6'!$AD11:$IM11,"غياب بدون عذر",'KG1-6'!$AD$7:$IM$7,"✓",'KG1-6'!$AD$5:$IM$5,"&lt;="&amp;D3055))</f>
        <v/>
      </c>
      <c r="G3055">
        <f>G3054+IF(D3055="",0,1)</f>
        <v/>
      </c>
    </row>
    <row r="3056">
      <c r="A3056">
        <f>IF('KG1-6'!$B11="","",'KG1-6'!$B11)</f>
        <v/>
      </c>
      <c r="B3056">
        <f>IF(A3056="","",'KG1-6'!$C11)</f>
        <v/>
      </c>
      <c r="C3056">
        <f>IF(A3056="","",'KG1-6'!$B$2)</f>
        <v/>
      </c>
      <c r="D3056" s="126">
        <f t="array" ref="D3056">IF(A3056="","",IFERROR(SMALL(IF((('KG1-6'!$AD11:$IM11="غياب بدون عذر")+('KG1-6'!$AD11:$IM11="غياب بعذر"))*('KG1-6'!$AD$7:$IM$7="✓"),'KG1-6'!$AD$5:$IM$5),15),""))</f>
        <v/>
      </c>
      <c r="E3056">
        <f>IF(D3056="","",INDEX('KG1-6'!$AD11:$IM11,MATCH(D3056,'KG1-6'!$AD$5:$IM$5,0)))</f>
        <v/>
      </c>
      <c r="F3056">
        <f>IF(D3056="","",COUNTIFS('KG1-6'!$AD11:$IM11,"غياب بدون عذر",'KG1-6'!$AD$7:$IM$7,"✓",'KG1-6'!$AD$5:$IM$5,"&lt;="&amp;D3056))</f>
        <v/>
      </c>
      <c r="G3056">
        <f>G3055+IF(D3056="",0,1)</f>
        <v/>
      </c>
    </row>
    <row r="3057">
      <c r="A3057">
        <f>IF('KG1-6'!$B11="","",'KG1-6'!$B11)</f>
        <v/>
      </c>
      <c r="B3057">
        <f>IF(A3057="","",'KG1-6'!$C11)</f>
        <v/>
      </c>
      <c r="C3057">
        <f>IF(A3057="","",'KG1-6'!$B$2)</f>
        <v/>
      </c>
      <c r="D3057" s="126">
        <f t="array" ref="D3057">IF(A3057="","",IFERROR(SMALL(IF((('KG1-6'!$AD11:$IM11="غياب بدون عذر")+('KG1-6'!$AD11:$IM11="غياب بعذر"))*('KG1-6'!$AD$7:$IM$7="✓"),'KG1-6'!$AD$5:$IM$5),16),""))</f>
        <v/>
      </c>
      <c r="E3057">
        <f>IF(D3057="","",INDEX('KG1-6'!$AD11:$IM11,MATCH(D3057,'KG1-6'!$AD$5:$IM$5,0)))</f>
        <v/>
      </c>
      <c r="F3057">
        <f>IF(D3057="","",COUNTIFS('KG1-6'!$AD11:$IM11,"غياب بدون عذر",'KG1-6'!$AD$7:$IM$7,"✓",'KG1-6'!$AD$5:$IM$5,"&lt;="&amp;D3057))</f>
        <v/>
      </c>
      <c r="G3057">
        <f>G3056+IF(D3057="",0,1)</f>
        <v/>
      </c>
    </row>
    <row r="3058">
      <c r="A3058">
        <f>IF('KG1-6'!$B11="","",'KG1-6'!$B11)</f>
        <v/>
      </c>
      <c r="B3058">
        <f>IF(A3058="","",'KG1-6'!$C11)</f>
        <v/>
      </c>
      <c r="C3058">
        <f>IF(A3058="","",'KG1-6'!$B$2)</f>
        <v/>
      </c>
      <c r="D3058" s="126">
        <f t="array" ref="D3058">IF(A3058="","",IFERROR(SMALL(IF((('KG1-6'!$AD11:$IM11="غياب بدون عذر")+('KG1-6'!$AD11:$IM11="غياب بعذر"))*('KG1-6'!$AD$7:$IM$7="✓"),'KG1-6'!$AD$5:$IM$5),17),""))</f>
        <v/>
      </c>
      <c r="E3058">
        <f>IF(D3058="","",INDEX('KG1-6'!$AD11:$IM11,MATCH(D3058,'KG1-6'!$AD$5:$IM$5,0)))</f>
        <v/>
      </c>
      <c r="F3058">
        <f>IF(D3058="","",COUNTIFS('KG1-6'!$AD11:$IM11,"غياب بدون عذر",'KG1-6'!$AD$7:$IM$7,"✓",'KG1-6'!$AD$5:$IM$5,"&lt;="&amp;D3058))</f>
        <v/>
      </c>
      <c r="G3058">
        <f>G3057+IF(D3058="",0,1)</f>
        <v/>
      </c>
    </row>
    <row r="3059">
      <c r="A3059">
        <f>IF('KG1-6'!$B11="","",'KG1-6'!$B11)</f>
        <v/>
      </c>
      <c r="B3059">
        <f>IF(A3059="","",'KG1-6'!$C11)</f>
        <v/>
      </c>
      <c r="C3059">
        <f>IF(A3059="","",'KG1-6'!$B$2)</f>
        <v/>
      </c>
      <c r="D3059" s="126">
        <f t="array" ref="D3059">IF(A3059="","",IFERROR(SMALL(IF((('KG1-6'!$AD11:$IM11="غياب بدون عذر")+('KG1-6'!$AD11:$IM11="غياب بعذر"))*('KG1-6'!$AD$7:$IM$7="✓"),'KG1-6'!$AD$5:$IM$5),18),""))</f>
        <v/>
      </c>
      <c r="E3059">
        <f>IF(D3059="","",INDEX('KG1-6'!$AD11:$IM11,MATCH(D3059,'KG1-6'!$AD$5:$IM$5,0)))</f>
        <v/>
      </c>
      <c r="F3059">
        <f>IF(D3059="","",COUNTIFS('KG1-6'!$AD11:$IM11,"غياب بدون عذر",'KG1-6'!$AD$7:$IM$7,"✓",'KG1-6'!$AD$5:$IM$5,"&lt;="&amp;D3059))</f>
        <v/>
      </c>
      <c r="G3059">
        <f>G3058+IF(D3059="",0,1)</f>
        <v/>
      </c>
    </row>
    <row r="3060">
      <c r="A3060">
        <f>IF('KG1-6'!$B11="","",'KG1-6'!$B11)</f>
        <v/>
      </c>
      <c r="B3060">
        <f>IF(A3060="","",'KG1-6'!$C11)</f>
        <v/>
      </c>
      <c r="C3060">
        <f>IF(A3060="","",'KG1-6'!$B$2)</f>
        <v/>
      </c>
      <c r="D3060" s="126">
        <f t="array" ref="D3060">IF(A3060="","",IFERROR(SMALL(IF((('KG1-6'!$AD11:$IM11="غياب بدون عذر")+('KG1-6'!$AD11:$IM11="غياب بعذر"))*('KG1-6'!$AD$7:$IM$7="✓"),'KG1-6'!$AD$5:$IM$5),19),""))</f>
        <v/>
      </c>
      <c r="E3060">
        <f>IF(D3060="","",INDEX('KG1-6'!$AD11:$IM11,MATCH(D3060,'KG1-6'!$AD$5:$IM$5,0)))</f>
        <v/>
      </c>
      <c r="F3060">
        <f>IF(D3060="","",COUNTIFS('KG1-6'!$AD11:$IM11,"غياب بدون عذر",'KG1-6'!$AD$7:$IM$7,"✓",'KG1-6'!$AD$5:$IM$5,"&lt;="&amp;D3060))</f>
        <v/>
      </c>
      <c r="G3060">
        <f>G3059+IF(D3060="",0,1)</f>
        <v/>
      </c>
    </row>
    <row r="3061">
      <c r="A3061">
        <f>IF('KG1-6'!$B11="","",'KG1-6'!$B11)</f>
        <v/>
      </c>
      <c r="B3061">
        <f>IF(A3061="","",'KG1-6'!$C11)</f>
        <v/>
      </c>
      <c r="C3061">
        <f>IF(A3061="","",'KG1-6'!$B$2)</f>
        <v/>
      </c>
      <c r="D3061" s="126">
        <f t="array" ref="D3061">IF(A3061="","",IFERROR(SMALL(IF((('KG1-6'!$AD11:$IM11="غياب بدون عذر")+('KG1-6'!$AD11:$IM11="غياب بعذر"))*('KG1-6'!$AD$7:$IM$7="✓"),'KG1-6'!$AD$5:$IM$5),20),""))</f>
        <v/>
      </c>
      <c r="E3061">
        <f>IF(D3061="","",INDEX('KG1-6'!$AD11:$IM11,MATCH(D3061,'KG1-6'!$AD$5:$IM$5,0)))</f>
        <v/>
      </c>
      <c r="F3061">
        <f>IF(D3061="","",COUNTIFS('KG1-6'!$AD11:$IM11,"غياب بدون عذر",'KG1-6'!$AD$7:$IM$7,"✓",'KG1-6'!$AD$5:$IM$5,"&lt;="&amp;D3061))</f>
        <v/>
      </c>
      <c r="G3061">
        <f>G3060+IF(D3061="",0,1)</f>
        <v/>
      </c>
    </row>
    <row r="3062">
      <c r="A3062">
        <f>IF('KG1-6'!$B12="","",'KG1-6'!$B12)</f>
        <v/>
      </c>
      <c r="B3062">
        <f>IF(A3062="","",'KG1-6'!$C12)</f>
        <v/>
      </c>
      <c r="C3062">
        <f>IF(A3062="","",'KG1-6'!$B$2)</f>
        <v/>
      </c>
      <c r="D3062" s="126">
        <f t="array" ref="D3062">IF(A3062="","",IFERROR(SMALL(IF((('KG1-6'!$AD12:$IM12="غياب بدون عذر")+('KG1-6'!$AD12:$IM12="غياب بعذر"))*('KG1-6'!$AD$7:$IM$7="✓"),'KG1-6'!$AD$5:$IM$5),1),""))</f>
        <v/>
      </c>
      <c r="E3062">
        <f>IF(D3062="","",INDEX('KG1-6'!$AD12:$IM12,MATCH(D3062,'KG1-6'!$AD$5:$IM$5,0)))</f>
        <v/>
      </c>
      <c r="F3062">
        <f>IF(D3062="","",COUNTIFS('KG1-6'!$AD12:$IM12,"غياب بدون عذر",'KG1-6'!$AD$7:$IM$7,"✓",'KG1-6'!$AD$5:$IM$5,"&lt;="&amp;D3062))</f>
        <v/>
      </c>
      <c r="G3062">
        <f>G3061+IF(D3062="",0,1)</f>
        <v/>
      </c>
    </row>
    <row r="3063">
      <c r="A3063">
        <f>IF('KG1-6'!$B12="","",'KG1-6'!$B12)</f>
        <v/>
      </c>
      <c r="B3063">
        <f>IF(A3063="","",'KG1-6'!$C12)</f>
        <v/>
      </c>
      <c r="C3063">
        <f>IF(A3063="","",'KG1-6'!$B$2)</f>
        <v/>
      </c>
      <c r="D3063" s="126">
        <f t="array" ref="D3063">IF(A3063="","",IFERROR(SMALL(IF((('KG1-6'!$AD12:$IM12="غياب بدون عذر")+('KG1-6'!$AD12:$IM12="غياب بعذر"))*('KG1-6'!$AD$7:$IM$7="✓"),'KG1-6'!$AD$5:$IM$5),2),""))</f>
        <v/>
      </c>
      <c r="E3063">
        <f>IF(D3063="","",INDEX('KG1-6'!$AD12:$IM12,MATCH(D3063,'KG1-6'!$AD$5:$IM$5,0)))</f>
        <v/>
      </c>
      <c r="F3063">
        <f>IF(D3063="","",COUNTIFS('KG1-6'!$AD12:$IM12,"غياب بدون عذر",'KG1-6'!$AD$7:$IM$7,"✓",'KG1-6'!$AD$5:$IM$5,"&lt;="&amp;D3063))</f>
        <v/>
      </c>
      <c r="G3063">
        <f>G3062+IF(D3063="",0,1)</f>
        <v/>
      </c>
    </row>
    <row r="3064">
      <c r="A3064">
        <f>IF('KG1-6'!$B12="","",'KG1-6'!$B12)</f>
        <v/>
      </c>
      <c r="B3064">
        <f>IF(A3064="","",'KG1-6'!$C12)</f>
        <v/>
      </c>
      <c r="C3064">
        <f>IF(A3064="","",'KG1-6'!$B$2)</f>
        <v/>
      </c>
      <c r="D3064" s="126">
        <f t="array" ref="D3064">IF(A3064="","",IFERROR(SMALL(IF((('KG1-6'!$AD12:$IM12="غياب بدون عذر")+('KG1-6'!$AD12:$IM12="غياب بعذر"))*('KG1-6'!$AD$7:$IM$7="✓"),'KG1-6'!$AD$5:$IM$5),3),""))</f>
        <v/>
      </c>
      <c r="E3064">
        <f>IF(D3064="","",INDEX('KG1-6'!$AD12:$IM12,MATCH(D3064,'KG1-6'!$AD$5:$IM$5,0)))</f>
        <v/>
      </c>
      <c r="F3064">
        <f>IF(D3064="","",COUNTIFS('KG1-6'!$AD12:$IM12,"غياب بدون عذر",'KG1-6'!$AD$7:$IM$7,"✓",'KG1-6'!$AD$5:$IM$5,"&lt;="&amp;D3064))</f>
        <v/>
      </c>
      <c r="G3064">
        <f>G3063+IF(D3064="",0,1)</f>
        <v/>
      </c>
    </row>
    <row r="3065">
      <c r="A3065">
        <f>IF('KG1-6'!$B12="","",'KG1-6'!$B12)</f>
        <v/>
      </c>
      <c r="B3065">
        <f>IF(A3065="","",'KG1-6'!$C12)</f>
        <v/>
      </c>
      <c r="C3065">
        <f>IF(A3065="","",'KG1-6'!$B$2)</f>
        <v/>
      </c>
      <c r="D3065" s="126">
        <f t="array" ref="D3065">IF(A3065="","",IFERROR(SMALL(IF((('KG1-6'!$AD12:$IM12="غياب بدون عذر")+('KG1-6'!$AD12:$IM12="غياب بعذر"))*('KG1-6'!$AD$7:$IM$7="✓"),'KG1-6'!$AD$5:$IM$5),4),""))</f>
        <v/>
      </c>
      <c r="E3065">
        <f>IF(D3065="","",INDEX('KG1-6'!$AD12:$IM12,MATCH(D3065,'KG1-6'!$AD$5:$IM$5,0)))</f>
        <v/>
      </c>
      <c r="F3065">
        <f>IF(D3065="","",COUNTIFS('KG1-6'!$AD12:$IM12,"غياب بدون عذر",'KG1-6'!$AD$7:$IM$7,"✓",'KG1-6'!$AD$5:$IM$5,"&lt;="&amp;D3065))</f>
        <v/>
      </c>
      <c r="G3065">
        <f>G3064+IF(D3065="",0,1)</f>
        <v/>
      </c>
    </row>
    <row r="3066">
      <c r="A3066">
        <f>IF('KG1-6'!$B12="","",'KG1-6'!$B12)</f>
        <v/>
      </c>
      <c r="B3066">
        <f>IF(A3066="","",'KG1-6'!$C12)</f>
        <v/>
      </c>
      <c r="C3066">
        <f>IF(A3066="","",'KG1-6'!$B$2)</f>
        <v/>
      </c>
      <c r="D3066" s="126">
        <f t="array" ref="D3066">IF(A3066="","",IFERROR(SMALL(IF((('KG1-6'!$AD12:$IM12="غياب بدون عذر")+('KG1-6'!$AD12:$IM12="غياب بعذر"))*('KG1-6'!$AD$7:$IM$7="✓"),'KG1-6'!$AD$5:$IM$5),5),""))</f>
        <v/>
      </c>
      <c r="E3066">
        <f>IF(D3066="","",INDEX('KG1-6'!$AD12:$IM12,MATCH(D3066,'KG1-6'!$AD$5:$IM$5,0)))</f>
        <v/>
      </c>
      <c r="F3066">
        <f>IF(D3066="","",COUNTIFS('KG1-6'!$AD12:$IM12,"غياب بدون عذر",'KG1-6'!$AD$7:$IM$7,"✓",'KG1-6'!$AD$5:$IM$5,"&lt;="&amp;D3066))</f>
        <v/>
      </c>
      <c r="G3066">
        <f>G3065+IF(D3066="",0,1)</f>
        <v/>
      </c>
    </row>
    <row r="3067">
      <c r="A3067">
        <f>IF('KG1-6'!$B12="","",'KG1-6'!$B12)</f>
        <v/>
      </c>
      <c r="B3067">
        <f>IF(A3067="","",'KG1-6'!$C12)</f>
        <v/>
      </c>
      <c r="C3067">
        <f>IF(A3067="","",'KG1-6'!$B$2)</f>
        <v/>
      </c>
      <c r="D3067" s="126">
        <f t="array" ref="D3067">IF(A3067="","",IFERROR(SMALL(IF((('KG1-6'!$AD12:$IM12="غياب بدون عذر")+('KG1-6'!$AD12:$IM12="غياب بعذر"))*('KG1-6'!$AD$7:$IM$7="✓"),'KG1-6'!$AD$5:$IM$5),6),""))</f>
        <v/>
      </c>
      <c r="E3067">
        <f>IF(D3067="","",INDEX('KG1-6'!$AD12:$IM12,MATCH(D3067,'KG1-6'!$AD$5:$IM$5,0)))</f>
        <v/>
      </c>
      <c r="F3067">
        <f>IF(D3067="","",COUNTIFS('KG1-6'!$AD12:$IM12,"غياب بدون عذر",'KG1-6'!$AD$7:$IM$7,"✓",'KG1-6'!$AD$5:$IM$5,"&lt;="&amp;D3067))</f>
        <v/>
      </c>
      <c r="G3067">
        <f>G3066+IF(D3067="",0,1)</f>
        <v/>
      </c>
    </row>
    <row r="3068">
      <c r="A3068">
        <f>IF('KG1-6'!$B12="","",'KG1-6'!$B12)</f>
        <v/>
      </c>
      <c r="B3068">
        <f>IF(A3068="","",'KG1-6'!$C12)</f>
        <v/>
      </c>
      <c r="C3068">
        <f>IF(A3068="","",'KG1-6'!$B$2)</f>
        <v/>
      </c>
      <c r="D3068" s="126">
        <f t="array" ref="D3068">IF(A3068="","",IFERROR(SMALL(IF((('KG1-6'!$AD12:$IM12="غياب بدون عذر")+('KG1-6'!$AD12:$IM12="غياب بعذر"))*('KG1-6'!$AD$7:$IM$7="✓"),'KG1-6'!$AD$5:$IM$5),7),""))</f>
        <v/>
      </c>
      <c r="E3068">
        <f>IF(D3068="","",INDEX('KG1-6'!$AD12:$IM12,MATCH(D3068,'KG1-6'!$AD$5:$IM$5,0)))</f>
        <v/>
      </c>
      <c r="F3068">
        <f>IF(D3068="","",COUNTIFS('KG1-6'!$AD12:$IM12,"غياب بدون عذر",'KG1-6'!$AD$7:$IM$7,"✓",'KG1-6'!$AD$5:$IM$5,"&lt;="&amp;D3068))</f>
        <v/>
      </c>
      <c r="G3068">
        <f>G3067+IF(D3068="",0,1)</f>
        <v/>
      </c>
    </row>
    <row r="3069">
      <c r="A3069">
        <f>IF('KG1-6'!$B12="","",'KG1-6'!$B12)</f>
        <v/>
      </c>
      <c r="B3069">
        <f>IF(A3069="","",'KG1-6'!$C12)</f>
        <v/>
      </c>
      <c r="C3069">
        <f>IF(A3069="","",'KG1-6'!$B$2)</f>
        <v/>
      </c>
      <c r="D3069" s="126">
        <f t="array" ref="D3069">IF(A3069="","",IFERROR(SMALL(IF((('KG1-6'!$AD12:$IM12="غياب بدون عذر")+('KG1-6'!$AD12:$IM12="غياب بعذر"))*('KG1-6'!$AD$7:$IM$7="✓"),'KG1-6'!$AD$5:$IM$5),8),""))</f>
        <v/>
      </c>
      <c r="E3069">
        <f>IF(D3069="","",INDEX('KG1-6'!$AD12:$IM12,MATCH(D3069,'KG1-6'!$AD$5:$IM$5,0)))</f>
        <v/>
      </c>
      <c r="F3069">
        <f>IF(D3069="","",COUNTIFS('KG1-6'!$AD12:$IM12,"غياب بدون عذر",'KG1-6'!$AD$7:$IM$7,"✓",'KG1-6'!$AD$5:$IM$5,"&lt;="&amp;D3069))</f>
        <v/>
      </c>
      <c r="G3069">
        <f>G3068+IF(D3069="",0,1)</f>
        <v/>
      </c>
    </row>
    <row r="3070">
      <c r="A3070">
        <f>IF('KG1-6'!$B12="","",'KG1-6'!$B12)</f>
        <v/>
      </c>
      <c r="B3070">
        <f>IF(A3070="","",'KG1-6'!$C12)</f>
        <v/>
      </c>
      <c r="C3070">
        <f>IF(A3070="","",'KG1-6'!$B$2)</f>
        <v/>
      </c>
      <c r="D3070" s="126">
        <f t="array" ref="D3070">IF(A3070="","",IFERROR(SMALL(IF((('KG1-6'!$AD12:$IM12="غياب بدون عذر")+('KG1-6'!$AD12:$IM12="غياب بعذر"))*('KG1-6'!$AD$7:$IM$7="✓"),'KG1-6'!$AD$5:$IM$5),9),""))</f>
        <v/>
      </c>
      <c r="E3070">
        <f>IF(D3070="","",INDEX('KG1-6'!$AD12:$IM12,MATCH(D3070,'KG1-6'!$AD$5:$IM$5,0)))</f>
        <v/>
      </c>
      <c r="F3070">
        <f>IF(D3070="","",COUNTIFS('KG1-6'!$AD12:$IM12,"غياب بدون عذر",'KG1-6'!$AD$7:$IM$7,"✓",'KG1-6'!$AD$5:$IM$5,"&lt;="&amp;D3070))</f>
        <v/>
      </c>
      <c r="G3070">
        <f>G3069+IF(D3070="",0,1)</f>
        <v/>
      </c>
    </row>
    <row r="3071">
      <c r="A3071">
        <f>IF('KG1-6'!$B12="","",'KG1-6'!$B12)</f>
        <v/>
      </c>
      <c r="B3071">
        <f>IF(A3071="","",'KG1-6'!$C12)</f>
        <v/>
      </c>
      <c r="C3071">
        <f>IF(A3071="","",'KG1-6'!$B$2)</f>
        <v/>
      </c>
      <c r="D3071" s="126">
        <f t="array" ref="D3071">IF(A3071="","",IFERROR(SMALL(IF((('KG1-6'!$AD12:$IM12="غياب بدون عذر")+('KG1-6'!$AD12:$IM12="غياب بعذر"))*('KG1-6'!$AD$7:$IM$7="✓"),'KG1-6'!$AD$5:$IM$5),10),""))</f>
        <v/>
      </c>
      <c r="E3071">
        <f>IF(D3071="","",INDEX('KG1-6'!$AD12:$IM12,MATCH(D3071,'KG1-6'!$AD$5:$IM$5,0)))</f>
        <v/>
      </c>
      <c r="F3071">
        <f>IF(D3071="","",COUNTIFS('KG1-6'!$AD12:$IM12,"غياب بدون عذر",'KG1-6'!$AD$7:$IM$7,"✓",'KG1-6'!$AD$5:$IM$5,"&lt;="&amp;D3071))</f>
        <v/>
      </c>
      <c r="G3071">
        <f>G3070+IF(D3071="",0,1)</f>
        <v/>
      </c>
    </row>
    <row r="3072">
      <c r="A3072">
        <f>IF('KG1-6'!$B12="","",'KG1-6'!$B12)</f>
        <v/>
      </c>
      <c r="B3072">
        <f>IF(A3072="","",'KG1-6'!$C12)</f>
        <v/>
      </c>
      <c r="C3072">
        <f>IF(A3072="","",'KG1-6'!$B$2)</f>
        <v/>
      </c>
      <c r="D3072" s="126">
        <f t="array" ref="D3072">IF(A3072="","",IFERROR(SMALL(IF((('KG1-6'!$AD12:$IM12="غياب بدون عذر")+('KG1-6'!$AD12:$IM12="غياب بعذر"))*('KG1-6'!$AD$7:$IM$7="✓"),'KG1-6'!$AD$5:$IM$5),11),""))</f>
        <v/>
      </c>
      <c r="E3072">
        <f>IF(D3072="","",INDEX('KG1-6'!$AD12:$IM12,MATCH(D3072,'KG1-6'!$AD$5:$IM$5,0)))</f>
        <v/>
      </c>
      <c r="F3072">
        <f>IF(D3072="","",COUNTIFS('KG1-6'!$AD12:$IM12,"غياب بدون عذر",'KG1-6'!$AD$7:$IM$7,"✓",'KG1-6'!$AD$5:$IM$5,"&lt;="&amp;D3072))</f>
        <v/>
      </c>
      <c r="G3072">
        <f>G3071+IF(D3072="",0,1)</f>
        <v/>
      </c>
    </row>
    <row r="3073">
      <c r="A3073">
        <f>IF('KG1-6'!$B12="","",'KG1-6'!$B12)</f>
        <v/>
      </c>
      <c r="B3073">
        <f>IF(A3073="","",'KG1-6'!$C12)</f>
        <v/>
      </c>
      <c r="C3073">
        <f>IF(A3073="","",'KG1-6'!$B$2)</f>
        <v/>
      </c>
      <c r="D3073" s="126">
        <f t="array" ref="D3073">IF(A3073="","",IFERROR(SMALL(IF((('KG1-6'!$AD12:$IM12="غياب بدون عذر")+('KG1-6'!$AD12:$IM12="غياب بعذر"))*('KG1-6'!$AD$7:$IM$7="✓"),'KG1-6'!$AD$5:$IM$5),12),""))</f>
        <v/>
      </c>
      <c r="E3073">
        <f>IF(D3073="","",INDEX('KG1-6'!$AD12:$IM12,MATCH(D3073,'KG1-6'!$AD$5:$IM$5,0)))</f>
        <v/>
      </c>
      <c r="F3073">
        <f>IF(D3073="","",COUNTIFS('KG1-6'!$AD12:$IM12,"غياب بدون عذر",'KG1-6'!$AD$7:$IM$7,"✓",'KG1-6'!$AD$5:$IM$5,"&lt;="&amp;D3073))</f>
        <v/>
      </c>
      <c r="G3073">
        <f>G3072+IF(D3073="",0,1)</f>
        <v/>
      </c>
    </row>
    <row r="3074">
      <c r="A3074">
        <f>IF('KG1-6'!$B12="","",'KG1-6'!$B12)</f>
        <v/>
      </c>
      <c r="B3074">
        <f>IF(A3074="","",'KG1-6'!$C12)</f>
        <v/>
      </c>
      <c r="C3074">
        <f>IF(A3074="","",'KG1-6'!$B$2)</f>
        <v/>
      </c>
      <c r="D3074" s="126">
        <f t="array" ref="D3074">IF(A3074="","",IFERROR(SMALL(IF((('KG1-6'!$AD12:$IM12="غياب بدون عذر")+('KG1-6'!$AD12:$IM12="غياب بعذر"))*('KG1-6'!$AD$7:$IM$7="✓"),'KG1-6'!$AD$5:$IM$5),13),""))</f>
        <v/>
      </c>
      <c r="E3074">
        <f>IF(D3074="","",INDEX('KG1-6'!$AD12:$IM12,MATCH(D3074,'KG1-6'!$AD$5:$IM$5,0)))</f>
        <v/>
      </c>
      <c r="F3074">
        <f>IF(D3074="","",COUNTIFS('KG1-6'!$AD12:$IM12,"غياب بدون عذر",'KG1-6'!$AD$7:$IM$7,"✓",'KG1-6'!$AD$5:$IM$5,"&lt;="&amp;D3074))</f>
        <v/>
      </c>
      <c r="G3074">
        <f>G3073+IF(D3074="",0,1)</f>
        <v/>
      </c>
    </row>
    <row r="3075">
      <c r="A3075">
        <f>IF('KG1-6'!$B12="","",'KG1-6'!$B12)</f>
        <v/>
      </c>
      <c r="B3075">
        <f>IF(A3075="","",'KG1-6'!$C12)</f>
        <v/>
      </c>
      <c r="C3075">
        <f>IF(A3075="","",'KG1-6'!$B$2)</f>
        <v/>
      </c>
      <c r="D3075" s="126">
        <f t="array" ref="D3075">IF(A3075="","",IFERROR(SMALL(IF((('KG1-6'!$AD12:$IM12="غياب بدون عذر")+('KG1-6'!$AD12:$IM12="غياب بعذر"))*('KG1-6'!$AD$7:$IM$7="✓"),'KG1-6'!$AD$5:$IM$5),14),""))</f>
        <v/>
      </c>
      <c r="E3075">
        <f>IF(D3075="","",INDEX('KG1-6'!$AD12:$IM12,MATCH(D3075,'KG1-6'!$AD$5:$IM$5,0)))</f>
        <v/>
      </c>
      <c r="F3075">
        <f>IF(D3075="","",COUNTIFS('KG1-6'!$AD12:$IM12,"غياب بدون عذر",'KG1-6'!$AD$7:$IM$7,"✓",'KG1-6'!$AD$5:$IM$5,"&lt;="&amp;D3075))</f>
        <v/>
      </c>
      <c r="G3075">
        <f>G3074+IF(D3075="",0,1)</f>
        <v/>
      </c>
    </row>
    <row r="3076">
      <c r="A3076">
        <f>IF('KG1-6'!$B12="","",'KG1-6'!$B12)</f>
        <v/>
      </c>
      <c r="B3076">
        <f>IF(A3076="","",'KG1-6'!$C12)</f>
        <v/>
      </c>
      <c r="C3076">
        <f>IF(A3076="","",'KG1-6'!$B$2)</f>
        <v/>
      </c>
      <c r="D3076" s="126">
        <f t="array" ref="D3076">IF(A3076="","",IFERROR(SMALL(IF((('KG1-6'!$AD12:$IM12="غياب بدون عذر")+('KG1-6'!$AD12:$IM12="غياب بعذر"))*('KG1-6'!$AD$7:$IM$7="✓"),'KG1-6'!$AD$5:$IM$5),15),""))</f>
        <v/>
      </c>
      <c r="E3076">
        <f>IF(D3076="","",INDEX('KG1-6'!$AD12:$IM12,MATCH(D3076,'KG1-6'!$AD$5:$IM$5,0)))</f>
        <v/>
      </c>
      <c r="F3076">
        <f>IF(D3076="","",COUNTIFS('KG1-6'!$AD12:$IM12,"غياب بدون عذر",'KG1-6'!$AD$7:$IM$7,"✓",'KG1-6'!$AD$5:$IM$5,"&lt;="&amp;D3076))</f>
        <v/>
      </c>
      <c r="G3076">
        <f>G3075+IF(D3076="",0,1)</f>
        <v/>
      </c>
    </row>
    <row r="3077">
      <c r="A3077">
        <f>IF('KG1-6'!$B12="","",'KG1-6'!$B12)</f>
        <v/>
      </c>
      <c r="B3077">
        <f>IF(A3077="","",'KG1-6'!$C12)</f>
        <v/>
      </c>
      <c r="C3077">
        <f>IF(A3077="","",'KG1-6'!$B$2)</f>
        <v/>
      </c>
      <c r="D3077" s="126">
        <f t="array" ref="D3077">IF(A3077="","",IFERROR(SMALL(IF((('KG1-6'!$AD12:$IM12="غياب بدون عذر")+('KG1-6'!$AD12:$IM12="غياب بعذر"))*('KG1-6'!$AD$7:$IM$7="✓"),'KG1-6'!$AD$5:$IM$5),16),""))</f>
        <v/>
      </c>
      <c r="E3077">
        <f>IF(D3077="","",INDEX('KG1-6'!$AD12:$IM12,MATCH(D3077,'KG1-6'!$AD$5:$IM$5,0)))</f>
        <v/>
      </c>
      <c r="F3077">
        <f>IF(D3077="","",COUNTIFS('KG1-6'!$AD12:$IM12,"غياب بدون عذر",'KG1-6'!$AD$7:$IM$7,"✓",'KG1-6'!$AD$5:$IM$5,"&lt;="&amp;D3077))</f>
        <v/>
      </c>
      <c r="G3077">
        <f>G3076+IF(D3077="",0,1)</f>
        <v/>
      </c>
    </row>
    <row r="3078">
      <c r="A3078">
        <f>IF('KG1-6'!$B12="","",'KG1-6'!$B12)</f>
        <v/>
      </c>
      <c r="B3078">
        <f>IF(A3078="","",'KG1-6'!$C12)</f>
        <v/>
      </c>
      <c r="C3078">
        <f>IF(A3078="","",'KG1-6'!$B$2)</f>
        <v/>
      </c>
      <c r="D3078" s="126">
        <f t="array" ref="D3078">IF(A3078="","",IFERROR(SMALL(IF((('KG1-6'!$AD12:$IM12="غياب بدون عذر")+('KG1-6'!$AD12:$IM12="غياب بعذر"))*('KG1-6'!$AD$7:$IM$7="✓"),'KG1-6'!$AD$5:$IM$5),17),""))</f>
        <v/>
      </c>
      <c r="E3078">
        <f>IF(D3078="","",INDEX('KG1-6'!$AD12:$IM12,MATCH(D3078,'KG1-6'!$AD$5:$IM$5,0)))</f>
        <v/>
      </c>
      <c r="F3078">
        <f>IF(D3078="","",COUNTIFS('KG1-6'!$AD12:$IM12,"غياب بدون عذر",'KG1-6'!$AD$7:$IM$7,"✓",'KG1-6'!$AD$5:$IM$5,"&lt;="&amp;D3078))</f>
        <v/>
      </c>
      <c r="G3078">
        <f>G3077+IF(D3078="",0,1)</f>
        <v/>
      </c>
    </row>
    <row r="3079">
      <c r="A3079">
        <f>IF('KG1-6'!$B12="","",'KG1-6'!$B12)</f>
        <v/>
      </c>
      <c r="B3079">
        <f>IF(A3079="","",'KG1-6'!$C12)</f>
        <v/>
      </c>
      <c r="C3079">
        <f>IF(A3079="","",'KG1-6'!$B$2)</f>
        <v/>
      </c>
      <c r="D3079" s="126">
        <f t="array" ref="D3079">IF(A3079="","",IFERROR(SMALL(IF((('KG1-6'!$AD12:$IM12="غياب بدون عذر")+('KG1-6'!$AD12:$IM12="غياب بعذر"))*('KG1-6'!$AD$7:$IM$7="✓"),'KG1-6'!$AD$5:$IM$5),18),""))</f>
        <v/>
      </c>
      <c r="E3079">
        <f>IF(D3079="","",INDEX('KG1-6'!$AD12:$IM12,MATCH(D3079,'KG1-6'!$AD$5:$IM$5,0)))</f>
        <v/>
      </c>
      <c r="F3079">
        <f>IF(D3079="","",COUNTIFS('KG1-6'!$AD12:$IM12,"غياب بدون عذر",'KG1-6'!$AD$7:$IM$7,"✓",'KG1-6'!$AD$5:$IM$5,"&lt;="&amp;D3079))</f>
        <v/>
      </c>
      <c r="G3079">
        <f>G3078+IF(D3079="",0,1)</f>
        <v/>
      </c>
    </row>
    <row r="3080">
      <c r="A3080">
        <f>IF('KG1-6'!$B12="","",'KG1-6'!$B12)</f>
        <v/>
      </c>
      <c r="B3080">
        <f>IF(A3080="","",'KG1-6'!$C12)</f>
        <v/>
      </c>
      <c r="C3080">
        <f>IF(A3080="","",'KG1-6'!$B$2)</f>
        <v/>
      </c>
      <c r="D3080" s="126">
        <f t="array" ref="D3080">IF(A3080="","",IFERROR(SMALL(IF((('KG1-6'!$AD12:$IM12="غياب بدون عذر")+('KG1-6'!$AD12:$IM12="غياب بعذر"))*('KG1-6'!$AD$7:$IM$7="✓"),'KG1-6'!$AD$5:$IM$5),19),""))</f>
        <v/>
      </c>
      <c r="E3080">
        <f>IF(D3080="","",INDEX('KG1-6'!$AD12:$IM12,MATCH(D3080,'KG1-6'!$AD$5:$IM$5,0)))</f>
        <v/>
      </c>
      <c r="F3080">
        <f>IF(D3080="","",COUNTIFS('KG1-6'!$AD12:$IM12,"غياب بدون عذر",'KG1-6'!$AD$7:$IM$7,"✓",'KG1-6'!$AD$5:$IM$5,"&lt;="&amp;D3080))</f>
        <v/>
      </c>
      <c r="G3080">
        <f>G3079+IF(D3080="",0,1)</f>
        <v/>
      </c>
    </row>
    <row r="3081">
      <c r="A3081">
        <f>IF('KG1-6'!$B12="","",'KG1-6'!$B12)</f>
        <v/>
      </c>
      <c r="B3081">
        <f>IF(A3081="","",'KG1-6'!$C12)</f>
        <v/>
      </c>
      <c r="C3081">
        <f>IF(A3081="","",'KG1-6'!$B$2)</f>
        <v/>
      </c>
      <c r="D3081" s="126">
        <f t="array" ref="D3081">IF(A3081="","",IFERROR(SMALL(IF((('KG1-6'!$AD12:$IM12="غياب بدون عذر")+('KG1-6'!$AD12:$IM12="غياب بعذر"))*('KG1-6'!$AD$7:$IM$7="✓"),'KG1-6'!$AD$5:$IM$5),20),""))</f>
        <v/>
      </c>
      <c r="E3081">
        <f>IF(D3081="","",INDEX('KG1-6'!$AD12:$IM12,MATCH(D3081,'KG1-6'!$AD$5:$IM$5,0)))</f>
        <v/>
      </c>
      <c r="F3081">
        <f>IF(D3081="","",COUNTIFS('KG1-6'!$AD12:$IM12,"غياب بدون عذر",'KG1-6'!$AD$7:$IM$7,"✓",'KG1-6'!$AD$5:$IM$5,"&lt;="&amp;D3081))</f>
        <v/>
      </c>
      <c r="G3081">
        <f>G3080+IF(D3081="",0,1)</f>
        <v/>
      </c>
    </row>
    <row r="3082">
      <c r="A3082">
        <f>IF('KG1-6'!$B13="","",'KG1-6'!$B13)</f>
        <v/>
      </c>
      <c r="B3082">
        <f>IF(A3082="","",'KG1-6'!$C13)</f>
        <v/>
      </c>
      <c r="C3082">
        <f>IF(A3082="","",'KG1-6'!$B$2)</f>
        <v/>
      </c>
      <c r="D3082" s="126">
        <f t="array" ref="D3082">IF(A3082="","",IFERROR(SMALL(IF((('KG1-6'!$AD13:$IM13="غياب بدون عذر")+('KG1-6'!$AD13:$IM13="غياب بعذر"))*('KG1-6'!$AD$7:$IM$7="✓"),'KG1-6'!$AD$5:$IM$5),1),""))</f>
        <v/>
      </c>
      <c r="E3082">
        <f>IF(D3082="","",INDEX('KG1-6'!$AD13:$IM13,MATCH(D3082,'KG1-6'!$AD$5:$IM$5,0)))</f>
        <v/>
      </c>
      <c r="F3082">
        <f>IF(D3082="","",COUNTIFS('KG1-6'!$AD13:$IM13,"غياب بدون عذر",'KG1-6'!$AD$7:$IM$7,"✓",'KG1-6'!$AD$5:$IM$5,"&lt;="&amp;D3082))</f>
        <v/>
      </c>
      <c r="G3082">
        <f>G3081+IF(D3082="",0,1)</f>
        <v/>
      </c>
    </row>
    <row r="3083">
      <c r="A3083">
        <f>IF('KG1-6'!$B13="","",'KG1-6'!$B13)</f>
        <v/>
      </c>
      <c r="B3083">
        <f>IF(A3083="","",'KG1-6'!$C13)</f>
        <v/>
      </c>
      <c r="C3083">
        <f>IF(A3083="","",'KG1-6'!$B$2)</f>
        <v/>
      </c>
      <c r="D3083" s="126">
        <f t="array" ref="D3083">IF(A3083="","",IFERROR(SMALL(IF((('KG1-6'!$AD13:$IM13="غياب بدون عذر")+('KG1-6'!$AD13:$IM13="غياب بعذر"))*('KG1-6'!$AD$7:$IM$7="✓"),'KG1-6'!$AD$5:$IM$5),2),""))</f>
        <v/>
      </c>
      <c r="E3083">
        <f>IF(D3083="","",INDEX('KG1-6'!$AD13:$IM13,MATCH(D3083,'KG1-6'!$AD$5:$IM$5,0)))</f>
        <v/>
      </c>
      <c r="F3083">
        <f>IF(D3083="","",COUNTIFS('KG1-6'!$AD13:$IM13,"غياب بدون عذر",'KG1-6'!$AD$7:$IM$7,"✓",'KG1-6'!$AD$5:$IM$5,"&lt;="&amp;D3083))</f>
        <v/>
      </c>
      <c r="G3083">
        <f>G3082+IF(D3083="",0,1)</f>
        <v/>
      </c>
    </row>
    <row r="3084">
      <c r="A3084">
        <f>IF('KG1-6'!$B13="","",'KG1-6'!$B13)</f>
        <v/>
      </c>
      <c r="B3084">
        <f>IF(A3084="","",'KG1-6'!$C13)</f>
        <v/>
      </c>
      <c r="C3084">
        <f>IF(A3084="","",'KG1-6'!$B$2)</f>
        <v/>
      </c>
      <c r="D3084" s="126">
        <f t="array" ref="D3084">IF(A3084="","",IFERROR(SMALL(IF((('KG1-6'!$AD13:$IM13="غياب بدون عذر")+('KG1-6'!$AD13:$IM13="غياب بعذر"))*('KG1-6'!$AD$7:$IM$7="✓"),'KG1-6'!$AD$5:$IM$5),3),""))</f>
        <v/>
      </c>
      <c r="E3084">
        <f>IF(D3084="","",INDEX('KG1-6'!$AD13:$IM13,MATCH(D3084,'KG1-6'!$AD$5:$IM$5,0)))</f>
        <v/>
      </c>
      <c r="F3084">
        <f>IF(D3084="","",COUNTIFS('KG1-6'!$AD13:$IM13,"غياب بدون عذر",'KG1-6'!$AD$7:$IM$7,"✓",'KG1-6'!$AD$5:$IM$5,"&lt;="&amp;D3084))</f>
        <v/>
      </c>
      <c r="G3084">
        <f>G3083+IF(D3084="",0,1)</f>
        <v/>
      </c>
    </row>
    <row r="3085">
      <c r="A3085">
        <f>IF('KG1-6'!$B13="","",'KG1-6'!$B13)</f>
        <v/>
      </c>
      <c r="B3085">
        <f>IF(A3085="","",'KG1-6'!$C13)</f>
        <v/>
      </c>
      <c r="C3085">
        <f>IF(A3085="","",'KG1-6'!$B$2)</f>
        <v/>
      </c>
      <c r="D3085" s="126">
        <f t="array" ref="D3085">IF(A3085="","",IFERROR(SMALL(IF((('KG1-6'!$AD13:$IM13="غياب بدون عذر")+('KG1-6'!$AD13:$IM13="غياب بعذر"))*('KG1-6'!$AD$7:$IM$7="✓"),'KG1-6'!$AD$5:$IM$5),4),""))</f>
        <v/>
      </c>
      <c r="E3085">
        <f>IF(D3085="","",INDEX('KG1-6'!$AD13:$IM13,MATCH(D3085,'KG1-6'!$AD$5:$IM$5,0)))</f>
        <v/>
      </c>
      <c r="F3085">
        <f>IF(D3085="","",COUNTIFS('KG1-6'!$AD13:$IM13,"غياب بدون عذر",'KG1-6'!$AD$7:$IM$7,"✓",'KG1-6'!$AD$5:$IM$5,"&lt;="&amp;D3085))</f>
        <v/>
      </c>
      <c r="G3085">
        <f>G3084+IF(D3085="",0,1)</f>
        <v/>
      </c>
    </row>
    <row r="3086">
      <c r="A3086">
        <f>IF('KG1-6'!$B13="","",'KG1-6'!$B13)</f>
        <v/>
      </c>
      <c r="B3086">
        <f>IF(A3086="","",'KG1-6'!$C13)</f>
        <v/>
      </c>
      <c r="C3086">
        <f>IF(A3086="","",'KG1-6'!$B$2)</f>
        <v/>
      </c>
      <c r="D3086" s="126">
        <f t="array" ref="D3086">IF(A3086="","",IFERROR(SMALL(IF((('KG1-6'!$AD13:$IM13="غياب بدون عذر")+('KG1-6'!$AD13:$IM13="غياب بعذر"))*('KG1-6'!$AD$7:$IM$7="✓"),'KG1-6'!$AD$5:$IM$5),5),""))</f>
        <v/>
      </c>
      <c r="E3086">
        <f>IF(D3086="","",INDEX('KG1-6'!$AD13:$IM13,MATCH(D3086,'KG1-6'!$AD$5:$IM$5,0)))</f>
        <v/>
      </c>
      <c r="F3086">
        <f>IF(D3086="","",COUNTIFS('KG1-6'!$AD13:$IM13,"غياب بدون عذر",'KG1-6'!$AD$7:$IM$7,"✓",'KG1-6'!$AD$5:$IM$5,"&lt;="&amp;D3086))</f>
        <v/>
      </c>
      <c r="G3086">
        <f>G3085+IF(D3086="",0,1)</f>
        <v/>
      </c>
    </row>
    <row r="3087">
      <c r="A3087">
        <f>IF('KG1-6'!$B13="","",'KG1-6'!$B13)</f>
        <v/>
      </c>
      <c r="B3087">
        <f>IF(A3087="","",'KG1-6'!$C13)</f>
        <v/>
      </c>
      <c r="C3087">
        <f>IF(A3087="","",'KG1-6'!$B$2)</f>
        <v/>
      </c>
      <c r="D3087" s="126">
        <f t="array" ref="D3087">IF(A3087="","",IFERROR(SMALL(IF((('KG1-6'!$AD13:$IM13="غياب بدون عذر")+('KG1-6'!$AD13:$IM13="غياب بعذر"))*('KG1-6'!$AD$7:$IM$7="✓"),'KG1-6'!$AD$5:$IM$5),6),""))</f>
        <v/>
      </c>
      <c r="E3087">
        <f>IF(D3087="","",INDEX('KG1-6'!$AD13:$IM13,MATCH(D3087,'KG1-6'!$AD$5:$IM$5,0)))</f>
        <v/>
      </c>
      <c r="F3087">
        <f>IF(D3087="","",COUNTIFS('KG1-6'!$AD13:$IM13,"غياب بدون عذر",'KG1-6'!$AD$7:$IM$7,"✓",'KG1-6'!$AD$5:$IM$5,"&lt;="&amp;D3087))</f>
        <v/>
      </c>
      <c r="G3087">
        <f>G3086+IF(D3087="",0,1)</f>
        <v/>
      </c>
    </row>
    <row r="3088">
      <c r="A3088">
        <f>IF('KG1-6'!$B13="","",'KG1-6'!$B13)</f>
        <v/>
      </c>
      <c r="B3088">
        <f>IF(A3088="","",'KG1-6'!$C13)</f>
        <v/>
      </c>
      <c r="C3088">
        <f>IF(A3088="","",'KG1-6'!$B$2)</f>
        <v/>
      </c>
      <c r="D3088" s="126">
        <f t="array" ref="D3088">IF(A3088="","",IFERROR(SMALL(IF((('KG1-6'!$AD13:$IM13="غياب بدون عذر")+('KG1-6'!$AD13:$IM13="غياب بعذر"))*('KG1-6'!$AD$7:$IM$7="✓"),'KG1-6'!$AD$5:$IM$5),7),""))</f>
        <v/>
      </c>
      <c r="E3088">
        <f>IF(D3088="","",INDEX('KG1-6'!$AD13:$IM13,MATCH(D3088,'KG1-6'!$AD$5:$IM$5,0)))</f>
        <v/>
      </c>
      <c r="F3088">
        <f>IF(D3088="","",COUNTIFS('KG1-6'!$AD13:$IM13,"غياب بدون عذر",'KG1-6'!$AD$7:$IM$7,"✓",'KG1-6'!$AD$5:$IM$5,"&lt;="&amp;D3088))</f>
        <v/>
      </c>
      <c r="G3088">
        <f>G3087+IF(D3088="",0,1)</f>
        <v/>
      </c>
    </row>
    <row r="3089">
      <c r="A3089">
        <f>IF('KG1-6'!$B13="","",'KG1-6'!$B13)</f>
        <v/>
      </c>
      <c r="B3089">
        <f>IF(A3089="","",'KG1-6'!$C13)</f>
        <v/>
      </c>
      <c r="C3089">
        <f>IF(A3089="","",'KG1-6'!$B$2)</f>
        <v/>
      </c>
      <c r="D3089" s="126">
        <f t="array" ref="D3089">IF(A3089="","",IFERROR(SMALL(IF((('KG1-6'!$AD13:$IM13="غياب بدون عذر")+('KG1-6'!$AD13:$IM13="غياب بعذر"))*('KG1-6'!$AD$7:$IM$7="✓"),'KG1-6'!$AD$5:$IM$5),8),""))</f>
        <v/>
      </c>
      <c r="E3089">
        <f>IF(D3089="","",INDEX('KG1-6'!$AD13:$IM13,MATCH(D3089,'KG1-6'!$AD$5:$IM$5,0)))</f>
        <v/>
      </c>
      <c r="F3089">
        <f>IF(D3089="","",COUNTIFS('KG1-6'!$AD13:$IM13,"غياب بدون عذر",'KG1-6'!$AD$7:$IM$7,"✓",'KG1-6'!$AD$5:$IM$5,"&lt;="&amp;D3089))</f>
        <v/>
      </c>
      <c r="G3089">
        <f>G3088+IF(D3089="",0,1)</f>
        <v/>
      </c>
    </row>
    <row r="3090">
      <c r="A3090">
        <f>IF('KG1-6'!$B13="","",'KG1-6'!$B13)</f>
        <v/>
      </c>
      <c r="B3090">
        <f>IF(A3090="","",'KG1-6'!$C13)</f>
        <v/>
      </c>
      <c r="C3090">
        <f>IF(A3090="","",'KG1-6'!$B$2)</f>
        <v/>
      </c>
      <c r="D3090" s="126">
        <f t="array" ref="D3090">IF(A3090="","",IFERROR(SMALL(IF((('KG1-6'!$AD13:$IM13="غياب بدون عذر")+('KG1-6'!$AD13:$IM13="غياب بعذر"))*('KG1-6'!$AD$7:$IM$7="✓"),'KG1-6'!$AD$5:$IM$5),9),""))</f>
        <v/>
      </c>
      <c r="E3090">
        <f>IF(D3090="","",INDEX('KG1-6'!$AD13:$IM13,MATCH(D3090,'KG1-6'!$AD$5:$IM$5,0)))</f>
        <v/>
      </c>
      <c r="F3090">
        <f>IF(D3090="","",COUNTIFS('KG1-6'!$AD13:$IM13,"غياب بدون عذر",'KG1-6'!$AD$7:$IM$7,"✓",'KG1-6'!$AD$5:$IM$5,"&lt;="&amp;D3090))</f>
        <v/>
      </c>
      <c r="G3090">
        <f>G3089+IF(D3090="",0,1)</f>
        <v/>
      </c>
    </row>
    <row r="3091">
      <c r="A3091">
        <f>IF('KG1-6'!$B13="","",'KG1-6'!$B13)</f>
        <v/>
      </c>
      <c r="B3091">
        <f>IF(A3091="","",'KG1-6'!$C13)</f>
        <v/>
      </c>
      <c r="C3091">
        <f>IF(A3091="","",'KG1-6'!$B$2)</f>
        <v/>
      </c>
      <c r="D3091" s="126">
        <f t="array" ref="D3091">IF(A3091="","",IFERROR(SMALL(IF((('KG1-6'!$AD13:$IM13="غياب بدون عذر")+('KG1-6'!$AD13:$IM13="غياب بعذر"))*('KG1-6'!$AD$7:$IM$7="✓"),'KG1-6'!$AD$5:$IM$5),10),""))</f>
        <v/>
      </c>
      <c r="E3091">
        <f>IF(D3091="","",INDEX('KG1-6'!$AD13:$IM13,MATCH(D3091,'KG1-6'!$AD$5:$IM$5,0)))</f>
        <v/>
      </c>
      <c r="F3091">
        <f>IF(D3091="","",COUNTIFS('KG1-6'!$AD13:$IM13,"غياب بدون عذر",'KG1-6'!$AD$7:$IM$7,"✓",'KG1-6'!$AD$5:$IM$5,"&lt;="&amp;D3091))</f>
        <v/>
      </c>
      <c r="G3091">
        <f>G3090+IF(D3091="",0,1)</f>
        <v/>
      </c>
    </row>
    <row r="3092">
      <c r="A3092">
        <f>IF('KG1-6'!$B13="","",'KG1-6'!$B13)</f>
        <v/>
      </c>
      <c r="B3092">
        <f>IF(A3092="","",'KG1-6'!$C13)</f>
        <v/>
      </c>
      <c r="C3092">
        <f>IF(A3092="","",'KG1-6'!$B$2)</f>
        <v/>
      </c>
      <c r="D3092" s="126">
        <f t="array" ref="D3092">IF(A3092="","",IFERROR(SMALL(IF((('KG1-6'!$AD13:$IM13="غياب بدون عذر")+('KG1-6'!$AD13:$IM13="غياب بعذر"))*('KG1-6'!$AD$7:$IM$7="✓"),'KG1-6'!$AD$5:$IM$5),11),""))</f>
        <v/>
      </c>
      <c r="E3092">
        <f>IF(D3092="","",INDEX('KG1-6'!$AD13:$IM13,MATCH(D3092,'KG1-6'!$AD$5:$IM$5,0)))</f>
        <v/>
      </c>
      <c r="F3092">
        <f>IF(D3092="","",COUNTIFS('KG1-6'!$AD13:$IM13,"غياب بدون عذر",'KG1-6'!$AD$7:$IM$7,"✓",'KG1-6'!$AD$5:$IM$5,"&lt;="&amp;D3092))</f>
        <v/>
      </c>
      <c r="G3092">
        <f>G3091+IF(D3092="",0,1)</f>
        <v/>
      </c>
    </row>
    <row r="3093">
      <c r="A3093">
        <f>IF('KG1-6'!$B13="","",'KG1-6'!$B13)</f>
        <v/>
      </c>
      <c r="B3093">
        <f>IF(A3093="","",'KG1-6'!$C13)</f>
        <v/>
      </c>
      <c r="C3093">
        <f>IF(A3093="","",'KG1-6'!$B$2)</f>
        <v/>
      </c>
      <c r="D3093" s="126">
        <f t="array" ref="D3093">IF(A3093="","",IFERROR(SMALL(IF((('KG1-6'!$AD13:$IM13="غياب بدون عذر")+('KG1-6'!$AD13:$IM13="غياب بعذر"))*('KG1-6'!$AD$7:$IM$7="✓"),'KG1-6'!$AD$5:$IM$5),12),""))</f>
        <v/>
      </c>
      <c r="E3093">
        <f>IF(D3093="","",INDEX('KG1-6'!$AD13:$IM13,MATCH(D3093,'KG1-6'!$AD$5:$IM$5,0)))</f>
        <v/>
      </c>
      <c r="F3093">
        <f>IF(D3093="","",COUNTIFS('KG1-6'!$AD13:$IM13,"غياب بدون عذر",'KG1-6'!$AD$7:$IM$7,"✓",'KG1-6'!$AD$5:$IM$5,"&lt;="&amp;D3093))</f>
        <v/>
      </c>
      <c r="G3093">
        <f>G3092+IF(D3093="",0,1)</f>
        <v/>
      </c>
    </row>
    <row r="3094">
      <c r="A3094">
        <f>IF('KG1-6'!$B13="","",'KG1-6'!$B13)</f>
        <v/>
      </c>
      <c r="B3094">
        <f>IF(A3094="","",'KG1-6'!$C13)</f>
        <v/>
      </c>
      <c r="C3094">
        <f>IF(A3094="","",'KG1-6'!$B$2)</f>
        <v/>
      </c>
      <c r="D3094" s="126">
        <f t="array" ref="D3094">IF(A3094="","",IFERROR(SMALL(IF((('KG1-6'!$AD13:$IM13="غياب بدون عذر")+('KG1-6'!$AD13:$IM13="غياب بعذر"))*('KG1-6'!$AD$7:$IM$7="✓"),'KG1-6'!$AD$5:$IM$5),13),""))</f>
        <v/>
      </c>
      <c r="E3094">
        <f>IF(D3094="","",INDEX('KG1-6'!$AD13:$IM13,MATCH(D3094,'KG1-6'!$AD$5:$IM$5,0)))</f>
        <v/>
      </c>
      <c r="F3094">
        <f>IF(D3094="","",COUNTIFS('KG1-6'!$AD13:$IM13,"غياب بدون عذر",'KG1-6'!$AD$7:$IM$7,"✓",'KG1-6'!$AD$5:$IM$5,"&lt;="&amp;D3094))</f>
        <v/>
      </c>
      <c r="G3094">
        <f>G3093+IF(D3094="",0,1)</f>
        <v/>
      </c>
    </row>
    <row r="3095">
      <c r="A3095">
        <f>IF('KG1-6'!$B13="","",'KG1-6'!$B13)</f>
        <v/>
      </c>
      <c r="B3095">
        <f>IF(A3095="","",'KG1-6'!$C13)</f>
        <v/>
      </c>
      <c r="C3095">
        <f>IF(A3095="","",'KG1-6'!$B$2)</f>
        <v/>
      </c>
      <c r="D3095" s="126">
        <f t="array" ref="D3095">IF(A3095="","",IFERROR(SMALL(IF((('KG1-6'!$AD13:$IM13="غياب بدون عذر")+('KG1-6'!$AD13:$IM13="غياب بعذر"))*('KG1-6'!$AD$7:$IM$7="✓"),'KG1-6'!$AD$5:$IM$5),14),""))</f>
        <v/>
      </c>
      <c r="E3095">
        <f>IF(D3095="","",INDEX('KG1-6'!$AD13:$IM13,MATCH(D3095,'KG1-6'!$AD$5:$IM$5,0)))</f>
        <v/>
      </c>
      <c r="F3095">
        <f>IF(D3095="","",COUNTIFS('KG1-6'!$AD13:$IM13,"غياب بدون عذر",'KG1-6'!$AD$7:$IM$7,"✓",'KG1-6'!$AD$5:$IM$5,"&lt;="&amp;D3095))</f>
        <v/>
      </c>
      <c r="G3095">
        <f>G3094+IF(D3095="",0,1)</f>
        <v/>
      </c>
    </row>
    <row r="3096">
      <c r="A3096">
        <f>IF('KG1-6'!$B13="","",'KG1-6'!$B13)</f>
        <v/>
      </c>
      <c r="B3096">
        <f>IF(A3096="","",'KG1-6'!$C13)</f>
        <v/>
      </c>
      <c r="C3096">
        <f>IF(A3096="","",'KG1-6'!$B$2)</f>
        <v/>
      </c>
      <c r="D3096" s="126">
        <f t="array" ref="D3096">IF(A3096="","",IFERROR(SMALL(IF((('KG1-6'!$AD13:$IM13="غياب بدون عذر")+('KG1-6'!$AD13:$IM13="غياب بعذر"))*('KG1-6'!$AD$7:$IM$7="✓"),'KG1-6'!$AD$5:$IM$5),15),""))</f>
        <v/>
      </c>
      <c r="E3096">
        <f>IF(D3096="","",INDEX('KG1-6'!$AD13:$IM13,MATCH(D3096,'KG1-6'!$AD$5:$IM$5,0)))</f>
        <v/>
      </c>
      <c r="F3096">
        <f>IF(D3096="","",COUNTIFS('KG1-6'!$AD13:$IM13,"غياب بدون عذر",'KG1-6'!$AD$7:$IM$7,"✓",'KG1-6'!$AD$5:$IM$5,"&lt;="&amp;D3096))</f>
        <v/>
      </c>
      <c r="G3096">
        <f>G3095+IF(D3096="",0,1)</f>
        <v/>
      </c>
    </row>
    <row r="3097">
      <c r="A3097">
        <f>IF('KG1-6'!$B13="","",'KG1-6'!$B13)</f>
        <v/>
      </c>
      <c r="B3097">
        <f>IF(A3097="","",'KG1-6'!$C13)</f>
        <v/>
      </c>
      <c r="C3097">
        <f>IF(A3097="","",'KG1-6'!$B$2)</f>
        <v/>
      </c>
      <c r="D3097" s="126">
        <f t="array" ref="D3097">IF(A3097="","",IFERROR(SMALL(IF((('KG1-6'!$AD13:$IM13="غياب بدون عذر")+('KG1-6'!$AD13:$IM13="غياب بعذر"))*('KG1-6'!$AD$7:$IM$7="✓"),'KG1-6'!$AD$5:$IM$5),16),""))</f>
        <v/>
      </c>
      <c r="E3097">
        <f>IF(D3097="","",INDEX('KG1-6'!$AD13:$IM13,MATCH(D3097,'KG1-6'!$AD$5:$IM$5,0)))</f>
        <v/>
      </c>
      <c r="F3097">
        <f>IF(D3097="","",COUNTIFS('KG1-6'!$AD13:$IM13,"غياب بدون عذر",'KG1-6'!$AD$7:$IM$7,"✓",'KG1-6'!$AD$5:$IM$5,"&lt;="&amp;D3097))</f>
        <v/>
      </c>
      <c r="G3097">
        <f>G3096+IF(D3097="",0,1)</f>
        <v/>
      </c>
    </row>
    <row r="3098">
      <c r="A3098">
        <f>IF('KG1-6'!$B13="","",'KG1-6'!$B13)</f>
        <v/>
      </c>
      <c r="B3098">
        <f>IF(A3098="","",'KG1-6'!$C13)</f>
        <v/>
      </c>
      <c r="C3098">
        <f>IF(A3098="","",'KG1-6'!$B$2)</f>
        <v/>
      </c>
      <c r="D3098" s="126">
        <f t="array" ref="D3098">IF(A3098="","",IFERROR(SMALL(IF((('KG1-6'!$AD13:$IM13="غياب بدون عذر")+('KG1-6'!$AD13:$IM13="غياب بعذر"))*('KG1-6'!$AD$7:$IM$7="✓"),'KG1-6'!$AD$5:$IM$5),17),""))</f>
        <v/>
      </c>
      <c r="E3098">
        <f>IF(D3098="","",INDEX('KG1-6'!$AD13:$IM13,MATCH(D3098,'KG1-6'!$AD$5:$IM$5,0)))</f>
        <v/>
      </c>
      <c r="F3098">
        <f>IF(D3098="","",COUNTIFS('KG1-6'!$AD13:$IM13,"غياب بدون عذر",'KG1-6'!$AD$7:$IM$7,"✓",'KG1-6'!$AD$5:$IM$5,"&lt;="&amp;D3098))</f>
        <v/>
      </c>
      <c r="G3098">
        <f>G3097+IF(D3098="",0,1)</f>
        <v/>
      </c>
    </row>
    <row r="3099">
      <c r="A3099">
        <f>IF('KG1-6'!$B13="","",'KG1-6'!$B13)</f>
        <v/>
      </c>
      <c r="B3099">
        <f>IF(A3099="","",'KG1-6'!$C13)</f>
        <v/>
      </c>
      <c r="C3099">
        <f>IF(A3099="","",'KG1-6'!$B$2)</f>
        <v/>
      </c>
      <c r="D3099" s="126">
        <f t="array" ref="D3099">IF(A3099="","",IFERROR(SMALL(IF((('KG1-6'!$AD13:$IM13="غياب بدون عذر")+('KG1-6'!$AD13:$IM13="غياب بعذر"))*('KG1-6'!$AD$7:$IM$7="✓"),'KG1-6'!$AD$5:$IM$5),18),""))</f>
        <v/>
      </c>
      <c r="E3099">
        <f>IF(D3099="","",INDEX('KG1-6'!$AD13:$IM13,MATCH(D3099,'KG1-6'!$AD$5:$IM$5,0)))</f>
        <v/>
      </c>
      <c r="F3099">
        <f>IF(D3099="","",COUNTIFS('KG1-6'!$AD13:$IM13,"غياب بدون عذر",'KG1-6'!$AD$7:$IM$7,"✓",'KG1-6'!$AD$5:$IM$5,"&lt;="&amp;D3099))</f>
        <v/>
      </c>
      <c r="G3099">
        <f>G3098+IF(D3099="",0,1)</f>
        <v/>
      </c>
    </row>
    <row r="3100">
      <c r="A3100">
        <f>IF('KG1-6'!$B13="","",'KG1-6'!$B13)</f>
        <v/>
      </c>
      <c r="B3100">
        <f>IF(A3100="","",'KG1-6'!$C13)</f>
        <v/>
      </c>
      <c r="C3100">
        <f>IF(A3100="","",'KG1-6'!$B$2)</f>
        <v/>
      </c>
      <c r="D3100" s="126">
        <f t="array" ref="D3100">IF(A3100="","",IFERROR(SMALL(IF((('KG1-6'!$AD13:$IM13="غياب بدون عذر")+('KG1-6'!$AD13:$IM13="غياب بعذر"))*('KG1-6'!$AD$7:$IM$7="✓"),'KG1-6'!$AD$5:$IM$5),19),""))</f>
        <v/>
      </c>
      <c r="E3100">
        <f>IF(D3100="","",INDEX('KG1-6'!$AD13:$IM13,MATCH(D3100,'KG1-6'!$AD$5:$IM$5,0)))</f>
        <v/>
      </c>
      <c r="F3100">
        <f>IF(D3100="","",COUNTIFS('KG1-6'!$AD13:$IM13,"غياب بدون عذر",'KG1-6'!$AD$7:$IM$7,"✓",'KG1-6'!$AD$5:$IM$5,"&lt;="&amp;D3100))</f>
        <v/>
      </c>
      <c r="G3100">
        <f>G3099+IF(D3100="",0,1)</f>
        <v/>
      </c>
    </row>
    <row r="3101">
      <c r="A3101">
        <f>IF('KG1-6'!$B13="","",'KG1-6'!$B13)</f>
        <v/>
      </c>
      <c r="B3101">
        <f>IF(A3101="","",'KG1-6'!$C13)</f>
        <v/>
      </c>
      <c r="C3101">
        <f>IF(A3101="","",'KG1-6'!$B$2)</f>
        <v/>
      </c>
      <c r="D3101" s="126">
        <f t="array" ref="D3101">IF(A3101="","",IFERROR(SMALL(IF((('KG1-6'!$AD13:$IM13="غياب بدون عذر")+('KG1-6'!$AD13:$IM13="غياب بعذر"))*('KG1-6'!$AD$7:$IM$7="✓"),'KG1-6'!$AD$5:$IM$5),20),""))</f>
        <v/>
      </c>
      <c r="E3101">
        <f>IF(D3101="","",INDEX('KG1-6'!$AD13:$IM13,MATCH(D3101,'KG1-6'!$AD$5:$IM$5,0)))</f>
        <v/>
      </c>
      <c r="F3101">
        <f>IF(D3101="","",COUNTIFS('KG1-6'!$AD13:$IM13,"غياب بدون عذر",'KG1-6'!$AD$7:$IM$7,"✓",'KG1-6'!$AD$5:$IM$5,"&lt;="&amp;D3101))</f>
        <v/>
      </c>
      <c r="G3101">
        <f>G3100+IF(D3101="",0,1)</f>
        <v/>
      </c>
    </row>
    <row r="3102">
      <c r="A3102">
        <f>IF('KG1-6'!$B14="","",'KG1-6'!$B14)</f>
        <v/>
      </c>
      <c r="B3102">
        <f>IF(A3102="","",'KG1-6'!$C14)</f>
        <v/>
      </c>
      <c r="C3102">
        <f>IF(A3102="","",'KG1-6'!$B$2)</f>
        <v/>
      </c>
      <c r="D3102" s="126">
        <f t="array" ref="D3102">IF(A3102="","",IFERROR(SMALL(IF((('KG1-6'!$AD14:$IM14="غياب بدون عذر")+('KG1-6'!$AD14:$IM14="غياب بعذر"))*('KG1-6'!$AD$7:$IM$7="✓"),'KG1-6'!$AD$5:$IM$5),1),""))</f>
        <v/>
      </c>
      <c r="E3102">
        <f>IF(D3102="","",INDEX('KG1-6'!$AD14:$IM14,MATCH(D3102,'KG1-6'!$AD$5:$IM$5,0)))</f>
        <v/>
      </c>
      <c r="F3102">
        <f>IF(D3102="","",COUNTIFS('KG1-6'!$AD14:$IM14,"غياب بدون عذر",'KG1-6'!$AD$7:$IM$7,"✓",'KG1-6'!$AD$5:$IM$5,"&lt;="&amp;D3102))</f>
        <v/>
      </c>
      <c r="G3102">
        <f>G3101+IF(D3102="",0,1)</f>
        <v/>
      </c>
    </row>
    <row r="3103">
      <c r="A3103">
        <f>IF('KG1-6'!$B14="","",'KG1-6'!$B14)</f>
        <v/>
      </c>
      <c r="B3103">
        <f>IF(A3103="","",'KG1-6'!$C14)</f>
        <v/>
      </c>
      <c r="C3103">
        <f>IF(A3103="","",'KG1-6'!$B$2)</f>
        <v/>
      </c>
      <c r="D3103" s="126">
        <f t="array" ref="D3103">IF(A3103="","",IFERROR(SMALL(IF((('KG1-6'!$AD14:$IM14="غياب بدون عذر")+('KG1-6'!$AD14:$IM14="غياب بعذر"))*('KG1-6'!$AD$7:$IM$7="✓"),'KG1-6'!$AD$5:$IM$5),2),""))</f>
        <v/>
      </c>
      <c r="E3103">
        <f>IF(D3103="","",INDEX('KG1-6'!$AD14:$IM14,MATCH(D3103,'KG1-6'!$AD$5:$IM$5,0)))</f>
        <v/>
      </c>
      <c r="F3103">
        <f>IF(D3103="","",COUNTIFS('KG1-6'!$AD14:$IM14,"غياب بدون عذر",'KG1-6'!$AD$7:$IM$7,"✓",'KG1-6'!$AD$5:$IM$5,"&lt;="&amp;D3103))</f>
        <v/>
      </c>
      <c r="G3103">
        <f>G3102+IF(D3103="",0,1)</f>
        <v/>
      </c>
    </row>
    <row r="3104">
      <c r="A3104">
        <f>IF('KG1-6'!$B14="","",'KG1-6'!$B14)</f>
        <v/>
      </c>
      <c r="B3104">
        <f>IF(A3104="","",'KG1-6'!$C14)</f>
        <v/>
      </c>
      <c r="C3104">
        <f>IF(A3104="","",'KG1-6'!$B$2)</f>
        <v/>
      </c>
      <c r="D3104" s="126">
        <f t="array" ref="D3104">IF(A3104="","",IFERROR(SMALL(IF((('KG1-6'!$AD14:$IM14="غياب بدون عذر")+('KG1-6'!$AD14:$IM14="غياب بعذر"))*('KG1-6'!$AD$7:$IM$7="✓"),'KG1-6'!$AD$5:$IM$5),3),""))</f>
        <v/>
      </c>
      <c r="E3104">
        <f>IF(D3104="","",INDEX('KG1-6'!$AD14:$IM14,MATCH(D3104,'KG1-6'!$AD$5:$IM$5,0)))</f>
        <v/>
      </c>
      <c r="F3104">
        <f>IF(D3104="","",COUNTIFS('KG1-6'!$AD14:$IM14,"غياب بدون عذر",'KG1-6'!$AD$7:$IM$7,"✓",'KG1-6'!$AD$5:$IM$5,"&lt;="&amp;D3104))</f>
        <v/>
      </c>
      <c r="G3104">
        <f>G3103+IF(D3104="",0,1)</f>
        <v/>
      </c>
    </row>
    <row r="3105">
      <c r="A3105">
        <f>IF('KG1-6'!$B14="","",'KG1-6'!$B14)</f>
        <v/>
      </c>
      <c r="B3105">
        <f>IF(A3105="","",'KG1-6'!$C14)</f>
        <v/>
      </c>
      <c r="C3105">
        <f>IF(A3105="","",'KG1-6'!$B$2)</f>
        <v/>
      </c>
      <c r="D3105" s="126">
        <f t="array" ref="D3105">IF(A3105="","",IFERROR(SMALL(IF((('KG1-6'!$AD14:$IM14="غياب بدون عذر")+('KG1-6'!$AD14:$IM14="غياب بعذر"))*('KG1-6'!$AD$7:$IM$7="✓"),'KG1-6'!$AD$5:$IM$5),4),""))</f>
        <v/>
      </c>
      <c r="E3105">
        <f>IF(D3105="","",INDEX('KG1-6'!$AD14:$IM14,MATCH(D3105,'KG1-6'!$AD$5:$IM$5,0)))</f>
        <v/>
      </c>
      <c r="F3105">
        <f>IF(D3105="","",COUNTIFS('KG1-6'!$AD14:$IM14,"غياب بدون عذر",'KG1-6'!$AD$7:$IM$7,"✓",'KG1-6'!$AD$5:$IM$5,"&lt;="&amp;D3105))</f>
        <v/>
      </c>
      <c r="G3105">
        <f>G3104+IF(D3105="",0,1)</f>
        <v/>
      </c>
    </row>
    <row r="3106">
      <c r="A3106">
        <f>IF('KG1-6'!$B14="","",'KG1-6'!$B14)</f>
        <v/>
      </c>
      <c r="B3106">
        <f>IF(A3106="","",'KG1-6'!$C14)</f>
        <v/>
      </c>
      <c r="C3106">
        <f>IF(A3106="","",'KG1-6'!$B$2)</f>
        <v/>
      </c>
      <c r="D3106" s="126">
        <f t="array" ref="D3106">IF(A3106="","",IFERROR(SMALL(IF((('KG1-6'!$AD14:$IM14="غياب بدون عذر")+('KG1-6'!$AD14:$IM14="غياب بعذر"))*('KG1-6'!$AD$7:$IM$7="✓"),'KG1-6'!$AD$5:$IM$5),5),""))</f>
        <v/>
      </c>
      <c r="E3106">
        <f>IF(D3106="","",INDEX('KG1-6'!$AD14:$IM14,MATCH(D3106,'KG1-6'!$AD$5:$IM$5,0)))</f>
        <v/>
      </c>
      <c r="F3106">
        <f>IF(D3106="","",COUNTIFS('KG1-6'!$AD14:$IM14,"غياب بدون عذر",'KG1-6'!$AD$7:$IM$7,"✓",'KG1-6'!$AD$5:$IM$5,"&lt;="&amp;D3106))</f>
        <v/>
      </c>
      <c r="G3106">
        <f>G3105+IF(D3106="",0,1)</f>
        <v/>
      </c>
    </row>
    <row r="3107">
      <c r="A3107">
        <f>IF('KG1-6'!$B14="","",'KG1-6'!$B14)</f>
        <v/>
      </c>
      <c r="B3107">
        <f>IF(A3107="","",'KG1-6'!$C14)</f>
        <v/>
      </c>
      <c r="C3107">
        <f>IF(A3107="","",'KG1-6'!$B$2)</f>
        <v/>
      </c>
      <c r="D3107" s="126">
        <f t="array" ref="D3107">IF(A3107="","",IFERROR(SMALL(IF((('KG1-6'!$AD14:$IM14="غياب بدون عذر")+('KG1-6'!$AD14:$IM14="غياب بعذر"))*('KG1-6'!$AD$7:$IM$7="✓"),'KG1-6'!$AD$5:$IM$5),6),""))</f>
        <v/>
      </c>
      <c r="E3107">
        <f>IF(D3107="","",INDEX('KG1-6'!$AD14:$IM14,MATCH(D3107,'KG1-6'!$AD$5:$IM$5,0)))</f>
        <v/>
      </c>
      <c r="F3107">
        <f>IF(D3107="","",COUNTIFS('KG1-6'!$AD14:$IM14,"غياب بدون عذر",'KG1-6'!$AD$7:$IM$7,"✓",'KG1-6'!$AD$5:$IM$5,"&lt;="&amp;D3107))</f>
        <v/>
      </c>
      <c r="G3107">
        <f>G3106+IF(D3107="",0,1)</f>
        <v/>
      </c>
    </row>
    <row r="3108">
      <c r="A3108">
        <f>IF('KG1-6'!$B14="","",'KG1-6'!$B14)</f>
        <v/>
      </c>
      <c r="B3108">
        <f>IF(A3108="","",'KG1-6'!$C14)</f>
        <v/>
      </c>
      <c r="C3108">
        <f>IF(A3108="","",'KG1-6'!$B$2)</f>
        <v/>
      </c>
      <c r="D3108" s="126">
        <f t="array" ref="D3108">IF(A3108="","",IFERROR(SMALL(IF((('KG1-6'!$AD14:$IM14="غياب بدون عذر")+('KG1-6'!$AD14:$IM14="غياب بعذر"))*('KG1-6'!$AD$7:$IM$7="✓"),'KG1-6'!$AD$5:$IM$5),7),""))</f>
        <v/>
      </c>
      <c r="E3108">
        <f>IF(D3108="","",INDEX('KG1-6'!$AD14:$IM14,MATCH(D3108,'KG1-6'!$AD$5:$IM$5,0)))</f>
        <v/>
      </c>
      <c r="F3108">
        <f>IF(D3108="","",COUNTIFS('KG1-6'!$AD14:$IM14,"غياب بدون عذر",'KG1-6'!$AD$7:$IM$7,"✓",'KG1-6'!$AD$5:$IM$5,"&lt;="&amp;D3108))</f>
        <v/>
      </c>
      <c r="G3108">
        <f>G3107+IF(D3108="",0,1)</f>
        <v/>
      </c>
    </row>
    <row r="3109">
      <c r="A3109">
        <f>IF('KG1-6'!$B14="","",'KG1-6'!$B14)</f>
        <v/>
      </c>
      <c r="B3109">
        <f>IF(A3109="","",'KG1-6'!$C14)</f>
        <v/>
      </c>
      <c r="C3109">
        <f>IF(A3109="","",'KG1-6'!$B$2)</f>
        <v/>
      </c>
      <c r="D3109" s="126">
        <f t="array" ref="D3109">IF(A3109="","",IFERROR(SMALL(IF((('KG1-6'!$AD14:$IM14="غياب بدون عذر")+('KG1-6'!$AD14:$IM14="غياب بعذر"))*('KG1-6'!$AD$7:$IM$7="✓"),'KG1-6'!$AD$5:$IM$5),8),""))</f>
        <v/>
      </c>
      <c r="E3109">
        <f>IF(D3109="","",INDEX('KG1-6'!$AD14:$IM14,MATCH(D3109,'KG1-6'!$AD$5:$IM$5,0)))</f>
        <v/>
      </c>
      <c r="F3109">
        <f>IF(D3109="","",COUNTIFS('KG1-6'!$AD14:$IM14,"غياب بدون عذر",'KG1-6'!$AD$7:$IM$7,"✓",'KG1-6'!$AD$5:$IM$5,"&lt;="&amp;D3109))</f>
        <v/>
      </c>
      <c r="G3109">
        <f>G3108+IF(D3109="",0,1)</f>
        <v/>
      </c>
    </row>
    <row r="3110">
      <c r="A3110">
        <f>IF('KG1-6'!$B14="","",'KG1-6'!$B14)</f>
        <v/>
      </c>
      <c r="B3110">
        <f>IF(A3110="","",'KG1-6'!$C14)</f>
        <v/>
      </c>
      <c r="C3110">
        <f>IF(A3110="","",'KG1-6'!$B$2)</f>
        <v/>
      </c>
      <c r="D3110" s="126">
        <f t="array" ref="D3110">IF(A3110="","",IFERROR(SMALL(IF((('KG1-6'!$AD14:$IM14="غياب بدون عذر")+('KG1-6'!$AD14:$IM14="غياب بعذر"))*('KG1-6'!$AD$7:$IM$7="✓"),'KG1-6'!$AD$5:$IM$5),9),""))</f>
        <v/>
      </c>
      <c r="E3110">
        <f>IF(D3110="","",INDEX('KG1-6'!$AD14:$IM14,MATCH(D3110,'KG1-6'!$AD$5:$IM$5,0)))</f>
        <v/>
      </c>
      <c r="F3110">
        <f>IF(D3110="","",COUNTIFS('KG1-6'!$AD14:$IM14,"غياب بدون عذر",'KG1-6'!$AD$7:$IM$7,"✓",'KG1-6'!$AD$5:$IM$5,"&lt;="&amp;D3110))</f>
        <v/>
      </c>
      <c r="G3110">
        <f>G3109+IF(D3110="",0,1)</f>
        <v/>
      </c>
    </row>
    <row r="3111">
      <c r="A3111">
        <f>IF('KG1-6'!$B14="","",'KG1-6'!$B14)</f>
        <v/>
      </c>
      <c r="B3111">
        <f>IF(A3111="","",'KG1-6'!$C14)</f>
        <v/>
      </c>
      <c r="C3111">
        <f>IF(A3111="","",'KG1-6'!$B$2)</f>
        <v/>
      </c>
      <c r="D3111" s="126">
        <f t="array" ref="D3111">IF(A3111="","",IFERROR(SMALL(IF((('KG1-6'!$AD14:$IM14="غياب بدون عذر")+('KG1-6'!$AD14:$IM14="غياب بعذر"))*('KG1-6'!$AD$7:$IM$7="✓"),'KG1-6'!$AD$5:$IM$5),10),""))</f>
        <v/>
      </c>
      <c r="E3111">
        <f>IF(D3111="","",INDEX('KG1-6'!$AD14:$IM14,MATCH(D3111,'KG1-6'!$AD$5:$IM$5,0)))</f>
        <v/>
      </c>
      <c r="F3111">
        <f>IF(D3111="","",COUNTIFS('KG1-6'!$AD14:$IM14,"غياب بدون عذر",'KG1-6'!$AD$7:$IM$7,"✓",'KG1-6'!$AD$5:$IM$5,"&lt;="&amp;D3111))</f>
        <v/>
      </c>
      <c r="G3111">
        <f>G3110+IF(D3111="",0,1)</f>
        <v/>
      </c>
    </row>
    <row r="3112">
      <c r="A3112">
        <f>IF('KG1-6'!$B14="","",'KG1-6'!$B14)</f>
        <v/>
      </c>
      <c r="B3112">
        <f>IF(A3112="","",'KG1-6'!$C14)</f>
        <v/>
      </c>
      <c r="C3112">
        <f>IF(A3112="","",'KG1-6'!$B$2)</f>
        <v/>
      </c>
      <c r="D3112" s="126">
        <f t="array" ref="D3112">IF(A3112="","",IFERROR(SMALL(IF((('KG1-6'!$AD14:$IM14="غياب بدون عذر")+('KG1-6'!$AD14:$IM14="غياب بعذر"))*('KG1-6'!$AD$7:$IM$7="✓"),'KG1-6'!$AD$5:$IM$5),11),""))</f>
        <v/>
      </c>
      <c r="E3112">
        <f>IF(D3112="","",INDEX('KG1-6'!$AD14:$IM14,MATCH(D3112,'KG1-6'!$AD$5:$IM$5,0)))</f>
        <v/>
      </c>
      <c r="F3112">
        <f>IF(D3112="","",COUNTIFS('KG1-6'!$AD14:$IM14,"غياب بدون عذر",'KG1-6'!$AD$7:$IM$7,"✓",'KG1-6'!$AD$5:$IM$5,"&lt;="&amp;D3112))</f>
        <v/>
      </c>
      <c r="G3112">
        <f>G3111+IF(D3112="",0,1)</f>
        <v/>
      </c>
    </row>
    <row r="3113">
      <c r="A3113">
        <f>IF('KG1-6'!$B14="","",'KG1-6'!$B14)</f>
        <v/>
      </c>
      <c r="B3113">
        <f>IF(A3113="","",'KG1-6'!$C14)</f>
        <v/>
      </c>
      <c r="C3113">
        <f>IF(A3113="","",'KG1-6'!$B$2)</f>
        <v/>
      </c>
      <c r="D3113" s="126">
        <f t="array" ref="D3113">IF(A3113="","",IFERROR(SMALL(IF((('KG1-6'!$AD14:$IM14="غياب بدون عذر")+('KG1-6'!$AD14:$IM14="غياب بعذر"))*('KG1-6'!$AD$7:$IM$7="✓"),'KG1-6'!$AD$5:$IM$5),12),""))</f>
        <v/>
      </c>
      <c r="E3113">
        <f>IF(D3113="","",INDEX('KG1-6'!$AD14:$IM14,MATCH(D3113,'KG1-6'!$AD$5:$IM$5,0)))</f>
        <v/>
      </c>
      <c r="F3113">
        <f>IF(D3113="","",COUNTIFS('KG1-6'!$AD14:$IM14,"غياب بدون عذر",'KG1-6'!$AD$7:$IM$7,"✓",'KG1-6'!$AD$5:$IM$5,"&lt;="&amp;D3113))</f>
        <v/>
      </c>
      <c r="G3113">
        <f>G3112+IF(D3113="",0,1)</f>
        <v/>
      </c>
    </row>
    <row r="3114">
      <c r="A3114">
        <f>IF('KG1-6'!$B14="","",'KG1-6'!$B14)</f>
        <v/>
      </c>
      <c r="B3114">
        <f>IF(A3114="","",'KG1-6'!$C14)</f>
        <v/>
      </c>
      <c r="C3114">
        <f>IF(A3114="","",'KG1-6'!$B$2)</f>
        <v/>
      </c>
      <c r="D3114" s="126">
        <f t="array" ref="D3114">IF(A3114="","",IFERROR(SMALL(IF((('KG1-6'!$AD14:$IM14="غياب بدون عذر")+('KG1-6'!$AD14:$IM14="غياب بعذر"))*('KG1-6'!$AD$7:$IM$7="✓"),'KG1-6'!$AD$5:$IM$5),13),""))</f>
        <v/>
      </c>
      <c r="E3114">
        <f>IF(D3114="","",INDEX('KG1-6'!$AD14:$IM14,MATCH(D3114,'KG1-6'!$AD$5:$IM$5,0)))</f>
        <v/>
      </c>
      <c r="F3114">
        <f>IF(D3114="","",COUNTIFS('KG1-6'!$AD14:$IM14,"غياب بدون عذر",'KG1-6'!$AD$7:$IM$7,"✓",'KG1-6'!$AD$5:$IM$5,"&lt;="&amp;D3114))</f>
        <v/>
      </c>
      <c r="G3114">
        <f>G3113+IF(D3114="",0,1)</f>
        <v/>
      </c>
    </row>
    <row r="3115">
      <c r="A3115">
        <f>IF('KG1-6'!$B14="","",'KG1-6'!$B14)</f>
        <v/>
      </c>
      <c r="B3115">
        <f>IF(A3115="","",'KG1-6'!$C14)</f>
        <v/>
      </c>
      <c r="C3115">
        <f>IF(A3115="","",'KG1-6'!$B$2)</f>
        <v/>
      </c>
      <c r="D3115" s="126">
        <f t="array" ref="D3115">IF(A3115="","",IFERROR(SMALL(IF((('KG1-6'!$AD14:$IM14="غياب بدون عذر")+('KG1-6'!$AD14:$IM14="غياب بعذر"))*('KG1-6'!$AD$7:$IM$7="✓"),'KG1-6'!$AD$5:$IM$5),14),""))</f>
        <v/>
      </c>
      <c r="E3115">
        <f>IF(D3115="","",INDEX('KG1-6'!$AD14:$IM14,MATCH(D3115,'KG1-6'!$AD$5:$IM$5,0)))</f>
        <v/>
      </c>
      <c r="F3115">
        <f>IF(D3115="","",COUNTIFS('KG1-6'!$AD14:$IM14,"غياب بدون عذر",'KG1-6'!$AD$7:$IM$7,"✓",'KG1-6'!$AD$5:$IM$5,"&lt;="&amp;D3115))</f>
        <v/>
      </c>
      <c r="G3115">
        <f>G3114+IF(D3115="",0,1)</f>
        <v/>
      </c>
    </row>
    <row r="3116">
      <c r="A3116">
        <f>IF('KG1-6'!$B14="","",'KG1-6'!$B14)</f>
        <v/>
      </c>
      <c r="B3116">
        <f>IF(A3116="","",'KG1-6'!$C14)</f>
        <v/>
      </c>
      <c r="C3116">
        <f>IF(A3116="","",'KG1-6'!$B$2)</f>
        <v/>
      </c>
      <c r="D3116" s="126">
        <f t="array" ref="D3116">IF(A3116="","",IFERROR(SMALL(IF((('KG1-6'!$AD14:$IM14="غياب بدون عذر")+('KG1-6'!$AD14:$IM14="غياب بعذر"))*('KG1-6'!$AD$7:$IM$7="✓"),'KG1-6'!$AD$5:$IM$5),15),""))</f>
        <v/>
      </c>
      <c r="E3116">
        <f>IF(D3116="","",INDEX('KG1-6'!$AD14:$IM14,MATCH(D3116,'KG1-6'!$AD$5:$IM$5,0)))</f>
        <v/>
      </c>
      <c r="F3116">
        <f>IF(D3116="","",COUNTIFS('KG1-6'!$AD14:$IM14,"غياب بدون عذر",'KG1-6'!$AD$7:$IM$7,"✓",'KG1-6'!$AD$5:$IM$5,"&lt;="&amp;D3116))</f>
        <v/>
      </c>
      <c r="G3116">
        <f>G3115+IF(D3116="",0,1)</f>
        <v/>
      </c>
    </row>
    <row r="3117">
      <c r="A3117">
        <f>IF('KG1-6'!$B14="","",'KG1-6'!$B14)</f>
        <v/>
      </c>
      <c r="B3117">
        <f>IF(A3117="","",'KG1-6'!$C14)</f>
        <v/>
      </c>
      <c r="C3117">
        <f>IF(A3117="","",'KG1-6'!$B$2)</f>
        <v/>
      </c>
      <c r="D3117" s="126">
        <f t="array" ref="D3117">IF(A3117="","",IFERROR(SMALL(IF((('KG1-6'!$AD14:$IM14="غياب بدون عذر")+('KG1-6'!$AD14:$IM14="غياب بعذر"))*('KG1-6'!$AD$7:$IM$7="✓"),'KG1-6'!$AD$5:$IM$5),16),""))</f>
        <v/>
      </c>
      <c r="E3117">
        <f>IF(D3117="","",INDEX('KG1-6'!$AD14:$IM14,MATCH(D3117,'KG1-6'!$AD$5:$IM$5,0)))</f>
        <v/>
      </c>
      <c r="F3117">
        <f>IF(D3117="","",COUNTIFS('KG1-6'!$AD14:$IM14,"غياب بدون عذر",'KG1-6'!$AD$7:$IM$7,"✓",'KG1-6'!$AD$5:$IM$5,"&lt;="&amp;D3117))</f>
        <v/>
      </c>
      <c r="G3117">
        <f>G3116+IF(D3117="",0,1)</f>
        <v/>
      </c>
    </row>
    <row r="3118">
      <c r="A3118">
        <f>IF('KG1-6'!$B14="","",'KG1-6'!$B14)</f>
        <v/>
      </c>
      <c r="B3118">
        <f>IF(A3118="","",'KG1-6'!$C14)</f>
        <v/>
      </c>
      <c r="C3118">
        <f>IF(A3118="","",'KG1-6'!$B$2)</f>
        <v/>
      </c>
      <c r="D3118" s="126">
        <f t="array" ref="D3118">IF(A3118="","",IFERROR(SMALL(IF((('KG1-6'!$AD14:$IM14="غياب بدون عذر")+('KG1-6'!$AD14:$IM14="غياب بعذر"))*('KG1-6'!$AD$7:$IM$7="✓"),'KG1-6'!$AD$5:$IM$5),17),""))</f>
        <v/>
      </c>
      <c r="E3118">
        <f>IF(D3118="","",INDEX('KG1-6'!$AD14:$IM14,MATCH(D3118,'KG1-6'!$AD$5:$IM$5,0)))</f>
        <v/>
      </c>
      <c r="F3118">
        <f>IF(D3118="","",COUNTIFS('KG1-6'!$AD14:$IM14,"غياب بدون عذر",'KG1-6'!$AD$7:$IM$7,"✓",'KG1-6'!$AD$5:$IM$5,"&lt;="&amp;D3118))</f>
        <v/>
      </c>
      <c r="G3118">
        <f>G3117+IF(D3118="",0,1)</f>
        <v/>
      </c>
    </row>
    <row r="3119">
      <c r="A3119">
        <f>IF('KG1-6'!$B14="","",'KG1-6'!$B14)</f>
        <v/>
      </c>
      <c r="B3119">
        <f>IF(A3119="","",'KG1-6'!$C14)</f>
        <v/>
      </c>
      <c r="C3119">
        <f>IF(A3119="","",'KG1-6'!$B$2)</f>
        <v/>
      </c>
      <c r="D3119" s="126">
        <f t="array" ref="D3119">IF(A3119="","",IFERROR(SMALL(IF((('KG1-6'!$AD14:$IM14="غياب بدون عذر")+('KG1-6'!$AD14:$IM14="غياب بعذر"))*('KG1-6'!$AD$7:$IM$7="✓"),'KG1-6'!$AD$5:$IM$5),18),""))</f>
        <v/>
      </c>
      <c r="E3119">
        <f>IF(D3119="","",INDEX('KG1-6'!$AD14:$IM14,MATCH(D3119,'KG1-6'!$AD$5:$IM$5,0)))</f>
        <v/>
      </c>
      <c r="F3119">
        <f>IF(D3119="","",COUNTIFS('KG1-6'!$AD14:$IM14,"غياب بدون عذر",'KG1-6'!$AD$7:$IM$7,"✓",'KG1-6'!$AD$5:$IM$5,"&lt;="&amp;D3119))</f>
        <v/>
      </c>
      <c r="G3119">
        <f>G3118+IF(D3119="",0,1)</f>
        <v/>
      </c>
    </row>
    <row r="3120">
      <c r="A3120">
        <f>IF('KG1-6'!$B14="","",'KG1-6'!$B14)</f>
        <v/>
      </c>
      <c r="B3120">
        <f>IF(A3120="","",'KG1-6'!$C14)</f>
        <v/>
      </c>
      <c r="C3120">
        <f>IF(A3120="","",'KG1-6'!$B$2)</f>
        <v/>
      </c>
      <c r="D3120" s="126">
        <f t="array" ref="D3120">IF(A3120="","",IFERROR(SMALL(IF((('KG1-6'!$AD14:$IM14="غياب بدون عذر")+('KG1-6'!$AD14:$IM14="غياب بعذر"))*('KG1-6'!$AD$7:$IM$7="✓"),'KG1-6'!$AD$5:$IM$5),19),""))</f>
        <v/>
      </c>
      <c r="E3120">
        <f>IF(D3120="","",INDEX('KG1-6'!$AD14:$IM14,MATCH(D3120,'KG1-6'!$AD$5:$IM$5,0)))</f>
        <v/>
      </c>
      <c r="F3120">
        <f>IF(D3120="","",COUNTIFS('KG1-6'!$AD14:$IM14,"غياب بدون عذر",'KG1-6'!$AD$7:$IM$7,"✓",'KG1-6'!$AD$5:$IM$5,"&lt;="&amp;D3120))</f>
        <v/>
      </c>
      <c r="G3120">
        <f>G3119+IF(D3120="",0,1)</f>
        <v/>
      </c>
    </row>
    <row r="3121">
      <c r="A3121">
        <f>IF('KG1-6'!$B14="","",'KG1-6'!$B14)</f>
        <v/>
      </c>
      <c r="B3121">
        <f>IF(A3121="","",'KG1-6'!$C14)</f>
        <v/>
      </c>
      <c r="C3121">
        <f>IF(A3121="","",'KG1-6'!$B$2)</f>
        <v/>
      </c>
      <c r="D3121" s="126">
        <f t="array" ref="D3121">IF(A3121="","",IFERROR(SMALL(IF((('KG1-6'!$AD14:$IM14="غياب بدون عذر")+('KG1-6'!$AD14:$IM14="غياب بعذر"))*('KG1-6'!$AD$7:$IM$7="✓"),'KG1-6'!$AD$5:$IM$5),20),""))</f>
        <v/>
      </c>
      <c r="E3121">
        <f>IF(D3121="","",INDEX('KG1-6'!$AD14:$IM14,MATCH(D3121,'KG1-6'!$AD$5:$IM$5,0)))</f>
        <v/>
      </c>
      <c r="F3121">
        <f>IF(D3121="","",COUNTIFS('KG1-6'!$AD14:$IM14,"غياب بدون عذر",'KG1-6'!$AD$7:$IM$7,"✓",'KG1-6'!$AD$5:$IM$5,"&lt;="&amp;D3121))</f>
        <v/>
      </c>
      <c r="G3121">
        <f>G3120+IF(D3121="",0,1)</f>
        <v/>
      </c>
    </row>
    <row r="3122">
      <c r="A3122">
        <f>IF('KG1-6'!$B15="","",'KG1-6'!$B15)</f>
        <v/>
      </c>
      <c r="B3122">
        <f>IF(A3122="","",'KG1-6'!$C15)</f>
        <v/>
      </c>
      <c r="C3122">
        <f>IF(A3122="","",'KG1-6'!$B$2)</f>
        <v/>
      </c>
      <c r="D3122" s="126">
        <f t="array" ref="D3122">IF(A3122="","",IFERROR(SMALL(IF((('KG1-6'!$AD15:$IM15="غياب بدون عذر")+('KG1-6'!$AD15:$IM15="غياب بعذر"))*('KG1-6'!$AD$7:$IM$7="✓"),'KG1-6'!$AD$5:$IM$5),1),""))</f>
        <v/>
      </c>
      <c r="E3122">
        <f>IF(D3122="","",INDEX('KG1-6'!$AD15:$IM15,MATCH(D3122,'KG1-6'!$AD$5:$IM$5,0)))</f>
        <v/>
      </c>
      <c r="F3122">
        <f>IF(D3122="","",COUNTIFS('KG1-6'!$AD15:$IM15,"غياب بدون عذر",'KG1-6'!$AD$7:$IM$7,"✓",'KG1-6'!$AD$5:$IM$5,"&lt;="&amp;D3122))</f>
        <v/>
      </c>
      <c r="G3122">
        <f>G3121+IF(D3122="",0,1)</f>
        <v/>
      </c>
    </row>
    <row r="3123">
      <c r="A3123">
        <f>IF('KG1-6'!$B15="","",'KG1-6'!$B15)</f>
        <v/>
      </c>
      <c r="B3123">
        <f>IF(A3123="","",'KG1-6'!$C15)</f>
        <v/>
      </c>
      <c r="C3123">
        <f>IF(A3123="","",'KG1-6'!$B$2)</f>
        <v/>
      </c>
      <c r="D3123" s="126">
        <f t="array" ref="D3123">IF(A3123="","",IFERROR(SMALL(IF((('KG1-6'!$AD15:$IM15="غياب بدون عذر")+('KG1-6'!$AD15:$IM15="غياب بعذر"))*('KG1-6'!$AD$7:$IM$7="✓"),'KG1-6'!$AD$5:$IM$5),2),""))</f>
        <v/>
      </c>
      <c r="E3123">
        <f>IF(D3123="","",INDEX('KG1-6'!$AD15:$IM15,MATCH(D3123,'KG1-6'!$AD$5:$IM$5,0)))</f>
        <v/>
      </c>
      <c r="F3123">
        <f>IF(D3123="","",COUNTIFS('KG1-6'!$AD15:$IM15,"غياب بدون عذر",'KG1-6'!$AD$7:$IM$7,"✓",'KG1-6'!$AD$5:$IM$5,"&lt;="&amp;D3123))</f>
        <v/>
      </c>
      <c r="G3123">
        <f>G3122+IF(D3123="",0,1)</f>
        <v/>
      </c>
    </row>
    <row r="3124">
      <c r="A3124">
        <f>IF('KG1-6'!$B15="","",'KG1-6'!$B15)</f>
        <v/>
      </c>
      <c r="B3124">
        <f>IF(A3124="","",'KG1-6'!$C15)</f>
        <v/>
      </c>
      <c r="C3124">
        <f>IF(A3124="","",'KG1-6'!$B$2)</f>
        <v/>
      </c>
      <c r="D3124" s="126">
        <f t="array" ref="D3124">IF(A3124="","",IFERROR(SMALL(IF((('KG1-6'!$AD15:$IM15="غياب بدون عذر")+('KG1-6'!$AD15:$IM15="غياب بعذر"))*('KG1-6'!$AD$7:$IM$7="✓"),'KG1-6'!$AD$5:$IM$5),3),""))</f>
        <v/>
      </c>
      <c r="E3124">
        <f>IF(D3124="","",INDEX('KG1-6'!$AD15:$IM15,MATCH(D3124,'KG1-6'!$AD$5:$IM$5,0)))</f>
        <v/>
      </c>
      <c r="F3124">
        <f>IF(D3124="","",COUNTIFS('KG1-6'!$AD15:$IM15,"غياب بدون عذر",'KG1-6'!$AD$7:$IM$7,"✓",'KG1-6'!$AD$5:$IM$5,"&lt;="&amp;D3124))</f>
        <v/>
      </c>
      <c r="G3124">
        <f>G3123+IF(D3124="",0,1)</f>
        <v/>
      </c>
    </row>
    <row r="3125">
      <c r="A3125">
        <f>IF('KG1-6'!$B15="","",'KG1-6'!$B15)</f>
        <v/>
      </c>
      <c r="B3125">
        <f>IF(A3125="","",'KG1-6'!$C15)</f>
        <v/>
      </c>
      <c r="C3125">
        <f>IF(A3125="","",'KG1-6'!$B$2)</f>
        <v/>
      </c>
      <c r="D3125" s="126">
        <f t="array" ref="D3125">IF(A3125="","",IFERROR(SMALL(IF((('KG1-6'!$AD15:$IM15="غياب بدون عذر")+('KG1-6'!$AD15:$IM15="غياب بعذر"))*('KG1-6'!$AD$7:$IM$7="✓"),'KG1-6'!$AD$5:$IM$5),4),""))</f>
        <v/>
      </c>
      <c r="E3125">
        <f>IF(D3125="","",INDEX('KG1-6'!$AD15:$IM15,MATCH(D3125,'KG1-6'!$AD$5:$IM$5,0)))</f>
        <v/>
      </c>
      <c r="F3125">
        <f>IF(D3125="","",COUNTIFS('KG1-6'!$AD15:$IM15,"غياب بدون عذر",'KG1-6'!$AD$7:$IM$7,"✓",'KG1-6'!$AD$5:$IM$5,"&lt;="&amp;D3125))</f>
        <v/>
      </c>
      <c r="G3125">
        <f>G3124+IF(D3125="",0,1)</f>
        <v/>
      </c>
    </row>
    <row r="3126">
      <c r="A3126">
        <f>IF('KG1-6'!$B15="","",'KG1-6'!$B15)</f>
        <v/>
      </c>
      <c r="B3126">
        <f>IF(A3126="","",'KG1-6'!$C15)</f>
        <v/>
      </c>
      <c r="C3126">
        <f>IF(A3126="","",'KG1-6'!$B$2)</f>
        <v/>
      </c>
      <c r="D3126" s="126">
        <f t="array" ref="D3126">IF(A3126="","",IFERROR(SMALL(IF((('KG1-6'!$AD15:$IM15="غياب بدون عذر")+('KG1-6'!$AD15:$IM15="غياب بعذر"))*('KG1-6'!$AD$7:$IM$7="✓"),'KG1-6'!$AD$5:$IM$5),5),""))</f>
        <v/>
      </c>
      <c r="E3126">
        <f>IF(D3126="","",INDEX('KG1-6'!$AD15:$IM15,MATCH(D3126,'KG1-6'!$AD$5:$IM$5,0)))</f>
        <v/>
      </c>
      <c r="F3126">
        <f>IF(D3126="","",COUNTIFS('KG1-6'!$AD15:$IM15,"غياب بدون عذر",'KG1-6'!$AD$7:$IM$7,"✓",'KG1-6'!$AD$5:$IM$5,"&lt;="&amp;D3126))</f>
        <v/>
      </c>
      <c r="G3126">
        <f>G3125+IF(D3126="",0,1)</f>
        <v/>
      </c>
    </row>
    <row r="3127">
      <c r="A3127">
        <f>IF('KG1-6'!$B15="","",'KG1-6'!$B15)</f>
        <v/>
      </c>
      <c r="B3127">
        <f>IF(A3127="","",'KG1-6'!$C15)</f>
        <v/>
      </c>
      <c r="C3127">
        <f>IF(A3127="","",'KG1-6'!$B$2)</f>
        <v/>
      </c>
      <c r="D3127" s="126">
        <f t="array" ref="D3127">IF(A3127="","",IFERROR(SMALL(IF((('KG1-6'!$AD15:$IM15="غياب بدون عذر")+('KG1-6'!$AD15:$IM15="غياب بعذر"))*('KG1-6'!$AD$7:$IM$7="✓"),'KG1-6'!$AD$5:$IM$5),6),""))</f>
        <v/>
      </c>
      <c r="E3127">
        <f>IF(D3127="","",INDEX('KG1-6'!$AD15:$IM15,MATCH(D3127,'KG1-6'!$AD$5:$IM$5,0)))</f>
        <v/>
      </c>
      <c r="F3127">
        <f>IF(D3127="","",COUNTIFS('KG1-6'!$AD15:$IM15,"غياب بدون عذر",'KG1-6'!$AD$7:$IM$7,"✓",'KG1-6'!$AD$5:$IM$5,"&lt;="&amp;D3127))</f>
        <v/>
      </c>
      <c r="G3127">
        <f>G3126+IF(D3127="",0,1)</f>
        <v/>
      </c>
    </row>
    <row r="3128">
      <c r="A3128">
        <f>IF('KG1-6'!$B15="","",'KG1-6'!$B15)</f>
        <v/>
      </c>
      <c r="B3128">
        <f>IF(A3128="","",'KG1-6'!$C15)</f>
        <v/>
      </c>
      <c r="C3128">
        <f>IF(A3128="","",'KG1-6'!$B$2)</f>
        <v/>
      </c>
      <c r="D3128" s="126">
        <f t="array" ref="D3128">IF(A3128="","",IFERROR(SMALL(IF((('KG1-6'!$AD15:$IM15="غياب بدون عذر")+('KG1-6'!$AD15:$IM15="غياب بعذر"))*('KG1-6'!$AD$7:$IM$7="✓"),'KG1-6'!$AD$5:$IM$5),7),""))</f>
        <v/>
      </c>
      <c r="E3128">
        <f>IF(D3128="","",INDEX('KG1-6'!$AD15:$IM15,MATCH(D3128,'KG1-6'!$AD$5:$IM$5,0)))</f>
        <v/>
      </c>
      <c r="F3128">
        <f>IF(D3128="","",COUNTIFS('KG1-6'!$AD15:$IM15,"غياب بدون عذر",'KG1-6'!$AD$7:$IM$7,"✓",'KG1-6'!$AD$5:$IM$5,"&lt;="&amp;D3128))</f>
        <v/>
      </c>
      <c r="G3128">
        <f>G3127+IF(D3128="",0,1)</f>
        <v/>
      </c>
    </row>
    <row r="3129">
      <c r="A3129">
        <f>IF('KG1-6'!$B15="","",'KG1-6'!$B15)</f>
        <v/>
      </c>
      <c r="B3129">
        <f>IF(A3129="","",'KG1-6'!$C15)</f>
        <v/>
      </c>
      <c r="C3129">
        <f>IF(A3129="","",'KG1-6'!$B$2)</f>
        <v/>
      </c>
      <c r="D3129" s="126">
        <f t="array" ref="D3129">IF(A3129="","",IFERROR(SMALL(IF((('KG1-6'!$AD15:$IM15="غياب بدون عذر")+('KG1-6'!$AD15:$IM15="غياب بعذر"))*('KG1-6'!$AD$7:$IM$7="✓"),'KG1-6'!$AD$5:$IM$5),8),""))</f>
        <v/>
      </c>
      <c r="E3129">
        <f>IF(D3129="","",INDEX('KG1-6'!$AD15:$IM15,MATCH(D3129,'KG1-6'!$AD$5:$IM$5,0)))</f>
        <v/>
      </c>
      <c r="F3129">
        <f>IF(D3129="","",COUNTIFS('KG1-6'!$AD15:$IM15,"غياب بدون عذر",'KG1-6'!$AD$7:$IM$7,"✓",'KG1-6'!$AD$5:$IM$5,"&lt;="&amp;D3129))</f>
        <v/>
      </c>
      <c r="G3129">
        <f>G3128+IF(D3129="",0,1)</f>
        <v/>
      </c>
    </row>
    <row r="3130">
      <c r="A3130">
        <f>IF('KG1-6'!$B15="","",'KG1-6'!$B15)</f>
        <v/>
      </c>
      <c r="B3130">
        <f>IF(A3130="","",'KG1-6'!$C15)</f>
        <v/>
      </c>
      <c r="C3130">
        <f>IF(A3130="","",'KG1-6'!$B$2)</f>
        <v/>
      </c>
      <c r="D3130" s="126">
        <f t="array" ref="D3130">IF(A3130="","",IFERROR(SMALL(IF((('KG1-6'!$AD15:$IM15="غياب بدون عذر")+('KG1-6'!$AD15:$IM15="غياب بعذر"))*('KG1-6'!$AD$7:$IM$7="✓"),'KG1-6'!$AD$5:$IM$5),9),""))</f>
        <v/>
      </c>
      <c r="E3130">
        <f>IF(D3130="","",INDEX('KG1-6'!$AD15:$IM15,MATCH(D3130,'KG1-6'!$AD$5:$IM$5,0)))</f>
        <v/>
      </c>
      <c r="F3130">
        <f>IF(D3130="","",COUNTIFS('KG1-6'!$AD15:$IM15,"غياب بدون عذر",'KG1-6'!$AD$7:$IM$7,"✓",'KG1-6'!$AD$5:$IM$5,"&lt;="&amp;D3130))</f>
        <v/>
      </c>
      <c r="G3130">
        <f>G3129+IF(D3130="",0,1)</f>
        <v/>
      </c>
    </row>
    <row r="3131">
      <c r="A3131">
        <f>IF('KG1-6'!$B15="","",'KG1-6'!$B15)</f>
        <v/>
      </c>
      <c r="B3131">
        <f>IF(A3131="","",'KG1-6'!$C15)</f>
        <v/>
      </c>
      <c r="C3131">
        <f>IF(A3131="","",'KG1-6'!$B$2)</f>
        <v/>
      </c>
      <c r="D3131" s="126">
        <f t="array" ref="D3131">IF(A3131="","",IFERROR(SMALL(IF((('KG1-6'!$AD15:$IM15="غياب بدون عذر")+('KG1-6'!$AD15:$IM15="غياب بعذر"))*('KG1-6'!$AD$7:$IM$7="✓"),'KG1-6'!$AD$5:$IM$5),10),""))</f>
        <v/>
      </c>
      <c r="E3131">
        <f>IF(D3131="","",INDEX('KG1-6'!$AD15:$IM15,MATCH(D3131,'KG1-6'!$AD$5:$IM$5,0)))</f>
        <v/>
      </c>
      <c r="F3131">
        <f>IF(D3131="","",COUNTIFS('KG1-6'!$AD15:$IM15,"غياب بدون عذر",'KG1-6'!$AD$7:$IM$7,"✓",'KG1-6'!$AD$5:$IM$5,"&lt;="&amp;D3131))</f>
        <v/>
      </c>
      <c r="G3131">
        <f>G3130+IF(D3131="",0,1)</f>
        <v/>
      </c>
    </row>
    <row r="3132">
      <c r="A3132">
        <f>IF('KG1-6'!$B15="","",'KG1-6'!$B15)</f>
        <v/>
      </c>
      <c r="B3132">
        <f>IF(A3132="","",'KG1-6'!$C15)</f>
        <v/>
      </c>
      <c r="C3132">
        <f>IF(A3132="","",'KG1-6'!$B$2)</f>
        <v/>
      </c>
      <c r="D3132" s="126">
        <f t="array" ref="D3132">IF(A3132="","",IFERROR(SMALL(IF((('KG1-6'!$AD15:$IM15="غياب بدون عذر")+('KG1-6'!$AD15:$IM15="غياب بعذر"))*('KG1-6'!$AD$7:$IM$7="✓"),'KG1-6'!$AD$5:$IM$5),11),""))</f>
        <v/>
      </c>
      <c r="E3132">
        <f>IF(D3132="","",INDEX('KG1-6'!$AD15:$IM15,MATCH(D3132,'KG1-6'!$AD$5:$IM$5,0)))</f>
        <v/>
      </c>
      <c r="F3132">
        <f>IF(D3132="","",COUNTIFS('KG1-6'!$AD15:$IM15,"غياب بدون عذر",'KG1-6'!$AD$7:$IM$7,"✓",'KG1-6'!$AD$5:$IM$5,"&lt;="&amp;D3132))</f>
        <v/>
      </c>
      <c r="G3132">
        <f>G3131+IF(D3132="",0,1)</f>
        <v/>
      </c>
    </row>
    <row r="3133">
      <c r="A3133">
        <f>IF('KG1-6'!$B15="","",'KG1-6'!$B15)</f>
        <v/>
      </c>
      <c r="B3133">
        <f>IF(A3133="","",'KG1-6'!$C15)</f>
        <v/>
      </c>
      <c r="C3133">
        <f>IF(A3133="","",'KG1-6'!$B$2)</f>
        <v/>
      </c>
      <c r="D3133" s="126">
        <f t="array" ref="D3133">IF(A3133="","",IFERROR(SMALL(IF((('KG1-6'!$AD15:$IM15="غياب بدون عذر")+('KG1-6'!$AD15:$IM15="غياب بعذر"))*('KG1-6'!$AD$7:$IM$7="✓"),'KG1-6'!$AD$5:$IM$5),12),""))</f>
        <v/>
      </c>
      <c r="E3133">
        <f>IF(D3133="","",INDEX('KG1-6'!$AD15:$IM15,MATCH(D3133,'KG1-6'!$AD$5:$IM$5,0)))</f>
        <v/>
      </c>
      <c r="F3133">
        <f>IF(D3133="","",COUNTIFS('KG1-6'!$AD15:$IM15,"غياب بدون عذر",'KG1-6'!$AD$7:$IM$7,"✓",'KG1-6'!$AD$5:$IM$5,"&lt;="&amp;D3133))</f>
        <v/>
      </c>
      <c r="G3133">
        <f>G3132+IF(D3133="",0,1)</f>
        <v/>
      </c>
    </row>
    <row r="3134">
      <c r="A3134">
        <f>IF('KG1-6'!$B15="","",'KG1-6'!$B15)</f>
        <v/>
      </c>
      <c r="B3134">
        <f>IF(A3134="","",'KG1-6'!$C15)</f>
        <v/>
      </c>
      <c r="C3134">
        <f>IF(A3134="","",'KG1-6'!$B$2)</f>
        <v/>
      </c>
      <c r="D3134" s="126">
        <f t="array" ref="D3134">IF(A3134="","",IFERROR(SMALL(IF((('KG1-6'!$AD15:$IM15="غياب بدون عذر")+('KG1-6'!$AD15:$IM15="غياب بعذر"))*('KG1-6'!$AD$7:$IM$7="✓"),'KG1-6'!$AD$5:$IM$5),13),""))</f>
        <v/>
      </c>
      <c r="E3134">
        <f>IF(D3134="","",INDEX('KG1-6'!$AD15:$IM15,MATCH(D3134,'KG1-6'!$AD$5:$IM$5,0)))</f>
        <v/>
      </c>
      <c r="F3134">
        <f>IF(D3134="","",COUNTIFS('KG1-6'!$AD15:$IM15,"غياب بدون عذر",'KG1-6'!$AD$7:$IM$7,"✓",'KG1-6'!$AD$5:$IM$5,"&lt;="&amp;D3134))</f>
        <v/>
      </c>
      <c r="G3134">
        <f>G3133+IF(D3134="",0,1)</f>
        <v/>
      </c>
    </row>
    <row r="3135">
      <c r="A3135">
        <f>IF('KG1-6'!$B15="","",'KG1-6'!$B15)</f>
        <v/>
      </c>
      <c r="B3135">
        <f>IF(A3135="","",'KG1-6'!$C15)</f>
        <v/>
      </c>
      <c r="C3135">
        <f>IF(A3135="","",'KG1-6'!$B$2)</f>
        <v/>
      </c>
      <c r="D3135" s="126">
        <f t="array" ref="D3135">IF(A3135="","",IFERROR(SMALL(IF((('KG1-6'!$AD15:$IM15="غياب بدون عذر")+('KG1-6'!$AD15:$IM15="غياب بعذر"))*('KG1-6'!$AD$7:$IM$7="✓"),'KG1-6'!$AD$5:$IM$5),14),""))</f>
        <v/>
      </c>
      <c r="E3135">
        <f>IF(D3135="","",INDEX('KG1-6'!$AD15:$IM15,MATCH(D3135,'KG1-6'!$AD$5:$IM$5,0)))</f>
        <v/>
      </c>
      <c r="F3135">
        <f>IF(D3135="","",COUNTIFS('KG1-6'!$AD15:$IM15,"غياب بدون عذر",'KG1-6'!$AD$7:$IM$7,"✓",'KG1-6'!$AD$5:$IM$5,"&lt;="&amp;D3135))</f>
        <v/>
      </c>
      <c r="G3135">
        <f>G3134+IF(D3135="",0,1)</f>
        <v/>
      </c>
    </row>
    <row r="3136">
      <c r="A3136">
        <f>IF('KG1-6'!$B15="","",'KG1-6'!$B15)</f>
        <v/>
      </c>
      <c r="B3136">
        <f>IF(A3136="","",'KG1-6'!$C15)</f>
        <v/>
      </c>
      <c r="C3136">
        <f>IF(A3136="","",'KG1-6'!$B$2)</f>
        <v/>
      </c>
      <c r="D3136" s="126">
        <f t="array" ref="D3136">IF(A3136="","",IFERROR(SMALL(IF((('KG1-6'!$AD15:$IM15="غياب بدون عذر")+('KG1-6'!$AD15:$IM15="غياب بعذر"))*('KG1-6'!$AD$7:$IM$7="✓"),'KG1-6'!$AD$5:$IM$5),15),""))</f>
        <v/>
      </c>
      <c r="E3136">
        <f>IF(D3136="","",INDEX('KG1-6'!$AD15:$IM15,MATCH(D3136,'KG1-6'!$AD$5:$IM$5,0)))</f>
        <v/>
      </c>
      <c r="F3136">
        <f>IF(D3136="","",COUNTIFS('KG1-6'!$AD15:$IM15,"غياب بدون عذر",'KG1-6'!$AD$7:$IM$7,"✓",'KG1-6'!$AD$5:$IM$5,"&lt;="&amp;D3136))</f>
        <v/>
      </c>
      <c r="G3136">
        <f>G3135+IF(D3136="",0,1)</f>
        <v/>
      </c>
    </row>
    <row r="3137">
      <c r="A3137">
        <f>IF('KG1-6'!$B15="","",'KG1-6'!$B15)</f>
        <v/>
      </c>
      <c r="B3137">
        <f>IF(A3137="","",'KG1-6'!$C15)</f>
        <v/>
      </c>
      <c r="C3137">
        <f>IF(A3137="","",'KG1-6'!$B$2)</f>
        <v/>
      </c>
      <c r="D3137" s="126">
        <f t="array" ref="D3137">IF(A3137="","",IFERROR(SMALL(IF((('KG1-6'!$AD15:$IM15="غياب بدون عذر")+('KG1-6'!$AD15:$IM15="غياب بعذر"))*('KG1-6'!$AD$7:$IM$7="✓"),'KG1-6'!$AD$5:$IM$5),16),""))</f>
        <v/>
      </c>
      <c r="E3137">
        <f>IF(D3137="","",INDEX('KG1-6'!$AD15:$IM15,MATCH(D3137,'KG1-6'!$AD$5:$IM$5,0)))</f>
        <v/>
      </c>
      <c r="F3137">
        <f>IF(D3137="","",COUNTIFS('KG1-6'!$AD15:$IM15,"غياب بدون عذر",'KG1-6'!$AD$7:$IM$7,"✓",'KG1-6'!$AD$5:$IM$5,"&lt;="&amp;D3137))</f>
        <v/>
      </c>
      <c r="G3137">
        <f>G3136+IF(D3137="",0,1)</f>
        <v/>
      </c>
    </row>
    <row r="3138">
      <c r="A3138">
        <f>IF('KG1-6'!$B15="","",'KG1-6'!$B15)</f>
        <v/>
      </c>
      <c r="B3138">
        <f>IF(A3138="","",'KG1-6'!$C15)</f>
        <v/>
      </c>
      <c r="C3138">
        <f>IF(A3138="","",'KG1-6'!$B$2)</f>
        <v/>
      </c>
      <c r="D3138" s="126">
        <f t="array" ref="D3138">IF(A3138="","",IFERROR(SMALL(IF((('KG1-6'!$AD15:$IM15="غياب بدون عذر")+('KG1-6'!$AD15:$IM15="غياب بعذر"))*('KG1-6'!$AD$7:$IM$7="✓"),'KG1-6'!$AD$5:$IM$5),17),""))</f>
        <v/>
      </c>
      <c r="E3138">
        <f>IF(D3138="","",INDEX('KG1-6'!$AD15:$IM15,MATCH(D3138,'KG1-6'!$AD$5:$IM$5,0)))</f>
        <v/>
      </c>
      <c r="F3138">
        <f>IF(D3138="","",COUNTIFS('KG1-6'!$AD15:$IM15,"غياب بدون عذر",'KG1-6'!$AD$7:$IM$7,"✓",'KG1-6'!$AD$5:$IM$5,"&lt;="&amp;D3138))</f>
        <v/>
      </c>
      <c r="G3138">
        <f>G3137+IF(D3138="",0,1)</f>
        <v/>
      </c>
    </row>
    <row r="3139">
      <c r="A3139">
        <f>IF('KG1-6'!$B15="","",'KG1-6'!$B15)</f>
        <v/>
      </c>
      <c r="B3139">
        <f>IF(A3139="","",'KG1-6'!$C15)</f>
        <v/>
      </c>
      <c r="C3139">
        <f>IF(A3139="","",'KG1-6'!$B$2)</f>
        <v/>
      </c>
      <c r="D3139" s="126">
        <f t="array" ref="D3139">IF(A3139="","",IFERROR(SMALL(IF((('KG1-6'!$AD15:$IM15="غياب بدون عذر")+('KG1-6'!$AD15:$IM15="غياب بعذر"))*('KG1-6'!$AD$7:$IM$7="✓"),'KG1-6'!$AD$5:$IM$5),18),""))</f>
        <v/>
      </c>
      <c r="E3139">
        <f>IF(D3139="","",INDEX('KG1-6'!$AD15:$IM15,MATCH(D3139,'KG1-6'!$AD$5:$IM$5,0)))</f>
        <v/>
      </c>
      <c r="F3139">
        <f>IF(D3139="","",COUNTIFS('KG1-6'!$AD15:$IM15,"غياب بدون عذر",'KG1-6'!$AD$7:$IM$7,"✓",'KG1-6'!$AD$5:$IM$5,"&lt;="&amp;D3139))</f>
        <v/>
      </c>
      <c r="G3139">
        <f>G3138+IF(D3139="",0,1)</f>
        <v/>
      </c>
    </row>
    <row r="3140">
      <c r="A3140">
        <f>IF('KG1-6'!$B15="","",'KG1-6'!$B15)</f>
        <v/>
      </c>
      <c r="B3140">
        <f>IF(A3140="","",'KG1-6'!$C15)</f>
        <v/>
      </c>
      <c r="C3140">
        <f>IF(A3140="","",'KG1-6'!$B$2)</f>
        <v/>
      </c>
      <c r="D3140" s="126">
        <f t="array" ref="D3140">IF(A3140="","",IFERROR(SMALL(IF((('KG1-6'!$AD15:$IM15="غياب بدون عذر")+('KG1-6'!$AD15:$IM15="غياب بعذر"))*('KG1-6'!$AD$7:$IM$7="✓"),'KG1-6'!$AD$5:$IM$5),19),""))</f>
        <v/>
      </c>
      <c r="E3140">
        <f>IF(D3140="","",INDEX('KG1-6'!$AD15:$IM15,MATCH(D3140,'KG1-6'!$AD$5:$IM$5,0)))</f>
        <v/>
      </c>
      <c r="F3140">
        <f>IF(D3140="","",COUNTIFS('KG1-6'!$AD15:$IM15,"غياب بدون عذر",'KG1-6'!$AD$7:$IM$7,"✓",'KG1-6'!$AD$5:$IM$5,"&lt;="&amp;D3140))</f>
        <v/>
      </c>
      <c r="G3140">
        <f>G3139+IF(D3140="",0,1)</f>
        <v/>
      </c>
    </row>
    <row r="3141">
      <c r="A3141">
        <f>IF('KG1-6'!$B15="","",'KG1-6'!$B15)</f>
        <v/>
      </c>
      <c r="B3141">
        <f>IF(A3141="","",'KG1-6'!$C15)</f>
        <v/>
      </c>
      <c r="C3141">
        <f>IF(A3141="","",'KG1-6'!$B$2)</f>
        <v/>
      </c>
      <c r="D3141" s="126">
        <f t="array" ref="D3141">IF(A3141="","",IFERROR(SMALL(IF((('KG1-6'!$AD15:$IM15="غياب بدون عذر")+('KG1-6'!$AD15:$IM15="غياب بعذر"))*('KG1-6'!$AD$7:$IM$7="✓"),'KG1-6'!$AD$5:$IM$5),20),""))</f>
        <v/>
      </c>
      <c r="E3141">
        <f>IF(D3141="","",INDEX('KG1-6'!$AD15:$IM15,MATCH(D3141,'KG1-6'!$AD$5:$IM$5,0)))</f>
        <v/>
      </c>
      <c r="F3141">
        <f>IF(D3141="","",COUNTIFS('KG1-6'!$AD15:$IM15,"غياب بدون عذر",'KG1-6'!$AD$7:$IM$7,"✓",'KG1-6'!$AD$5:$IM$5,"&lt;="&amp;D3141))</f>
        <v/>
      </c>
      <c r="G3141">
        <f>G3140+IF(D3141="",0,1)</f>
        <v/>
      </c>
    </row>
    <row r="3142">
      <c r="A3142">
        <f>IF('KG1-6'!$B16="","",'KG1-6'!$B16)</f>
        <v/>
      </c>
      <c r="B3142">
        <f>IF(A3142="","",'KG1-6'!$C16)</f>
        <v/>
      </c>
      <c r="C3142">
        <f>IF(A3142="","",'KG1-6'!$B$2)</f>
        <v/>
      </c>
      <c r="D3142" s="126">
        <f t="array" ref="D3142">IF(A3142="","",IFERROR(SMALL(IF((('KG1-6'!$AD16:$IM16="غياب بدون عذر")+('KG1-6'!$AD16:$IM16="غياب بعذر"))*('KG1-6'!$AD$7:$IM$7="✓"),'KG1-6'!$AD$5:$IM$5),1),""))</f>
        <v/>
      </c>
      <c r="E3142">
        <f>IF(D3142="","",INDEX('KG1-6'!$AD16:$IM16,MATCH(D3142,'KG1-6'!$AD$5:$IM$5,0)))</f>
        <v/>
      </c>
      <c r="F3142">
        <f>IF(D3142="","",COUNTIFS('KG1-6'!$AD16:$IM16,"غياب بدون عذر",'KG1-6'!$AD$7:$IM$7,"✓",'KG1-6'!$AD$5:$IM$5,"&lt;="&amp;D3142))</f>
        <v/>
      </c>
      <c r="G3142">
        <f>G3141+IF(D3142="",0,1)</f>
        <v/>
      </c>
    </row>
    <row r="3143">
      <c r="A3143">
        <f>IF('KG1-6'!$B16="","",'KG1-6'!$B16)</f>
        <v/>
      </c>
      <c r="B3143">
        <f>IF(A3143="","",'KG1-6'!$C16)</f>
        <v/>
      </c>
      <c r="C3143">
        <f>IF(A3143="","",'KG1-6'!$B$2)</f>
        <v/>
      </c>
      <c r="D3143" s="126">
        <f t="array" ref="D3143">IF(A3143="","",IFERROR(SMALL(IF((('KG1-6'!$AD16:$IM16="غياب بدون عذر")+('KG1-6'!$AD16:$IM16="غياب بعذر"))*('KG1-6'!$AD$7:$IM$7="✓"),'KG1-6'!$AD$5:$IM$5),2),""))</f>
        <v/>
      </c>
      <c r="E3143">
        <f>IF(D3143="","",INDEX('KG1-6'!$AD16:$IM16,MATCH(D3143,'KG1-6'!$AD$5:$IM$5,0)))</f>
        <v/>
      </c>
      <c r="F3143">
        <f>IF(D3143="","",COUNTIFS('KG1-6'!$AD16:$IM16,"غياب بدون عذر",'KG1-6'!$AD$7:$IM$7,"✓",'KG1-6'!$AD$5:$IM$5,"&lt;="&amp;D3143))</f>
        <v/>
      </c>
      <c r="G3143">
        <f>G3142+IF(D3143="",0,1)</f>
        <v/>
      </c>
    </row>
    <row r="3144">
      <c r="A3144">
        <f>IF('KG1-6'!$B16="","",'KG1-6'!$B16)</f>
        <v/>
      </c>
      <c r="B3144">
        <f>IF(A3144="","",'KG1-6'!$C16)</f>
        <v/>
      </c>
      <c r="C3144">
        <f>IF(A3144="","",'KG1-6'!$B$2)</f>
        <v/>
      </c>
      <c r="D3144" s="126">
        <f t="array" ref="D3144">IF(A3144="","",IFERROR(SMALL(IF((('KG1-6'!$AD16:$IM16="غياب بدون عذر")+('KG1-6'!$AD16:$IM16="غياب بعذر"))*('KG1-6'!$AD$7:$IM$7="✓"),'KG1-6'!$AD$5:$IM$5),3),""))</f>
        <v/>
      </c>
      <c r="E3144">
        <f>IF(D3144="","",INDEX('KG1-6'!$AD16:$IM16,MATCH(D3144,'KG1-6'!$AD$5:$IM$5,0)))</f>
        <v/>
      </c>
      <c r="F3144">
        <f>IF(D3144="","",COUNTIFS('KG1-6'!$AD16:$IM16,"غياب بدون عذر",'KG1-6'!$AD$7:$IM$7,"✓",'KG1-6'!$AD$5:$IM$5,"&lt;="&amp;D3144))</f>
        <v/>
      </c>
      <c r="G3144">
        <f>G3143+IF(D3144="",0,1)</f>
        <v/>
      </c>
    </row>
    <row r="3145">
      <c r="A3145">
        <f>IF('KG1-6'!$B16="","",'KG1-6'!$B16)</f>
        <v/>
      </c>
      <c r="B3145">
        <f>IF(A3145="","",'KG1-6'!$C16)</f>
        <v/>
      </c>
      <c r="C3145">
        <f>IF(A3145="","",'KG1-6'!$B$2)</f>
        <v/>
      </c>
      <c r="D3145" s="126">
        <f t="array" ref="D3145">IF(A3145="","",IFERROR(SMALL(IF((('KG1-6'!$AD16:$IM16="غياب بدون عذر")+('KG1-6'!$AD16:$IM16="غياب بعذر"))*('KG1-6'!$AD$7:$IM$7="✓"),'KG1-6'!$AD$5:$IM$5),4),""))</f>
        <v/>
      </c>
      <c r="E3145">
        <f>IF(D3145="","",INDEX('KG1-6'!$AD16:$IM16,MATCH(D3145,'KG1-6'!$AD$5:$IM$5,0)))</f>
        <v/>
      </c>
      <c r="F3145">
        <f>IF(D3145="","",COUNTIFS('KG1-6'!$AD16:$IM16,"غياب بدون عذر",'KG1-6'!$AD$7:$IM$7,"✓",'KG1-6'!$AD$5:$IM$5,"&lt;="&amp;D3145))</f>
        <v/>
      </c>
      <c r="G3145">
        <f>G3144+IF(D3145="",0,1)</f>
        <v/>
      </c>
    </row>
    <row r="3146">
      <c r="A3146">
        <f>IF('KG1-6'!$B16="","",'KG1-6'!$B16)</f>
        <v/>
      </c>
      <c r="B3146">
        <f>IF(A3146="","",'KG1-6'!$C16)</f>
        <v/>
      </c>
      <c r="C3146">
        <f>IF(A3146="","",'KG1-6'!$B$2)</f>
        <v/>
      </c>
      <c r="D3146" s="126">
        <f t="array" ref="D3146">IF(A3146="","",IFERROR(SMALL(IF((('KG1-6'!$AD16:$IM16="غياب بدون عذر")+('KG1-6'!$AD16:$IM16="غياب بعذر"))*('KG1-6'!$AD$7:$IM$7="✓"),'KG1-6'!$AD$5:$IM$5),5),""))</f>
        <v/>
      </c>
      <c r="E3146">
        <f>IF(D3146="","",INDEX('KG1-6'!$AD16:$IM16,MATCH(D3146,'KG1-6'!$AD$5:$IM$5,0)))</f>
        <v/>
      </c>
      <c r="F3146">
        <f>IF(D3146="","",COUNTIFS('KG1-6'!$AD16:$IM16,"غياب بدون عذر",'KG1-6'!$AD$7:$IM$7,"✓",'KG1-6'!$AD$5:$IM$5,"&lt;="&amp;D3146))</f>
        <v/>
      </c>
      <c r="G3146">
        <f>G3145+IF(D3146="",0,1)</f>
        <v/>
      </c>
    </row>
    <row r="3147">
      <c r="A3147">
        <f>IF('KG1-6'!$B16="","",'KG1-6'!$B16)</f>
        <v/>
      </c>
      <c r="B3147">
        <f>IF(A3147="","",'KG1-6'!$C16)</f>
        <v/>
      </c>
      <c r="C3147">
        <f>IF(A3147="","",'KG1-6'!$B$2)</f>
        <v/>
      </c>
      <c r="D3147" s="126">
        <f t="array" ref="D3147">IF(A3147="","",IFERROR(SMALL(IF((('KG1-6'!$AD16:$IM16="غياب بدون عذر")+('KG1-6'!$AD16:$IM16="غياب بعذر"))*('KG1-6'!$AD$7:$IM$7="✓"),'KG1-6'!$AD$5:$IM$5),6),""))</f>
        <v/>
      </c>
      <c r="E3147">
        <f>IF(D3147="","",INDEX('KG1-6'!$AD16:$IM16,MATCH(D3147,'KG1-6'!$AD$5:$IM$5,0)))</f>
        <v/>
      </c>
      <c r="F3147">
        <f>IF(D3147="","",COUNTIFS('KG1-6'!$AD16:$IM16,"غياب بدون عذر",'KG1-6'!$AD$7:$IM$7,"✓",'KG1-6'!$AD$5:$IM$5,"&lt;="&amp;D3147))</f>
        <v/>
      </c>
      <c r="G3147">
        <f>G3146+IF(D3147="",0,1)</f>
        <v/>
      </c>
    </row>
    <row r="3148">
      <c r="A3148">
        <f>IF('KG1-6'!$B16="","",'KG1-6'!$B16)</f>
        <v/>
      </c>
      <c r="B3148">
        <f>IF(A3148="","",'KG1-6'!$C16)</f>
        <v/>
      </c>
      <c r="C3148">
        <f>IF(A3148="","",'KG1-6'!$B$2)</f>
        <v/>
      </c>
      <c r="D3148" s="126">
        <f t="array" ref="D3148">IF(A3148="","",IFERROR(SMALL(IF((('KG1-6'!$AD16:$IM16="غياب بدون عذر")+('KG1-6'!$AD16:$IM16="غياب بعذر"))*('KG1-6'!$AD$7:$IM$7="✓"),'KG1-6'!$AD$5:$IM$5),7),""))</f>
        <v/>
      </c>
      <c r="E3148">
        <f>IF(D3148="","",INDEX('KG1-6'!$AD16:$IM16,MATCH(D3148,'KG1-6'!$AD$5:$IM$5,0)))</f>
        <v/>
      </c>
      <c r="F3148">
        <f>IF(D3148="","",COUNTIFS('KG1-6'!$AD16:$IM16,"غياب بدون عذر",'KG1-6'!$AD$7:$IM$7,"✓",'KG1-6'!$AD$5:$IM$5,"&lt;="&amp;D3148))</f>
        <v/>
      </c>
      <c r="G3148">
        <f>G3147+IF(D3148="",0,1)</f>
        <v/>
      </c>
    </row>
    <row r="3149">
      <c r="A3149">
        <f>IF('KG1-6'!$B16="","",'KG1-6'!$B16)</f>
        <v/>
      </c>
      <c r="B3149">
        <f>IF(A3149="","",'KG1-6'!$C16)</f>
        <v/>
      </c>
      <c r="C3149">
        <f>IF(A3149="","",'KG1-6'!$B$2)</f>
        <v/>
      </c>
      <c r="D3149" s="126">
        <f t="array" ref="D3149">IF(A3149="","",IFERROR(SMALL(IF((('KG1-6'!$AD16:$IM16="غياب بدون عذر")+('KG1-6'!$AD16:$IM16="غياب بعذر"))*('KG1-6'!$AD$7:$IM$7="✓"),'KG1-6'!$AD$5:$IM$5),8),""))</f>
        <v/>
      </c>
      <c r="E3149">
        <f>IF(D3149="","",INDEX('KG1-6'!$AD16:$IM16,MATCH(D3149,'KG1-6'!$AD$5:$IM$5,0)))</f>
        <v/>
      </c>
      <c r="F3149">
        <f>IF(D3149="","",COUNTIFS('KG1-6'!$AD16:$IM16,"غياب بدون عذر",'KG1-6'!$AD$7:$IM$7,"✓",'KG1-6'!$AD$5:$IM$5,"&lt;="&amp;D3149))</f>
        <v/>
      </c>
      <c r="G3149">
        <f>G3148+IF(D3149="",0,1)</f>
        <v/>
      </c>
    </row>
    <row r="3150">
      <c r="A3150">
        <f>IF('KG1-6'!$B16="","",'KG1-6'!$B16)</f>
        <v/>
      </c>
      <c r="B3150">
        <f>IF(A3150="","",'KG1-6'!$C16)</f>
        <v/>
      </c>
      <c r="C3150">
        <f>IF(A3150="","",'KG1-6'!$B$2)</f>
        <v/>
      </c>
      <c r="D3150" s="126">
        <f t="array" ref="D3150">IF(A3150="","",IFERROR(SMALL(IF((('KG1-6'!$AD16:$IM16="غياب بدون عذر")+('KG1-6'!$AD16:$IM16="غياب بعذر"))*('KG1-6'!$AD$7:$IM$7="✓"),'KG1-6'!$AD$5:$IM$5),9),""))</f>
        <v/>
      </c>
      <c r="E3150">
        <f>IF(D3150="","",INDEX('KG1-6'!$AD16:$IM16,MATCH(D3150,'KG1-6'!$AD$5:$IM$5,0)))</f>
        <v/>
      </c>
      <c r="F3150">
        <f>IF(D3150="","",COUNTIFS('KG1-6'!$AD16:$IM16,"غياب بدون عذر",'KG1-6'!$AD$7:$IM$7,"✓",'KG1-6'!$AD$5:$IM$5,"&lt;="&amp;D3150))</f>
        <v/>
      </c>
      <c r="G3150">
        <f>G3149+IF(D3150="",0,1)</f>
        <v/>
      </c>
    </row>
    <row r="3151">
      <c r="A3151">
        <f>IF('KG1-6'!$B16="","",'KG1-6'!$B16)</f>
        <v/>
      </c>
      <c r="B3151">
        <f>IF(A3151="","",'KG1-6'!$C16)</f>
        <v/>
      </c>
      <c r="C3151">
        <f>IF(A3151="","",'KG1-6'!$B$2)</f>
        <v/>
      </c>
      <c r="D3151" s="126">
        <f t="array" ref="D3151">IF(A3151="","",IFERROR(SMALL(IF((('KG1-6'!$AD16:$IM16="غياب بدون عذر")+('KG1-6'!$AD16:$IM16="غياب بعذر"))*('KG1-6'!$AD$7:$IM$7="✓"),'KG1-6'!$AD$5:$IM$5),10),""))</f>
        <v/>
      </c>
      <c r="E3151">
        <f>IF(D3151="","",INDEX('KG1-6'!$AD16:$IM16,MATCH(D3151,'KG1-6'!$AD$5:$IM$5,0)))</f>
        <v/>
      </c>
      <c r="F3151">
        <f>IF(D3151="","",COUNTIFS('KG1-6'!$AD16:$IM16,"غياب بدون عذر",'KG1-6'!$AD$7:$IM$7,"✓",'KG1-6'!$AD$5:$IM$5,"&lt;="&amp;D3151))</f>
        <v/>
      </c>
      <c r="G3151">
        <f>G3150+IF(D3151="",0,1)</f>
        <v/>
      </c>
    </row>
    <row r="3152">
      <c r="A3152">
        <f>IF('KG1-6'!$B16="","",'KG1-6'!$B16)</f>
        <v/>
      </c>
      <c r="B3152">
        <f>IF(A3152="","",'KG1-6'!$C16)</f>
        <v/>
      </c>
      <c r="C3152">
        <f>IF(A3152="","",'KG1-6'!$B$2)</f>
        <v/>
      </c>
      <c r="D3152" s="126">
        <f t="array" ref="D3152">IF(A3152="","",IFERROR(SMALL(IF((('KG1-6'!$AD16:$IM16="غياب بدون عذر")+('KG1-6'!$AD16:$IM16="غياب بعذر"))*('KG1-6'!$AD$7:$IM$7="✓"),'KG1-6'!$AD$5:$IM$5),11),""))</f>
        <v/>
      </c>
      <c r="E3152">
        <f>IF(D3152="","",INDEX('KG1-6'!$AD16:$IM16,MATCH(D3152,'KG1-6'!$AD$5:$IM$5,0)))</f>
        <v/>
      </c>
      <c r="F3152">
        <f>IF(D3152="","",COUNTIFS('KG1-6'!$AD16:$IM16,"غياب بدون عذر",'KG1-6'!$AD$7:$IM$7,"✓",'KG1-6'!$AD$5:$IM$5,"&lt;="&amp;D3152))</f>
        <v/>
      </c>
      <c r="G3152">
        <f>G3151+IF(D3152="",0,1)</f>
        <v/>
      </c>
    </row>
    <row r="3153">
      <c r="A3153">
        <f>IF('KG1-6'!$B16="","",'KG1-6'!$B16)</f>
        <v/>
      </c>
      <c r="B3153">
        <f>IF(A3153="","",'KG1-6'!$C16)</f>
        <v/>
      </c>
      <c r="C3153">
        <f>IF(A3153="","",'KG1-6'!$B$2)</f>
        <v/>
      </c>
      <c r="D3153" s="126">
        <f t="array" ref="D3153">IF(A3153="","",IFERROR(SMALL(IF((('KG1-6'!$AD16:$IM16="غياب بدون عذر")+('KG1-6'!$AD16:$IM16="غياب بعذر"))*('KG1-6'!$AD$7:$IM$7="✓"),'KG1-6'!$AD$5:$IM$5),12),""))</f>
        <v/>
      </c>
      <c r="E3153">
        <f>IF(D3153="","",INDEX('KG1-6'!$AD16:$IM16,MATCH(D3153,'KG1-6'!$AD$5:$IM$5,0)))</f>
        <v/>
      </c>
      <c r="F3153">
        <f>IF(D3153="","",COUNTIFS('KG1-6'!$AD16:$IM16,"غياب بدون عذر",'KG1-6'!$AD$7:$IM$7,"✓",'KG1-6'!$AD$5:$IM$5,"&lt;="&amp;D3153))</f>
        <v/>
      </c>
      <c r="G3153">
        <f>G3152+IF(D3153="",0,1)</f>
        <v/>
      </c>
    </row>
    <row r="3154">
      <c r="A3154">
        <f>IF('KG1-6'!$B16="","",'KG1-6'!$B16)</f>
        <v/>
      </c>
      <c r="B3154">
        <f>IF(A3154="","",'KG1-6'!$C16)</f>
        <v/>
      </c>
      <c r="C3154">
        <f>IF(A3154="","",'KG1-6'!$B$2)</f>
        <v/>
      </c>
      <c r="D3154" s="126">
        <f t="array" ref="D3154">IF(A3154="","",IFERROR(SMALL(IF((('KG1-6'!$AD16:$IM16="غياب بدون عذر")+('KG1-6'!$AD16:$IM16="غياب بعذر"))*('KG1-6'!$AD$7:$IM$7="✓"),'KG1-6'!$AD$5:$IM$5),13),""))</f>
        <v/>
      </c>
      <c r="E3154">
        <f>IF(D3154="","",INDEX('KG1-6'!$AD16:$IM16,MATCH(D3154,'KG1-6'!$AD$5:$IM$5,0)))</f>
        <v/>
      </c>
      <c r="F3154">
        <f>IF(D3154="","",COUNTIFS('KG1-6'!$AD16:$IM16,"غياب بدون عذر",'KG1-6'!$AD$7:$IM$7,"✓",'KG1-6'!$AD$5:$IM$5,"&lt;="&amp;D3154))</f>
        <v/>
      </c>
      <c r="G3154">
        <f>G3153+IF(D3154="",0,1)</f>
        <v/>
      </c>
    </row>
    <row r="3155">
      <c r="A3155">
        <f>IF('KG1-6'!$B16="","",'KG1-6'!$B16)</f>
        <v/>
      </c>
      <c r="B3155">
        <f>IF(A3155="","",'KG1-6'!$C16)</f>
        <v/>
      </c>
      <c r="C3155">
        <f>IF(A3155="","",'KG1-6'!$B$2)</f>
        <v/>
      </c>
      <c r="D3155" s="126">
        <f t="array" ref="D3155">IF(A3155="","",IFERROR(SMALL(IF((('KG1-6'!$AD16:$IM16="غياب بدون عذر")+('KG1-6'!$AD16:$IM16="غياب بعذر"))*('KG1-6'!$AD$7:$IM$7="✓"),'KG1-6'!$AD$5:$IM$5),14),""))</f>
        <v/>
      </c>
      <c r="E3155">
        <f>IF(D3155="","",INDEX('KG1-6'!$AD16:$IM16,MATCH(D3155,'KG1-6'!$AD$5:$IM$5,0)))</f>
        <v/>
      </c>
      <c r="F3155">
        <f>IF(D3155="","",COUNTIFS('KG1-6'!$AD16:$IM16,"غياب بدون عذر",'KG1-6'!$AD$7:$IM$7,"✓",'KG1-6'!$AD$5:$IM$5,"&lt;="&amp;D3155))</f>
        <v/>
      </c>
      <c r="G3155">
        <f>G3154+IF(D3155="",0,1)</f>
        <v/>
      </c>
    </row>
    <row r="3156">
      <c r="A3156">
        <f>IF('KG1-6'!$B16="","",'KG1-6'!$B16)</f>
        <v/>
      </c>
      <c r="B3156">
        <f>IF(A3156="","",'KG1-6'!$C16)</f>
        <v/>
      </c>
      <c r="C3156">
        <f>IF(A3156="","",'KG1-6'!$B$2)</f>
        <v/>
      </c>
      <c r="D3156" s="126">
        <f t="array" ref="D3156">IF(A3156="","",IFERROR(SMALL(IF((('KG1-6'!$AD16:$IM16="غياب بدون عذر")+('KG1-6'!$AD16:$IM16="غياب بعذر"))*('KG1-6'!$AD$7:$IM$7="✓"),'KG1-6'!$AD$5:$IM$5),15),""))</f>
        <v/>
      </c>
      <c r="E3156">
        <f>IF(D3156="","",INDEX('KG1-6'!$AD16:$IM16,MATCH(D3156,'KG1-6'!$AD$5:$IM$5,0)))</f>
        <v/>
      </c>
      <c r="F3156">
        <f>IF(D3156="","",COUNTIFS('KG1-6'!$AD16:$IM16,"غياب بدون عذر",'KG1-6'!$AD$7:$IM$7,"✓",'KG1-6'!$AD$5:$IM$5,"&lt;="&amp;D3156))</f>
        <v/>
      </c>
      <c r="G3156">
        <f>G3155+IF(D3156="",0,1)</f>
        <v/>
      </c>
    </row>
    <row r="3157">
      <c r="A3157">
        <f>IF('KG1-6'!$B16="","",'KG1-6'!$B16)</f>
        <v/>
      </c>
      <c r="B3157">
        <f>IF(A3157="","",'KG1-6'!$C16)</f>
        <v/>
      </c>
      <c r="C3157">
        <f>IF(A3157="","",'KG1-6'!$B$2)</f>
        <v/>
      </c>
      <c r="D3157" s="126">
        <f t="array" ref="D3157">IF(A3157="","",IFERROR(SMALL(IF((('KG1-6'!$AD16:$IM16="غياب بدون عذر")+('KG1-6'!$AD16:$IM16="غياب بعذر"))*('KG1-6'!$AD$7:$IM$7="✓"),'KG1-6'!$AD$5:$IM$5),16),""))</f>
        <v/>
      </c>
      <c r="E3157">
        <f>IF(D3157="","",INDEX('KG1-6'!$AD16:$IM16,MATCH(D3157,'KG1-6'!$AD$5:$IM$5,0)))</f>
        <v/>
      </c>
      <c r="F3157">
        <f>IF(D3157="","",COUNTIFS('KG1-6'!$AD16:$IM16,"غياب بدون عذر",'KG1-6'!$AD$7:$IM$7,"✓",'KG1-6'!$AD$5:$IM$5,"&lt;="&amp;D3157))</f>
        <v/>
      </c>
      <c r="G3157">
        <f>G3156+IF(D3157="",0,1)</f>
        <v/>
      </c>
    </row>
    <row r="3158">
      <c r="A3158">
        <f>IF('KG1-6'!$B16="","",'KG1-6'!$B16)</f>
        <v/>
      </c>
      <c r="B3158">
        <f>IF(A3158="","",'KG1-6'!$C16)</f>
        <v/>
      </c>
      <c r="C3158">
        <f>IF(A3158="","",'KG1-6'!$B$2)</f>
        <v/>
      </c>
      <c r="D3158" s="126">
        <f t="array" ref="D3158">IF(A3158="","",IFERROR(SMALL(IF((('KG1-6'!$AD16:$IM16="غياب بدون عذر")+('KG1-6'!$AD16:$IM16="غياب بعذر"))*('KG1-6'!$AD$7:$IM$7="✓"),'KG1-6'!$AD$5:$IM$5),17),""))</f>
        <v/>
      </c>
      <c r="E3158">
        <f>IF(D3158="","",INDEX('KG1-6'!$AD16:$IM16,MATCH(D3158,'KG1-6'!$AD$5:$IM$5,0)))</f>
        <v/>
      </c>
      <c r="F3158">
        <f>IF(D3158="","",COUNTIFS('KG1-6'!$AD16:$IM16,"غياب بدون عذر",'KG1-6'!$AD$7:$IM$7,"✓",'KG1-6'!$AD$5:$IM$5,"&lt;="&amp;D3158))</f>
        <v/>
      </c>
      <c r="G3158">
        <f>G3157+IF(D3158="",0,1)</f>
        <v/>
      </c>
    </row>
    <row r="3159">
      <c r="A3159">
        <f>IF('KG1-6'!$B16="","",'KG1-6'!$B16)</f>
        <v/>
      </c>
      <c r="B3159">
        <f>IF(A3159="","",'KG1-6'!$C16)</f>
        <v/>
      </c>
      <c r="C3159">
        <f>IF(A3159="","",'KG1-6'!$B$2)</f>
        <v/>
      </c>
      <c r="D3159" s="126">
        <f t="array" ref="D3159">IF(A3159="","",IFERROR(SMALL(IF((('KG1-6'!$AD16:$IM16="غياب بدون عذر")+('KG1-6'!$AD16:$IM16="غياب بعذر"))*('KG1-6'!$AD$7:$IM$7="✓"),'KG1-6'!$AD$5:$IM$5),18),""))</f>
        <v/>
      </c>
      <c r="E3159">
        <f>IF(D3159="","",INDEX('KG1-6'!$AD16:$IM16,MATCH(D3159,'KG1-6'!$AD$5:$IM$5,0)))</f>
        <v/>
      </c>
      <c r="F3159">
        <f>IF(D3159="","",COUNTIFS('KG1-6'!$AD16:$IM16,"غياب بدون عذر",'KG1-6'!$AD$7:$IM$7,"✓",'KG1-6'!$AD$5:$IM$5,"&lt;="&amp;D3159))</f>
        <v/>
      </c>
      <c r="G3159">
        <f>G3158+IF(D3159="",0,1)</f>
        <v/>
      </c>
    </row>
    <row r="3160">
      <c r="A3160">
        <f>IF('KG1-6'!$B16="","",'KG1-6'!$B16)</f>
        <v/>
      </c>
      <c r="B3160">
        <f>IF(A3160="","",'KG1-6'!$C16)</f>
        <v/>
      </c>
      <c r="C3160">
        <f>IF(A3160="","",'KG1-6'!$B$2)</f>
        <v/>
      </c>
      <c r="D3160" s="126">
        <f t="array" ref="D3160">IF(A3160="","",IFERROR(SMALL(IF((('KG1-6'!$AD16:$IM16="غياب بدون عذر")+('KG1-6'!$AD16:$IM16="غياب بعذر"))*('KG1-6'!$AD$7:$IM$7="✓"),'KG1-6'!$AD$5:$IM$5),19),""))</f>
        <v/>
      </c>
      <c r="E3160">
        <f>IF(D3160="","",INDEX('KG1-6'!$AD16:$IM16,MATCH(D3160,'KG1-6'!$AD$5:$IM$5,0)))</f>
        <v/>
      </c>
      <c r="F3160">
        <f>IF(D3160="","",COUNTIFS('KG1-6'!$AD16:$IM16,"غياب بدون عذر",'KG1-6'!$AD$7:$IM$7,"✓",'KG1-6'!$AD$5:$IM$5,"&lt;="&amp;D3160))</f>
        <v/>
      </c>
      <c r="G3160">
        <f>G3159+IF(D3160="",0,1)</f>
        <v/>
      </c>
    </row>
    <row r="3161">
      <c r="A3161">
        <f>IF('KG1-6'!$B16="","",'KG1-6'!$B16)</f>
        <v/>
      </c>
      <c r="B3161">
        <f>IF(A3161="","",'KG1-6'!$C16)</f>
        <v/>
      </c>
      <c r="C3161">
        <f>IF(A3161="","",'KG1-6'!$B$2)</f>
        <v/>
      </c>
      <c r="D3161" s="126">
        <f t="array" ref="D3161">IF(A3161="","",IFERROR(SMALL(IF((('KG1-6'!$AD16:$IM16="غياب بدون عذر")+('KG1-6'!$AD16:$IM16="غياب بعذر"))*('KG1-6'!$AD$7:$IM$7="✓"),'KG1-6'!$AD$5:$IM$5),20),""))</f>
        <v/>
      </c>
      <c r="E3161">
        <f>IF(D3161="","",INDEX('KG1-6'!$AD16:$IM16,MATCH(D3161,'KG1-6'!$AD$5:$IM$5,0)))</f>
        <v/>
      </c>
      <c r="F3161">
        <f>IF(D3161="","",COUNTIFS('KG1-6'!$AD16:$IM16,"غياب بدون عذر",'KG1-6'!$AD$7:$IM$7,"✓",'KG1-6'!$AD$5:$IM$5,"&lt;="&amp;D3161))</f>
        <v/>
      </c>
      <c r="G3161">
        <f>G3160+IF(D3161="",0,1)</f>
        <v/>
      </c>
    </row>
    <row r="3162">
      <c r="A3162">
        <f>IF('KG1-6'!$B17="","",'KG1-6'!$B17)</f>
        <v/>
      </c>
      <c r="B3162">
        <f>IF(A3162="","",'KG1-6'!$C17)</f>
        <v/>
      </c>
      <c r="C3162">
        <f>IF(A3162="","",'KG1-6'!$B$2)</f>
        <v/>
      </c>
      <c r="D3162" s="126">
        <f t="array" ref="D3162">IF(A3162="","",IFERROR(SMALL(IF((('KG1-6'!$AD17:$IM17="غياب بدون عذر")+('KG1-6'!$AD17:$IM17="غياب بعذر"))*('KG1-6'!$AD$7:$IM$7="✓"),'KG1-6'!$AD$5:$IM$5),1),""))</f>
        <v/>
      </c>
      <c r="E3162">
        <f>IF(D3162="","",INDEX('KG1-6'!$AD17:$IM17,MATCH(D3162,'KG1-6'!$AD$5:$IM$5,0)))</f>
        <v/>
      </c>
      <c r="F3162">
        <f>IF(D3162="","",COUNTIFS('KG1-6'!$AD17:$IM17,"غياب بدون عذر",'KG1-6'!$AD$7:$IM$7,"✓",'KG1-6'!$AD$5:$IM$5,"&lt;="&amp;D3162))</f>
        <v/>
      </c>
      <c r="G3162">
        <f>G3161+IF(D3162="",0,1)</f>
        <v/>
      </c>
    </row>
    <row r="3163">
      <c r="A3163">
        <f>IF('KG1-6'!$B17="","",'KG1-6'!$B17)</f>
        <v/>
      </c>
      <c r="B3163">
        <f>IF(A3163="","",'KG1-6'!$C17)</f>
        <v/>
      </c>
      <c r="C3163">
        <f>IF(A3163="","",'KG1-6'!$B$2)</f>
        <v/>
      </c>
      <c r="D3163" s="126">
        <f t="array" ref="D3163">IF(A3163="","",IFERROR(SMALL(IF((('KG1-6'!$AD17:$IM17="غياب بدون عذر")+('KG1-6'!$AD17:$IM17="غياب بعذر"))*('KG1-6'!$AD$7:$IM$7="✓"),'KG1-6'!$AD$5:$IM$5),2),""))</f>
        <v/>
      </c>
      <c r="E3163">
        <f>IF(D3163="","",INDEX('KG1-6'!$AD17:$IM17,MATCH(D3163,'KG1-6'!$AD$5:$IM$5,0)))</f>
        <v/>
      </c>
      <c r="F3163">
        <f>IF(D3163="","",COUNTIFS('KG1-6'!$AD17:$IM17,"غياب بدون عذر",'KG1-6'!$AD$7:$IM$7,"✓",'KG1-6'!$AD$5:$IM$5,"&lt;="&amp;D3163))</f>
        <v/>
      </c>
      <c r="G3163">
        <f>G3162+IF(D3163="",0,1)</f>
        <v/>
      </c>
    </row>
    <row r="3164">
      <c r="A3164">
        <f>IF('KG1-6'!$B17="","",'KG1-6'!$B17)</f>
        <v/>
      </c>
      <c r="B3164">
        <f>IF(A3164="","",'KG1-6'!$C17)</f>
        <v/>
      </c>
      <c r="C3164">
        <f>IF(A3164="","",'KG1-6'!$B$2)</f>
        <v/>
      </c>
      <c r="D3164" s="126">
        <f t="array" ref="D3164">IF(A3164="","",IFERROR(SMALL(IF((('KG1-6'!$AD17:$IM17="غياب بدون عذر")+('KG1-6'!$AD17:$IM17="غياب بعذر"))*('KG1-6'!$AD$7:$IM$7="✓"),'KG1-6'!$AD$5:$IM$5),3),""))</f>
        <v/>
      </c>
      <c r="E3164">
        <f>IF(D3164="","",INDEX('KG1-6'!$AD17:$IM17,MATCH(D3164,'KG1-6'!$AD$5:$IM$5,0)))</f>
        <v/>
      </c>
      <c r="F3164">
        <f>IF(D3164="","",COUNTIFS('KG1-6'!$AD17:$IM17,"غياب بدون عذر",'KG1-6'!$AD$7:$IM$7,"✓",'KG1-6'!$AD$5:$IM$5,"&lt;="&amp;D3164))</f>
        <v/>
      </c>
      <c r="G3164">
        <f>G3163+IF(D3164="",0,1)</f>
        <v/>
      </c>
    </row>
    <row r="3165">
      <c r="A3165">
        <f>IF('KG1-6'!$B17="","",'KG1-6'!$B17)</f>
        <v/>
      </c>
      <c r="B3165">
        <f>IF(A3165="","",'KG1-6'!$C17)</f>
        <v/>
      </c>
      <c r="C3165">
        <f>IF(A3165="","",'KG1-6'!$B$2)</f>
        <v/>
      </c>
      <c r="D3165" s="126">
        <f t="array" ref="D3165">IF(A3165="","",IFERROR(SMALL(IF((('KG1-6'!$AD17:$IM17="غياب بدون عذر")+('KG1-6'!$AD17:$IM17="غياب بعذر"))*('KG1-6'!$AD$7:$IM$7="✓"),'KG1-6'!$AD$5:$IM$5),4),""))</f>
        <v/>
      </c>
      <c r="E3165">
        <f>IF(D3165="","",INDEX('KG1-6'!$AD17:$IM17,MATCH(D3165,'KG1-6'!$AD$5:$IM$5,0)))</f>
        <v/>
      </c>
      <c r="F3165">
        <f>IF(D3165="","",COUNTIFS('KG1-6'!$AD17:$IM17,"غياب بدون عذر",'KG1-6'!$AD$7:$IM$7,"✓",'KG1-6'!$AD$5:$IM$5,"&lt;="&amp;D3165))</f>
        <v/>
      </c>
      <c r="G3165">
        <f>G3164+IF(D3165="",0,1)</f>
        <v/>
      </c>
    </row>
    <row r="3166">
      <c r="A3166">
        <f>IF('KG1-6'!$B17="","",'KG1-6'!$B17)</f>
        <v/>
      </c>
      <c r="B3166">
        <f>IF(A3166="","",'KG1-6'!$C17)</f>
        <v/>
      </c>
      <c r="C3166">
        <f>IF(A3166="","",'KG1-6'!$B$2)</f>
        <v/>
      </c>
      <c r="D3166" s="126">
        <f t="array" ref="D3166">IF(A3166="","",IFERROR(SMALL(IF((('KG1-6'!$AD17:$IM17="غياب بدون عذر")+('KG1-6'!$AD17:$IM17="غياب بعذر"))*('KG1-6'!$AD$7:$IM$7="✓"),'KG1-6'!$AD$5:$IM$5),5),""))</f>
        <v/>
      </c>
      <c r="E3166">
        <f>IF(D3166="","",INDEX('KG1-6'!$AD17:$IM17,MATCH(D3166,'KG1-6'!$AD$5:$IM$5,0)))</f>
        <v/>
      </c>
      <c r="F3166">
        <f>IF(D3166="","",COUNTIFS('KG1-6'!$AD17:$IM17,"غياب بدون عذر",'KG1-6'!$AD$7:$IM$7,"✓",'KG1-6'!$AD$5:$IM$5,"&lt;="&amp;D3166))</f>
        <v/>
      </c>
      <c r="G3166">
        <f>G3165+IF(D3166="",0,1)</f>
        <v/>
      </c>
    </row>
    <row r="3167">
      <c r="A3167">
        <f>IF('KG1-6'!$B17="","",'KG1-6'!$B17)</f>
        <v/>
      </c>
      <c r="B3167">
        <f>IF(A3167="","",'KG1-6'!$C17)</f>
        <v/>
      </c>
      <c r="C3167">
        <f>IF(A3167="","",'KG1-6'!$B$2)</f>
        <v/>
      </c>
      <c r="D3167" s="126">
        <f t="array" ref="D3167">IF(A3167="","",IFERROR(SMALL(IF((('KG1-6'!$AD17:$IM17="غياب بدون عذر")+('KG1-6'!$AD17:$IM17="غياب بعذر"))*('KG1-6'!$AD$7:$IM$7="✓"),'KG1-6'!$AD$5:$IM$5),6),""))</f>
        <v/>
      </c>
      <c r="E3167">
        <f>IF(D3167="","",INDEX('KG1-6'!$AD17:$IM17,MATCH(D3167,'KG1-6'!$AD$5:$IM$5,0)))</f>
        <v/>
      </c>
      <c r="F3167">
        <f>IF(D3167="","",COUNTIFS('KG1-6'!$AD17:$IM17,"غياب بدون عذر",'KG1-6'!$AD$7:$IM$7,"✓",'KG1-6'!$AD$5:$IM$5,"&lt;="&amp;D3167))</f>
        <v/>
      </c>
      <c r="G3167">
        <f>G3166+IF(D3167="",0,1)</f>
        <v/>
      </c>
    </row>
    <row r="3168">
      <c r="A3168">
        <f>IF('KG1-6'!$B17="","",'KG1-6'!$B17)</f>
        <v/>
      </c>
      <c r="B3168">
        <f>IF(A3168="","",'KG1-6'!$C17)</f>
        <v/>
      </c>
      <c r="C3168">
        <f>IF(A3168="","",'KG1-6'!$B$2)</f>
        <v/>
      </c>
      <c r="D3168" s="126">
        <f t="array" ref="D3168">IF(A3168="","",IFERROR(SMALL(IF((('KG1-6'!$AD17:$IM17="غياب بدون عذر")+('KG1-6'!$AD17:$IM17="غياب بعذر"))*('KG1-6'!$AD$7:$IM$7="✓"),'KG1-6'!$AD$5:$IM$5),7),""))</f>
        <v/>
      </c>
      <c r="E3168">
        <f>IF(D3168="","",INDEX('KG1-6'!$AD17:$IM17,MATCH(D3168,'KG1-6'!$AD$5:$IM$5,0)))</f>
        <v/>
      </c>
      <c r="F3168">
        <f>IF(D3168="","",COUNTIFS('KG1-6'!$AD17:$IM17,"غياب بدون عذر",'KG1-6'!$AD$7:$IM$7,"✓",'KG1-6'!$AD$5:$IM$5,"&lt;="&amp;D3168))</f>
        <v/>
      </c>
      <c r="G3168">
        <f>G3167+IF(D3168="",0,1)</f>
        <v/>
      </c>
    </row>
    <row r="3169">
      <c r="A3169">
        <f>IF('KG1-6'!$B17="","",'KG1-6'!$B17)</f>
        <v/>
      </c>
      <c r="B3169">
        <f>IF(A3169="","",'KG1-6'!$C17)</f>
        <v/>
      </c>
      <c r="C3169">
        <f>IF(A3169="","",'KG1-6'!$B$2)</f>
        <v/>
      </c>
      <c r="D3169" s="126">
        <f t="array" ref="D3169">IF(A3169="","",IFERROR(SMALL(IF((('KG1-6'!$AD17:$IM17="غياب بدون عذر")+('KG1-6'!$AD17:$IM17="غياب بعذر"))*('KG1-6'!$AD$7:$IM$7="✓"),'KG1-6'!$AD$5:$IM$5),8),""))</f>
        <v/>
      </c>
      <c r="E3169">
        <f>IF(D3169="","",INDEX('KG1-6'!$AD17:$IM17,MATCH(D3169,'KG1-6'!$AD$5:$IM$5,0)))</f>
        <v/>
      </c>
      <c r="F3169">
        <f>IF(D3169="","",COUNTIFS('KG1-6'!$AD17:$IM17,"غياب بدون عذر",'KG1-6'!$AD$7:$IM$7,"✓",'KG1-6'!$AD$5:$IM$5,"&lt;="&amp;D3169))</f>
        <v/>
      </c>
      <c r="G3169">
        <f>G3168+IF(D3169="",0,1)</f>
        <v/>
      </c>
    </row>
    <row r="3170">
      <c r="A3170">
        <f>IF('KG1-6'!$B17="","",'KG1-6'!$B17)</f>
        <v/>
      </c>
      <c r="B3170">
        <f>IF(A3170="","",'KG1-6'!$C17)</f>
        <v/>
      </c>
      <c r="C3170">
        <f>IF(A3170="","",'KG1-6'!$B$2)</f>
        <v/>
      </c>
      <c r="D3170" s="126">
        <f t="array" ref="D3170">IF(A3170="","",IFERROR(SMALL(IF((('KG1-6'!$AD17:$IM17="غياب بدون عذر")+('KG1-6'!$AD17:$IM17="غياب بعذر"))*('KG1-6'!$AD$7:$IM$7="✓"),'KG1-6'!$AD$5:$IM$5),9),""))</f>
        <v/>
      </c>
      <c r="E3170">
        <f>IF(D3170="","",INDEX('KG1-6'!$AD17:$IM17,MATCH(D3170,'KG1-6'!$AD$5:$IM$5,0)))</f>
        <v/>
      </c>
      <c r="F3170">
        <f>IF(D3170="","",COUNTIFS('KG1-6'!$AD17:$IM17,"غياب بدون عذر",'KG1-6'!$AD$7:$IM$7,"✓",'KG1-6'!$AD$5:$IM$5,"&lt;="&amp;D3170))</f>
        <v/>
      </c>
      <c r="G3170">
        <f>G3169+IF(D3170="",0,1)</f>
        <v/>
      </c>
    </row>
    <row r="3171">
      <c r="A3171">
        <f>IF('KG1-6'!$B17="","",'KG1-6'!$B17)</f>
        <v/>
      </c>
      <c r="B3171">
        <f>IF(A3171="","",'KG1-6'!$C17)</f>
        <v/>
      </c>
      <c r="C3171">
        <f>IF(A3171="","",'KG1-6'!$B$2)</f>
        <v/>
      </c>
      <c r="D3171" s="126">
        <f t="array" ref="D3171">IF(A3171="","",IFERROR(SMALL(IF((('KG1-6'!$AD17:$IM17="غياب بدون عذر")+('KG1-6'!$AD17:$IM17="غياب بعذر"))*('KG1-6'!$AD$7:$IM$7="✓"),'KG1-6'!$AD$5:$IM$5),10),""))</f>
        <v/>
      </c>
      <c r="E3171">
        <f>IF(D3171="","",INDEX('KG1-6'!$AD17:$IM17,MATCH(D3171,'KG1-6'!$AD$5:$IM$5,0)))</f>
        <v/>
      </c>
      <c r="F3171">
        <f>IF(D3171="","",COUNTIFS('KG1-6'!$AD17:$IM17,"غياب بدون عذر",'KG1-6'!$AD$7:$IM$7,"✓",'KG1-6'!$AD$5:$IM$5,"&lt;="&amp;D3171))</f>
        <v/>
      </c>
      <c r="G3171">
        <f>G3170+IF(D3171="",0,1)</f>
        <v/>
      </c>
    </row>
    <row r="3172">
      <c r="A3172">
        <f>IF('KG1-6'!$B17="","",'KG1-6'!$B17)</f>
        <v/>
      </c>
      <c r="B3172">
        <f>IF(A3172="","",'KG1-6'!$C17)</f>
        <v/>
      </c>
      <c r="C3172">
        <f>IF(A3172="","",'KG1-6'!$B$2)</f>
        <v/>
      </c>
      <c r="D3172" s="126">
        <f t="array" ref="D3172">IF(A3172="","",IFERROR(SMALL(IF((('KG1-6'!$AD17:$IM17="غياب بدون عذر")+('KG1-6'!$AD17:$IM17="غياب بعذر"))*('KG1-6'!$AD$7:$IM$7="✓"),'KG1-6'!$AD$5:$IM$5),11),""))</f>
        <v/>
      </c>
      <c r="E3172">
        <f>IF(D3172="","",INDEX('KG1-6'!$AD17:$IM17,MATCH(D3172,'KG1-6'!$AD$5:$IM$5,0)))</f>
        <v/>
      </c>
      <c r="F3172">
        <f>IF(D3172="","",COUNTIFS('KG1-6'!$AD17:$IM17,"غياب بدون عذر",'KG1-6'!$AD$7:$IM$7,"✓",'KG1-6'!$AD$5:$IM$5,"&lt;="&amp;D3172))</f>
        <v/>
      </c>
      <c r="G3172">
        <f>G3171+IF(D3172="",0,1)</f>
        <v/>
      </c>
    </row>
    <row r="3173">
      <c r="A3173">
        <f>IF('KG1-6'!$B17="","",'KG1-6'!$B17)</f>
        <v/>
      </c>
      <c r="B3173">
        <f>IF(A3173="","",'KG1-6'!$C17)</f>
        <v/>
      </c>
      <c r="C3173">
        <f>IF(A3173="","",'KG1-6'!$B$2)</f>
        <v/>
      </c>
      <c r="D3173" s="126">
        <f t="array" ref="D3173">IF(A3173="","",IFERROR(SMALL(IF((('KG1-6'!$AD17:$IM17="غياب بدون عذر")+('KG1-6'!$AD17:$IM17="غياب بعذر"))*('KG1-6'!$AD$7:$IM$7="✓"),'KG1-6'!$AD$5:$IM$5),12),""))</f>
        <v/>
      </c>
      <c r="E3173">
        <f>IF(D3173="","",INDEX('KG1-6'!$AD17:$IM17,MATCH(D3173,'KG1-6'!$AD$5:$IM$5,0)))</f>
        <v/>
      </c>
      <c r="F3173">
        <f>IF(D3173="","",COUNTIFS('KG1-6'!$AD17:$IM17,"غياب بدون عذر",'KG1-6'!$AD$7:$IM$7,"✓",'KG1-6'!$AD$5:$IM$5,"&lt;="&amp;D3173))</f>
        <v/>
      </c>
      <c r="G3173">
        <f>G3172+IF(D3173="",0,1)</f>
        <v/>
      </c>
    </row>
    <row r="3174">
      <c r="A3174">
        <f>IF('KG1-6'!$B17="","",'KG1-6'!$B17)</f>
        <v/>
      </c>
      <c r="B3174">
        <f>IF(A3174="","",'KG1-6'!$C17)</f>
        <v/>
      </c>
      <c r="C3174">
        <f>IF(A3174="","",'KG1-6'!$B$2)</f>
        <v/>
      </c>
      <c r="D3174" s="126">
        <f t="array" ref="D3174">IF(A3174="","",IFERROR(SMALL(IF((('KG1-6'!$AD17:$IM17="غياب بدون عذر")+('KG1-6'!$AD17:$IM17="غياب بعذر"))*('KG1-6'!$AD$7:$IM$7="✓"),'KG1-6'!$AD$5:$IM$5),13),""))</f>
        <v/>
      </c>
      <c r="E3174">
        <f>IF(D3174="","",INDEX('KG1-6'!$AD17:$IM17,MATCH(D3174,'KG1-6'!$AD$5:$IM$5,0)))</f>
        <v/>
      </c>
      <c r="F3174">
        <f>IF(D3174="","",COUNTIFS('KG1-6'!$AD17:$IM17,"غياب بدون عذر",'KG1-6'!$AD$7:$IM$7,"✓",'KG1-6'!$AD$5:$IM$5,"&lt;="&amp;D3174))</f>
        <v/>
      </c>
      <c r="G3174">
        <f>G3173+IF(D3174="",0,1)</f>
        <v/>
      </c>
    </row>
    <row r="3175">
      <c r="A3175">
        <f>IF('KG1-6'!$B17="","",'KG1-6'!$B17)</f>
        <v/>
      </c>
      <c r="B3175">
        <f>IF(A3175="","",'KG1-6'!$C17)</f>
        <v/>
      </c>
      <c r="C3175">
        <f>IF(A3175="","",'KG1-6'!$B$2)</f>
        <v/>
      </c>
      <c r="D3175" s="126">
        <f t="array" ref="D3175">IF(A3175="","",IFERROR(SMALL(IF((('KG1-6'!$AD17:$IM17="غياب بدون عذر")+('KG1-6'!$AD17:$IM17="غياب بعذر"))*('KG1-6'!$AD$7:$IM$7="✓"),'KG1-6'!$AD$5:$IM$5),14),""))</f>
        <v/>
      </c>
      <c r="E3175">
        <f>IF(D3175="","",INDEX('KG1-6'!$AD17:$IM17,MATCH(D3175,'KG1-6'!$AD$5:$IM$5,0)))</f>
        <v/>
      </c>
      <c r="F3175">
        <f>IF(D3175="","",COUNTIFS('KG1-6'!$AD17:$IM17,"غياب بدون عذر",'KG1-6'!$AD$7:$IM$7,"✓",'KG1-6'!$AD$5:$IM$5,"&lt;="&amp;D3175))</f>
        <v/>
      </c>
      <c r="G3175">
        <f>G3174+IF(D3175="",0,1)</f>
        <v/>
      </c>
    </row>
    <row r="3176">
      <c r="A3176">
        <f>IF('KG1-6'!$B17="","",'KG1-6'!$B17)</f>
        <v/>
      </c>
      <c r="B3176">
        <f>IF(A3176="","",'KG1-6'!$C17)</f>
        <v/>
      </c>
      <c r="C3176">
        <f>IF(A3176="","",'KG1-6'!$B$2)</f>
        <v/>
      </c>
      <c r="D3176" s="126">
        <f t="array" ref="D3176">IF(A3176="","",IFERROR(SMALL(IF((('KG1-6'!$AD17:$IM17="غياب بدون عذر")+('KG1-6'!$AD17:$IM17="غياب بعذر"))*('KG1-6'!$AD$7:$IM$7="✓"),'KG1-6'!$AD$5:$IM$5),15),""))</f>
        <v/>
      </c>
      <c r="E3176">
        <f>IF(D3176="","",INDEX('KG1-6'!$AD17:$IM17,MATCH(D3176,'KG1-6'!$AD$5:$IM$5,0)))</f>
        <v/>
      </c>
      <c r="F3176">
        <f>IF(D3176="","",COUNTIFS('KG1-6'!$AD17:$IM17,"غياب بدون عذر",'KG1-6'!$AD$7:$IM$7,"✓",'KG1-6'!$AD$5:$IM$5,"&lt;="&amp;D3176))</f>
        <v/>
      </c>
      <c r="G3176">
        <f>G3175+IF(D3176="",0,1)</f>
        <v/>
      </c>
    </row>
    <row r="3177">
      <c r="A3177">
        <f>IF('KG1-6'!$B17="","",'KG1-6'!$B17)</f>
        <v/>
      </c>
      <c r="B3177">
        <f>IF(A3177="","",'KG1-6'!$C17)</f>
        <v/>
      </c>
      <c r="C3177">
        <f>IF(A3177="","",'KG1-6'!$B$2)</f>
        <v/>
      </c>
      <c r="D3177" s="126">
        <f t="array" ref="D3177">IF(A3177="","",IFERROR(SMALL(IF((('KG1-6'!$AD17:$IM17="غياب بدون عذر")+('KG1-6'!$AD17:$IM17="غياب بعذر"))*('KG1-6'!$AD$7:$IM$7="✓"),'KG1-6'!$AD$5:$IM$5),16),""))</f>
        <v/>
      </c>
      <c r="E3177">
        <f>IF(D3177="","",INDEX('KG1-6'!$AD17:$IM17,MATCH(D3177,'KG1-6'!$AD$5:$IM$5,0)))</f>
        <v/>
      </c>
      <c r="F3177">
        <f>IF(D3177="","",COUNTIFS('KG1-6'!$AD17:$IM17,"غياب بدون عذر",'KG1-6'!$AD$7:$IM$7,"✓",'KG1-6'!$AD$5:$IM$5,"&lt;="&amp;D3177))</f>
        <v/>
      </c>
      <c r="G3177">
        <f>G3176+IF(D3177="",0,1)</f>
        <v/>
      </c>
    </row>
    <row r="3178">
      <c r="A3178">
        <f>IF('KG1-6'!$B17="","",'KG1-6'!$B17)</f>
        <v/>
      </c>
      <c r="B3178">
        <f>IF(A3178="","",'KG1-6'!$C17)</f>
        <v/>
      </c>
      <c r="C3178">
        <f>IF(A3178="","",'KG1-6'!$B$2)</f>
        <v/>
      </c>
      <c r="D3178" s="126">
        <f t="array" ref="D3178">IF(A3178="","",IFERROR(SMALL(IF((('KG1-6'!$AD17:$IM17="غياب بدون عذر")+('KG1-6'!$AD17:$IM17="غياب بعذر"))*('KG1-6'!$AD$7:$IM$7="✓"),'KG1-6'!$AD$5:$IM$5),17),""))</f>
        <v/>
      </c>
      <c r="E3178">
        <f>IF(D3178="","",INDEX('KG1-6'!$AD17:$IM17,MATCH(D3178,'KG1-6'!$AD$5:$IM$5,0)))</f>
        <v/>
      </c>
      <c r="F3178">
        <f>IF(D3178="","",COUNTIFS('KG1-6'!$AD17:$IM17,"غياب بدون عذر",'KG1-6'!$AD$7:$IM$7,"✓",'KG1-6'!$AD$5:$IM$5,"&lt;="&amp;D3178))</f>
        <v/>
      </c>
      <c r="G3178">
        <f>G3177+IF(D3178="",0,1)</f>
        <v/>
      </c>
    </row>
    <row r="3179">
      <c r="A3179">
        <f>IF('KG1-6'!$B17="","",'KG1-6'!$B17)</f>
        <v/>
      </c>
      <c r="B3179">
        <f>IF(A3179="","",'KG1-6'!$C17)</f>
        <v/>
      </c>
      <c r="C3179">
        <f>IF(A3179="","",'KG1-6'!$B$2)</f>
        <v/>
      </c>
      <c r="D3179" s="126">
        <f t="array" ref="D3179">IF(A3179="","",IFERROR(SMALL(IF((('KG1-6'!$AD17:$IM17="غياب بدون عذر")+('KG1-6'!$AD17:$IM17="غياب بعذر"))*('KG1-6'!$AD$7:$IM$7="✓"),'KG1-6'!$AD$5:$IM$5),18),""))</f>
        <v/>
      </c>
      <c r="E3179">
        <f>IF(D3179="","",INDEX('KG1-6'!$AD17:$IM17,MATCH(D3179,'KG1-6'!$AD$5:$IM$5,0)))</f>
        <v/>
      </c>
      <c r="F3179">
        <f>IF(D3179="","",COUNTIFS('KG1-6'!$AD17:$IM17,"غياب بدون عذر",'KG1-6'!$AD$7:$IM$7,"✓",'KG1-6'!$AD$5:$IM$5,"&lt;="&amp;D3179))</f>
        <v/>
      </c>
      <c r="G3179">
        <f>G3178+IF(D3179="",0,1)</f>
        <v/>
      </c>
    </row>
    <row r="3180">
      <c r="A3180">
        <f>IF('KG1-6'!$B17="","",'KG1-6'!$B17)</f>
        <v/>
      </c>
      <c r="B3180">
        <f>IF(A3180="","",'KG1-6'!$C17)</f>
        <v/>
      </c>
      <c r="C3180">
        <f>IF(A3180="","",'KG1-6'!$B$2)</f>
        <v/>
      </c>
      <c r="D3180" s="126">
        <f t="array" ref="D3180">IF(A3180="","",IFERROR(SMALL(IF((('KG1-6'!$AD17:$IM17="غياب بدون عذر")+('KG1-6'!$AD17:$IM17="غياب بعذر"))*('KG1-6'!$AD$7:$IM$7="✓"),'KG1-6'!$AD$5:$IM$5),19),""))</f>
        <v/>
      </c>
      <c r="E3180">
        <f>IF(D3180="","",INDEX('KG1-6'!$AD17:$IM17,MATCH(D3180,'KG1-6'!$AD$5:$IM$5,0)))</f>
        <v/>
      </c>
      <c r="F3180">
        <f>IF(D3180="","",COUNTIFS('KG1-6'!$AD17:$IM17,"غياب بدون عذر",'KG1-6'!$AD$7:$IM$7,"✓",'KG1-6'!$AD$5:$IM$5,"&lt;="&amp;D3180))</f>
        <v/>
      </c>
      <c r="G3180">
        <f>G3179+IF(D3180="",0,1)</f>
        <v/>
      </c>
    </row>
    <row r="3181">
      <c r="A3181">
        <f>IF('KG1-6'!$B17="","",'KG1-6'!$B17)</f>
        <v/>
      </c>
      <c r="B3181">
        <f>IF(A3181="","",'KG1-6'!$C17)</f>
        <v/>
      </c>
      <c r="C3181">
        <f>IF(A3181="","",'KG1-6'!$B$2)</f>
        <v/>
      </c>
      <c r="D3181" s="126">
        <f t="array" ref="D3181">IF(A3181="","",IFERROR(SMALL(IF((('KG1-6'!$AD17:$IM17="غياب بدون عذر")+('KG1-6'!$AD17:$IM17="غياب بعذر"))*('KG1-6'!$AD$7:$IM$7="✓"),'KG1-6'!$AD$5:$IM$5),20),""))</f>
        <v/>
      </c>
      <c r="E3181">
        <f>IF(D3181="","",INDEX('KG1-6'!$AD17:$IM17,MATCH(D3181,'KG1-6'!$AD$5:$IM$5,0)))</f>
        <v/>
      </c>
      <c r="F3181">
        <f>IF(D3181="","",COUNTIFS('KG1-6'!$AD17:$IM17,"غياب بدون عذر",'KG1-6'!$AD$7:$IM$7,"✓",'KG1-6'!$AD$5:$IM$5,"&lt;="&amp;D3181))</f>
        <v/>
      </c>
      <c r="G3181">
        <f>G3180+IF(D3181="",0,1)</f>
        <v/>
      </c>
    </row>
    <row r="3182">
      <c r="A3182">
        <f>IF('KG1-6'!$B18="","",'KG1-6'!$B18)</f>
        <v/>
      </c>
      <c r="B3182">
        <f>IF(A3182="","",'KG1-6'!$C18)</f>
        <v/>
      </c>
      <c r="C3182">
        <f>IF(A3182="","",'KG1-6'!$B$2)</f>
        <v/>
      </c>
      <c r="D3182" s="126">
        <f t="array" ref="D3182">IF(A3182="","",IFERROR(SMALL(IF((('KG1-6'!$AD18:$IM18="غياب بدون عذر")+('KG1-6'!$AD18:$IM18="غياب بعذر"))*('KG1-6'!$AD$7:$IM$7="✓"),'KG1-6'!$AD$5:$IM$5),1),""))</f>
        <v/>
      </c>
      <c r="E3182">
        <f>IF(D3182="","",INDEX('KG1-6'!$AD18:$IM18,MATCH(D3182,'KG1-6'!$AD$5:$IM$5,0)))</f>
        <v/>
      </c>
      <c r="F3182">
        <f>IF(D3182="","",COUNTIFS('KG1-6'!$AD18:$IM18,"غياب بدون عذر",'KG1-6'!$AD$7:$IM$7,"✓",'KG1-6'!$AD$5:$IM$5,"&lt;="&amp;D3182))</f>
        <v/>
      </c>
      <c r="G3182">
        <f>G3181+IF(D3182="",0,1)</f>
        <v/>
      </c>
    </row>
    <row r="3183">
      <c r="A3183">
        <f>IF('KG1-6'!$B18="","",'KG1-6'!$B18)</f>
        <v/>
      </c>
      <c r="B3183">
        <f>IF(A3183="","",'KG1-6'!$C18)</f>
        <v/>
      </c>
      <c r="C3183">
        <f>IF(A3183="","",'KG1-6'!$B$2)</f>
        <v/>
      </c>
      <c r="D3183" s="126">
        <f t="array" ref="D3183">IF(A3183="","",IFERROR(SMALL(IF((('KG1-6'!$AD18:$IM18="غياب بدون عذر")+('KG1-6'!$AD18:$IM18="غياب بعذر"))*('KG1-6'!$AD$7:$IM$7="✓"),'KG1-6'!$AD$5:$IM$5),2),""))</f>
        <v/>
      </c>
      <c r="E3183">
        <f>IF(D3183="","",INDEX('KG1-6'!$AD18:$IM18,MATCH(D3183,'KG1-6'!$AD$5:$IM$5,0)))</f>
        <v/>
      </c>
      <c r="F3183">
        <f>IF(D3183="","",COUNTIFS('KG1-6'!$AD18:$IM18,"غياب بدون عذر",'KG1-6'!$AD$7:$IM$7,"✓",'KG1-6'!$AD$5:$IM$5,"&lt;="&amp;D3183))</f>
        <v/>
      </c>
      <c r="G3183">
        <f>G3182+IF(D3183="",0,1)</f>
        <v/>
      </c>
    </row>
    <row r="3184">
      <c r="A3184">
        <f>IF('KG1-6'!$B18="","",'KG1-6'!$B18)</f>
        <v/>
      </c>
      <c r="B3184">
        <f>IF(A3184="","",'KG1-6'!$C18)</f>
        <v/>
      </c>
      <c r="C3184">
        <f>IF(A3184="","",'KG1-6'!$B$2)</f>
        <v/>
      </c>
      <c r="D3184" s="126">
        <f t="array" ref="D3184">IF(A3184="","",IFERROR(SMALL(IF((('KG1-6'!$AD18:$IM18="غياب بدون عذر")+('KG1-6'!$AD18:$IM18="غياب بعذر"))*('KG1-6'!$AD$7:$IM$7="✓"),'KG1-6'!$AD$5:$IM$5),3),""))</f>
        <v/>
      </c>
      <c r="E3184">
        <f>IF(D3184="","",INDEX('KG1-6'!$AD18:$IM18,MATCH(D3184,'KG1-6'!$AD$5:$IM$5,0)))</f>
        <v/>
      </c>
      <c r="F3184">
        <f>IF(D3184="","",COUNTIFS('KG1-6'!$AD18:$IM18,"غياب بدون عذر",'KG1-6'!$AD$7:$IM$7,"✓",'KG1-6'!$AD$5:$IM$5,"&lt;="&amp;D3184))</f>
        <v/>
      </c>
      <c r="G3184">
        <f>G3183+IF(D3184="",0,1)</f>
        <v/>
      </c>
    </row>
    <row r="3185">
      <c r="A3185">
        <f>IF('KG1-6'!$B18="","",'KG1-6'!$B18)</f>
        <v/>
      </c>
      <c r="B3185">
        <f>IF(A3185="","",'KG1-6'!$C18)</f>
        <v/>
      </c>
      <c r="C3185">
        <f>IF(A3185="","",'KG1-6'!$B$2)</f>
        <v/>
      </c>
      <c r="D3185" s="126">
        <f t="array" ref="D3185">IF(A3185="","",IFERROR(SMALL(IF((('KG1-6'!$AD18:$IM18="غياب بدون عذر")+('KG1-6'!$AD18:$IM18="غياب بعذر"))*('KG1-6'!$AD$7:$IM$7="✓"),'KG1-6'!$AD$5:$IM$5),4),""))</f>
        <v/>
      </c>
      <c r="E3185">
        <f>IF(D3185="","",INDEX('KG1-6'!$AD18:$IM18,MATCH(D3185,'KG1-6'!$AD$5:$IM$5,0)))</f>
        <v/>
      </c>
      <c r="F3185">
        <f>IF(D3185="","",COUNTIFS('KG1-6'!$AD18:$IM18,"غياب بدون عذر",'KG1-6'!$AD$7:$IM$7,"✓",'KG1-6'!$AD$5:$IM$5,"&lt;="&amp;D3185))</f>
        <v/>
      </c>
      <c r="G3185">
        <f>G3184+IF(D3185="",0,1)</f>
        <v/>
      </c>
    </row>
    <row r="3186">
      <c r="A3186">
        <f>IF('KG1-6'!$B18="","",'KG1-6'!$B18)</f>
        <v/>
      </c>
      <c r="B3186">
        <f>IF(A3186="","",'KG1-6'!$C18)</f>
        <v/>
      </c>
      <c r="C3186">
        <f>IF(A3186="","",'KG1-6'!$B$2)</f>
        <v/>
      </c>
      <c r="D3186" s="126">
        <f t="array" ref="D3186">IF(A3186="","",IFERROR(SMALL(IF((('KG1-6'!$AD18:$IM18="غياب بدون عذر")+('KG1-6'!$AD18:$IM18="غياب بعذر"))*('KG1-6'!$AD$7:$IM$7="✓"),'KG1-6'!$AD$5:$IM$5),5),""))</f>
        <v/>
      </c>
      <c r="E3186">
        <f>IF(D3186="","",INDEX('KG1-6'!$AD18:$IM18,MATCH(D3186,'KG1-6'!$AD$5:$IM$5,0)))</f>
        <v/>
      </c>
      <c r="F3186">
        <f>IF(D3186="","",COUNTIFS('KG1-6'!$AD18:$IM18,"غياب بدون عذر",'KG1-6'!$AD$7:$IM$7,"✓",'KG1-6'!$AD$5:$IM$5,"&lt;="&amp;D3186))</f>
        <v/>
      </c>
      <c r="G3186">
        <f>G3185+IF(D3186="",0,1)</f>
        <v/>
      </c>
    </row>
    <row r="3187">
      <c r="A3187">
        <f>IF('KG1-6'!$B18="","",'KG1-6'!$B18)</f>
        <v/>
      </c>
      <c r="B3187">
        <f>IF(A3187="","",'KG1-6'!$C18)</f>
        <v/>
      </c>
      <c r="C3187">
        <f>IF(A3187="","",'KG1-6'!$B$2)</f>
        <v/>
      </c>
      <c r="D3187" s="126">
        <f t="array" ref="D3187">IF(A3187="","",IFERROR(SMALL(IF((('KG1-6'!$AD18:$IM18="غياب بدون عذر")+('KG1-6'!$AD18:$IM18="غياب بعذر"))*('KG1-6'!$AD$7:$IM$7="✓"),'KG1-6'!$AD$5:$IM$5),6),""))</f>
        <v/>
      </c>
      <c r="E3187">
        <f>IF(D3187="","",INDEX('KG1-6'!$AD18:$IM18,MATCH(D3187,'KG1-6'!$AD$5:$IM$5,0)))</f>
        <v/>
      </c>
      <c r="F3187">
        <f>IF(D3187="","",COUNTIFS('KG1-6'!$AD18:$IM18,"غياب بدون عذر",'KG1-6'!$AD$7:$IM$7,"✓",'KG1-6'!$AD$5:$IM$5,"&lt;="&amp;D3187))</f>
        <v/>
      </c>
      <c r="G3187">
        <f>G3186+IF(D3187="",0,1)</f>
        <v/>
      </c>
    </row>
    <row r="3188">
      <c r="A3188">
        <f>IF('KG1-6'!$B18="","",'KG1-6'!$B18)</f>
        <v/>
      </c>
      <c r="B3188">
        <f>IF(A3188="","",'KG1-6'!$C18)</f>
        <v/>
      </c>
      <c r="C3188">
        <f>IF(A3188="","",'KG1-6'!$B$2)</f>
        <v/>
      </c>
      <c r="D3188" s="126">
        <f t="array" ref="D3188">IF(A3188="","",IFERROR(SMALL(IF((('KG1-6'!$AD18:$IM18="غياب بدون عذر")+('KG1-6'!$AD18:$IM18="غياب بعذر"))*('KG1-6'!$AD$7:$IM$7="✓"),'KG1-6'!$AD$5:$IM$5),7),""))</f>
        <v/>
      </c>
      <c r="E3188">
        <f>IF(D3188="","",INDEX('KG1-6'!$AD18:$IM18,MATCH(D3188,'KG1-6'!$AD$5:$IM$5,0)))</f>
        <v/>
      </c>
      <c r="F3188">
        <f>IF(D3188="","",COUNTIFS('KG1-6'!$AD18:$IM18,"غياب بدون عذر",'KG1-6'!$AD$7:$IM$7,"✓",'KG1-6'!$AD$5:$IM$5,"&lt;="&amp;D3188))</f>
        <v/>
      </c>
      <c r="G3188">
        <f>G3187+IF(D3188="",0,1)</f>
        <v/>
      </c>
    </row>
    <row r="3189">
      <c r="A3189">
        <f>IF('KG1-6'!$B18="","",'KG1-6'!$B18)</f>
        <v/>
      </c>
      <c r="B3189">
        <f>IF(A3189="","",'KG1-6'!$C18)</f>
        <v/>
      </c>
      <c r="C3189">
        <f>IF(A3189="","",'KG1-6'!$B$2)</f>
        <v/>
      </c>
      <c r="D3189" s="126">
        <f t="array" ref="D3189">IF(A3189="","",IFERROR(SMALL(IF((('KG1-6'!$AD18:$IM18="غياب بدون عذر")+('KG1-6'!$AD18:$IM18="غياب بعذر"))*('KG1-6'!$AD$7:$IM$7="✓"),'KG1-6'!$AD$5:$IM$5),8),""))</f>
        <v/>
      </c>
      <c r="E3189">
        <f>IF(D3189="","",INDEX('KG1-6'!$AD18:$IM18,MATCH(D3189,'KG1-6'!$AD$5:$IM$5,0)))</f>
        <v/>
      </c>
      <c r="F3189">
        <f>IF(D3189="","",COUNTIFS('KG1-6'!$AD18:$IM18,"غياب بدون عذر",'KG1-6'!$AD$7:$IM$7,"✓",'KG1-6'!$AD$5:$IM$5,"&lt;="&amp;D3189))</f>
        <v/>
      </c>
      <c r="G3189">
        <f>G3188+IF(D3189="",0,1)</f>
        <v/>
      </c>
    </row>
    <row r="3190">
      <c r="A3190">
        <f>IF('KG1-6'!$B18="","",'KG1-6'!$B18)</f>
        <v/>
      </c>
      <c r="B3190">
        <f>IF(A3190="","",'KG1-6'!$C18)</f>
        <v/>
      </c>
      <c r="C3190">
        <f>IF(A3190="","",'KG1-6'!$B$2)</f>
        <v/>
      </c>
      <c r="D3190" s="126">
        <f t="array" ref="D3190">IF(A3190="","",IFERROR(SMALL(IF((('KG1-6'!$AD18:$IM18="غياب بدون عذر")+('KG1-6'!$AD18:$IM18="غياب بعذر"))*('KG1-6'!$AD$7:$IM$7="✓"),'KG1-6'!$AD$5:$IM$5),9),""))</f>
        <v/>
      </c>
      <c r="E3190">
        <f>IF(D3190="","",INDEX('KG1-6'!$AD18:$IM18,MATCH(D3190,'KG1-6'!$AD$5:$IM$5,0)))</f>
        <v/>
      </c>
      <c r="F3190">
        <f>IF(D3190="","",COUNTIFS('KG1-6'!$AD18:$IM18,"غياب بدون عذر",'KG1-6'!$AD$7:$IM$7,"✓",'KG1-6'!$AD$5:$IM$5,"&lt;="&amp;D3190))</f>
        <v/>
      </c>
      <c r="G3190">
        <f>G3189+IF(D3190="",0,1)</f>
        <v/>
      </c>
    </row>
    <row r="3191">
      <c r="A3191">
        <f>IF('KG1-6'!$B18="","",'KG1-6'!$B18)</f>
        <v/>
      </c>
      <c r="B3191">
        <f>IF(A3191="","",'KG1-6'!$C18)</f>
        <v/>
      </c>
      <c r="C3191">
        <f>IF(A3191="","",'KG1-6'!$B$2)</f>
        <v/>
      </c>
      <c r="D3191" s="126">
        <f t="array" ref="D3191">IF(A3191="","",IFERROR(SMALL(IF((('KG1-6'!$AD18:$IM18="غياب بدون عذر")+('KG1-6'!$AD18:$IM18="غياب بعذر"))*('KG1-6'!$AD$7:$IM$7="✓"),'KG1-6'!$AD$5:$IM$5),10),""))</f>
        <v/>
      </c>
      <c r="E3191">
        <f>IF(D3191="","",INDEX('KG1-6'!$AD18:$IM18,MATCH(D3191,'KG1-6'!$AD$5:$IM$5,0)))</f>
        <v/>
      </c>
      <c r="F3191">
        <f>IF(D3191="","",COUNTIFS('KG1-6'!$AD18:$IM18,"غياب بدون عذر",'KG1-6'!$AD$7:$IM$7,"✓",'KG1-6'!$AD$5:$IM$5,"&lt;="&amp;D3191))</f>
        <v/>
      </c>
      <c r="G3191">
        <f>G3190+IF(D3191="",0,1)</f>
        <v/>
      </c>
    </row>
    <row r="3192">
      <c r="A3192">
        <f>IF('KG1-6'!$B18="","",'KG1-6'!$B18)</f>
        <v/>
      </c>
      <c r="B3192">
        <f>IF(A3192="","",'KG1-6'!$C18)</f>
        <v/>
      </c>
      <c r="C3192">
        <f>IF(A3192="","",'KG1-6'!$B$2)</f>
        <v/>
      </c>
      <c r="D3192" s="126">
        <f t="array" ref="D3192">IF(A3192="","",IFERROR(SMALL(IF((('KG1-6'!$AD18:$IM18="غياب بدون عذر")+('KG1-6'!$AD18:$IM18="غياب بعذر"))*('KG1-6'!$AD$7:$IM$7="✓"),'KG1-6'!$AD$5:$IM$5),11),""))</f>
        <v/>
      </c>
      <c r="E3192">
        <f>IF(D3192="","",INDEX('KG1-6'!$AD18:$IM18,MATCH(D3192,'KG1-6'!$AD$5:$IM$5,0)))</f>
        <v/>
      </c>
      <c r="F3192">
        <f>IF(D3192="","",COUNTIFS('KG1-6'!$AD18:$IM18,"غياب بدون عذر",'KG1-6'!$AD$7:$IM$7,"✓",'KG1-6'!$AD$5:$IM$5,"&lt;="&amp;D3192))</f>
        <v/>
      </c>
      <c r="G3192">
        <f>G3191+IF(D3192="",0,1)</f>
        <v/>
      </c>
    </row>
    <row r="3193">
      <c r="A3193">
        <f>IF('KG1-6'!$B18="","",'KG1-6'!$B18)</f>
        <v/>
      </c>
      <c r="B3193">
        <f>IF(A3193="","",'KG1-6'!$C18)</f>
        <v/>
      </c>
      <c r="C3193">
        <f>IF(A3193="","",'KG1-6'!$B$2)</f>
        <v/>
      </c>
      <c r="D3193" s="126">
        <f t="array" ref="D3193">IF(A3193="","",IFERROR(SMALL(IF((('KG1-6'!$AD18:$IM18="غياب بدون عذر")+('KG1-6'!$AD18:$IM18="غياب بعذر"))*('KG1-6'!$AD$7:$IM$7="✓"),'KG1-6'!$AD$5:$IM$5),12),""))</f>
        <v/>
      </c>
      <c r="E3193">
        <f>IF(D3193="","",INDEX('KG1-6'!$AD18:$IM18,MATCH(D3193,'KG1-6'!$AD$5:$IM$5,0)))</f>
        <v/>
      </c>
      <c r="F3193">
        <f>IF(D3193="","",COUNTIFS('KG1-6'!$AD18:$IM18,"غياب بدون عذر",'KG1-6'!$AD$7:$IM$7,"✓",'KG1-6'!$AD$5:$IM$5,"&lt;="&amp;D3193))</f>
        <v/>
      </c>
      <c r="G3193">
        <f>G3192+IF(D3193="",0,1)</f>
        <v/>
      </c>
    </row>
    <row r="3194">
      <c r="A3194">
        <f>IF('KG1-6'!$B18="","",'KG1-6'!$B18)</f>
        <v/>
      </c>
      <c r="B3194">
        <f>IF(A3194="","",'KG1-6'!$C18)</f>
        <v/>
      </c>
      <c r="C3194">
        <f>IF(A3194="","",'KG1-6'!$B$2)</f>
        <v/>
      </c>
      <c r="D3194" s="126">
        <f t="array" ref="D3194">IF(A3194="","",IFERROR(SMALL(IF((('KG1-6'!$AD18:$IM18="غياب بدون عذر")+('KG1-6'!$AD18:$IM18="غياب بعذر"))*('KG1-6'!$AD$7:$IM$7="✓"),'KG1-6'!$AD$5:$IM$5),13),""))</f>
        <v/>
      </c>
      <c r="E3194">
        <f>IF(D3194="","",INDEX('KG1-6'!$AD18:$IM18,MATCH(D3194,'KG1-6'!$AD$5:$IM$5,0)))</f>
        <v/>
      </c>
      <c r="F3194">
        <f>IF(D3194="","",COUNTIFS('KG1-6'!$AD18:$IM18,"غياب بدون عذر",'KG1-6'!$AD$7:$IM$7,"✓",'KG1-6'!$AD$5:$IM$5,"&lt;="&amp;D3194))</f>
        <v/>
      </c>
      <c r="G3194">
        <f>G3193+IF(D3194="",0,1)</f>
        <v/>
      </c>
    </row>
    <row r="3195">
      <c r="A3195">
        <f>IF('KG1-6'!$B18="","",'KG1-6'!$B18)</f>
        <v/>
      </c>
      <c r="B3195">
        <f>IF(A3195="","",'KG1-6'!$C18)</f>
        <v/>
      </c>
      <c r="C3195">
        <f>IF(A3195="","",'KG1-6'!$B$2)</f>
        <v/>
      </c>
      <c r="D3195" s="126">
        <f t="array" ref="D3195">IF(A3195="","",IFERROR(SMALL(IF((('KG1-6'!$AD18:$IM18="غياب بدون عذر")+('KG1-6'!$AD18:$IM18="غياب بعذر"))*('KG1-6'!$AD$7:$IM$7="✓"),'KG1-6'!$AD$5:$IM$5),14),""))</f>
        <v/>
      </c>
      <c r="E3195">
        <f>IF(D3195="","",INDEX('KG1-6'!$AD18:$IM18,MATCH(D3195,'KG1-6'!$AD$5:$IM$5,0)))</f>
        <v/>
      </c>
      <c r="F3195">
        <f>IF(D3195="","",COUNTIFS('KG1-6'!$AD18:$IM18,"غياب بدون عذر",'KG1-6'!$AD$7:$IM$7,"✓",'KG1-6'!$AD$5:$IM$5,"&lt;="&amp;D3195))</f>
        <v/>
      </c>
      <c r="G3195">
        <f>G3194+IF(D3195="",0,1)</f>
        <v/>
      </c>
    </row>
    <row r="3196">
      <c r="A3196">
        <f>IF('KG1-6'!$B18="","",'KG1-6'!$B18)</f>
        <v/>
      </c>
      <c r="B3196">
        <f>IF(A3196="","",'KG1-6'!$C18)</f>
        <v/>
      </c>
      <c r="C3196">
        <f>IF(A3196="","",'KG1-6'!$B$2)</f>
        <v/>
      </c>
      <c r="D3196" s="126">
        <f t="array" ref="D3196">IF(A3196="","",IFERROR(SMALL(IF((('KG1-6'!$AD18:$IM18="غياب بدون عذر")+('KG1-6'!$AD18:$IM18="غياب بعذر"))*('KG1-6'!$AD$7:$IM$7="✓"),'KG1-6'!$AD$5:$IM$5),15),""))</f>
        <v/>
      </c>
      <c r="E3196">
        <f>IF(D3196="","",INDEX('KG1-6'!$AD18:$IM18,MATCH(D3196,'KG1-6'!$AD$5:$IM$5,0)))</f>
        <v/>
      </c>
      <c r="F3196">
        <f>IF(D3196="","",COUNTIFS('KG1-6'!$AD18:$IM18,"غياب بدون عذر",'KG1-6'!$AD$7:$IM$7,"✓",'KG1-6'!$AD$5:$IM$5,"&lt;="&amp;D3196))</f>
        <v/>
      </c>
      <c r="G3196">
        <f>G3195+IF(D3196="",0,1)</f>
        <v/>
      </c>
    </row>
    <row r="3197">
      <c r="A3197">
        <f>IF('KG1-6'!$B18="","",'KG1-6'!$B18)</f>
        <v/>
      </c>
      <c r="B3197">
        <f>IF(A3197="","",'KG1-6'!$C18)</f>
        <v/>
      </c>
      <c r="C3197">
        <f>IF(A3197="","",'KG1-6'!$B$2)</f>
        <v/>
      </c>
      <c r="D3197" s="126">
        <f t="array" ref="D3197">IF(A3197="","",IFERROR(SMALL(IF((('KG1-6'!$AD18:$IM18="غياب بدون عذر")+('KG1-6'!$AD18:$IM18="غياب بعذر"))*('KG1-6'!$AD$7:$IM$7="✓"),'KG1-6'!$AD$5:$IM$5),16),""))</f>
        <v/>
      </c>
      <c r="E3197">
        <f>IF(D3197="","",INDEX('KG1-6'!$AD18:$IM18,MATCH(D3197,'KG1-6'!$AD$5:$IM$5,0)))</f>
        <v/>
      </c>
      <c r="F3197">
        <f>IF(D3197="","",COUNTIFS('KG1-6'!$AD18:$IM18,"غياب بدون عذر",'KG1-6'!$AD$7:$IM$7,"✓",'KG1-6'!$AD$5:$IM$5,"&lt;="&amp;D3197))</f>
        <v/>
      </c>
      <c r="G3197">
        <f>G3196+IF(D3197="",0,1)</f>
        <v/>
      </c>
    </row>
    <row r="3198">
      <c r="A3198">
        <f>IF('KG1-6'!$B18="","",'KG1-6'!$B18)</f>
        <v/>
      </c>
      <c r="B3198">
        <f>IF(A3198="","",'KG1-6'!$C18)</f>
        <v/>
      </c>
      <c r="C3198">
        <f>IF(A3198="","",'KG1-6'!$B$2)</f>
        <v/>
      </c>
      <c r="D3198" s="126">
        <f t="array" ref="D3198">IF(A3198="","",IFERROR(SMALL(IF((('KG1-6'!$AD18:$IM18="غياب بدون عذر")+('KG1-6'!$AD18:$IM18="غياب بعذر"))*('KG1-6'!$AD$7:$IM$7="✓"),'KG1-6'!$AD$5:$IM$5),17),""))</f>
        <v/>
      </c>
      <c r="E3198">
        <f>IF(D3198="","",INDEX('KG1-6'!$AD18:$IM18,MATCH(D3198,'KG1-6'!$AD$5:$IM$5,0)))</f>
        <v/>
      </c>
      <c r="F3198">
        <f>IF(D3198="","",COUNTIFS('KG1-6'!$AD18:$IM18,"غياب بدون عذر",'KG1-6'!$AD$7:$IM$7,"✓",'KG1-6'!$AD$5:$IM$5,"&lt;="&amp;D3198))</f>
        <v/>
      </c>
      <c r="G3198">
        <f>G3197+IF(D3198="",0,1)</f>
        <v/>
      </c>
    </row>
    <row r="3199">
      <c r="A3199">
        <f>IF('KG1-6'!$B18="","",'KG1-6'!$B18)</f>
        <v/>
      </c>
      <c r="B3199">
        <f>IF(A3199="","",'KG1-6'!$C18)</f>
        <v/>
      </c>
      <c r="C3199">
        <f>IF(A3199="","",'KG1-6'!$B$2)</f>
        <v/>
      </c>
      <c r="D3199" s="126">
        <f t="array" ref="D3199">IF(A3199="","",IFERROR(SMALL(IF((('KG1-6'!$AD18:$IM18="غياب بدون عذر")+('KG1-6'!$AD18:$IM18="غياب بعذر"))*('KG1-6'!$AD$7:$IM$7="✓"),'KG1-6'!$AD$5:$IM$5),18),""))</f>
        <v/>
      </c>
      <c r="E3199">
        <f>IF(D3199="","",INDEX('KG1-6'!$AD18:$IM18,MATCH(D3199,'KG1-6'!$AD$5:$IM$5,0)))</f>
        <v/>
      </c>
      <c r="F3199">
        <f>IF(D3199="","",COUNTIFS('KG1-6'!$AD18:$IM18,"غياب بدون عذر",'KG1-6'!$AD$7:$IM$7,"✓",'KG1-6'!$AD$5:$IM$5,"&lt;="&amp;D3199))</f>
        <v/>
      </c>
      <c r="G3199">
        <f>G3198+IF(D3199="",0,1)</f>
        <v/>
      </c>
    </row>
    <row r="3200">
      <c r="A3200">
        <f>IF('KG1-6'!$B18="","",'KG1-6'!$B18)</f>
        <v/>
      </c>
      <c r="B3200">
        <f>IF(A3200="","",'KG1-6'!$C18)</f>
        <v/>
      </c>
      <c r="C3200">
        <f>IF(A3200="","",'KG1-6'!$B$2)</f>
        <v/>
      </c>
      <c r="D3200" s="126">
        <f t="array" ref="D3200">IF(A3200="","",IFERROR(SMALL(IF((('KG1-6'!$AD18:$IM18="غياب بدون عذر")+('KG1-6'!$AD18:$IM18="غياب بعذر"))*('KG1-6'!$AD$7:$IM$7="✓"),'KG1-6'!$AD$5:$IM$5),19),""))</f>
        <v/>
      </c>
      <c r="E3200">
        <f>IF(D3200="","",INDEX('KG1-6'!$AD18:$IM18,MATCH(D3200,'KG1-6'!$AD$5:$IM$5,0)))</f>
        <v/>
      </c>
      <c r="F3200">
        <f>IF(D3200="","",COUNTIFS('KG1-6'!$AD18:$IM18,"غياب بدون عذر",'KG1-6'!$AD$7:$IM$7,"✓",'KG1-6'!$AD$5:$IM$5,"&lt;="&amp;D3200))</f>
        <v/>
      </c>
      <c r="G3200">
        <f>G3199+IF(D3200="",0,1)</f>
        <v/>
      </c>
    </row>
    <row r="3201">
      <c r="A3201">
        <f>IF('KG1-6'!$B18="","",'KG1-6'!$B18)</f>
        <v/>
      </c>
      <c r="B3201">
        <f>IF(A3201="","",'KG1-6'!$C18)</f>
        <v/>
      </c>
      <c r="C3201">
        <f>IF(A3201="","",'KG1-6'!$B$2)</f>
        <v/>
      </c>
      <c r="D3201" s="126">
        <f t="array" ref="D3201">IF(A3201="","",IFERROR(SMALL(IF((('KG1-6'!$AD18:$IM18="غياب بدون عذر")+('KG1-6'!$AD18:$IM18="غياب بعذر"))*('KG1-6'!$AD$7:$IM$7="✓"),'KG1-6'!$AD$5:$IM$5),20),""))</f>
        <v/>
      </c>
      <c r="E3201">
        <f>IF(D3201="","",INDEX('KG1-6'!$AD18:$IM18,MATCH(D3201,'KG1-6'!$AD$5:$IM$5,0)))</f>
        <v/>
      </c>
      <c r="F3201">
        <f>IF(D3201="","",COUNTIFS('KG1-6'!$AD18:$IM18,"غياب بدون عذر",'KG1-6'!$AD$7:$IM$7,"✓",'KG1-6'!$AD$5:$IM$5,"&lt;="&amp;D3201))</f>
        <v/>
      </c>
      <c r="G3201">
        <f>G3200+IF(D3201="",0,1)</f>
        <v/>
      </c>
    </row>
    <row r="3202">
      <c r="A3202">
        <f>IF('KG1-6'!$B19="","",'KG1-6'!$B19)</f>
        <v/>
      </c>
      <c r="B3202">
        <f>IF(A3202="","",'KG1-6'!$C19)</f>
        <v/>
      </c>
      <c r="C3202">
        <f>IF(A3202="","",'KG1-6'!$B$2)</f>
        <v/>
      </c>
      <c r="D3202" s="126">
        <f t="array" ref="D3202">IF(A3202="","",IFERROR(SMALL(IF((('KG1-6'!$AD19:$IM19="غياب بدون عذر")+('KG1-6'!$AD19:$IM19="غياب بعذر"))*('KG1-6'!$AD$7:$IM$7="✓"),'KG1-6'!$AD$5:$IM$5),1),""))</f>
        <v/>
      </c>
      <c r="E3202">
        <f>IF(D3202="","",INDEX('KG1-6'!$AD19:$IM19,MATCH(D3202,'KG1-6'!$AD$5:$IM$5,0)))</f>
        <v/>
      </c>
      <c r="F3202">
        <f>IF(D3202="","",COUNTIFS('KG1-6'!$AD19:$IM19,"غياب بدون عذر",'KG1-6'!$AD$7:$IM$7,"✓",'KG1-6'!$AD$5:$IM$5,"&lt;="&amp;D3202))</f>
        <v/>
      </c>
      <c r="G3202">
        <f>G3201+IF(D3202="",0,1)</f>
        <v/>
      </c>
    </row>
    <row r="3203">
      <c r="A3203">
        <f>IF('KG1-6'!$B19="","",'KG1-6'!$B19)</f>
        <v/>
      </c>
      <c r="B3203">
        <f>IF(A3203="","",'KG1-6'!$C19)</f>
        <v/>
      </c>
      <c r="C3203">
        <f>IF(A3203="","",'KG1-6'!$B$2)</f>
        <v/>
      </c>
      <c r="D3203" s="126">
        <f t="array" ref="D3203">IF(A3203="","",IFERROR(SMALL(IF((('KG1-6'!$AD19:$IM19="غياب بدون عذر")+('KG1-6'!$AD19:$IM19="غياب بعذر"))*('KG1-6'!$AD$7:$IM$7="✓"),'KG1-6'!$AD$5:$IM$5),2),""))</f>
        <v/>
      </c>
      <c r="E3203">
        <f>IF(D3203="","",INDEX('KG1-6'!$AD19:$IM19,MATCH(D3203,'KG1-6'!$AD$5:$IM$5,0)))</f>
        <v/>
      </c>
      <c r="F3203">
        <f>IF(D3203="","",COUNTIFS('KG1-6'!$AD19:$IM19,"غياب بدون عذر",'KG1-6'!$AD$7:$IM$7,"✓",'KG1-6'!$AD$5:$IM$5,"&lt;="&amp;D3203))</f>
        <v/>
      </c>
      <c r="G3203">
        <f>G3202+IF(D3203="",0,1)</f>
        <v/>
      </c>
    </row>
    <row r="3204">
      <c r="A3204">
        <f>IF('KG1-6'!$B19="","",'KG1-6'!$B19)</f>
        <v/>
      </c>
      <c r="B3204">
        <f>IF(A3204="","",'KG1-6'!$C19)</f>
        <v/>
      </c>
      <c r="C3204">
        <f>IF(A3204="","",'KG1-6'!$B$2)</f>
        <v/>
      </c>
      <c r="D3204" s="126">
        <f t="array" ref="D3204">IF(A3204="","",IFERROR(SMALL(IF((('KG1-6'!$AD19:$IM19="غياب بدون عذر")+('KG1-6'!$AD19:$IM19="غياب بعذر"))*('KG1-6'!$AD$7:$IM$7="✓"),'KG1-6'!$AD$5:$IM$5),3),""))</f>
        <v/>
      </c>
      <c r="E3204">
        <f>IF(D3204="","",INDEX('KG1-6'!$AD19:$IM19,MATCH(D3204,'KG1-6'!$AD$5:$IM$5,0)))</f>
        <v/>
      </c>
      <c r="F3204">
        <f>IF(D3204="","",COUNTIFS('KG1-6'!$AD19:$IM19,"غياب بدون عذر",'KG1-6'!$AD$7:$IM$7,"✓",'KG1-6'!$AD$5:$IM$5,"&lt;="&amp;D3204))</f>
        <v/>
      </c>
      <c r="G3204">
        <f>G3203+IF(D3204="",0,1)</f>
        <v/>
      </c>
    </row>
    <row r="3205">
      <c r="A3205">
        <f>IF('KG1-6'!$B19="","",'KG1-6'!$B19)</f>
        <v/>
      </c>
      <c r="B3205">
        <f>IF(A3205="","",'KG1-6'!$C19)</f>
        <v/>
      </c>
      <c r="C3205">
        <f>IF(A3205="","",'KG1-6'!$B$2)</f>
        <v/>
      </c>
      <c r="D3205" s="126">
        <f t="array" ref="D3205">IF(A3205="","",IFERROR(SMALL(IF((('KG1-6'!$AD19:$IM19="غياب بدون عذر")+('KG1-6'!$AD19:$IM19="غياب بعذر"))*('KG1-6'!$AD$7:$IM$7="✓"),'KG1-6'!$AD$5:$IM$5),4),""))</f>
        <v/>
      </c>
      <c r="E3205">
        <f>IF(D3205="","",INDEX('KG1-6'!$AD19:$IM19,MATCH(D3205,'KG1-6'!$AD$5:$IM$5,0)))</f>
        <v/>
      </c>
      <c r="F3205">
        <f>IF(D3205="","",COUNTIFS('KG1-6'!$AD19:$IM19,"غياب بدون عذر",'KG1-6'!$AD$7:$IM$7,"✓",'KG1-6'!$AD$5:$IM$5,"&lt;="&amp;D3205))</f>
        <v/>
      </c>
      <c r="G3205">
        <f>G3204+IF(D3205="",0,1)</f>
        <v/>
      </c>
    </row>
    <row r="3206">
      <c r="A3206">
        <f>IF('KG1-6'!$B19="","",'KG1-6'!$B19)</f>
        <v/>
      </c>
      <c r="B3206">
        <f>IF(A3206="","",'KG1-6'!$C19)</f>
        <v/>
      </c>
      <c r="C3206">
        <f>IF(A3206="","",'KG1-6'!$B$2)</f>
        <v/>
      </c>
      <c r="D3206" s="126">
        <f t="array" ref="D3206">IF(A3206="","",IFERROR(SMALL(IF((('KG1-6'!$AD19:$IM19="غياب بدون عذر")+('KG1-6'!$AD19:$IM19="غياب بعذر"))*('KG1-6'!$AD$7:$IM$7="✓"),'KG1-6'!$AD$5:$IM$5),5),""))</f>
        <v/>
      </c>
      <c r="E3206">
        <f>IF(D3206="","",INDEX('KG1-6'!$AD19:$IM19,MATCH(D3206,'KG1-6'!$AD$5:$IM$5,0)))</f>
        <v/>
      </c>
      <c r="F3206">
        <f>IF(D3206="","",COUNTIFS('KG1-6'!$AD19:$IM19,"غياب بدون عذر",'KG1-6'!$AD$7:$IM$7,"✓",'KG1-6'!$AD$5:$IM$5,"&lt;="&amp;D3206))</f>
        <v/>
      </c>
      <c r="G3206">
        <f>G3205+IF(D3206="",0,1)</f>
        <v/>
      </c>
    </row>
    <row r="3207">
      <c r="A3207">
        <f>IF('KG1-6'!$B19="","",'KG1-6'!$B19)</f>
        <v/>
      </c>
      <c r="B3207">
        <f>IF(A3207="","",'KG1-6'!$C19)</f>
        <v/>
      </c>
      <c r="C3207">
        <f>IF(A3207="","",'KG1-6'!$B$2)</f>
        <v/>
      </c>
      <c r="D3207" s="126">
        <f t="array" ref="D3207">IF(A3207="","",IFERROR(SMALL(IF((('KG1-6'!$AD19:$IM19="غياب بدون عذر")+('KG1-6'!$AD19:$IM19="غياب بعذر"))*('KG1-6'!$AD$7:$IM$7="✓"),'KG1-6'!$AD$5:$IM$5),6),""))</f>
        <v/>
      </c>
      <c r="E3207">
        <f>IF(D3207="","",INDEX('KG1-6'!$AD19:$IM19,MATCH(D3207,'KG1-6'!$AD$5:$IM$5,0)))</f>
        <v/>
      </c>
      <c r="F3207">
        <f>IF(D3207="","",COUNTIFS('KG1-6'!$AD19:$IM19,"غياب بدون عذر",'KG1-6'!$AD$7:$IM$7,"✓",'KG1-6'!$AD$5:$IM$5,"&lt;="&amp;D3207))</f>
        <v/>
      </c>
      <c r="G3207">
        <f>G3206+IF(D3207="",0,1)</f>
        <v/>
      </c>
    </row>
    <row r="3208">
      <c r="A3208">
        <f>IF('KG1-6'!$B19="","",'KG1-6'!$B19)</f>
        <v/>
      </c>
      <c r="B3208">
        <f>IF(A3208="","",'KG1-6'!$C19)</f>
        <v/>
      </c>
      <c r="C3208">
        <f>IF(A3208="","",'KG1-6'!$B$2)</f>
        <v/>
      </c>
      <c r="D3208" s="126">
        <f t="array" ref="D3208">IF(A3208="","",IFERROR(SMALL(IF((('KG1-6'!$AD19:$IM19="غياب بدون عذر")+('KG1-6'!$AD19:$IM19="غياب بعذر"))*('KG1-6'!$AD$7:$IM$7="✓"),'KG1-6'!$AD$5:$IM$5),7),""))</f>
        <v/>
      </c>
      <c r="E3208">
        <f>IF(D3208="","",INDEX('KG1-6'!$AD19:$IM19,MATCH(D3208,'KG1-6'!$AD$5:$IM$5,0)))</f>
        <v/>
      </c>
      <c r="F3208">
        <f>IF(D3208="","",COUNTIFS('KG1-6'!$AD19:$IM19,"غياب بدون عذر",'KG1-6'!$AD$7:$IM$7,"✓",'KG1-6'!$AD$5:$IM$5,"&lt;="&amp;D3208))</f>
        <v/>
      </c>
      <c r="G3208">
        <f>G3207+IF(D3208="",0,1)</f>
        <v/>
      </c>
    </row>
    <row r="3209">
      <c r="A3209">
        <f>IF('KG1-6'!$B19="","",'KG1-6'!$B19)</f>
        <v/>
      </c>
      <c r="B3209">
        <f>IF(A3209="","",'KG1-6'!$C19)</f>
        <v/>
      </c>
      <c r="C3209">
        <f>IF(A3209="","",'KG1-6'!$B$2)</f>
        <v/>
      </c>
      <c r="D3209" s="126">
        <f t="array" ref="D3209">IF(A3209="","",IFERROR(SMALL(IF((('KG1-6'!$AD19:$IM19="غياب بدون عذر")+('KG1-6'!$AD19:$IM19="غياب بعذر"))*('KG1-6'!$AD$7:$IM$7="✓"),'KG1-6'!$AD$5:$IM$5),8),""))</f>
        <v/>
      </c>
      <c r="E3209">
        <f>IF(D3209="","",INDEX('KG1-6'!$AD19:$IM19,MATCH(D3209,'KG1-6'!$AD$5:$IM$5,0)))</f>
        <v/>
      </c>
      <c r="F3209">
        <f>IF(D3209="","",COUNTIFS('KG1-6'!$AD19:$IM19,"غياب بدون عذر",'KG1-6'!$AD$7:$IM$7,"✓",'KG1-6'!$AD$5:$IM$5,"&lt;="&amp;D3209))</f>
        <v/>
      </c>
      <c r="G3209">
        <f>G3208+IF(D3209="",0,1)</f>
        <v/>
      </c>
    </row>
    <row r="3210">
      <c r="A3210">
        <f>IF('KG1-6'!$B19="","",'KG1-6'!$B19)</f>
        <v/>
      </c>
      <c r="B3210">
        <f>IF(A3210="","",'KG1-6'!$C19)</f>
        <v/>
      </c>
      <c r="C3210">
        <f>IF(A3210="","",'KG1-6'!$B$2)</f>
        <v/>
      </c>
      <c r="D3210" s="126">
        <f t="array" ref="D3210">IF(A3210="","",IFERROR(SMALL(IF((('KG1-6'!$AD19:$IM19="غياب بدون عذر")+('KG1-6'!$AD19:$IM19="غياب بعذر"))*('KG1-6'!$AD$7:$IM$7="✓"),'KG1-6'!$AD$5:$IM$5),9),""))</f>
        <v/>
      </c>
      <c r="E3210">
        <f>IF(D3210="","",INDEX('KG1-6'!$AD19:$IM19,MATCH(D3210,'KG1-6'!$AD$5:$IM$5,0)))</f>
        <v/>
      </c>
      <c r="F3210">
        <f>IF(D3210="","",COUNTIFS('KG1-6'!$AD19:$IM19,"غياب بدون عذر",'KG1-6'!$AD$7:$IM$7,"✓",'KG1-6'!$AD$5:$IM$5,"&lt;="&amp;D3210))</f>
        <v/>
      </c>
      <c r="G3210">
        <f>G3209+IF(D3210="",0,1)</f>
        <v/>
      </c>
    </row>
    <row r="3211">
      <c r="A3211">
        <f>IF('KG1-6'!$B19="","",'KG1-6'!$B19)</f>
        <v/>
      </c>
      <c r="B3211">
        <f>IF(A3211="","",'KG1-6'!$C19)</f>
        <v/>
      </c>
      <c r="C3211">
        <f>IF(A3211="","",'KG1-6'!$B$2)</f>
        <v/>
      </c>
      <c r="D3211" s="126">
        <f t="array" ref="D3211">IF(A3211="","",IFERROR(SMALL(IF((('KG1-6'!$AD19:$IM19="غياب بدون عذر")+('KG1-6'!$AD19:$IM19="غياب بعذر"))*('KG1-6'!$AD$7:$IM$7="✓"),'KG1-6'!$AD$5:$IM$5),10),""))</f>
        <v/>
      </c>
      <c r="E3211">
        <f>IF(D3211="","",INDEX('KG1-6'!$AD19:$IM19,MATCH(D3211,'KG1-6'!$AD$5:$IM$5,0)))</f>
        <v/>
      </c>
      <c r="F3211">
        <f>IF(D3211="","",COUNTIFS('KG1-6'!$AD19:$IM19,"غياب بدون عذر",'KG1-6'!$AD$7:$IM$7,"✓",'KG1-6'!$AD$5:$IM$5,"&lt;="&amp;D3211))</f>
        <v/>
      </c>
      <c r="G3211">
        <f>G3210+IF(D3211="",0,1)</f>
        <v/>
      </c>
    </row>
    <row r="3212">
      <c r="A3212">
        <f>IF('KG1-6'!$B19="","",'KG1-6'!$B19)</f>
        <v/>
      </c>
      <c r="B3212">
        <f>IF(A3212="","",'KG1-6'!$C19)</f>
        <v/>
      </c>
      <c r="C3212">
        <f>IF(A3212="","",'KG1-6'!$B$2)</f>
        <v/>
      </c>
      <c r="D3212" s="126">
        <f t="array" ref="D3212">IF(A3212="","",IFERROR(SMALL(IF((('KG1-6'!$AD19:$IM19="غياب بدون عذر")+('KG1-6'!$AD19:$IM19="غياب بعذر"))*('KG1-6'!$AD$7:$IM$7="✓"),'KG1-6'!$AD$5:$IM$5),11),""))</f>
        <v/>
      </c>
      <c r="E3212">
        <f>IF(D3212="","",INDEX('KG1-6'!$AD19:$IM19,MATCH(D3212,'KG1-6'!$AD$5:$IM$5,0)))</f>
        <v/>
      </c>
      <c r="F3212">
        <f>IF(D3212="","",COUNTIFS('KG1-6'!$AD19:$IM19,"غياب بدون عذر",'KG1-6'!$AD$7:$IM$7,"✓",'KG1-6'!$AD$5:$IM$5,"&lt;="&amp;D3212))</f>
        <v/>
      </c>
      <c r="G3212">
        <f>G3211+IF(D3212="",0,1)</f>
        <v/>
      </c>
    </row>
    <row r="3213">
      <c r="A3213">
        <f>IF('KG1-6'!$B19="","",'KG1-6'!$B19)</f>
        <v/>
      </c>
      <c r="B3213">
        <f>IF(A3213="","",'KG1-6'!$C19)</f>
        <v/>
      </c>
      <c r="C3213">
        <f>IF(A3213="","",'KG1-6'!$B$2)</f>
        <v/>
      </c>
      <c r="D3213" s="126">
        <f t="array" ref="D3213">IF(A3213="","",IFERROR(SMALL(IF((('KG1-6'!$AD19:$IM19="غياب بدون عذر")+('KG1-6'!$AD19:$IM19="غياب بعذر"))*('KG1-6'!$AD$7:$IM$7="✓"),'KG1-6'!$AD$5:$IM$5),12),""))</f>
        <v/>
      </c>
      <c r="E3213">
        <f>IF(D3213="","",INDEX('KG1-6'!$AD19:$IM19,MATCH(D3213,'KG1-6'!$AD$5:$IM$5,0)))</f>
        <v/>
      </c>
      <c r="F3213">
        <f>IF(D3213="","",COUNTIFS('KG1-6'!$AD19:$IM19,"غياب بدون عذر",'KG1-6'!$AD$7:$IM$7,"✓",'KG1-6'!$AD$5:$IM$5,"&lt;="&amp;D3213))</f>
        <v/>
      </c>
      <c r="G3213">
        <f>G3212+IF(D3213="",0,1)</f>
        <v/>
      </c>
    </row>
    <row r="3214">
      <c r="A3214">
        <f>IF('KG1-6'!$B19="","",'KG1-6'!$B19)</f>
        <v/>
      </c>
      <c r="B3214">
        <f>IF(A3214="","",'KG1-6'!$C19)</f>
        <v/>
      </c>
      <c r="C3214">
        <f>IF(A3214="","",'KG1-6'!$B$2)</f>
        <v/>
      </c>
      <c r="D3214" s="126">
        <f t="array" ref="D3214">IF(A3214="","",IFERROR(SMALL(IF((('KG1-6'!$AD19:$IM19="غياب بدون عذر")+('KG1-6'!$AD19:$IM19="غياب بعذر"))*('KG1-6'!$AD$7:$IM$7="✓"),'KG1-6'!$AD$5:$IM$5),13),""))</f>
        <v/>
      </c>
      <c r="E3214">
        <f>IF(D3214="","",INDEX('KG1-6'!$AD19:$IM19,MATCH(D3214,'KG1-6'!$AD$5:$IM$5,0)))</f>
        <v/>
      </c>
      <c r="F3214">
        <f>IF(D3214="","",COUNTIFS('KG1-6'!$AD19:$IM19,"غياب بدون عذر",'KG1-6'!$AD$7:$IM$7,"✓",'KG1-6'!$AD$5:$IM$5,"&lt;="&amp;D3214))</f>
        <v/>
      </c>
      <c r="G3214">
        <f>G3213+IF(D3214="",0,1)</f>
        <v/>
      </c>
    </row>
    <row r="3215">
      <c r="A3215">
        <f>IF('KG1-6'!$B19="","",'KG1-6'!$B19)</f>
        <v/>
      </c>
      <c r="B3215">
        <f>IF(A3215="","",'KG1-6'!$C19)</f>
        <v/>
      </c>
      <c r="C3215">
        <f>IF(A3215="","",'KG1-6'!$B$2)</f>
        <v/>
      </c>
      <c r="D3215" s="126">
        <f t="array" ref="D3215">IF(A3215="","",IFERROR(SMALL(IF((('KG1-6'!$AD19:$IM19="غياب بدون عذر")+('KG1-6'!$AD19:$IM19="غياب بعذر"))*('KG1-6'!$AD$7:$IM$7="✓"),'KG1-6'!$AD$5:$IM$5),14),""))</f>
        <v/>
      </c>
      <c r="E3215">
        <f>IF(D3215="","",INDEX('KG1-6'!$AD19:$IM19,MATCH(D3215,'KG1-6'!$AD$5:$IM$5,0)))</f>
        <v/>
      </c>
      <c r="F3215">
        <f>IF(D3215="","",COUNTIFS('KG1-6'!$AD19:$IM19,"غياب بدون عذر",'KG1-6'!$AD$7:$IM$7,"✓",'KG1-6'!$AD$5:$IM$5,"&lt;="&amp;D3215))</f>
        <v/>
      </c>
      <c r="G3215">
        <f>G3214+IF(D3215="",0,1)</f>
        <v/>
      </c>
    </row>
    <row r="3216">
      <c r="A3216">
        <f>IF('KG1-6'!$B19="","",'KG1-6'!$B19)</f>
        <v/>
      </c>
      <c r="B3216">
        <f>IF(A3216="","",'KG1-6'!$C19)</f>
        <v/>
      </c>
      <c r="C3216">
        <f>IF(A3216="","",'KG1-6'!$B$2)</f>
        <v/>
      </c>
      <c r="D3216" s="126">
        <f t="array" ref="D3216">IF(A3216="","",IFERROR(SMALL(IF((('KG1-6'!$AD19:$IM19="غياب بدون عذر")+('KG1-6'!$AD19:$IM19="غياب بعذر"))*('KG1-6'!$AD$7:$IM$7="✓"),'KG1-6'!$AD$5:$IM$5),15),""))</f>
        <v/>
      </c>
      <c r="E3216">
        <f>IF(D3216="","",INDEX('KG1-6'!$AD19:$IM19,MATCH(D3216,'KG1-6'!$AD$5:$IM$5,0)))</f>
        <v/>
      </c>
      <c r="F3216">
        <f>IF(D3216="","",COUNTIFS('KG1-6'!$AD19:$IM19,"غياب بدون عذر",'KG1-6'!$AD$7:$IM$7,"✓",'KG1-6'!$AD$5:$IM$5,"&lt;="&amp;D3216))</f>
        <v/>
      </c>
      <c r="G3216">
        <f>G3215+IF(D3216="",0,1)</f>
        <v/>
      </c>
    </row>
    <row r="3217">
      <c r="A3217">
        <f>IF('KG1-6'!$B19="","",'KG1-6'!$B19)</f>
        <v/>
      </c>
      <c r="B3217">
        <f>IF(A3217="","",'KG1-6'!$C19)</f>
        <v/>
      </c>
      <c r="C3217">
        <f>IF(A3217="","",'KG1-6'!$B$2)</f>
        <v/>
      </c>
      <c r="D3217" s="126">
        <f t="array" ref="D3217">IF(A3217="","",IFERROR(SMALL(IF((('KG1-6'!$AD19:$IM19="غياب بدون عذر")+('KG1-6'!$AD19:$IM19="غياب بعذر"))*('KG1-6'!$AD$7:$IM$7="✓"),'KG1-6'!$AD$5:$IM$5),16),""))</f>
        <v/>
      </c>
      <c r="E3217">
        <f>IF(D3217="","",INDEX('KG1-6'!$AD19:$IM19,MATCH(D3217,'KG1-6'!$AD$5:$IM$5,0)))</f>
        <v/>
      </c>
      <c r="F3217">
        <f>IF(D3217="","",COUNTIFS('KG1-6'!$AD19:$IM19,"غياب بدون عذر",'KG1-6'!$AD$7:$IM$7,"✓",'KG1-6'!$AD$5:$IM$5,"&lt;="&amp;D3217))</f>
        <v/>
      </c>
      <c r="G3217">
        <f>G3216+IF(D3217="",0,1)</f>
        <v/>
      </c>
    </row>
    <row r="3218">
      <c r="A3218">
        <f>IF('KG1-6'!$B19="","",'KG1-6'!$B19)</f>
        <v/>
      </c>
      <c r="B3218">
        <f>IF(A3218="","",'KG1-6'!$C19)</f>
        <v/>
      </c>
      <c r="C3218">
        <f>IF(A3218="","",'KG1-6'!$B$2)</f>
        <v/>
      </c>
      <c r="D3218" s="126">
        <f t="array" ref="D3218">IF(A3218="","",IFERROR(SMALL(IF((('KG1-6'!$AD19:$IM19="غياب بدون عذر")+('KG1-6'!$AD19:$IM19="غياب بعذر"))*('KG1-6'!$AD$7:$IM$7="✓"),'KG1-6'!$AD$5:$IM$5),17),""))</f>
        <v/>
      </c>
      <c r="E3218">
        <f>IF(D3218="","",INDEX('KG1-6'!$AD19:$IM19,MATCH(D3218,'KG1-6'!$AD$5:$IM$5,0)))</f>
        <v/>
      </c>
      <c r="F3218">
        <f>IF(D3218="","",COUNTIFS('KG1-6'!$AD19:$IM19,"غياب بدون عذر",'KG1-6'!$AD$7:$IM$7,"✓",'KG1-6'!$AD$5:$IM$5,"&lt;="&amp;D3218))</f>
        <v/>
      </c>
      <c r="G3218">
        <f>G3217+IF(D3218="",0,1)</f>
        <v/>
      </c>
    </row>
    <row r="3219">
      <c r="A3219">
        <f>IF('KG1-6'!$B19="","",'KG1-6'!$B19)</f>
        <v/>
      </c>
      <c r="B3219">
        <f>IF(A3219="","",'KG1-6'!$C19)</f>
        <v/>
      </c>
      <c r="C3219">
        <f>IF(A3219="","",'KG1-6'!$B$2)</f>
        <v/>
      </c>
      <c r="D3219" s="126">
        <f t="array" ref="D3219">IF(A3219="","",IFERROR(SMALL(IF((('KG1-6'!$AD19:$IM19="غياب بدون عذر")+('KG1-6'!$AD19:$IM19="غياب بعذر"))*('KG1-6'!$AD$7:$IM$7="✓"),'KG1-6'!$AD$5:$IM$5),18),""))</f>
        <v/>
      </c>
      <c r="E3219">
        <f>IF(D3219="","",INDEX('KG1-6'!$AD19:$IM19,MATCH(D3219,'KG1-6'!$AD$5:$IM$5,0)))</f>
        <v/>
      </c>
      <c r="F3219">
        <f>IF(D3219="","",COUNTIFS('KG1-6'!$AD19:$IM19,"غياب بدون عذر",'KG1-6'!$AD$7:$IM$7,"✓",'KG1-6'!$AD$5:$IM$5,"&lt;="&amp;D3219))</f>
        <v/>
      </c>
      <c r="G3219">
        <f>G3218+IF(D3219="",0,1)</f>
        <v/>
      </c>
    </row>
    <row r="3220">
      <c r="A3220">
        <f>IF('KG1-6'!$B19="","",'KG1-6'!$B19)</f>
        <v/>
      </c>
      <c r="B3220">
        <f>IF(A3220="","",'KG1-6'!$C19)</f>
        <v/>
      </c>
      <c r="C3220">
        <f>IF(A3220="","",'KG1-6'!$B$2)</f>
        <v/>
      </c>
      <c r="D3220" s="126">
        <f t="array" ref="D3220">IF(A3220="","",IFERROR(SMALL(IF((('KG1-6'!$AD19:$IM19="غياب بدون عذر")+('KG1-6'!$AD19:$IM19="غياب بعذر"))*('KG1-6'!$AD$7:$IM$7="✓"),'KG1-6'!$AD$5:$IM$5),19),""))</f>
        <v/>
      </c>
      <c r="E3220">
        <f>IF(D3220="","",INDEX('KG1-6'!$AD19:$IM19,MATCH(D3220,'KG1-6'!$AD$5:$IM$5,0)))</f>
        <v/>
      </c>
      <c r="F3220">
        <f>IF(D3220="","",COUNTIFS('KG1-6'!$AD19:$IM19,"غياب بدون عذر",'KG1-6'!$AD$7:$IM$7,"✓",'KG1-6'!$AD$5:$IM$5,"&lt;="&amp;D3220))</f>
        <v/>
      </c>
      <c r="G3220">
        <f>G3219+IF(D3220="",0,1)</f>
        <v/>
      </c>
    </row>
    <row r="3221">
      <c r="A3221">
        <f>IF('KG1-6'!$B19="","",'KG1-6'!$B19)</f>
        <v/>
      </c>
      <c r="B3221">
        <f>IF(A3221="","",'KG1-6'!$C19)</f>
        <v/>
      </c>
      <c r="C3221">
        <f>IF(A3221="","",'KG1-6'!$B$2)</f>
        <v/>
      </c>
      <c r="D3221" s="126">
        <f t="array" ref="D3221">IF(A3221="","",IFERROR(SMALL(IF((('KG1-6'!$AD19:$IM19="غياب بدون عذر")+('KG1-6'!$AD19:$IM19="غياب بعذر"))*('KG1-6'!$AD$7:$IM$7="✓"),'KG1-6'!$AD$5:$IM$5),20),""))</f>
        <v/>
      </c>
      <c r="E3221">
        <f>IF(D3221="","",INDEX('KG1-6'!$AD19:$IM19,MATCH(D3221,'KG1-6'!$AD$5:$IM$5,0)))</f>
        <v/>
      </c>
      <c r="F3221">
        <f>IF(D3221="","",COUNTIFS('KG1-6'!$AD19:$IM19,"غياب بدون عذر",'KG1-6'!$AD$7:$IM$7,"✓",'KG1-6'!$AD$5:$IM$5,"&lt;="&amp;D3221))</f>
        <v/>
      </c>
      <c r="G3221">
        <f>G3220+IF(D3221="",0,1)</f>
        <v/>
      </c>
    </row>
    <row r="3222">
      <c r="A3222">
        <f>IF('KG1-6'!$B20="","",'KG1-6'!$B20)</f>
        <v/>
      </c>
      <c r="B3222">
        <f>IF(A3222="","",'KG1-6'!$C20)</f>
        <v/>
      </c>
      <c r="C3222">
        <f>IF(A3222="","",'KG1-6'!$B$2)</f>
        <v/>
      </c>
      <c r="D3222" s="126">
        <f t="array" ref="D3222">IF(A3222="","",IFERROR(SMALL(IF((('KG1-6'!$AD20:$IM20="غياب بدون عذر")+('KG1-6'!$AD20:$IM20="غياب بعذر"))*('KG1-6'!$AD$7:$IM$7="✓"),'KG1-6'!$AD$5:$IM$5),1),""))</f>
        <v/>
      </c>
      <c r="E3222">
        <f>IF(D3222="","",INDEX('KG1-6'!$AD20:$IM20,MATCH(D3222,'KG1-6'!$AD$5:$IM$5,0)))</f>
        <v/>
      </c>
      <c r="F3222">
        <f>IF(D3222="","",COUNTIFS('KG1-6'!$AD20:$IM20,"غياب بدون عذر",'KG1-6'!$AD$7:$IM$7,"✓",'KG1-6'!$AD$5:$IM$5,"&lt;="&amp;D3222))</f>
        <v/>
      </c>
      <c r="G3222">
        <f>G3221+IF(D3222="",0,1)</f>
        <v/>
      </c>
    </row>
    <row r="3223">
      <c r="A3223">
        <f>IF('KG1-6'!$B20="","",'KG1-6'!$B20)</f>
        <v/>
      </c>
      <c r="B3223">
        <f>IF(A3223="","",'KG1-6'!$C20)</f>
        <v/>
      </c>
      <c r="C3223">
        <f>IF(A3223="","",'KG1-6'!$B$2)</f>
        <v/>
      </c>
      <c r="D3223" s="126">
        <f t="array" ref="D3223">IF(A3223="","",IFERROR(SMALL(IF((('KG1-6'!$AD20:$IM20="غياب بدون عذر")+('KG1-6'!$AD20:$IM20="غياب بعذر"))*('KG1-6'!$AD$7:$IM$7="✓"),'KG1-6'!$AD$5:$IM$5),2),""))</f>
        <v/>
      </c>
      <c r="E3223">
        <f>IF(D3223="","",INDEX('KG1-6'!$AD20:$IM20,MATCH(D3223,'KG1-6'!$AD$5:$IM$5,0)))</f>
        <v/>
      </c>
      <c r="F3223">
        <f>IF(D3223="","",COUNTIFS('KG1-6'!$AD20:$IM20,"غياب بدون عذر",'KG1-6'!$AD$7:$IM$7,"✓",'KG1-6'!$AD$5:$IM$5,"&lt;="&amp;D3223))</f>
        <v/>
      </c>
      <c r="G3223">
        <f>G3222+IF(D3223="",0,1)</f>
        <v/>
      </c>
    </row>
    <row r="3224">
      <c r="A3224">
        <f>IF('KG1-6'!$B20="","",'KG1-6'!$B20)</f>
        <v/>
      </c>
      <c r="B3224">
        <f>IF(A3224="","",'KG1-6'!$C20)</f>
        <v/>
      </c>
      <c r="C3224">
        <f>IF(A3224="","",'KG1-6'!$B$2)</f>
        <v/>
      </c>
      <c r="D3224" s="126">
        <f t="array" ref="D3224">IF(A3224="","",IFERROR(SMALL(IF((('KG1-6'!$AD20:$IM20="غياب بدون عذر")+('KG1-6'!$AD20:$IM20="غياب بعذر"))*('KG1-6'!$AD$7:$IM$7="✓"),'KG1-6'!$AD$5:$IM$5),3),""))</f>
        <v/>
      </c>
      <c r="E3224">
        <f>IF(D3224="","",INDEX('KG1-6'!$AD20:$IM20,MATCH(D3224,'KG1-6'!$AD$5:$IM$5,0)))</f>
        <v/>
      </c>
      <c r="F3224">
        <f>IF(D3224="","",COUNTIFS('KG1-6'!$AD20:$IM20,"غياب بدون عذر",'KG1-6'!$AD$7:$IM$7,"✓",'KG1-6'!$AD$5:$IM$5,"&lt;="&amp;D3224))</f>
        <v/>
      </c>
      <c r="G3224">
        <f>G3223+IF(D3224="",0,1)</f>
        <v/>
      </c>
    </row>
    <row r="3225">
      <c r="A3225">
        <f>IF('KG1-6'!$B20="","",'KG1-6'!$B20)</f>
        <v/>
      </c>
      <c r="B3225">
        <f>IF(A3225="","",'KG1-6'!$C20)</f>
        <v/>
      </c>
      <c r="C3225">
        <f>IF(A3225="","",'KG1-6'!$B$2)</f>
        <v/>
      </c>
      <c r="D3225" s="126">
        <f t="array" ref="D3225">IF(A3225="","",IFERROR(SMALL(IF((('KG1-6'!$AD20:$IM20="غياب بدون عذر")+('KG1-6'!$AD20:$IM20="غياب بعذر"))*('KG1-6'!$AD$7:$IM$7="✓"),'KG1-6'!$AD$5:$IM$5),4),""))</f>
        <v/>
      </c>
      <c r="E3225">
        <f>IF(D3225="","",INDEX('KG1-6'!$AD20:$IM20,MATCH(D3225,'KG1-6'!$AD$5:$IM$5,0)))</f>
        <v/>
      </c>
      <c r="F3225">
        <f>IF(D3225="","",COUNTIFS('KG1-6'!$AD20:$IM20,"غياب بدون عذر",'KG1-6'!$AD$7:$IM$7,"✓",'KG1-6'!$AD$5:$IM$5,"&lt;="&amp;D3225))</f>
        <v/>
      </c>
      <c r="G3225">
        <f>G3224+IF(D3225="",0,1)</f>
        <v/>
      </c>
    </row>
    <row r="3226">
      <c r="A3226">
        <f>IF('KG1-6'!$B20="","",'KG1-6'!$B20)</f>
        <v/>
      </c>
      <c r="B3226">
        <f>IF(A3226="","",'KG1-6'!$C20)</f>
        <v/>
      </c>
      <c r="C3226">
        <f>IF(A3226="","",'KG1-6'!$B$2)</f>
        <v/>
      </c>
      <c r="D3226" s="126">
        <f t="array" ref="D3226">IF(A3226="","",IFERROR(SMALL(IF((('KG1-6'!$AD20:$IM20="غياب بدون عذر")+('KG1-6'!$AD20:$IM20="غياب بعذر"))*('KG1-6'!$AD$7:$IM$7="✓"),'KG1-6'!$AD$5:$IM$5),5),""))</f>
        <v/>
      </c>
      <c r="E3226">
        <f>IF(D3226="","",INDEX('KG1-6'!$AD20:$IM20,MATCH(D3226,'KG1-6'!$AD$5:$IM$5,0)))</f>
        <v/>
      </c>
      <c r="F3226">
        <f>IF(D3226="","",COUNTIFS('KG1-6'!$AD20:$IM20,"غياب بدون عذر",'KG1-6'!$AD$7:$IM$7,"✓",'KG1-6'!$AD$5:$IM$5,"&lt;="&amp;D3226))</f>
        <v/>
      </c>
      <c r="G3226">
        <f>G3225+IF(D3226="",0,1)</f>
        <v/>
      </c>
    </row>
    <row r="3227">
      <c r="A3227">
        <f>IF('KG1-6'!$B20="","",'KG1-6'!$B20)</f>
        <v/>
      </c>
      <c r="B3227">
        <f>IF(A3227="","",'KG1-6'!$C20)</f>
        <v/>
      </c>
      <c r="C3227">
        <f>IF(A3227="","",'KG1-6'!$B$2)</f>
        <v/>
      </c>
      <c r="D3227" s="126">
        <f t="array" ref="D3227">IF(A3227="","",IFERROR(SMALL(IF((('KG1-6'!$AD20:$IM20="غياب بدون عذر")+('KG1-6'!$AD20:$IM20="غياب بعذر"))*('KG1-6'!$AD$7:$IM$7="✓"),'KG1-6'!$AD$5:$IM$5),6),""))</f>
        <v/>
      </c>
      <c r="E3227">
        <f>IF(D3227="","",INDEX('KG1-6'!$AD20:$IM20,MATCH(D3227,'KG1-6'!$AD$5:$IM$5,0)))</f>
        <v/>
      </c>
      <c r="F3227">
        <f>IF(D3227="","",COUNTIFS('KG1-6'!$AD20:$IM20,"غياب بدون عذر",'KG1-6'!$AD$7:$IM$7,"✓",'KG1-6'!$AD$5:$IM$5,"&lt;="&amp;D3227))</f>
        <v/>
      </c>
      <c r="G3227">
        <f>G3226+IF(D3227="",0,1)</f>
        <v/>
      </c>
    </row>
    <row r="3228">
      <c r="A3228">
        <f>IF('KG1-6'!$B20="","",'KG1-6'!$B20)</f>
        <v/>
      </c>
      <c r="B3228">
        <f>IF(A3228="","",'KG1-6'!$C20)</f>
        <v/>
      </c>
      <c r="C3228">
        <f>IF(A3228="","",'KG1-6'!$B$2)</f>
        <v/>
      </c>
      <c r="D3228" s="126">
        <f t="array" ref="D3228">IF(A3228="","",IFERROR(SMALL(IF((('KG1-6'!$AD20:$IM20="غياب بدون عذر")+('KG1-6'!$AD20:$IM20="غياب بعذر"))*('KG1-6'!$AD$7:$IM$7="✓"),'KG1-6'!$AD$5:$IM$5),7),""))</f>
        <v/>
      </c>
      <c r="E3228">
        <f>IF(D3228="","",INDEX('KG1-6'!$AD20:$IM20,MATCH(D3228,'KG1-6'!$AD$5:$IM$5,0)))</f>
        <v/>
      </c>
      <c r="F3228">
        <f>IF(D3228="","",COUNTIFS('KG1-6'!$AD20:$IM20,"غياب بدون عذر",'KG1-6'!$AD$7:$IM$7,"✓",'KG1-6'!$AD$5:$IM$5,"&lt;="&amp;D3228))</f>
        <v/>
      </c>
      <c r="G3228">
        <f>G3227+IF(D3228="",0,1)</f>
        <v/>
      </c>
    </row>
    <row r="3229">
      <c r="A3229">
        <f>IF('KG1-6'!$B20="","",'KG1-6'!$B20)</f>
        <v/>
      </c>
      <c r="B3229">
        <f>IF(A3229="","",'KG1-6'!$C20)</f>
        <v/>
      </c>
      <c r="C3229">
        <f>IF(A3229="","",'KG1-6'!$B$2)</f>
        <v/>
      </c>
      <c r="D3229" s="126">
        <f t="array" ref="D3229">IF(A3229="","",IFERROR(SMALL(IF((('KG1-6'!$AD20:$IM20="غياب بدون عذر")+('KG1-6'!$AD20:$IM20="غياب بعذر"))*('KG1-6'!$AD$7:$IM$7="✓"),'KG1-6'!$AD$5:$IM$5),8),""))</f>
        <v/>
      </c>
      <c r="E3229">
        <f>IF(D3229="","",INDEX('KG1-6'!$AD20:$IM20,MATCH(D3229,'KG1-6'!$AD$5:$IM$5,0)))</f>
        <v/>
      </c>
      <c r="F3229">
        <f>IF(D3229="","",COUNTIFS('KG1-6'!$AD20:$IM20,"غياب بدون عذر",'KG1-6'!$AD$7:$IM$7,"✓",'KG1-6'!$AD$5:$IM$5,"&lt;="&amp;D3229))</f>
        <v/>
      </c>
      <c r="G3229">
        <f>G3228+IF(D3229="",0,1)</f>
        <v/>
      </c>
    </row>
    <row r="3230">
      <c r="A3230">
        <f>IF('KG1-6'!$B20="","",'KG1-6'!$B20)</f>
        <v/>
      </c>
      <c r="B3230">
        <f>IF(A3230="","",'KG1-6'!$C20)</f>
        <v/>
      </c>
      <c r="C3230">
        <f>IF(A3230="","",'KG1-6'!$B$2)</f>
        <v/>
      </c>
      <c r="D3230" s="126">
        <f t="array" ref="D3230">IF(A3230="","",IFERROR(SMALL(IF((('KG1-6'!$AD20:$IM20="غياب بدون عذر")+('KG1-6'!$AD20:$IM20="غياب بعذر"))*('KG1-6'!$AD$7:$IM$7="✓"),'KG1-6'!$AD$5:$IM$5),9),""))</f>
        <v/>
      </c>
      <c r="E3230">
        <f>IF(D3230="","",INDEX('KG1-6'!$AD20:$IM20,MATCH(D3230,'KG1-6'!$AD$5:$IM$5,0)))</f>
        <v/>
      </c>
      <c r="F3230">
        <f>IF(D3230="","",COUNTIFS('KG1-6'!$AD20:$IM20,"غياب بدون عذر",'KG1-6'!$AD$7:$IM$7,"✓",'KG1-6'!$AD$5:$IM$5,"&lt;="&amp;D3230))</f>
        <v/>
      </c>
      <c r="G3230">
        <f>G3229+IF(D3230="",0,1)</f>
        <v/>
      </c>
    </row>
    <row r="3231">
      <c r="A3231">
        <f>IF('KG1-6'!$B20="","",'KG1-6'!$B20)</f>
        <v/>
      </c>
      <c r="B3231">
        <f>IF(A3231="","",'KG1-6'!$C20)</f>
        <v/>
      </c>
      <c r="C3231">
        <f>IF(A3231="","",'KG1-6'!$B$2)</f>
        <v/>
      </c>
      <c r="D3231" s="126">
        <f t="array" ref="D3231">IF(A3231="","",IFERROR(SMALL(IF((('KG1-6'!$AD20:$IM20="غياب بدون عذر")+('KG1-6'!$AD20:$IM20="غياب بعذر"))*('KG1-6'!$AD$7:$IM$7="✓"),'KG1-6'!$AD$5:$IM$5),10),""))</f>
        <v/>
      </c>
      <c r="E3231">
        <f>IF(D3231="","",INDEX('KG1-6'!$AD20:$IM20,MATCH(D3231,'KG1-6'!$AD$5:$IM$5,0)))</f>
        <v/>
      </c>
      <c r="F3231">
        <f>IF(D3231="","",COUNTIFS('KG1-6'!$AD20:$IM20,"غياب بدون عذر",'KG1-6'!$AD$7:$IM$7,"✓",'KG1-6'!$AD$5:$IM$5,"&lt;="&amp;D3231))</f>
        <v/>
      </c>
      <c r="G3231">
        <f>G3230+IF(D3231="",0,1)</f>
        <v/>
      </c>
    </row>
    <row r="3232">
      <c r="A3232">
        <f>IF('KG1-6'!$B20="","",'KG1-6'!$B20)</f>
        <v/>
      </c>
      <c r="B3232">
        <f>IF(A3232="","",'KG1-6'!$C20)</f>
        <v/>
      </c>
      <c r="C3232">
        <f>IF(A3232="","",'KG1-6'!$B$2)</f>
        <v/>
      </c>
      <c r="D3232" s="126">
        <f t="array" ref="D3232">IF(A3232="","",IFERROR(SMALL(IF((('KG1-6'!$AD20:$IM20="غياب بدون عذر")+('KG1-6'!$AD20:$IM20="غياب بعذر"))*('KG1-6'!$AD$7:$IM$7="✓"),'KG1-6'!$AD$5:$IM$5),11),""))</f>
        <v/>
      </c>
      <c r="E3232">
        <f>IF(D3232="","",INDEX('KG1-6'!$AD20:$IM20,MATCH(D3232,'KG1-6'!$AD$5:$IM$5,0)))</f>
        <v/>
      </c>
      <c r="F3232">
        <f>IF(D3232="","",COUNTIFS('KG1-6'!$AD20:$IM20,"غياب بدون عذر",'KG1-6'!$AD$7:$IM$7,"✓",'KG1-6'!$AD$5:$IM$5,"&lt;="&amp;D3232))</f>
        <v/>
      </c>
      <c r="G3232">
        <f>G3231+IF(D3232="",0,1)</f>
        <v/>
      </c>
    </row>
    <row r="3233">
      <c r="A3233">
        <f>IF('KG1-6'!$B20="","",'KG1-6'!$B20)</f>
        <v/>
      </c>
      <c r="B3233">
        <f>IF(A3233="","",'KG1-6'!$C20)</f>
        <v/>
      </c>
      <c r="C3233">
        <f>IF(A3233="","",'KG1-6'!$B$2)</f>
        <v/>
      </c>
      <c r="D3233" s="126">
        <f t="array" ref="D3233">IF(A3233="","",IFERROR(SMALL(IF((('KG1-6'!$AD20:$IM20="غياب بدون عذر")+('KG1-6'!$AD20:$IM20="غياب بعذر"))*('KG1-6'!$AD$7:$IM$7="✓"),'KG1-6'!$AD$5:$IM$5),12),""))</f>
        <v/>
      </c>
      <c r="E3233">
        <f>IF(D3233="","",INDEX('KG1-6'!$AD20:$IM20,MATCH(D3233,'KG1-6'!$AD$5:$IM$5,0)))</f>
        <v/>
      </c>
      <c r="F3233">
        <f>IF(D3233="","",COUNTIFS('KG1-6'!$AD20:$IM20,"غياب بدون عذر",'KG1-6'!$AD$7:$IM$7,"✓",'KG1-6'!$AD$5:$IM$5,"&lt;="&amp;D3233))</f>
        <v/>
      </c>
      <c r="G3233">
        <f>G3232+IF(D3233="",0,1)</f>
        <v/>
      </c>
    </row>
    <row r="3234">
      <c r="A3234">
        <f>IF('KG1-6'!$B20="","",'KG1-6'!$B20)</f>
        <v/>
      </c>
      <c r="B3234">
        <f>IF(A3234="","",'KG1-6'!$C20)</f>
        <v/>
      </c>
      <c r="C3234">
        <f>IF(A3234="","",'KG1-6'!$B$2)</f>
        <v/>
      </c>
      <c r="D3234" s="126">
        <f t="array" ref="D3234">IF(A3234="","",IFERROR(SMALL(IF((('KG1-6'!$AD20:$IM20="غياب بدون عذر")+('KG1-6'!$AD20:$IM20="غياب بعذر"))*('KG1-6'!$AD$7:$IM$7="✓"),'KG1-6'!$AD$5:$IM$5),13),""))</f>
        <v/>
      </c>
      <c r="E3234">
        <f>IF(D3234="","",INDEX('KG1-6'!$AD20:$IM20,MATCH(D3234,'KG1-6'!$AD$5:$IM$5,0)))</f>
        <v/>
      </c>
      <c r="F3234">
        <f>IF(D3234="","",COUNTIFS('KG1-6'!$AD20:$IM20,"غياب بدون عذر",'KG1-6'!$AD$7:$IM$7,"✓",'KG1-6'!$AD$5:$IM$5,"&lt;="&amp;D3234))</f>
        <v/>
      </c>
      <c r="G3234">
        <f>G3233+IF(D3234="",0,1)</f>
        <v/>
      </c>
    </row>
    <row r="3235">
      <c r="A3235">
        <f>IF('KG1-6'!$B20="","",'KG1-6'!$B20)</f>
        <v/>
      </c>
      <c r="B3235">
        <f>IF(A3235="","",'KG1-6'!$C20)</f>
        <v/>
      </c>
      <c r="C3235">
        <f>IF(A3235="","",'KG1-6'!$B$2)</f>
        <v/>
      </c>
      <c r="D3235" s="126">
        <f t="array" ref="D3235">IF(A3235="","",IFERROR(SMALL(IF((('KG1-6'!$AD20:$IM20="غياب بدون عذر")+('KG1-6'!$AD20:$IM20="غياب بعذر"))*('KG1-6'!$AD$7:$IM$7="✓"),'KG1-6'!$AD$5:$IM$5),14),""))</f>
        <v/>
      </c>
      <c r="E3235">
        <f>IF(D3235="","",INDEX('KG1-6'!$AD20:$IM20,MATCH(D3235,'KG1-6'!$AD$5:$IM$5,0)))</f>
        <v/>
      </c>
      <c r="F3235">
        <f>IF(D3235="","",COUNTIFS('KG1-6'!$AD20:$IM20,"غياب بدون عذر",'KG1-6'!$AD$7:$IM$7,"✓",'KG1-6'!$AD$5:$IM$5,"&lt;="&amp;D3235))</f>
        <v/>
      </c>
      <c r="G3235">
        <f>G3234+IF(D3235="",0,1)</f>
        <v/>
      </c>
    </row>
    <row r="3236">
      <c r="A3236">
        <f>IF('KG1-6'!$B20="","",'KG1-6'!$B20)</f>
        <v/>
      </c>
      <c r="B3236">
        <f>IF(A3236="","",'KG1-6'!$C20)</f>
        <v/>
      </c>
      <c r="C3236">
        <f>IF(A3236="","",'KG1-6'!$B$2)</f>
        <v/>
      </c>
      <c r="D3236" s="126">
        <f t="array" ref="D3236">IF(A3236="","",IFERROR(SMALL(IF((('KG1-6'!$AD20:$IM20="غياب بدون عذر")+('KG1-6'!$AD20:$IM20="غياب بعذر"))*('KG1-6'!$AD$7:$IM$7="✓"),'KG1-6'!$AD$5:$IM$5),15),""))</f>
        <v/>
      </c>
      <c r="E3236">
        <f>IF(D3236="","",INDEX('KG1-6'!$AD20:$IM20,MATCH(D3236,'KG1-6'!$AD$5:$IM$5,0)))</f>
        <v/>
      </c>
      <c r="F3236">
        <f>IF(D3236="","",COUNTIFS('KG1-6'!$AD20:$IM20,"غياب بدون عذر",'KG1-6'!$AD$7:$IM$7,"✓",'KG1-6'!$AD$5:$IM$5,"&lt;="&amp;D3236))</f>
        <v/>
      </c>
      <c r="G3236">
        <f>G3235+IF(D3236="",0,1)</f>
        <v/>
      </c>
    </row>
    <row r="3237">
      <c r="A3237">
        <f>IF('KG1-6'!$B20="","",'KG1-6'!$B20)</f>
        <v/>
      </c>
      <c r="B3237">
        <f>IF(A3237="","",'KG1-6'!$C20)</f>
        <v/>
      </c>
      <c r="C3237">
        <f>IF(A3237="","",'KG1-6'!$B$2)</f>
        <v/>
      </c>
      <c r="D3237" s="126">
        <f t="array" ref="D3237">IF(A3237="","",IFERROR(SMALL(IF((('KG1-6'!$AD20:$IM20="غياب بدون عذر")+('KG1-6'!$AD20:$IM20="غياب بعذر"))*('KG1-6'!$AD$7:$IM$7="✓"),'KG1-6'!$AD$5:$IM$5),16),""))</f>
        <v/>
      </c>
      <c r="E3237">
        <f>IF(D3237="","",INDEX('KG1-6'!$AD20:$IM20,MATCH(D3237,'KG1-6'!$AD$5:$IM$5,0)))</f>
        <v/>
      </c>
      <c r="F3237">
        <f>IF(D3237="","",COUNTIFS('KG1-6'!$AD20:$IM20,"غياب بدون عذر",'KG1-6'!$AD$7:$IM$7,"✓",'KG1-6'!$AD$5:$IM$5,"&lt;="&amp;D3237))</f>
        <v/>
      </c>
      <c r="G3237">
        <f>G3236+IF(D3237="",0,1)</f>
        <v/>
      </c>
    </row>
    <row r="3238">
      <c r="A3238">
        <f>IF('KG1-6'!$B20="","",'KG1-6'!$B20)</f>
        <v/>
      </c>
      <c r="B3238">
        <f>IF(A3238="","",'KG1-6'!$C20)</f>
        <v/>
      </c>
      <c r="C3238">
        <f>IF(A3238="","",'KG1-6'!$B$2)</f>
        <v/>
      </c>
      <c r="D3238" s="126">
        <f t="array" ref="D3238">IF(A3238="","",IFERROR(SMALL(IF((('KG1-6'!$AD20:$IM20="غياب بدون عذر")+('KG1-6'!$AD20:$IM20="غياب بعذر"))*('KG1-6'!$AD$7:$IM$7="✓"),'KG1-6'!$AD$5:$IM$5),17),""))</f>
        <v/>
      </c>
      <c r="E3238">
        <f>IF(D3238="","",INDEX('KG1-6'!$AD20:$IM20,MATCH(D3238,'KG1-6'!$AD$5:$IM$5,0)))</f>
        <v/>
      </c>
      <c r="F3238">
        <f>IF(D3238="","",COUNTIFS('KG1-6'!$AD20:$IM20,"غياب بدون عذر",'KG1-6'!$AD$7:$IM$7,"✓",'KG1-6'!$AD$5:$IM$5,"&lt;="&amp;D3238))</f>
        <v/>
      </c>
      <c r="G3238">
        <f>G3237+IF(D3238="",0,1)</f>
        <v/>
      </c>
    </row>
    <row r="3239">
      <c r="A3239">
        <f>IF('KG1-6'!$B20="","",'KG1-6'!$B20)</f>
        <v/>
      </c>
      <c r="B3239">
        <f>IF(A3239="","",'KG1-6'!$C20)</f>
        <v/>
      </c>
      <c r="C3239">
        <f>IF(A3239="","",'KG1-6'!$B$2)</f>
        <v/>
      </c>
      <c r="D3239" s="126">
        <f t="array" ref="D3239">IF(A3239="","",IFERROR(SMALL(IF((('KG1-6'!$AD20:$IM20="غياب بدون عذر")+('KG1-6'!$AD20:$IM20="غياب بعذر"))*('KG1-6'!$AD$7:$IM$7="✓"),'KG1-6'!$AD$5:$IM$5),18),""))</f>
        <v/>
      </c>
      <c r="E3239">
        <f>IF(D3239="","",INDEX('KG1-6'!$AD20:$IM20,MATCH(D3239,'KG1-6'!$AD$5:$IM$5,0)))</f>
        <v/>
      </c>
      <c r="F3239">
        <f>IF(D3239="","",COUNTIFS('KG1-6'!$AD20:$IM20,"غياب بدون عذر",'KG1-6'!$AD$7:$IM$7,"✓",'KG1-6'!$AD$5:$IM$5,"&lt;="&amp;D3239))</f>
        <v/>
      </c>
      <c r="G3239">
        <f>G3238+IF(D3239="",0,1)</f>
        <v/>
      </c>
    </row>
    <row r="3240">
      <c r="A3240">
        <f>IF('KG1-6'!$B20="","",'KG1-6'!$B20)</f>
        <v/>
      </c>
      <c r="B3240">
        <f>IF(A3240="","",'KG1-6'!$C20)</f>
        <v/>
      </c>
      <c r="C3240">
        <f>IF(A3240="","",'KG1-6'!$B$2)</f>
        <v/>
      </c>
      <c r="D3240" s="126">
        <f t="array" ref="D3240">IF(A3240="","",IFERROR(SMALL(IF((('KG1-6'!$AD20:$IM20="غياب بدون عذر")+('KG1-6'!$AD20:$IM20="غياب بعذر"))*('KG1-6'!$AD$7:$IM$7="✓"),'KG1-6'!$AD$5:$IM$5),19),""))</f>
        <v/>
      </c>
      <c r="E3240">
        <f>IF(D3240="","",INDEX('KG1-6'!$AD20:$IM20,MATCH(D3240,'KG1-6'!$AD$5:$IM$5,0)))</f>
        <v/>
      </c>
      <c r="F3240">
        <f>IF(D3240="","",COUNTIFS('KG1-6'!$AD20:$IM20,"غياب بدون عذر",'KG1-6'!$AD$7:$IM$7,"✓",'KG1-6'!$AD$5:$IM$5,"&lt;="&amp;D3240))</f>
        <v/>
      </c>
      <c r="G3240">
        <f>G3239+IF(D3240="",0,1)</f>
        <v/>
      </c>
    </row>
    <row r="3241">
      <c r="A3241">
        <f>IF('KG1-6'!$B20="","",'KG1-6'!$B20)</f>
        <v/>
      </c>
      <c r="B3241">
        <f>IF(A3241="","",'KG1-6'!$C20)</f>
        <v/>
      </c>
      <c r="C3241">
        <f>IF(A3241="","",'KG1-6'!$B$2)</f>
        <v/>
      </c>
      <c r="D3241" s="126">
        <f t="array" ref="D3241">IF(A3241="","",IFERROR(SMALL(IF((('KG1-6'!$AD20:$IM20="غياب بدون عذر")+('KG1-6'!$AD20:$IM20="غياب بعذر"))*('KG1-6'!$AD$7:$IM$7="✓"),'KG1-6'!$AD$5:$IM$5),20),""))</f>
        <v/>
      </c>
      <c r="E3241">
        <f>IF(D3241="","",INDEX('KG1-6'!$AD20:$IM20,MATCH(D3241,'KG1-6'!$AD$5:$IM$5,0)))</f>
        <v/>
      </c>
      <c r="F3241">
        <f>IF(D3241="","",COUNTIFS('KG1-6'!$AD20:$IM20,"غياب بدون عذر",'KG1-6'!$AD$7:$IM$7,"✓",'KG1-6'!$AD$5:$IM$5,"&lt;="&amp;D3241))</f>
        <v/>
      </c>
      <c r="G3241">
        <f>G3240+IF(D3241="",0,1)</f>
        <v/>
      </c>
    </row>
    <row r="3242">
      <c r="A3242">
        <f>IF('KG1-6'!$B21="","",'KG1-6'!$B21)</f>
        <v/>
      </c>
      <c r="B3242">
        <f>IF(A3242="","",'KG1-6'!$C21)</f>
        <v/>
      </c>
      <c r="C3242">
        <f>IF(A3242="","",'KG1-6'!$B$2)</f>
        <v/>
      </c>
      <c r="D3242" s="126">
        <f t="array" ref="D3242">IF(A3242="","",IFERROR(SMALL(IF((('KG1-6'!$AD21:$IM21="غياب بدون عذر")+('KG1-6'!$AD21:$IM21="غياب بعذر"))*('KG1-6'!$AD$7:$IM$7="✓"),'KG1-6'!$AD$5:$IM$5),1),""))</f>
        <v/>
      </c>
      <c r="E3242">
        <f>IF(D3242="","",INDEX('KG1-6'!$AD21:$IM21,MATCH(D3242,'KG1-6'!$AD$5:$IM$5,0)))</f>
        <v/>
      </c>
      <c r="F3242">
        <f>IF(D3242="","",COUNTIFS('KG1-6'!$AD21:$IM21,"غياب بدون عذر",'KG1-6'!$AD$7:$IM$7,"✓",'KG1-6'!$AD$5:$IM$5,"&lt;="&amp;D3242))</f>
        <v/>
      </c>
      <c r="G3242">
        <f>G3241+IF(D3242="",0,1)</f>
        <v/>
      </c>
    </row>
    <row r="3243">
      <c r="A3243">
        <f>IF('KG1-6'!$B21="","",'KG1-6'!$B21)</f>
        <v/>
      </c>
      <c r="B3243">
        <f>IF(A3243="","",'KG1-6'!$C21)</f>
        <v/>
      </c>
      <c r="C3243">
        <f>IF(A3243="","",'KG1-6'!$B$2)</f>
        <v/>
      </c>
      <c r="D3243" s="126">
        <f t="array" ref="D3243">IF(A3243="","",IFERROR(SMALL(IF((('KG1-6'!$AD21:$IM21="غياب بدون عذر")+('KG1-6'!$AD21:$IM21="غياب بعذر"))*('KG1-6'!$AD$7:$IM$7="✓"),'KG1-6'!$AD$5:$IM$5),2),""))</f>
        <v/>
      </c>
      <c r="E3243">
        <f>IF(D3243="","",INDEX('KG1-6'!$AD21:$IM21,MATCH(D3243,'KG1-6'!$AD$5:$IM$5,0)))</f>
        <v/>
      </c>
      <c r="F3243">
        <f>IF(D3243="","",COUNTIFS('KG1-6'!$AD21:$IM21,"غياب بدون عذر",'KG1-6'!$AD$7:$IM$7,"✓",'KG1-6'!$AD$5:$IM$5,"&lt;="&amp;D3243))</f>
        <v/>
      </c>
      <c r="G3243">
        <f>G3242+IF(D3243="",0,1)</f>
        <v/>
      </c>
    </row>
    <row r="3244">
      <c r="A3244">
        <f>IF('KG1-6'!$B21="","",'KG1-6'!$B21)</f>
        <v/>
      </c>
      <c r="B3244">
        <f>IF(A3244="","",'KG1-6'!$C21)</f>
        <v/>
      </c>
      <c r="C3244">
        <f>IF(A3244="","",'KG1-6'!$B$2)</f>
        <v/>
      </c>
      <c r="D3244" s="126">
        <f t="array" ref="D3244">IF(A3244="","",IFERROR(SMALL(IF((('KG1-6'!$AD21:$IM21="غياب بدون عذر")+('KG1-6'!$AD21:$IM21="غياب بعذر"))*('KG1-6'!$AD$7:$IM$7="✓"),'KG1-6'!$AD$5:$IM$5),3),""))</f>
        <v/>
      </c>
      <c r="E3244">
        <f>IF(D3244="","",INDEX('KG1-6'!$AD21:$IM21,MATCH(D3244,'KG1-6'!$AD$5:$IM$5,0)))</f>
        <v/>
      </c>
      <c r="F3244">
        <f>IF(D3244="","",COUNTIFS('KG1-6'!$AD21:$IM21,"غياب بدون عذر",'KG1-6'!$AD$7:$IM$7,"✓",'KG1-6'!$AD$5:$IM$5,"&lt;="&amp;D3244))</f>
        <v/>
      </c>
      <c r="G3244">
        <f>G3243+IF(D3244="",0,1)</f>
        <v/>
      </c>
    </row>
    <row r="3245">
      <c r="A3245">
        <f>IF('KG1-6'!$B21="","",'KG1-6'!$B21)</f>
        <v/>
      </c>
      <c r="B3245">
        <f>IF(A3245="","",'KG1-6'!$C21)</f>
        <v/>
      </c>
      <c r="C3245">
        <f>IF(A3245="","",'KG1-6'!$B$2)</f>
        <v/>
      </c>
      <c r="D3245" s="126">
        <f t="array" ref="D3245">IF(A3245="","",IFERROR(SMALL(IF((('KG1-6'!$AD21:$IM21="غياب بدون عذر")+('KG1-6'!$AD21:$IM21="غياب بعذر"))*('KG1-6'!$AD$7:$IM$7="✓"),'KG1-6'!$AD$5:$IM$5),4),""))</f>
        <v/>
      </c>
      <c r="E3245">
        <f>IF(D3245="","",INDEX('KG1-6'!$AD21:$IM21,MATCH(D3245,'KG1-6'!$AD$5:$IM$5,0)))</f>
        <v/>
      </c>
      <c r="F3245">
        <f>IF(D3245="","",COUNTIFS('KG1-6'!$AD21:$IM21,"غياب بدون عذر",'KG1-6'!$AD$7:$IM$7,"✓",'KG1-6'!$AD$5:$IM$5,"&lt;="&amp;D3245))</f>
        <v/>
      </c>
      <c r="G3245">
        <f>G3244+IF(D3245="",0,1)</f>
        <v/>
      </c>
    </row>
    <row r="3246">
      <c r="A3246">
        <f>IF('KG1-6'!$B21="","",'KG1-6'!$B21)</f>
        <v/>
      </c>
      <c r="B3246">
        <f>IF(A3246="","",'KG1-6'!$C21)</f>
        <v/>
      </c>
      <c r="C3246">
        <f>IF(A3246="","",'KG1-6'!$B$2)</f>
        <v/>
      </c>
      <c r="D3246" s="126">
        <f t="array" ref="D3246">IF(A3246="","",IFERROR(SMALL(IF((('KG1-6'!$AD21:$IM21="غياب بدون عذر")+('KG1-6'!$AD21:$IM21="غياب بعذر"))*('KG1-6'!$AD$7:$IM$7="✓"),'KG1-6'!$AD$5:$IM$5),5),""))</f>
        <v/>
      </c>
      <c r="E3246">
        <f>IF(D3246="","",INDEX('KG1-6'!$AD21:$IM21,MATCH(D3246,'KG1-6'!$AD$5:$IM$5,0)))</f>
        <v/>
      </c>
      <c r="F3246">
        <f>IF(D3246="","",COUNTIFS('KG1-6'!$AD21:$IM21,"غياب بدون عذر",'KG1-6'!$AD$7:$IM$7,"✓",'KG1-6'!$AD$5:$IM$5,"&lt;="&amp;D3246))</f>
        <v/>
      </c>
      <c r="G3246">
        <f>G3245+IF(D3246="",0,1)</f>
        <v/>
      </c>
    </row>
    <row r="3247">
      <c r="A3247">
        <f>IF('KG1-6'!$B21="","",'KG1-6'!$B21)</f>
        <v/>
      </c>
      <c r="B3247">
        <f>IF(A3247="","",'KG1-6'!$C21)</f>
        <v/>
      </c>
      <c r="C3247">
        <f>IF(A3247="","",'KG1-6'!$B$2)</f>
        <v/>
      </c>
      <c r="D3247" s="126">
        <f t="array" ref="D3247">IF(A3247="","",IFERROR(SMALL(IF((('KG1-6'!$AD21:$IM21="غياب بدون عذر")+('KG1-6'!$AD21:$IM21="غياب بعذر"))*('KG1-6'!$AD$7:$IM$7="✓"),'KG1-6'!$AD$5:$IM$5),6),""))</f>
        <v/>
      </c>
      <c r="E3247">
        <f>IF(D3247="","",INDEX('KG1-6'!$AD21:$IM21,MATCH(D3247,'KG1-6'!$AD$5:$IM$5,0)))</f>
        <v/>
      </c>
      <c r="F3247">
        <f>IF(D3247="","",COUNTIFS('KG1-6'!$AD21:$IM21,"غياب بدون عذر",'KG1-6'!$AD$7:$IM$7,"✓",'KG1-6'!$AD$5:$IM$5,"&lt;="&amp;D3247))</f>
        <v/>
      </c>
      <c r="G3247">
        <f>G3246+IF(D3247="",0,1)</f>
        <v/>
      </c>
    </row>
    <row r="3248">
      <c r="A3248">
        <f>IF('KG1-6'!$B21="","",'KG1-6'!$B21)</f>
        <v/>
      </c>
      <c r="B3248">
        <f>IF(A3248="","",'KG1-6'!$C21)</f>
        <v/>
      </c>
      <c r="C3248">
        <f>IF(A3248="","",'KG1-6'!$B$2)</f>
        <v/>
      </c>
      <c r="D3248" s="126">
        <f t="array" ref="D3248">IF(A3248="","",IFERROR(SMALL(IF((('KG1-6'!$AD21:$IM21="غياب بدون عذر")+('KG1-6'!$AD21:$IM21="غياب بعذر"))*('KG1-6'!$AD$7:$IM$7="✓"),'KG1-6'!$AD$5:$IM$5),7),""))</f>
        <v/>
      </c>
      <c r="E3248">
        <f>IF(D3248="","",INDEX('KG1-6'!$AD21:$IM21,MATCH(D3248,'KG1-6'!$AD$5:$IM$5,0)))</f>
        <v/>
      </c>
      <c r="F3248">
        <f>IF(D3248="","",COUNTIFS('KG1-6'!$AD21:$IM21,"غياب بدون عذر",'KG1-6'!$AD$7:$IM$7,"✓",'KG1-6'!$AD$5:$IM$5,"&lt;="&amp;D3248))</f>
        <v/>
      </c>
      <c r="G3248">
        <f>G3247+IF(D3248="",0,1)</f>
        <v/>
      </c>
    </row>
    <row r="3249">
      <c r="A3249">
        <f>IF('KG1-6'!$B21="","",'KG1-6'!$B21)</f>
        <v/>
      </c>
      <c r="B3249">
        <f>IF(A3249="","",'KG1-6'!$C21)</f>
        <v/>
      </c>
      <c r="C3249">
        <f>IF(A3249="","",'KG1-6'!$B$2)</f>
        <v/>
      </c>
      <c r="D3249" s="126">
        <f t="array" ref="D3249">IF(A3249="","",IFERROR(SMALL(IF((('KG1-6'!$AD21:$IM21="غياب بدون عذر")+('KG1-6'!$AD21:$IM21="غياب بعذر"))*('KG1-6'!$AD$7:$IM$7="✓"),'KG1-6'!$AD$5:$IM$5),8),""))</f>
        <v/>
      </c>
      <c r="E3249">
        <f>IF(D3249="","",INDEX('KG1-6'!$AD21:$IM21,MATCH(D3249,'KG1-6'!$AD$5:$IM$5,0)))</f>
        <v/>
      </c>
      <c r="F3249">
        <f>IF(D3249="","",COUNTIFS('KG1-6'!$AD21:$IM21,"غياب بدون عذر",'KG1-6'!$AD$7:$IM$7,"✓",'KG1-6'!$AD$5:$IM$5,"&lt;="&amp;D3249))</f>
        <v/>
      </c>
      <c r="G3249">
        <f>G3248+IF(D3249="",0,1)</f>
        <v/>
      </c>
    </row>
    <row r="3250">
      <c r="A3250">
        <f>IF('KG1-6'!$B21="","",'KG1-6'!$B21)</f>
        <v/>
      </c>
      <c r="B3250">
        <f>IF(A3250="","",'KG1-6'!$C21)</f>
        <v/>
      </c>
      <c r="C3250">
        <f>IF(A3250="","",'KG1-6'!$B$2)</f>
        <v/>
      </c>
      <c r="D3250" s="126">
        <f t="array" ref="D3250">IF(A3250="","",IFERROR(SMALL(IF((('KG1-6'!$AD21:$IM21="غياب بدون عذر")+('KG1-6'!$AD21:$IM21="غياب بعذر"))*('KG1-6'!$AD$7:$IM$7="✓"),'KG1-6'!$AD$5:$IM$5),9),""))</f>
        <v/>
      </c>
      <c r="E3250">
        <f>IF(D3250="","",INDEX('KG1-6'!$AD21:$IM21,MATCH(D3250,'KG1-6'!$AD$5:$IM$5,0)))</f>
        <v/>
      </c>
      <c r="F3250">
        <f>IF(D3250="","",COUNTIFS('KG1-6'!$AD21:$IM21,"غياب بدون عذر",'KG1-6'!$AD$7:$IM$7,"✓",'KG1-6'!$AD$5:$IM$5,"&lt;="&amp;D3250))</f>
        <v/>
      </c>
      <c r="G3250">
        <f>G3249+IF(D3250="",0,1)</f>
        <v/>
      </c>
    </row>
    <row r="3251">
      <c r="A3251">
        <f>IF('KG1-6'!$B21="","",'KG1-6'!$B21)</f>
        <v/>
      </c>
      <c r="B3251">
        <f>IF(A3251="","",'KG1-6'!$C21)</f>
        <v/>
      </c>
      <c r="C3251">
        <f>IF(A3251="","",'KG1-6'!$B$2)</f>
        <v/>
      </c>
      <c r="D3251" s="126">
        <f t="array" ref="D3251">IF(A3251="","",IFERROR(SMALL(IF((('KG1-6'!$AD21:$IM21="غياب بدون عذر")+('KG1-6'!$AD21:$IM21="غياب بعذر"))*('KG1-6'!$AD$7:$IM$7="✓"),'KG1-6'!$AD$5:$IM$5),10),""))</f>
        <v/>
      </c>
      <c r="E3251">
        <f>IF(D3251="","",INDEX('KG1-6'!$AD21:$IM21,MATCH(D3251,'KG1-6'!$AD$5:$IM$5,0)))</f>
        <v/>
      </c>
      <c r="F3251">
        <f>IF(D3251="","",COUNTIFS('KG1-6'!$AD21:$IM21,"غياب بدون عذر",'KG1-6'!$AD$7:$IM$7,"✓",'KG1-6'!$AD$5:$IM$5,"&lt;="&amp;D3251))</f>
        <v/>
      </c>
      <c r="G3251">
        <f>G3250+IF(D3251="",0,1)</f>
        <v/>
      </c>
    </row>
    <row r="3252">
      <c r="A3252">
        <f>IF('KG1-6'!$B21="","",'KG1-6'!$B21)</f>
        <v/>
      </c>
      <c r="B3252">
        <f>IF(A3252="","",'KG1-6'!$C21)</f>
        <v/>
      </c>
      <c r="C3252">
        <f>IF(A3252="","",'KG1-6'!$B$2)</f>
        <v/>
      </c>
      <c r="D3252" s="126">
        <f t="array" ref="D3252">IF(A3252="","",IFERROR(SMALL(IF((('KG1-6'!$AD21:$IM21="غياب بدون عذر")+('KG1-6'!$AD21:$IM21="غياب بعذر"))*('KG1-6'!$AD$7:$IM$7="✓"),'KG1-6'!$AD$5:$IM$5),11),""))</f>
        <v/>
      </c>
      <c r="E3252">
        <f>IF(D3252="","",INDEX('KG1-6'!$AD21:$IM21,MATCH(D3252,'KG1-6'!$AD$5:$IM$5,0)))</f>
        <v/>
      </c>
      <c r="F3252">
        <f>IF(D3252="","",COUNTIFS('KG1-6'!$AD21:$IM21,"غياب بدون عذر",'KG1-6'!$AD$7:$IM$7,"✓",'KG1-6'!$AD$5:$IM$5,"&lt;="&amp;D3252))</f>
        <v/>
      </c>
      <c r="G3252">
        <f>G3251+IF(D3252="",0,1)</f>
        <v/>
      </c>
    </row>
    <row r="3253">
      <c r="A3253">
        <f>IF('KG1-6'!$B21="","",'KG1-6'!$B21)</f>
        <v/>
      </c>
      <c r="B3253">
        <f>IF(A3253="","",'KG1-6'!$C21)</f>
        <v/>
      </c>
      <c r="C3253">
        <f>IF(A3253="","",'KG1-6'!$B$2)</f>
        <v/>
      </c>
      <c r="D3253" s="126">
        <f t="array" ref="D3253">IF(A3253="","",IFERROR(SMALL(IF((('KG1-6'!$AD21:$IM21="غياب بدون عذر")+('KG1-6'!$AD21:$IM21="غياب بعذر"))*('KG1-6'!$AD$7:$IM$7="✓"),'KG1-6'!$AD$5:$IM$5),12),""))</f>
        <v/>
      </c>
      <c r="E3253">
        <f>IF(D3253="","",INDEX('KG1-6'!$AD21:$IM21,MATCH(D3253,'KG1-6'!$AD$5:$IM$5,0)))</f>
        <v/>
      </c>
      <c r="F3253">
        <f>IF(D3253="","",COUNTIFS('KG1-6'!$AD21:$IM21,"غياب بدون عذر",'KG1-6'!$AD$7:$IM$7,"✓",'KG1-6'!$AD$5:$IM$5,"&lt;="&amp;D3253))</f>
        <v/>
      </c>
      <c r="G3253">
        <f>G3252+IF(D3253="",0,1)</f>
        <v/>
      </c>
    </row>
    <row r="3254">
      <c r="A3254">
        <f>IF('KG1-6'!$B21="","",'KG1-6'!$B21)</f>
        <v/>
      </c>
      <c r="B3254">
        <f>IF(A3254="","",'KG1-6'!$C21)</f>
        <v/>
      </c>
      <c r="C3254">
        <f>IF(A3254="","",'KG1-6'!$B$2)</f>
        <v/>
      </c>
      <c r="D3254" s="126">
        <f t="array" ref="D3254">IF(A3254="","",IFERROR(SMALL(IF((('KG1-6'!$AD21:$IM21="غياب بدون عذر")+('KG1-6'!$AD21:$IM21="غياب بعذر"))*('KG1-6'!$AD$7:$IM$7="✓"),'KG1-6'!$AD$5:$IM$5),13),""))</f>
        <v/>
      </c>
      <c r="E3254">
        <f>IF(D3254="","",INDEX('KG1-6'!$AD21:$IM21,MATCH(D3254,'KG1-6'!$AD$5:$IM$5,0)))</f>
        <v/>
      </c>
      <c r="F3254">
        <f>IF(D3254="","",COUNTIFS('KG1-6'!$AD21:$IM21,"غياب بدون عذر",'KG1-6'!$AD$7:$IM$7,"✓",'KG1-6'!$AD$5:$IM$5,"&lt;="&amp;D3254))</f>
        <v/>
      </c>
      <c r="G3254">
        <f>G3253+IF(D3254="",0,1)</f>
        <v/>
      </c>
    </row>
    <row r="3255">
      <c r="A3255">
        <f>IF('KG1-6'!$B21="","",'KG1-6'!$B21)</f>
        <v/>
      </c>
      <c r="B3255">
        <f>IF(A3255="","",'KG1-6'!$C21)</f>
        <v/>
      </c>
      <c r="C3255">
        <f>IF(A3255="","",'KG1-6'!$B$2)</f>
        <v/>
      </c>
      <c r="D3255" s="126">
        <f t="array" ref="D3255">IF(A3255="","",IFERROR(SMALL(IF((('KG1-6'!$AD21:$IM21="غياب بدون عذر")+('KG1-6'!$AD21:$IM21="غياب بعذر"))*('KG1-6'!$AD$7:$IM$7="✓"),'KG1-6'!$AD$5:$IM$5),14),""))</f>
        <v/>
      </c>
      <c r="E3255">
        <f>IF(D3255="","",INDEX('KG1-6'!$AD21:$IM21,MATCH(D3255,'KG1-6'!$AD$5:$IM$5,0)))</f>
        <v/>
      </c>
      <c r="F3255">
        <f>IF(D3255="","",COUNTIFS('KG1-6'!$AD21:$IM21,"غياب بدون عذر",'KG1-6'!$AD$7:$IM$7,"✓",'KG1-6'!$AD$5:$IM$5,"&lt;="&amp;D3255))</f>
        <v/>
      </c>
      <c r="G3255">
        <f>G3254+IF(D3255="",0,1)</f>
        <v/>
      </c>
    </row>
    <row r="3256">
      <c r="A3256">
        <f>IF('KG1-6'!$B21="","",'KG1-6'!$B21)</f>
        <v/>
      </c>
      <c r="B3256">
        <f>IF(A3256="","",'KG1-6'!$C21)</f>
        <v/>
      </c>
      <c r="C3256">
        <f>IF(A3256="","",'KG1-6'!$B$2)</f>
        <v/>
      </c>
      <c r="D3256" s="126">
        <f t="array" ref="D3256">IF(A3256="","",IFERROR(SMALL(IF((('KG1-6'!$AD21:$IM21="غياب بدون عذر")+('KG1-6'!$AD21:$IM21="غياب بعذر"))*('KG1-6'!$AD$7:$IM$7="✓"),'KG1-6'!$AD$5:$IM$5),15),""))</f>
        <v/>
      </c>
      <c r="E3256">
        <f>IF(D3256="","",INDEX('KG1-6'!$AD21:$IM21,MATCH(D3256,'KG1-6'!$AD$5:$IM$5,0)))</f>
        <v/>
      </c>
      <c r="F3256">
        <f>IF(D3256="","",COUNTIFS('KG1-6'!$AD21:$IM21,"غياب بدون عذر",'KG1-6'!$AD$7:$IM$7,"✓",'KG1-6'!$AD$5:$IM$5,"&lt;="&amp;D3256))</f>
        <v/>
      </c>
      <c r="G3256">
        <f>G3255+IF(D3256="",0,1)</f>
        <v/>
      </c>
    </row>
    <row r="3257">
      <c r="A3257">
        <f>IF('KG1-6'!$B21="","",'KG1-6'!$B21)</f>
        <v/>
      </c>
      <c r="B3257">
        <f>IF(A3257="","",'KG1-6'!$C21)</f>
        <v/>
      </c>
      <c r="C3257">
        <f>IF(A3257="","",'KG1-6'!$B$2)</f>
        <v/>
      </c>
      <c r="D3257" s="126">
        <f t="array" ref="D3257">IF(A3257="","",IFERROR(SMALL(IF((('KG1-6'!$AD21:$IM21="غياب بدون عذر")+('KG1-6'!$AD21:$IM21="غياب بعذر"))*('KG1-6'!$AD$7:$IM$7="✓"),'KG1-6'!$AD$5:$IM$5),16),""))</f>
        <v/>
      </c>
      <c r="E3257">
        <f>IF(D3257="","",INDEX('KG1-6'!$AD21:$IM21,MATCH(D3257,'KG1-6'!$AD$5:$IM$5,0)))</f>
        <v/>
      </c>
      <c r="F3257">
        <f>IF(D3257="","",COUNTIFS('KG1-6'!$AD21:$IM21,"غياب بدون عذر",'KG1-6'!$AD$7:$IM$7,"✓",'KG1-6'!$AD$5:$IM$5,"&lt;="&amp;D3257))</f>
        <v/>
      </c>
      <c r="G3257">
        <f>G3256+IF(D3257="",0,1)</f>
        <v/>
      </c>
    </row>
    <row r="3258">
      <c r="A3258">
        <f>IF('KG1-6'!$B21="","",'KG1-6'!$B21)</f>
        <v/>
      </c>
      <c r="B3258">
        <f>IF(A3258="","",'KG1-6'!$C21)</f>
        <v/>
      </c>
      <c r="C3258">
        <f>IF(A3258="","",'KG1-6'!$B$2)</f>
        <v/>
      </c>
      <c r="D3258" s="126">
        <f t="array" ref="D3258">IF(A3258="","",IFERROR(SMALL(IF((('KG1-6'!$AD21:$IM21="غياب بدون عذر")+('KG1-6'!$AD21:$IM21="غياب بعذر"))*('KG1-6'!$AD$7:$IM$7="✓"),'KG1-6'!$AD$5:$IM$5),17),""))</f>
        <v/>
      </c>
      <c r="E3258">
        <f>IF(D3258="","",INDEX('KG1-6'!$AD21:$IM21,MATCH(D3258,'KG1-6'!$AD$5:$IM$5,0)))</f>
        <v/>
      </c>
      <c r="F3258">
        <f>IF(D3258="","",COUNTIFS('KG1-6'!$AD21:$IM21,"غياب بدون عذر",'KG1-6'!$AD$7:$IM$7,"✓",'KG1-6'!$AD$5:$IM$5,"&lt;="&amp;D3258))</f>
        <v/>
      </c>
      <c r="G3258">
        <f>G3257+IF(D3258="",0,1)</f>
        <v/>
      </c>
    </row>
    <row r="3259">
      <c r="A3259">
        <f>IF('KG1-6'!$B21="","",'KG1-6'!$B21)</f>
        <v/>
      </c>
      <c r="B3259">
        <f>IF(A3259="","",'KG1-6'!$C21)</f>
        <v/>
      </c>
      <c r="C3259">
        <f>IF(A3259="","",'KG1-6'!$B$2)</f>
        <v/>
      </c>
      <c r="D3259" s="126">
        <f t="array" ref="D3259">IF(A3259="","",IFERROR(SMALL(IF((('KG1-6'!$AD21:$IM21="غياب بدون عذر")+('KG1-6'!$AD21:$IM21="غياب بعذر"))*('KG1-6'!$AD$7:$IM$7="✓"),'KG1-6'!$AD$5:$IM$5),18),""))</f>
        <v/>
      </c>
      <c r="E3259">
        <f>IF(D3259="","",INDEX('KG1-6'!$AD21:$IM21,MATCH(D3259,'KG1-6'!$AD$5:$IM$5,0)))</f>
        <v/>
      </c>
      <c r="F3259">
        <f>IF(D3259="","",COUNTIFS('KG1-6'!$AD21:$IM21,"غياب بدون عذر",'KG1-6'!$AD$7:$IM$7,"✓",'KG1-6'!$AD$5:$IM$5,"&lt;="&amp;D3259))</f>
        <v/>
      </c>
      <c r="G3259">
        <f>G3258+IF(D3259="",0,1)</f>
        <v/>
      </c>
    </row>
    <row r="3260">
      <c r="A3260">
        <f>IF('KG1-6'!$B21="","",'KG1-6'!$B21)</f>
        <v/>
      </c>
      <c r="B3260">
        <f>IF(A3260="","",'KG1-6'!$C21)</f>
        <v/>
      </c>
      <c r="C3260">
        <f>IF(A3260="","",'KG1-6'!$B$2)</f>
        <v/>
      </c>
      <c r="D3260" s="126">
        <f t="array" ref="D3260">IF(A3260="","",IFERROR(SMALL(IF((('KG1-6'!$AD21:$IM21="غياب بدون عذر")+('KG1-6'!$AD21:$IM21="غياب بعذر"))*('KG1-6'!$AD$7:$IM$7="✓"),'KG1-6'!$AD$5:$IM$5),19),""))</f>
        <v/>
      </c>
      <c r="E3260">
        <f>IF(D3260="","",INDEX('KG1-6'!$AD21:$IM21,MATCH(D3260,'KG1-6'!$AD$5:$IM$5,0)))</f>
        <v/>
      </c>
      <c r="F3260">
        <f>IF(D3260="","",COUNTIFS('KG1-6'!$AD21:$IM21,"غياب بدون عذر",'KG1-6'!$AD$7:$IM$7,"✓",'KG1-6'!$AD$5:$IM$5,"&lt;="&amp;D3260))</f>
        <v/>
      </c>
      <c r="G3260">
        <f>G3259+IF(D3260="",0,1)</f>
        <v/>
      </c>
    </row>
    <row r="3261">
      <c r="A3261">
        <f>IF('KG1-6'!$B21="","",'KG1-6'!$B21)</f>
        <v/>
      </c>
      <c r="B3261">
        <f>IF(A3261="","",'KG1-6'!$C21)</f>
        <v/>
      </c>
      <c r="C3261">
        <f>IF(A3261="","",'KG1-6'!$B$2)</f>
        <v/>
      </c>
      <c r="D3261" s="126">
        <f t="array" ref="D3261">IF(A3261="","",IFERROR(SMALL(IF((('KG1-6'!$AD21:$IM21="غياب بدون عذر")+('KG1-6'!$AD21:$IM21="غياب بعذر"))*('KG1-6'!$AD$7:$IM$7="✓"),'KG1-6'!$AD$5:$IM$5),20),""))</f>
        <v/>
      </c>
      <c r="E3261">
        <f>IF(D3261="","",INDEX('KG1-6'!$AD21:$IM21,MATCH(D3261,'KG1-6'!$AD$5:$IM$5,0)))</f>
        <v/>
      </c>
      <c r="F3261">
        <f>IF(D3261="","",COUNTIFS('KG1-6'!$AD21:$IM21,"غياب بدون عذر",'KG1-6'!$AD$7:$IM$7,"✓",'KG1-6'!$AD$5:$IM$5,"&lt;="&amp;D3261))</f>
        <v/>
      </c>
      <c r="G3261">
        <f>G3260+IF(D3261="",0,1)</f>
        <v/>
      </c>
    </row>
    <row r="3262">
      <c r="A3262">
        <f>IF('KG1-6'!$B22="","",'KG1-6'!$B22)</f>
        <v/>
      </c>
      <c r="B3262">
        <f>IF(A3262="","",'KG1-6'!$C22)</f>
        <v/>
      </c>
      <c r="C3262">
        <f>IF(A3262="","",'KG1-6'!$B$2)</f>
        <v/>
      </c>
      <c r="D3262" s="126">
        <f t="array" ref="D3262">IF(A3262="","",IFERROR(SMALL(IF((('KG1-6'!$AD22:$IM22="غياب بدون عذر")+('KG1-6'!$AD22:$IM22="غياب بعذر"))*('KG1-6'!$AD$7:$IM$7="✓"),'KG1-6'!$AD$5:$IM$5),1),""))</f>
        <v/>
      </c>
      <c r="E3262">
        <f>IF(D3262="","",INDEX('KG1-6'!$AD22:$IM22,MATCH(D3262,'KG1-6'!$AD$5:$IM$5,0)))</f>
        <v/>
      </c>
      <c r="F3262">
        <f>IF(D3262="","",COUNTIFS('KG1-6'!$AD22:$IM22,"غياب بدون عذر",'KG1-6'!$AD$7:$IM$7,"✓",'KG1-6'!$AD$5:$IM$5,"&lt;="&amp;D3262))</f>
        <v/>
      </c>
      <c r="G3262">
        <f>G3261+IF(D3262="",0,1)</f>
        <v/>
      </c>
    </row>
    <row r="3263">
      <c r="A3263">
        <f>IF('KG1-6'!$B22="","",'KG1-6'!$B22)</f>
        <v/>
      </c>
      <c r="B3263">
        <f>IF(A3263="","",'KG1-6'!$C22)</f>
        <v/>
      </c>
      <c r="C3263">
        <f>IF(A3263="","",'KG1-6'!$B$2)</f>
        <v/>
      </c>
      <c r="D3263" s="126">
        <f t="array" ref="D3263">IF(A3263="","",IFERROR(SMALL(IF((('KG1-6'!$AD22:$IM22="غياب بدون عذر")+('KG1-6'!$AD22:$IM22="غياب بعذر"))*('KG1-6'!$AD$7:$IM$7="✓"),'KG1-6'!$AD$5:$IM$5),2),""))</f>
        <v/>
      </c>
      <c r="E3263">
        <f>IF(D3263="","",INDEX('KG1-6'!$AD22:$IM22,MATCH(D3263,'KG1-6'!$AD$5:$IM$5,0)))</f>
        <v/>
      </c>
      <c r="F3263">
        <f>IF(D3263="","",COUNTIFS('KG1-6'!$AD22:$IM22,"غياب بدون عذر",'KG1-6'!$AD$7:$IM$7,"✓",'KG1-6'!$AD$5:$IM$5,"&lt;="&amp;D3263))</f>
        <v/>
      </c>
      <c r="G3263">
        <f>G3262+IF(D3263="",0,1)</f>
        <v/>
      </c>
    </row>
    <row r="3264">
      <c r="A3264">
        <f>IF('KG1-6'!$B22="","",'KG1-6'!$B22)</f>
        <v/>
      </c>
      <c r="B3264">
        <f>IF(A3264="","",'KG1-6'!$C22)</f>
        <v/>
      </c>
      <c r="C3264">
        <f>IF(A3264="","",'KG1-6'!$B$2)</f>
        <v/>
      </c>
      <c r="D3264" s="126">
        <f t="array" ref="D3264">IF(A3264="","",IFERROR(SMALL(IF((('KG1-6'!$AD22:$IM22="غياب بدون عذر")+('KG1-6'!$AD22:$IM22="غياب بعذر"))*('KG1-6'!$AD$7:$IM$7="✓"),'KG1-6'!$AD$5:$IM$5),3),""))</f>
        <v/>
      </c>
      <c r="E3264">
        <f>IF(D3264="","",INDEX('KG1-6'!$AD22:$IM22,MATCH(D3264,'KG1-6'!$AD$5:$IM$5,0)))</f>
        <v/>
      </c>
      <c r="F3264">
        <f>IF(D3264="","",COUNTIFS('KG1-6'!$AD22:$IM22,"غياب بدون عذر",'KG1-6'!$AD$7:$IM$7,"✓",'KG1-6'!$AD$5:$IM$5,"&lt;="&amp;D3264))</f>
        <v/>
      </c>
      <c r="G3264">
        <f>G3263+IF(D3264="",0,1)</f>
        <v/>
      </c>
    </row>
    <row r="3265">
      <c r="A3265">
        <f>IF('KG1-6'!$B22="","",'KG1-6'!$B22)</f>
        <v/>
      </c>
      <c r="B3265">
        <f>IF(A3265="","",'KG1-6'!$C22)</f>
        <v/>
      </c>
      <c r="C3265">
        <f>IF(A3265="","",'KG1-6'!$B$2)</f>
        <v/>
      </c>
      <c r="D3265" s="126">
        <f t="array" ref="D3265">IF(A3265="","",IFERROR(SMALL(IF((('KG1-6'!$AD22:$IM22="غياب بدون عذر")+('KG1-6'!$AD22:$IM22="غياب بعذر"))*('KG1-6'!$AD$7:$IM$7="✓"),'KG1-6'!$AD$5:$IM$5),4),""))</f>
        <v/>
      </c>
      <c r="E3265">
        <f>IF(D3265="","",INDEX('KG1-6'!$AD22:$IM22,MATCH(D3265,'KG1-6'!$AD$5:$IM$5,0)))</f>
        <v/>
      </c>
      <c r="F3265">
        <f>IF(D3265="","",COUNTIFS('KG1-6'!$AD22:$IM22,"غياب بدون عذر",'KG1-6'!$AD$7:$IM$7,"✓",'KG1-6'!$AD$5:$IM$5,"&lt;="&amp;D3265))</f>
        <v/>
      </c>
      <c r="G3265">
        <f>G3264+IF(D3265="",0,1)</f>
        <v/>
      </c>
    </row>
    <row r="3266">
      <c r="A3266">
        <f>IF('KG1-6'!$B22="","",'KG1-6'!$B22)</f>
        <v/>
      </c>
      <c r="B3266">
        <f>IF(A3266="","",'KG1-6'!$C22)</f>
        <v/>
      </c>
      <c r="C3266">
        <f>IF(A3266="","",'KG1-6'!$B$2)</f>
        <v/>
      </c>
      <c r="D3266" s="126">
        <f t="array" ref="D3266">IF(A3266="","",IFERROR(SMALL(IF((('KG1-6'!$AD22:$IM22="غياب بدون عذر")+('KG1-6'!$AD22:$IM22="غياب بعذر"))*('KG1-6'!$AD$7:$IM$7="✓"),'KG1-6'!$AD$5:$IM$5),5),""))</f>
        <v/>
      </c>
      <c r="E3266">
        <f>IF(D3266="","",INDEX('KG1-6'!$AD22:$IM22,MATCH(D3266,'KG1-6'!$AD$5:$IM$5,0)))</f>
        <v/>
      </c>
      <c r="F3266">
        <f>IF(D3266="","",COUNTIFS('KG1-6'!$AD22:$IM22,"غياب بدون عذر",'KG1-6'!$AD$7:$IM$7,"✓",'KG1-6'!$AD$5:$IM$5,"&lt;="&amp;D3266))</f>
        <v/>
      </c>
      <c r="G3266">
        <f>G3265+IF(D3266="",0,1)</f>
        <v/>
      </c>
    </row>
    <row r="3267">
      <c r="A3267">
        <f>IF('KG1-6'!$B22="","",'KG1-6'!$B22)</f>
        <v/>
      </c>
      <c r="B3267">
        <f>IF(A3267="","",'KG1-6'!$C22)</f>
        <v/>
      </c>
      <c r="C3267">
        <f>IF(A3267="","",'KG1-6'!$B$2)</f>
        <v/>
      </c>
      <c r="D3267" s="126">
        <f t="array" ref="D3267">IF(A3267="","",IFERROR(SMALL(IF((('KG1-6'!$AD22:$IM22="غياب بدون عذر")+('KG1-6'!$AD22:$IM22="غياب بعذر"))*('KG1-6'!$AD$7:$IM$7="✓"),'KG1-6'!$AD$5:$IM$5),6),""))</f>
        <v/>
      </c>
      <c r="E3267">
        <f>IF(D3267="","",INDEX('KG1-6'!$AD22:$IM22,MATCH(D3267,'KG1-6'!$AD$5:$IM$5,0)))</f>
        <v/>
      </c>
      <c r="F3267">
        <f>IF(D3267="","",COUNTIFS('KG1-6'!$AD22:$IM22,"غياب بدون عذر",'KG1-6'!$AD$7:$IM$7,"✓",'KG1-6'!$AD$5:$IM$5,"&lt;="&amp;D3267))</f>
        <v/>
      </c>
      <c r="G3267">
        <f>G3266+IF(D3267="",0,1)</f>
        <v/>
      </c>
    </row>
    <row r="3268">
      <c r="A3268">
        <f>IF('KG1-6'!$B22="","",'KG1-6'!$B22)</f>
        <v/>
      </c>
      <c r="B3268">
        <f>IF(A3268="","",'KG1-6'!$C22)</f>
        <v/>
      </c>
      <c r="C3268">
        <f>IF(A3268="","",'KG1-6'!$B$2)</f>
        <v/>
      </c>
      <c r="D3268" s="126">
        <f t="array" ref="D3268">IF(A3268="","",IFERROR(SMALL(IF((('KG1-6'!$AD22:$IM22="غياب بدون عذر")+('KG1-6'!$AD22:$IM22="غياب بعذر"))*('KG1-6'!$AD$7:$IM$7="✓"),'KG1-6'!$AD$5:$IM$5),7),""))</f>
        <v/>
      </c>
      <c r="E3268">
        <f>IF(D3268="","",INDEX('KG1-6'!$AD22:$IM22,MATCH(D3268,'KG1-6'!$AD$5:$IM$5,0)))</f>
        <v/>
      </c>
      <c r="F3268">
        <f>IF(D3268="","",COUNTIFS('KG1-6'!$AD22:$IM22,"غياب بدون عذر",'KG1-6'!$AD$7:$IM$7,"✓",'KG1-6'!$AD$5:$IM$5,"&lt;="&amp;D3268))</f>
        <v/>
      </c>
      <c r="G3268">
        <f>G3267+IF(D3268="",0,1)</f>
        <v/>
      </c>
    </row>
    <row r="3269">
      <c r="A3269">
        <f>IF('KG1-6'!$B22="","",'KG1-6'!$B22)</f>
        <v/>
      </c>
      <c r="B3269">
        <f>IF(A3269="","",'KG1-6'!$C22)</f>
        <v/>
      </c>
      <c r="C3269">
        <f>IF(A3269="","",'KG1-6'!$B$2)</f>
        <v/>
      </c>
      <c r="D3269" s="126">
        <f t="array" ref="D3269">IF(A3269="","",IFERROR(SMALL(IF((('KG1-6'!$AD22:$IM22="غياب بدون عذر")+('KG1-6'!$AD22:$IM22="غياب بعذر"))*('KG1-6'!$AD$7:$IM$7="✓"),'KG1-6'!$AD$5:$IM$5),8),""))</f>
        <v/>
      </c>
      <c r="E3269">
        <f>IF(D3269="","",INDEX('KG1-6'!$AD22:$IM22,MATCH(D3269,'KG1-6'!$AD$5:$IM$5,0)))</f>
        <v/>
      </c>
      <c r="F3269">
        <f>IF(D3269="","",COUNTIFS('KG1-6'!$AD22:$IM22,"غياب بدون عذر",'KG1-6'!$AD$7:$IM$7,"✓",'KG1-6'!$AD$5:$IM$5,"&lt;="&amp;D3269))</f>
        <v/>
      </c>
      <c r="G3269">
        <f>G3268+IF(D3269="",0,1)</f>
        <v/>
      </c>
    </row>
    <row r="3270">
      <c r="A3270">
        <f>IF('KG1-6'!$B22="","",'KG1-6'!$B22)</f>
        <v/>
      </c>
      <c r="B3270">
        <f>IF(A3270="","",'KG1-6'!$C22)</f>
        <v/>
      </c>
      <c r="C3270">
        <f>IF(A3270="","",'KG1-6'!$B$2)</f>
        <v/>
      </c>
      <c r="D3270" s="126">
        <f t="array" ref="D3270">IF(A3270="","",IFERROR(SMALL(IF((('KG1-6'!$AD22:$IM22="غياب بدون عذر")+('KG1-6'!$AD22:$IM22="غياب بعذر"))*('KG1-6'!$AD$7:$IM$7="✓"),'KG1-6'!$AD$5:$IM$5),9),""))</f>
        <v/>
      </c>
      <c r="E3270">
        <f>IF(D3270="","",INDEX('KG1-6'!$AD22:$IM22,MATCH(D3270,'KG1-6'!$AD$5:$IM$5,0)))</f>
        <v/>
      </c>
      <c r="F3270">
        <f>IF(D3270="","",COUNTIFS('KG1-6'!$AD22:$IM22,"غياب بدون عذر",'KG1-6'!$AD$7:$IM$7,"✓",'KG1-6'!$AD$5:$IM$5,"&lt;="&amp;D3270))</f>
        <v/>
      </c>
      <c r="G3270">
        <f>G3269+IF(D3270="",0,1)</f>
        <v/>
      </c>
    </row>
    <row r="3271">
      <c r="A3271">
        <f>IF('KG1-6'!$B22="","",'KG1-6'!$B22)</f>
        <v/>
      </c>
      <c r="B3271">
        <f>IF(A3271="","",'KG1-6'!$C22)</f>
        <v/>
      </c>
      <c r="C3271">
        <f>IF(A3271="","",'KG1-6'!$B$2)</f>
        <v/>
      </c>
      <c r="D3271" s="126">
        <f t="array" ref="D3271">IF(A3271="","",IFERROR(SMALL(IF((('KG1-6'!$AD22:$IM22="غياب بدون عذر")+('KG1-6'!$AD22:$IM22="غياب بعذر"))*('KG1-6'!$AD$7:$IM$7="✓"),'KG1-6'!$AD$5:$IM$5),10),""))</f>
        <v/>
      </c>
      <c r="E3271">
        <f>IF(D3271="","",INDEX('KG1-6'!$AD22:$IM22,MATCH(D3271,'KG1-6'!$AD$5:$IM$5,0)))</f>
        <v/>
      </c>
      <c r="F3271">
        <f>IF(D3271="","",COUNTIFS('KG1-6'!$AD22:$IM22,"غياب بدون عذر",'KG1-6'!$AD$7:$IM$7,"✓",'KG1-6'!$AD$5:$IM$5,"&lt;="&amp;D3271))</f>
        <v/>
      </c>
      <c r="G3271">
        <f>G3270+IF(D3271="",0,1)</f>
        <v/>
      </c>
    </row>
    <row r="3272">
      <c r="A3272">
        <f>IF('KG1-6'!$B22="","",'KG1-6'!$B22)</f>
        <v/>
      </c>
      <c r="B3272">
        <f>IF(A3272="","",'KG1-6'!$C22)</f>
        <v/>
      </c>
      <c r="C3272">
        <f>IF(A3272="","",'KG1-6'!$B$2)</f>
        <v/>
      </c>
      <c r="D3272" s="126">
        <f t="array" ref="D3272">IF(A3272="","",IFERROR(SMALL(IF((('KG1-6'!$AD22:$IM22="غياب بدون عذر")+('KG1-6'!$AD22:$IM22="غياب بعذر"))*('KG1-6'!$AD$7:$IM$7="✓"),'KG1-6'!$AD$5:$IM$5),11),""))</f>
        <v/>
      </c>
      <c r="E3272">
        <f>IF(D3272="","",INDEX('KG1-6'!$AD22:$IM22,MATCH(D3272,'KG1-6'!$AD$5:$IM$5,0)))</f>
        <v/>
      </c>
      <c r="F3272">
        <f>IF(D3272="","",COUNTIFS('KG1-6'!$AD22:$IM22,"غياب بدون عذر",'KG1-6'!$AD$7:$IM$7,"✓",'KG1-6'!$AD$5:$IM$5,"&lt;="&amp;D3272))</f>
        <v/>
      </c>
      <c r="G3272">
        <f>G3271+IF(D3272="",0,1)</f>
        <v/>
      </c>
    </row>
    <row r="3273">
      <c r="A3273">
        <f>IF('KG1-6'!$B22="","",'KG1-6'!$B22)</f>
        <v/>
      </c>
      <c r="B3273">
        <f>IF(A3273="","",'KG1-6'!$C22)</f>
        <v/>
      </c>
      <c r="C3273">
        <f>IF(A3273="","",'KG1-6'!$B$2)</f>
        <v/>
      </c>
      <c r="D3273" s="126">
        <f t="array" ref="D3273">IF(A3273="","",IFERROR(SMALL(IF((('KG1-6'!$AD22:$IM22="غياب بدون عذر")+('KG1-6'!$AD22:$IM22="غياب بعذر"))*('KG1-6'!$AD$7:$IM$7="✓"),'KG1-6'!$AD$5:$IM$5),12),""))</f>
        <v/>
      </c>
      <c r="E3273">
        <f>IF(D3273="","",INDEX('KG1-6'!$AD22:$IM22,MATCH(D3273,'KG1-6'!$AD$5:$IM$5,0)))</f>
        <v/>
      </c>
      <c r="F3273">
        <f>IF(D3273="","",COUNTIFS('KG1-6'!$AD22:$IM22,"غياب بدون عذر",'KG1-6'!$AD$7:$IM$7,"✓",'KG1-6'!$AD$5:$IM$5,"&lt;="&amp;D3273))</f>
        <v/>
      </c>
      <c r="G3273">
        <f>G3272+IF(D3273="",0,1)</f>
        <v/>
      </c>
    </row>
    <row r="3274">
      <c r="A3274">
        <f>IF('KG1-6'!$B22="","",'KG1-6'!$B22)</f>
        <v/>
      </c>
      <c r="B3274">
        <f>IF(A3274="","",'KG1-6'!$C22)</f>
        <v/>
      </c>
      <c r="C3274">
        <f>IF(A3274="","",'KG1-6'!$B$2)</f>
        <v/>
      </c>
      <c r="D3274" s="126">
        <f t="array" ref="D3274">IF(A3274="","",IFERROR(SMALL(IF((('KG1-6'!$AD22:$IM22="غياب بدون عذر")+('KG1-6'!$AD22:$IM22="غياب بعذر"))*('KG1-6'!$AD$7:$IM$7="✓"),'KG1-6'!$AD$5:$IM$5),13),""))</f>
        <v/>
      </c>
      <c r="E3274">
        <f>IF(D3274="","",INDEX('KG1-6'!$AD22:$IM22,MATCH(D3274,'KG1-6'!$AD$5:$IM$5,0)))</f>
        <v/>
      </c>
      <c r="F3274">
        <f>IF(D3274="","",COUNTIFS('KG1-6'!$AD22:$IM22,"غياب بدون عذر",'KG1-6'!$AD$7:$IM$7,"✓",'KG1-6'!$AD$5:$IM$5,"&lt;="&amp;D3274))</f>
        <v/>
      </c>
      <c r="G3274">
        <f>G3273+IF(D3274="",0,1)</f>
        <v/>
      </c>
    </row>
    <row r="3275">
      <c r="A3275">
        <f>IF('KG1-6'!$B22="","",'KG1-6'!$B22)</f>
        <v/>
      </c>
      <c r="B3275">
        <f>IF(A3275="","",'KG1-6'!$C22)</f>
        <v/>
      </c>
      <c r="C3275">
        <f>IF(A3275="","",'KG1-6'!$B$2)</f>
        <v/>
      </c>
      <c r="D3275" s="126">
        <f t="array" ref="D3275">IF(A3275="","",IFERROR(SMALL(IF((('KG1-6'!$AD22:$IM22="غياب بدون عذر")+('KG1-6'!$AD22:$IM22="غياب بعذر"))*('KG1-6'!$AD$7:$IM$7="✓"),'KG1-6'!$AD$5:$IM$5),14),""))</f>
        <v/>
      </c>
      <c r="E3275">
        <f>IF(D3275="","",INDEX('KG1-6'!$AD22:$IM22,MATCH(D3275,'KG1-6'!$AD$5:$IM$5,0)))</f>
        <v/>
      </c>
      <c r="F3275">
        <f>IF(D3275="","",COUNTIFS('KG1-6'!$AD22:$IM22,"غياب بدون عذر",'KG1-6'!$AD$7:$IM$7,"✓",'KG1-6'!$AD$5:$IM$5,"&lt;="&amp;D3275))</f>
        <v/>
      </c>
      <c r="G3275">
        <f>G3274+IF(D3275="",0,1)</f>
        <v/>
      </c>
    </row>
    <row r="3276">
      <c r="A3276">
        <f>IF('KG1-6'!$B22="","",'KG1-6'!$B22)</f>
        <v/>
      </c>
      <c r="B3276">
        <f>IF(A3276="","",'KG1-6'!$C22)</f>
        <v/>
      </c>
      <c r="C3276">
        <f>IF(A3276="","",'KG1-6'!$B$2)</f>
        <v/>
      </c>
      <c r="D3276" s="126">
        <f t="array" ref="D3276">IF(A3276="","",IFERROR(SMALL(IF((('KG1-6'!$AD22:$IM22="غياب بدون عذر")+('KG1-6'!$AD22:$IM22="غياب بعذر"))*('KG1-6'!$AD$7:$IM$7="✓"),'KG1-6'!$AD$5:$IM$5),15),""))</f>
        <v/>
      </c>
      <c r="E3276">
        <f>IF(D3276="","",INDEX('KG1-6'!$AD22:$IM22,MATCH(D3276,'KG1-6'!$AD$5:$IM$5,0)))</f>
        <v/>
      </c>
      <c r="F3276">
        <f>IF(D3276="","",COUNTIFS('KG1-6'!$AD22:$IM22,"غياب بدون عذر",'KG1-6'!$AD$7:$IM$7,"✓",'KG1-6'!$AD$5:$IM$5,"&lt;="&amp;D3276))</f>
        <v/>
      </c>
      <c r="G3276">
        <f>G3275+IF(D3276="",0,1)</f>
        <v/>
      </c>
    </row>
    <row r="3277">
      <c r="A3277">
        <f>IF('KG1-6'!$B22="","",'KG1-6'!$B22)</f>
        <v/>
      </c>
      <c r="B3277">
        <f>IF(A3277="","",'KG1-6'!$C22)</f>
        <v/>
      </c>
      <c r="C3277">
        <f>IF(A3277="","",'KG1-6'!$B$2)</f>
        <v/>
      </c>
      <c r="D3277" s="126">
        <f t="array" ref="D3277">IF(A3277="","",IFERROR(SMALL(IF((('KG1-6'!$AD22:$IM22="غياب بدون عذر")+('KG1-6'!$AD22:$IM22="غياب بعذر"))*('KG1-6'!$AD$7:$IM$7="✓"),'KG1-6'!$AD$5:$IM$5),16),""))</f>
        <v/>
      </c>
      <c r="E3277">
        <f>IF(D3277="","",INDEX('KG1-6'!$AD22:$IM22,MATCH(D3277,'KG1-6'!$AD$5:$IM$5,0)))</f>
        <v/>
      </c>
      <c r="F3277">
        <f>IF(D3277="","",COUNTIFS('KG1-6'!$AD22:$IM22,"غياب بدون عذر",'KG1-6'!$AD$7:$IM$7,"✓",'KG1-6'!$AD$5:$IM$5,"&lt;="&amp;D3277))</f>
        <v/>
      </c>
      <c r="G3277">
        <f>G3276+IF(D3277="",0,1)</f>
        <v/>
      </c>
    </row>
    <row r="3278">
      <c r="A3278">
        <f>IF('KG1-6'!$B22="","",'KG1-6'!$B22)</f>
        <v/>
      </c>
      <c r="B3278">
        <f>IF(A3278="","",'KG1-6'!$C22)</f>
        <v/>
      </c>
      <c r="C3278">
        <f>IF(A3278="","",'KG1-6'!$B$2)</f>
        <v/>
      </c>
      <c r="D3278" s="126">
        <f t="array" ref="D3278">IF(A3278="","",IFERROR(SMALL(IF((('KG1-6'!$AD22:$IM22="غياب بدون عذر")+('KG1-6'!$AD22:$IM22="غياب بعذر"))*('KG1-6'!$AD$7:$IM$7="✓"),'KG1-6'!$AD$5:$IM$5),17),""))</f>
        <v/>
      </c>
      <c r="E3278">
        <f>IF(D3278="","",INDEX('KG1-6'!$AD22:$IM22,MATCH(D3278,'KG1-6'!$AD$5:$IM$5,0)))</f>
        <v/>
      </c>
      <c r="F3278">
        <f>IF(D3278="","",COUNTIFS('KG1-6'!$AD22:$IM22,"غياب بدون عذر",'KG1-6'!$AD$7:$IM$7,"✓",'KG1-6'!$AD$5:$IM$5,"&lt;="&amp;D3278))</f>
        <v/>
      </c>
      <c r="G3278">
        <f>G3277+IF(D3278="",0,1)</f>
        <v/>
      </c>
    </row>
    <row r="3279">
      <c r="A3279">
        <f>IF('KG1-6'!$B22="","",'KG1-6'!$B22)</f>
        <v/>
      </c>
      <c r="B3279">
        <f>IF(A3279="","",'KG1-6'!$C22)</f>
        <v/>
      </c>
      <c r="C3279">
        <f>IF(A3279="","",'KG1-6'!$B$2)</f>
        <v/>
      </c>
      <c r="D3279" s="126">
        <f t="array" ref="D3279">IF(A3279="","",IFERROR(SMALL(IF((('KG1-6'!$AD22:$IM22="غياب بدون عذر")+('KG1-6'!$AD22:$IM22="غياب بعذر"))*('KG1-6'!$AD$7:$IM$7="✓"),'KG1-6'!$AD$5:$IM$5),18),""))</f>
        <v/>
      </c>
      <c r="E3279">
        <f>IF(D3279="","",INDEX('KG1-6'!$AD22:$IM22,MATCH(D3279,'KG1-6'!$AD$5:$IM$5,0)))</f>
        <v/>
      </c>
      <c r="F3279">
        <f>IF(D3279="","",COUNTIFS('KG1-6'!$AD22:$IM22,"غياب بدون عذر",'KG1-6'!$AD$7:$IM$7,"✓",'KG1-6'!$AD$5:$IM$5,"&lt;="&amp;D3279))</f>
        <v/>
      </c>
      <c r="G3279">
        <f>G3278+IF(D3279="",0,1)</f>
        <v/>
      </c>
    </row>
    <row r="3280">
      <c r="A3280">
        <f>IF('KG1-6'!$B22="","",'KG1-6'!$B22)</f>
        <v/>
      </c>
      <c r="B3280">
        <f>IF(A3280="","",'KG1-6'!$C22)</f>
        <v/>
      </c>
      <c r="C3280">
        <f>IF(A3280="","",'KG1-6'!$B$2)</f>
        <v/>
      </c>
      <c r="D3280" s="126">
        <f t="array" ref="D3280">IF(A3280="","",IFERROR(SMALL(IF((('KG1-6'!$AD22:$IM22="غياب بدون عذر")+('KG1-6'!$AD22:$IM22="غياب بعذر"))*('KG1-6'!$AD$7:$IM$7="✓"),'KG1-6'!$AD$5:$IM$5),19),""))</f>
        <v/>
      </c>
      <c r="E3280">
        <f>IF(D3280="","",INDEX('KG1-6'!$AD22:$IM22,MATCH(D3280,'KG1-6'!$AD$5:$IM$5,0)))</f>
        <v/>
      </c>
      <c r="F3280">
        <f>IF(D3280="","",COUNTIFS('KG1-6'!$AD22:$IM22,"غياب بدون عذر",'KG1-6'!$AD$7:$IM$7,"✓",'KG1-6'!$AD$5:$IM$5,"&lt;="&amp;D3280))</f>
        <v/>
      </c>
      <c r="G3280">
        <f>G3279+IF(D3280="",0,1)</f>
        <v/>
      </c>
    </row>
    <row r="3281">
      <c r="A3281">
        <f>IF('KG1-6'!$B22="","",'KG1-6'!$B22)</f>
        <v/>
      </c>
      <c r="B3281">
        <f>IF(A3281="","",'KG1-6'!$C22)</f>
        <v/>
      </c>
      <c r="C3281">
        <f>IF(A3281="","",'KG1-6'!$B$2)</f>
        <v/>
      </c>
      <c r="D3281" s="126">
        <f t="array" ref="D3281">IF(A3281="","",IFERROR(SMALL(IF((('KG1-6'!$AD22:$IM22="غياب بدون عذر")+('KG1-6'!$AD22:$IM22="غياب بعذر"))*('KG1-6'!$AD$7:$IM$7="✓"),'KG1-6'!$AD$5:$IM$5),20),""))</f>
        <v/>
      </c>
      <c r="E3281">
        <f>IF(D3281="","",INDEX('KG1-6'!$AD22:$IM22,MATCH(D3281,'KG1-6'!$AD$5:$IM$5,0)))</f>
        <v/>
      </c>
      <c r="F3281">
        <f>IF(D3281="","",COUNTIFS('KG1-6'!$AD22:$IM22,"غياب بدون عذر",'KG1-6'!$AD$7:$IM$7,"✓",'KG1-6'!$AD$5:$IM$5,"&lt;="&amp;D3281))</f>
        <v/>
      </c>
      <c r="G3281">
        <f>G3280+IF(D3281="",0,1)</f>
        <v/>
      </c>
    </row>
    <row r="3282">
      <c r="A3282">
        <f>IF('KG1-6'!$B23="","",'KG1-6'!$B23)</f>
        <v/>
      </c>
      <c r="B3282">
        <f>IF(A3282="","",'KG1-6'!$C23)</f>
        <v/>
      </c>
      <c r="C3282">
        <f>IF(A3282="","",'KG1-6'!$B$2)</f>
        <v/>
      </c>
      <c r="D3282" s="126">
        <f t="array" ref="D3282">IF(A3282="","",IFERROR(SMALL(IF((('KG1-6'!$AD23:$IM23="غياب بدون عذر")+('KG1-6'!$AD23:$IM23="غياب بعذر"))*('KG1-6'!$AD$7:$IM$7="✓"),'KG1-6'!$AD$5:$IM$5),1),""))</f>
        <v/>
      </c>
      <c r="E3282">
        <f>IF(D3282="","",INDEX('KG1-6'!$AD23:$IM23,MATCH(D3282,'KG1-6'!$AD$5:$IM$5,0)))</f>
        <v/>
      </c>
      <c r="F3282">
        <f>IF(D3282="","",COUNTIFS('KG1-6'!$AD23:$IM23,"غياب بدون عذر",'KG1-6'!$AD$7:$IM$7,"✓",'KG1-6'!$AD$5:$IM$5,"&lt;="&amp;D3282))</f>
        <v/>
      </c>
      <c r="G3282">
        <f>G3281+IF(D3282="",0,1)</f>
        <v/>
      </c>
    </row>
    <row r="3283">
      <c r="A3283">
        <f>IF('KG1-6'!$B23="","",'KG1-6'!$B23)</f>
        <v/>
      </c>
      <c r="B3283">
        <f>IF(A3283="","",'KG1-6'!$C23)</f>
        <v/>
      </c>
      <c r="C3283">
        <f>IF(A3283="","",'KG1-6'!$B$2)</f>
        <v/>
      </c>
      <c r="D3283" s="126">
        <f t="array" ref="D3283">IF(A3283="","",IFERROR(SMALL(IF((('KG1-6'!$AD23:$IM23="غياب بدون عذر")+('KG1-6'!$AD23:$IM23="غياب بعذر"))*('KG1-6'!$AD$7:$IM$7="✓"),'KG1-6'!$AD$5:$IM$5),2),""))</f>
        <v/>
      </c>
      <c r="E3283">
        <f>IF(D3283="","",INDEX('KG1-6'!$AD23:$IM23,MATCH(D3283,'KG1-6'!$AD$5:$IM$5,0)))</f>
        <v/>
      </c>
      <c r="F3283">
        <f>IF(D3283="","",COUNTIFS('KG1-6'!$AD23:$IM23,"غياب بدون عذر",'KG1-6'!$AD$7:$IM$7,"✓",'KG1-6'!$AD$5:$IM$5,"&lt;="&amp;D3283))</f>
        <v/>
      </c>
      <c r="G3283">
        <f>G3282+IF(D3283="",0,1)</f>
        <v/>
      </c>
    </row>
    <row r="3284">
      <c r="A3284">
        <f>IF('KG1-6'!$B23="","",'KG1-6'!$B23)</f>
        <v/>
      </c>
      <c r="B3284">
        <f>IF(A3284="","",'KG1-6'!$C23)</f>
        <v/>
      </c>
      <c r="C3284">
        <f>IF(A3284="","",'KG1-6'!$B$2)</f>
        <v/>
      </c>
      <c r="D3284" s="126">
        <f t="array" ref="D3284">IF(A3284="","",IFERROR(SMALL(IF((('KG1-6'!$AD23:$IM23="غياب بدون عذر")+('KG1-6'!$AD23:$IM23="غياب بعذر"))*('KG1-6'!$AD$7:$IM$7="✓"),'KG1-6'!$AD$5:$IM$5),3),""))</f>
        <v/>
      </c>
      <c r="E3284">
        <f>IF(D3284="","",INDEX('KG1-6'!$AD23:$IM23,MATCH(D3284,'KG1-6'!$AD$5:$IM$5,0)))</f>
        <v/>
      </c>
      <c r="F3284">
        <f>IF(D3284="","",COUNTIFS('KG1-6'!$AD23:$IM23,"غياب بدون عذر",'KG1-6'!$AD$7:$IM$7,"✓",'KG1-6'!$AD$5:$IM$5,"&lt;="&amp;D3284))</f>
        <v/>
      </c>
      <c r="G3284">
        <f>G3283+IF(D3284="",0,1)</f>
        <v/>
      </c>
    </row>
    <row r="3285">
      <c r="A3285">
        <f>IF('KG1-6'!$B23="","",'KG1-6'!$B23)</f>
        <v/>
      </c>
      <c r="B3285">
        <f>IF(A3285="","",'KG1-6'!$C23)</f>
        <v/>
      </c>
      <c r="C3285">
        <f>IF(A3285="","",'KG1-6'!$B$2)</f>
        <v/>
      </c>
      <c r="D3285" s="126">
        <f t="array" ref="D3285">IF(A3285="","",IFERROR(SMALL(IF((('KG1-6'!$AD23:$IM23="غياب بدون عذر")+('KG1-6'!$AD23:$IM23="غياب بعذر"))*('KG1-6'!$AD$7:$IM$7="✓"),'KG1-6'!$AD$5:$IM$5),4),""))</f>
        <v/>
      </c>
      <c r="E3285">
        <f>IF(D3285="","",INDEX('KG1-6'!$AD23:$IM23,MATCH(D3285,'KG1-6'!$AD$5:$IM$5,0)))</f>
        <v/>
      </c>
      <c r="F3285">
        <f>IF(D3285="","",COUNTIFS('KG1-6'!$AD23:$IM23,"غياب بدون عذر",'KG1-6'!$AD$7:$IM$7,"✓",'KG1-6'!$AD$5:$IM$5,"&lt;="&amp;D3285))</f>
        <v/>
      </c>
      <c r="G3285">
        <f>G3284+IF(D3285="",0,1)</f>
        <v/>
      </c>
    </row>
    <row r="3286">
      <c r="A3286">
        <f>IF('KG1-6'!$B23="","",'KG1-6'!$B23)</f>
        <v/>
      </c>
      <c r="B3286">
        <f>IF(A3286="","",'KG1-6'!$C23)</f>
        <v/>
      </c>
      <c r="C3286">
        <f>IF(A3286="","",'KG1-6'!$B$2)</f>
        <v/>
      </c>
      <c r="D3286" s="126">
        <f t="array" ref="D3286">IF(A3286="","",IFERROR(SMALL(IF((('KG1-6'!$AD23:$IM23="غياب بدون عذر")+('KG1-6'!$AD23:$IM23="غياب بعذر"))*('KG1-6'!$AD$7:$IM$7="✓"),'KG1-6'!$AD$5:$IM$5),5),""))</f>
        <v/>
      </c>
      <c r="E3286">
        <f>IF(D3286="","",INDEX('KG1-6'!$AD23:$IM23,MATCH(D3286,'KG1-6'!$AD$5:$IM$5,0)))</f>
        <v/>
      </c>
      <c r="F3286">
        <f>IF(D3286="","",COUNTIFS('KG1-6'!$AD23:$IM23,"غياب بدون عذر",'KG1-6'!$AD$7:$IM$7,"✓",'KG1-6'!$AD$5:$IM$5,"&lt;="&amp;D3286))</f>
        <v/>
      </c>
      <c r="G3286">
        <f>G3285+IF(D3286="",0,1)</f>
        <v/>
      </c>
    </row>
    <row r="3287">
      <c r="A3287">
        <f>IF('KG1-6'!$B23="","",'KG1-6'!$B23)</f>
        <v/>
      </c>
      <c r="B3287">
        <f>IF(A3287="","",'KG1-6'!$C23)</f>
        <v/>
      </c>
      <c r="C3287">
        <f>IF(A3287="","",'KG1-6'!$B$2)</f>
        <v/>
      </c>
      <c r="D3287" s="126">
        <f t="array" ref="D3287">IF(A3287="","",IFERROR(SMALL(IF((('KG1-6'!$AD23:$IM23="غياب بدون عذر")+('KG1-6'!$AD23:$IM23="غياب بعذر"))*('KG1-6'!$AD$7:$IM$7="✓"),'KG1-6'!$AD$5:$IM$5),6),""))</f>
        <v/>
      </c>
      <c r="E3287">
        <f>IF(D3287="","",INDEX('KG1-6'!$AD23:$IM23,MATCH(D3287,'KG1-6'!$AD$5:$IM$5,0)))</f>
        <v/>
      </c>
      <c r="F3287">
        <f>IF(D3287="","",COUNTIFS('KG1-6'!$AD23:$IM23,"غياب بدون عذر",'KG1-6'!$AD$7:$IM$7,"✓",'KG1-6'!$AD$5:$IM$5,"&lt;="&amp;D3287))</f>
        <v/>
      </c>
      <c r="G3287">
        <f>G3286+IF(D3287="",0,1)</f>
        <v/>
      </c>
    </row>
    <row r="3288">
      <c r="A3288">
        <f>IF('KG1-6'!$B23="","",'KG1-6'!$B23)</f>
        <v/>
      </c>
      <c r="B3288">
        <f>IF(A3288="","",'KG1-6'!$C23)</f>
        <v/>
      </c>
      <c r="C3288">
        <f>IF(A3288="","",'KG1-6'!$B$2)</f>
        <v/>
      </c>
      <c r="D3288" s="126">
        <f t="array" ref="D3288">IF(A3288="","",IFERROR(SMALL(IF((('KG1-6'!$AD23:$IM23="غياب بدون عذر")+('KG1-6'!$AD23:$IM23="غياب بعذر"))*('KG1-6'!$AD$7:$IM$7="✓"),'KG1-6'!$AD$5:$IM$5),7),""))</f>
        <v/>
      </c>
      <c r="E3288">
        <f>IF(D3288="","",INDEX('KG1-6'!$AD23:$IM23,MATCH(D3288,'KG1-6'!$AD$5:$IM$5,0)))</f>
        <v/>
      </c>
      <c r="F3288">
        <f>IF(D3288="","",COUNTIFS('KG1-6'!$AD23:$IM23,"غياب بدون عذر",'KG1-6'!$AD$7:$IM$7,"✓",'KG1-6'!$AD$5:$IM$5,"&lt;="&amp;D3288))</f>
        <v/>
      </c>
      <c r="G3288">
        <f>G3287+IF(D3288="",0,1)</f>
        <v/>
      </c>
    </row>
    <row r="3289">
      <c r="A3289">
        <f>IF('KG1-6'!$B23="","",'KG1-6'!$B23)</f>
        <v/>
      </c>
      <c r="B3289">
        <f>IF(A3289="","",'KG1-6'!$C23)</f>
        <v/>
      </c>
      <c r="C3289">
        <f>IF(A3289="","",'KG1-6'!$B$2)</f>
        <v/>
      </c>
      <c r="D3289" s="126">
        <f t="array" ref="D3289">IF(A3289="","",IFERROR(SMALL(IF((('KG1-6'!$AD23:$IM23="غياب بدون عذر")+('KG1-6'!$AD23:$IM23="غياب بعذر"))*('KG1-6'!$AD$7:$IM$7="✓"),'KG1-6'!$AD$5:$IM$5),8),""))</f>
        <v/>
      </c>
      <c r="E3289">
        <f>IF(D3289="","",INDEX('KG1-6'!$AD23:$IM23,MATCH(D3289,'KG1-6'!$AD$5:$IM$5,0)))</f>
        <v/>
      </c>
      <c r="F3289">
        <f>IF(D3289="","",COUNTIFS('KG1-6'!$AD23:$IM23,"غياب بدون عذر",'KG1-6'!$AD$7:$IM$7,"✓",'KG1-6'!$AD$5:$IM$5,"&lt;="&amp;D3289))</f>
        <v/>
      </c>
      <c r="G3289">
        <f>G3288+IF(D3289="",0,1)</f>
        <v/>
      </c>
    </row>
    <row r="3290">
      <c r="A3290">
        <f>IF('KG1-6'!$B23="","",'KG1-6'!$B23)</f>
        <v/>
      </c>
      <c r="B3290">
        <f>IF(A3290="","",'KG1-6'!$C23)</f>
        <v/>
      </c>
      <c r="C3290">
        <f>IF(A3290="","",'KG1-6'!$B$2)</f>
        <v/>
      </c>
      <c r="D3290" s="126">
        <f t="array" ref="D3290">IF(A3290="","",IFERROR(SMALL(IF((('KG1-6'!$AD23:$IM23="غياب بدون عذر")+('KG1-6'!$AD23:$IM23="غياب بعذر"))*('KG1-6'!$AD$7:$IM$7="✓"),'KG1-6'!$AD$5:$IM$5),9),""))</f>
        <v/>
      </c>
      <c r="E3290">
        <f>IF(D3290="","",INDEX('KG1-6'!$AD23:$IM23,MATCH(D3290,'KG1-6'!$AD$5:$IM$5,0)))</f>
        <v/>
      </c>
      <c r="F3290">
        <f>IF(D3290="","",COUNTIFS('KG1-6'!$AD23:$IM23,"غياب بدون عذر",'KG1-6'!$AD$7:$IM$7,"✓",'KG1-6'!$AD$5:$IM$5,"&lt;="&amp;D3290))</f>
        <v/>
      </c>
      <c r="G3290">
        <f>G3289+IF(D3290="",0,1)</f>
        <v/>
      </c>
    </row>
    <row r="3291">
      <c r="A3291">
        <f>IF('KG1-6'!$B23="","",'KG1-6'!$B23)</f>
        <v/>
      </c>
      <c r="B3291">
        <f>IF(A3291="","",'KG1-6'!$C23)</f>
        <v/>
      </c>
      <c r="C3291">
        <f>IF(A3291="","",'KG1-6'!$B$2)</f>
        <v/>
      </c>
      <c r="D3291" s="126">
        <f t="array" ref="D3291">IF(A3291="","",IFERROR(SMALL(IF((('KG1-6'!$AD23:$IM23="غياب بدون عذر")+('KG1-6'!$AD23:$IM23="غياب بعذر"))*('KG1-6'!$AD$7:$IM$7="✓"),'KG1-6'!$AD$5:$IM$5),10),""))</f>
        <v/>
      </c>
      <c r="E3291">
        <f>IF(D3291="","",INDEX('KG1-6'!$AD23:$IM23,MATCH(D3291,'KG1-6'!$AD$5:$IM$5,0)))</f>
        <v/>
      </c>
      <c r="F3291">
        <f>IF(D3291="","",COUNTIFS('KG1-6'!$AD23:$IM23,"غياب بدون عذر",'KG1-6'!$AD$7:$IM$7,"✓",'KG1-6'!$AD$5:$IM$5,"&lt;="&amp;D3291))</f>
        <v/>
      </c>
      <c r="G3291">
        <f>G3290+IF(D3291="",0,1)</f>
        <v/>
      </c>
    </row>
    <row r="3292">
      <c r="A3292">
        <f>IF('KG1-6'!$B23="","",'KG1-6'!$B23)</f>
        <v/>
      </c>
      <c r="B3292">
        <f>IF(A3292="","",'KG1-6'!$C23)</f>
        <v/>
      </c>
      <c r="C3292">
        <f>IF(A3292="","",'KG1-6'!$B$2)</f>
        <v/>
      </c>
      <c r="D3292" s="126">
        <f t="array" ref="D3292">IF(A3292="","",IFERROR(SMALL(IF((('KG1-6'!$AD23:$IM23="غياب بدون عذر")+('KG1-6'!$AD23:$IM23="غياب بعذر"))*('KG1-6'!$AD$7:$IM$7="✓"),'KG1-6'!$AD$5:$IM$5),11),""))</f>
        <v/>
      </c>
      <c r="E3292">
        <f>IF(D3292="","",INDEX('KG1-6'!$AD23:$IM23,MATCH(D3292,'KG1-6'!$AD$5:$IM$5,0)))</f>
        <v/>
      </c>
      <c r="F3292">
        <f>IF(D3292="","",COUNTIFS('KG1-6'!$AD23:$IM23,"غياب بدون عذر",'KG1-6'!$AD$7:$IM$7,"✓",'KG1-6'!$AD$5:$IM$5,"&lt;="&amp;D3292))</f>
        <v/>
      </c>
      <c r="G3292">
        <f>G3291+IF(D3292="",0,1)</f>
        <v/>
      </c>
    </row>
    <row r="3293">
      <c r="A3293">
        <f>IF('KG1-6'!$B23="","",'KG1-6'!$B23)</f>
        <v/>
      </c>
      <c r="B3293">
        <f>IF(A3293="","",'KG1-6'!$C23)</f>
        <v/>
      </c>
      <c r="C3293">
        <f>IF(A3293="","",'KG1-6'!$B$2)</f>
        <v/>
      </c>
      <c r="D3293" s="126">
        <f t="array" ref="D3293">IF(A3293="","",IFERROR(SMALL(IF((('KG1-6'!$AD23:$IM23="غياب بدون عذر")+('KG1-6'!$AD23:$IM23="غياب بعذر"))*('KG1-6'!$AD$7:$IM$7="✓"),'KG1-6'!$AD$5:$IM$5),12),""))</f>
        <v/>
      </c>
      <c r="E3293">
        <f>IF(D3293="","",INDEX('KG1-6'!$AD23:$IM23,MATCH(D3293,'KG1-6'!$AD$5:$IM$5,0)))</f>
        <v/>
      </c>
      <c r="F3293">
        <f>IF(D3293="","",COUNTIFS('KG1-6'!$AD23:$IM23,"غياب بدون عذر",'KG1-6'!$AD$7:$IM$7,"✓",'KG1-6'!$AD$5:$IM$5,"&lt;="&amp;D3293))</f>
        <v/>
      </c>
      <c r="G3293">
        <f>G3292+IF(D3293="",0,1)</f>
        <v/>
      </c>
    </row>
    <row r="3294">
      <c r="A3294">
        <f>IF('KG1-6'!$B23="","",'KG1-6'!$B23)</f>
        <v/>
      </c>
      <c r="B3294">
        <f>IF(A3294="","",'KG1-6'!$C23)</f>
        <v/>
      </c>
      <c r="C3294">
        <f>IF(A3294="","",'KG1-6'!$B$2)</f>
        <v/>
      </c>
      <c r="D3294" s="126">
        <f t="array" ref="D3294">IF(A3294="","",IFERROR(SMALL(IF((('KG1-6'!$AD23:$IM23="غياب بدون عذر")+('KG1-6'!$AD23:$IM23="غياب بعذر"))*('KG1-6'!$AD$7:$IM$7="✓"),'KG1-6'!$AD$5:$IM$5),13),""))</f>
        <v/>
      </c>
      <c r="E3294">
        <f>IF(D3294="","",INDEX('KG1-6'!$AD23:$IM23,MATCH(D3294,'KG1-6'!$AD$5:$IM$5,0)))</f>
        <v/>
      </c>
      <c r="F3294">
        <f>IF(D3294="","",COUNTIFS('KG1-6'!$AD23:$IM23,"غياب بدون عذر",'KG1-6'!$AD$7:$IM$7,"✓",'KG1-6'!$AD$5:$IM$5,"&lt;="&amp;D3294))</f>
        <v/>
      </c>
      <c r="G3294">
        <f>G3293+IF(D3294="",0,1)</f>
        <v/>
      </c>
    </row>
    <row r="3295">
      <c r="A3295">
        <f>IF('KG1-6'!$B23="","",'KG1-6'!$B23)</f>
        <v/>
      </c>
      <c r="B3295">
        <f>IF(A3295="","",'KG1-6'!$C23)</f>
        <v/>
      </c>
      <c r="C3295">
        <f>IF(A3295="","",'KG1-6'!$B$2)</f>
        <v/>
      </c>
      <c r="D3295" s="126">
        <f t="array" ref="D3295">IF(A3295="","",IFERROR(SMALL(IF((('KG1-6'!$AD23:$IM23="غياب بدون عذر")+('KG1-6'!$AD23:$IM23="غياب بعذر"))*('KG1-6'!$AD$7:$IM$7="✓"),'KG1-6'!$AD$5:$IM$5),14),""))</f>
        <v/>
      </c>
      <c r="E3295">
        <f>IF(D3295="","",INDEX('KG1-6'!$AD23:$IM23,MATCH(D3295,'KG1-6'!$AD$5:$IM$5,0)))</f>
        <v/>
      </c>
      <c r="F3295">
        <f>IF(D3295="","",COUNTIFS('KG1-6'!$AD23:$IM23,"غياب بدون عذر",'KG1-6'!$AD$7:$IM$7,"✓",'KG1-6'!$AD$5:$IM$5,"&lt;="&amp;D3295))</f>
        <v/>
      </c>
      <c r="G3295">
        <f>G3294+IF(D3295="",0,1)</f>
        <v/>
      </c>
    </row>
    <row r="3296">
      <c r="A3296">
        <f>IF('KG1-6'!$B23="","",'KG1-6'!$B23)</f>
        <v/>
      </c>
      <c r="B3296">
        <f>IF(A3296="","",'KG1-6'!$C23)</f>
        <v/>
      </c>
      <c r="C3296">
        <f>IF(A3296="","",'KG1-6'!$B$2)</f>
        <v/>
      </c>
      <c r="D3296" s="126">
        <f t="array" ref="D3296">IF(A3296="","",IFERROR(SMALL(IF((('KG1-6'!$AD23:$IM23="غياب بدون عذر")+('KG1-6'!$AD23:$IM23="غياب بعذر"))*('KG1-6'!$AD$7:$IM$7="✓"),'KG1-6'!$AD$5:$IM$5),15),""))</f>
        <v/>
      </c>
      <c r="E3296">
        <f>IF(D3296="","",INDEX('KG1-6'!$AD23:$IM23,MATCH(D3296,'KG1-6'!$AD$5:$IM$5,0)))</f>
        <v/>
      </c>
      <c r="F3296">
        <f>IF(D3296="","",COUNTIFS('KG1-6'!$AD23:$IM23,"غياب بدون عذر",'KG1-6'!$AD$7:$IM$7,"✓",'KG1-6'!$AD$5:$IM$5,"&lt;="&amp;D3296))</f>
        <v/>
      </c>
      <c r="G3296">
        <f>G3295+IF(D3296="",0,1)</f>
        <v/>
      </c>
    </row>
    <row r="3297">
      <c r="A3297">
        <f>IF('KG1-6'!$B23="","",'KG1-6'!$B23)</f>
        <v/>
      </c>
      <c r="B3297">
        <f>IF(A3297="","",'KG1-6'!$C23)</f>
        <v/>
      </c>
      <c r="C3297">
        <f>IF(A3297="","",'KG1-6'!$B$2)</f>
        <v/>
      </c>
      <c r="D3297" s="126">
        <f t="array" ref="D3297">IF(A3297="","",IFERROR(SMALL(IF((('KG1-6'!$AD23:$IM23="غياب بدون عذر")+('KG1-6'!$AD23:$IM23="غياب بعذر"))*('KG1-6'!$AD$7:$IM$7="✓"),'KG1-6'!$AD$5:$IM$5),16),""))</f>
        <v/>
      </c>
      <c r="E3297">
        <f>IF(D3297="","",INDEX('KG1-6'!$AD23:$IM23,MATCH(D3297,'KG1-6'!$AD$5:$IM$5,0)))</f>
        <v/>
      </c>
      <c r="F3297">
        <f>IF(D3297="","",COUNTIFS('KG1-6'!$AD23:$IM23,"غياب بدون عذر",'KG1-6'!$AD$7:$IM$7,"✓",'KG1-6'!$AD$5:$IM$5,"&lt;="&amp;D3297))</f>
        <v/>
      </c>
      <c r="G3297">
        <f>G3296+IF(D3297="",0,1)</f>
        <v/>
      </c>
    </row>
    <row r="3298">
      <c r="A3298">
        <f>IF('KG1-6'!$B23="","",'KG1-6'!$B23)</f>
        <v/>
      </c>
      <c r="B3298">
        <f>IF(A3298="","",'KG1-6'!$C23)</f>
        <v/>
      </c>
      <c r="C3298">
        <f>IF(A3298="","",'KG1-6'!$B$2)</f>
        <v/>
      </c>
      <c r="D3298" s="126">
        <f t="array" ref="D3298">IF(A3298="","",IFERROR(SMALL(IF((('KG1-6'!$AD23:$IM23="غياب بدون عذر")+('KG1-6'!$AD23:$IM23="غياب بعذر"))*('KG1-6'!$AD$7:$IM$7="✓"),'KG1-6'!$AD$5:$IM$5),17),""))</f>
        <v/>
      </c>
      <c r="E3298">
        <f>IF(D3298="","",INDEX('KG1-6'!$AD23:$IM23,MATCH(D3298,'KG1-6'!$AD$5:$IM$5,0)))</f>
        <v/>
      </c>
      <c r="F3298">
        <f>IF(D3298="","",COUNTIFS('KG1-6'!$AD23:$IM23,"غياب بدون عذر",'KG1-6'!$AD$7:$IM$7,"✓",'KG1-6'!$AD$5:$IM$5,"&lt;="&amp;D3298))</f>
        <v/>
      </c>
      <c r="G3298">
        <f>G3297+IF(D3298="",0,1)</f>
        <v/>
      </c>
    </row>
    <row r="3299">
      <c r="A3299">
        <f>IF('KG1-6'!$B23="","",'KG1-6'!$B23)</f>
        <v/>
      </c>
      <c r="B3299">
        <f>IF(A3299="","",'KG1-6'!$C23)</f>
        <v/>
      </c>
      <c r="C3299">
        <f>IF(A3299="","",'KG1-6'!$B$2)</f>
        <v/>
      </c>
      <c r="D3299" s="126">
        <f t="array" ref="D3299">IF(A3299="","",IFERROR(SMALL(IF((('KG1-6'!$AD23:$IM23="غياب بدون عذر")+('KG1-6'!$AD23:$IM23="غياب بعذر"))*('KG1-6'!$AD$7:$IM$7="✓"),'KG1-6'!$AD$5:$IM$5),18),""))</f>
        <v/>
      </c>
      <c r="E3299">
        <f>IF(D3299="","",INDEX('KG1-6'!$AD23:$IM23,MATCH(D3299,'KG1-6'!$AD$5:$IM$5,0)))</f>
        <v/>
      </c>
      <c r="F3299">
        <f>IF(D3299="","",COUNTIFS('KG1-6'!$AD23:$IM23,"غياب بدون عذر",'KG1-6'!$AD$7:$IM$7,"✓",'KG1-6'!$AD$5:$IM$5,"&lt;="&amp;D3299))</f>
        <v/>
      </c>
      <c r="G3299">
        <f>G3298+IF(D3299="",0,1)</f>
        <v/>
      </c>
    </row>
    <row r="3300">
      <c r="A3300">
        <f>IF('KG1-6'!$B23="","",'KG1-6'!$B23)</f>
        <v/>
      </c>
      <c r="B3300">
        <f>IF(A3300="","",'KG1-6'!$C23)</f>
        <v/>
      </c>
      <c r="C3300">
        <f>IF(A3300="","",'KG1-6'!$B$2)</f>
        <v/>
      </c>
      <c r="D3300" s="126">
        <f t="array" ref="D3300">IF(A3300="","",IFERROR(SMALL(IF((('KG1-6'!$AD23:$IM23="غياب بدون عذر")+('KG1-6'!$AD23:$IM23="غياب بعذر"))*('KG1-6'!$AD$7:$IM$7="✓"),'KG1-6'!$AD$5:$IM$5),19),""))</f>
        <v/>
      </c>
      <c r="E3300">
        <f>IF(D3300="","",INDEX('KG1-6'!$AD23:$IM23,MATCH(D3300,'KG1-6'!$AD$5:$IM$5,0)))</f>
        <v/>
      </c>
      <c r="F3300">
        <f>IF(D3300="","",COUNTIFS('KG1-6'!$AD23:$IM23,"غياب بدون عذر",'KG1-6'!$AD$7:$IM$7,"✓",'KG1-6'!$AD$5:$IM$5,"&lt;="&amp;D3300))</f>
        <v/>
      </c>
      <c r="G3300">
        <f>G3299+IF(D3300="",0,1)</f>
        <v/>
      </c>
    </row>
    <row r="3301">
      <c r="A3301">
        <f>IF('KG1-6'!$B23="","",'KG1-6'!$B23)</f>
        <v/>
      </c>
      <c r="B3301">
        <f>IF(A3301="","",'KG1-6'!$C23)</f>
        <v/>
      </c>
      <c r="C3301">
        <f>IF(A3301="","",'KG1-6'!$B$2)</f>
        <v/>
      </c>
      <c r="D3301" s="126">
        <f t="array" ref="D3301">IF(A3301="","",IFERROR(SMALL(IF((('KG1-6'!$AD23:$IM23="غياب بدون عذر")+('KG1-6'!$AD23:$IM23="غياب بعذر"))*('KG1-6'!$AD$7:$IM$7="✓"),'KG1-6'!$AD$5:$IM$5),20),""))</f>
        <v/>
      </c>
      <c r="E3301">
        <f>IF(D3301="","",INDEX('KG1-6'!$AD23:$IM23,MATCH(D3301,'KG1-6'!$AD$5:$IM$5,0)))</f>
        <v/>
      </c>
      <c r="F3301">
        <f>IF(D3301="","",COUNTIFS('KG1-6'!$AD23:$IM23,"غياب بدون عذر",'KG1-6'!$AD$7:$IM$7,"✓",'KG1-6'!$AD$5:$IM$5,"&lt;="&amp;D3301))</f>
        <v/>
      </c>
      <c r="G3301">
        <f>G3300+IF(D3301="",0,1)</f>
        <v/>
      </c>
    </row>
    <row r="3302">
      <c r="A3302">
        <f>IF('KG1-6'!$B24="","",'KG1-6'!$B24)</f>
        <v/>
      </c>
      <c r="B3302">
        <f>IF(A3302="","",'KG1-6'!$C24)</f>
        <v/>
      </c>
      <c r="C3302">
        <f>IF(A3302="","",'KG1-6'!$B$2)</f>
        <v/>
      </c>
      <c r="D3302" s="126">
        <f t="array" ref="D3302">IF(A3302="","",IFERROR(SMALL(IF((('KG1-6'!$AD24:$IM24="غياب بدون عذر")+('KG1-6'!$AD24:$IM24="غياب بعذر"))*('KG1-6'!$AD$7:$IM$7="✓"),'KG1-6'!$AD$5:$IM$5),1),""))</f>
        <v/>
      </c>
      <c r="E3302">
        <f>IF(D3302="","",INDEX('KG1-6'!$AD24:$IM24,MATCH(D3302,'KG1-6'!$AD$5:$IM$5,0)))</f>
        <v/>
      </c>
      <c r="F3302">
        <f>IF(D3302="","",COUNTIFS('KG1-6'!$AD24:$IM24,"غياب بدون عذر",'KG1-6'!$AD$7:$IM$7,"✓",'KG1-6'!$AD$5:$IM$5,"&lt;="&amp;D3302))</f>
        <v/>
      </c>
      <c r="G3302">
        <f>G3301+IF(D3302="",0,1)</f>
        <v/>
      </c>
    </row>
    <row r="3303">
      <c r="A3303">
        <f>IF('KG1-6'!$B24="","",'KG1-6'!$B24)</f>
        <v/>
      </c>
      <c r="B3303">
        <f>IF(A3303="","",'KG1-6'!$C24)</f>
        <v/>
      </c>
      <c r="C3303">
        <f>IF(A3303="","",'KG1-6'!$B$2)</f>
        <v/>
      </c>
      <c r="D3303" s="126">
        <f t="array" ref="D3303">IF(A3303="","",IFERROR(SMALL(IF((('KG1-6'!$AD24:$IM24="غياب بدون عذر")+('KG1-6'!$AD24:$IM24="غياب بعذر"))*('KG1-6'!$AD$7:$IM$7="✓"),'KG1-6'!$AD$5:$IM$5),2),""))</f>
        <v/>
      </c>
      <c r="E3303">
        <f>IF(D3303="","",INDEX('KG1-6'!$AD24:$IM24,MATCH(D3303,'KG1-6'!$AD$5:$IM$5,0)))</f>
        <v/>
      </c>
      <c r="F3303">
        <f>IF(D3303="","",COUNTIFS('KG1-6'!$AD24:$IM24,"غياب بدون عذر",'KG1-6'!$AD$7:$IM$7,"✓",'KG1-6'!$AD$5:$IM$5,"&lt;="&amp;D3303))</f>
        <v/>
      </c>
      <c r="G3303">
        <f>G3302+IF(D3303="",0,1)</f>
        <v/>
      </c>
    </row>
    <row r="3304">
      <c r="A3304">
        <f>IF('KG1-6'!$B24="","",'KG1-6'!$B24)</f>
        <v/>
      </c>
      <c r="B3304">
        <f>IF(A3304="","",'KG1-6'!$C24)</f>
        <v/>
      </c>
      <c r="C3304">
        <f>IF(A3304="","",'KG1-6'!$B$2)</f>
        <v/>
      </c>
      <c r="D3304" s="126">
        <f t="array" ref="D3304">IF(A3304="","",IFERROR(SMALL(IF((('KG1-6'!$AD24:$IM24="غياب بدون عذر")+('KG1-6'!$AD24:$IM24="غياب بعذر"))*('KG1-6'!$AD$7:$IM$7="✓"),'KG1-6'!$AD$5:$IM$5),3),""))</f>
        <v/>
      </c>
      <c r="E3304">
        <f>IF(D3304="","",INDEX('KG1-6'!$AD24:$IM24,MATCH(D3304,'KG1-6'!$AD$5:$IM$5,0)))</f>
        <v/>
      </c>
      <c r="F3304">
        <f>IF(D3304="","",COUNTIFS('KG1-6'!$AD24:$IM24,"غياب بدون عذر",'KG1-6'!$AD$7:$IM$7,"✓",'KG1-6'!$AD$5:$IM$5,"&lt;="&amp;D3304))</f>
        <v/>
      </c>
      <c r="G3304">
        <f>G3303+IF(D3304="",0,1)</f>
        <v/>
      </c>
    </row>
    <row r="3305">
      <c r="A3305">
        <f>IF('KG1-6'!$B24="","",'KG1-6'!$B24)</f>
        <v/>
      </c>
      <c r="B3305">
        <f>IF(A3305="","",'KG1-6'!$C24)</f>
        <v/>
      </c>
      <c r="C3305">
        <f>IF(A3305="","",'KG1-6'!$B$2)</f>
        <v/>
      </c>
      <c r="D3305" s="126">
        <f t="array" ref="D3305">IF(A3305="","",IFERROR(SMALL(IF((('KG1-6'!$AD24:$IM24="غياب بدون عذر")+('KG1-6'!$AD24:$IM24="غياب بعذر"))*('KG1-6'!$AD$7:$IM$7="✓"),'KG1-6'!$AD$5:$IM$5),4),""))</f>
        <v/>
      </c>
      <c r="E3305">
        <f>IF(D3305="","",INDEX('KG1-6'!$AD24:$IM24,MATCH(D3305,'KG1-6'!$AD$5:$IM$5,0)))</f>
        <v/>
      </c>
      <c r="F3305">
        <f>IF(D3305="","",COUNTIFS('KG1-6'!$AD24:$IM24,"غياب بدون عذر",'KG1-6'!$AD$7:$IM$7,"✓",'KG1-6'!$AD$5:$IM$5,"&lt;="&amp;D3305))</f>
        <v/>
      </c>
      <c r="G3305">
        <f>G3304+IF(D3305="",0,1)</f>
        <v/>
      </c>
    </row>
    <row r="3306">
      <c r="A3306">
        <f>IF('KG1-6'!$B24="","",'KG1-6'!$B24)</f>
        <v/>
      </c>
      <c r="B3306">
        <f>IF(A3306="","",'KG1-6'!$C24)</f>
        <v/>
      </c>
      <c r="C3306">
        <f>IF(A3306="","",'KG1-6'!$B$2)</f>
        <v/>
      </c>
      <c r="D3306" s="126">
        <f t="array" ref="D3306">IF(A3306="","",IFERROR(SMALL(IF((('KG1-6'!$AD24:$IM24="غياب بدون عذر")+('KG1-6'!$AD24:$IM24="غياب بعذر"))*('KG1-6'!$AD$7:$IM$7="✓"),'KG1-6'!$AD$5:$IM$5),5),""))</f>
        <v/>
      </c>
      <c r="E3306">
        <f>IF(D3306="","",INDEX('KG1-6'!$AD24:$IM24,MATCH(D3306,'KG1-6'!$AD$5:$IM$5,0)))</f>
        <v/>
      </c>
      <c r="F3306">
        <f>IF(D3306="","",COUNTIFS('KG1-6'!$AD24:$IM24,"غياب بدون عذر",'KG1-6'!$AD$7:$IM$7,"✓",'KG1-6'!$AD$5:$IM$5,"&lt;="&amp;D3306))</f>
        <v/>
      </c>
      <c r="G3306">
        <f>G3305+IF(D3306="",0,1)</f>
        <v/>
      </c>
    </row>
    <row r="3307">
      <c r="A3307">
        <f>IF('KG1-6'!$B24="","",'KG1-6'!$B24)</f>
        <v/>
      </c>
      <c r="B3307">
        <f>IF(A3307="","",'KG1-6'!$C24)</f>
        <v/>
      </c>
      <c r="C3307">
        <f>IF(A3307="","",'KG1-6'!$B$2)</f>
        <v/>
      </c>
      <c r="D3307" s="126">
        <f t="array" ref="D3307">IF(A3307="","",IFERROR(SMALL(IF((('KG1-6'!$AD24:$IM24="غياب بدون عذر")+('KG1-6'!$AD24:$IM24="غياب بعذر"))*('KG1-6'!$AD$7:$IM$7="✓"),'KG1-6'!$AD$5:$IM$5),6),""))</f>
        <v/>
      </c>
      <c r="E3307">
        <f>IF(D3307="","",INDEX('KG1-6'!$AD24:$IM24,MATCH(D3307,'KG1-6'!$AD$5:$IM$5,0)))</f>
        <v/>
      </c>
      <c r="F3307">
        <f>IF(D3307="","",COUNTIFS('KG1-6'!$AD24:$IM24,"غياب بدون عذر",'KG1-6'!$AD$7:$IM$7,"✓",'KG1-6'!$AD$5:$IM$5,"&lt;="&amp;D3307))</f>
        <v/>
      </c>
      <c r="G3307">
        <f>G3306+IF(D3307="",0,1)</f>
        <v/>
      </c>
    </row>
    <row r="3308">
      <c r="A3308">
        <f>IF('KG1-6'!$B24="","",'KG1-6'!$B24)</f>
        <v/>
      </c>
      <c r="B3308">
        <f>IF(A3308="","",'KG1-6'!$C24)</f>
        <v/>
      </c>
      <c r="C3308">
        <f>IF(A3308="","",'KG1-6'!$B$2)</f>
        <v/>
      </c>
      <c r="D3308" s="126">
        <f t="array" ref="D3308">IF(A3308="","",IFERROR(SMALL(IF((('KG1-6'!$AD24:$IM24="غياب بدون عذر")+('KG1-6'!$AD24:$IM24="غياب بعذر"))*('KG1-6'!$AD$7:$IM$7="✓"),'KG1-6'!$AD$5:$IM$5),7),""))</f>
        <v/>
      </c>
      <c r="E3308">
        <f>IF(D3308="","",INDEX('KG1-6'!$AD24:$IM24,MATCH(D3308,'KG1-6'!$AD$5:$IM$5,0)))</f>
        <v/>
      </c>
      <c r="F3308">
        <f>IF(D3308="","",COUNTIFS('KG1-6'!$AD24:$IM24,"غياب بدون عذر",'KG1-6'!$AD$7:$IM$7,"✓",'KG1-6'!$AD$5:$IM$5,"&lt;="&amp;D3308))</f>
        <v/>
      </c>
      <c r="G3308">
        <f>G3307+IF(D3308="",0,1)</f>
        <v/>
      </c>
    </row>
    <row r="3309">
      <c r="A3309">
        <f>IF('KG1-6'!$B24="","",'KG1-6'!$B24)</f>
        <v/>
      </c>
      <c r="B3309">
        <f>IF(A3309="","",'KG1-6'!$C24)</f>
        <v/>
      </c>
      <c r="C3309">
        <f>IF(A3309="","",'KG1-6'!$B$2)</f>
        <v/>
      </c>
      <c r="D3309" s="126">
        <f t="array" ref="D3309">IF(A3309="","",IFERROR(SMALL(IF((('KG1-6'!$AD24:$IM24="غياب بدون عذر")+('KG1-6'!$AD24:$IM24="غياب بعذر"))*('KG1-6'!$AD$7:$IM$7="✓"),'KG1-6'!$AD$5:$IM$5),8),""))</f>
        <v/>
      </c>
      <c r="E3309">
        <f>IF(D3309="","",INDEX('KG1-6'!$AD24:$IM24,MATCH(D3309,'KG1-6'!$AD$5:$IM$5,0)))</f>
        <v/>
      </c>
      <c r="F3309">
        <f>IF(D3309="","",COUNTIFS('KG1-6'!$AD24:$IM24,"غياب بدون عذر",'KG1-6'!$AD$7:$IM$7,"✓",'KG1-6'!$AD$5:$IM$5,"&lt;="&amp;D3309))</f>
        <v/>
      </c>
      <c r="G3309">
        <f>G3308+IF(D3309="",0,1)</f>
        <v/>
      </c>
    </row>
    <row r="3310">
      <c r="A3310">
        <f>IF('KG1-6'!$B24="","",'KG1-6'!$B24)</f>
        <v/>
      </c>
      <c r="B3310">
        <f>IF(A3310="","",'KG1-6'!$C24)</f>
        <v/>
      </c>
      <c r="C3310">
        <f>IF(A3310="","",'KG1-6'!$B$2)</f>
        <v/>
      </c>
      <c r="D3310" s="126">
        <f t="array" ref="D3310">IF(A3310="","",IFERROR(SMALL(IF((('KG1-6'!$AD24:$IM24="غياب بدون عذر")+('KG1-6'!$AD24:$IM24="غياب بعذر"))*('KG1-6'!$AD$7:$IM$7="✓"),'KG1-6'!$AD$5:$IM$5),9),""))</f>
        <v/>
      </c>
      <c r="E3310">
        <f>IF(D3310="","",INDEX('KG1-6'!$AD24:$IM24,MATCH(D3310,'KG1-6'!$AD$5:$IM$5,0)))</f>
        <v/>
      </c>
      <c r="F3310">
        <f>IF(D3310="","",COUNTIFS('KG1-6'!$AD24:$IM24,"غياب بدون عذر",'KG1-6'!$AD$7:$IM$7,"✓",'KG1-6'!$AD$5:$IM$5,"&lt;="&amp;D3310))</f>
        <v/>
      </c>
      <c r="G3310">
        <f>G3309+IF(D3310="",0,1)</f>
        <v/>
      </c>
    </row>
    <row r="3311">
      <c r="A3311">
        <f>IF('KG1-6'!$B24="","",'KG1-6'!$B24)</f>
        <v/>
      </c>
      <c r="B3311">
        <f>IF(A3311="","",'KG1-6'!$C24)</f>
        <v/>
      </c>
      <c r="C3311">
        <f>IF(A3311="","",'KG1-6'!$B$2)</f>
        <v/>
      </c>
      <c r="D3311" s="126">
        <f t="array" ref="D3311">IF(A3311="","",IFERROR(SMALL(IF((('KG1-6'!$AD24:$IM24="غياب بدون عذر")+('KG1-6'!$AD24:$IM24="غياب بعذر"))*('KG1-6'!$AD$7:$IM$7="✓"),'KG1-6'!$AD$5:$IM$5),10),""))</f>
        <v/>
      </c>
      <c r="E3311">
        <f>IF(D3311="","",INDEX('KG1-6'!$AD24:$IM24,MATCH(D3311,'KG1-6'!$AD$5:$IM$5,0)))</f>
        <v/>
      </c>
      <c r="F3311">
        <f>IF(D3311="","",COUNTIFS('KG1-6'!$AD24:$IM24,"غياب بدون عذر",'KG1-6'!$AD$7:$IM$7,"✓",'KG1-6'!$AD$5:$IM$5,"&lt;="&amp;D3311))</f>
        <v/>
      </c>
      <c r="G3311">
        <f>G3310+IF(D3311="",0,1)</f>
        <v/>
      </c>
    </row>
    <row r="3312">
      <c r="A3312">
        <f>IF('KG1-6'!$B24="","",'KG1-6'!$B24)</f>
        <v/>
      </c>
      <c r="B3312">
        <f>IF(A3312="","",'KG1-6'!$C24)</f>
        <v/>
      </c>
      <c r="C3312">
        <f>IF(A3312="","",'KG1-6'!$B$2)</f>
        <v/>
      </c>
      <c r="D3312" s="126">
        <f t="array" ref="D3312">IF(A3312="","",IFERROR(SMALL(IF((('KG1-6'!$AD24:$IM24="غياب بدون عذر")+('KG1-6'!$AD24:$IM24="غياب بعذر"))*('KG1-6'!$AD$7:$IM$7="✓"),'KG1-6'!$AD$5:$IM$5),11),""))</f>
        <v/>
      </c>
      <c r="E3312">
        <f>IF(D3312="","",INDEX('KG1-6'!$AD24:$IM24,MATCH(D3312,'KG1-6'!$AD$5:$IM$5,0)))</f>
        <v/>
      </c>
      <c r="F3312">
        <f>IF(D3312="","",COUNTIFS('KG1-6'!$AD24:$IM24,"غياب بدون عذر",'KG1-6'!$AD$7:$IM$7,"✓",'KG1-6'!$AD$5:$IM$5,"&lt;="&amp;D3312))</f>
        <v/>
      </c>
      <c r="G3312">
        <f>G3311+IF(D3312="",0,1)</f>
        <v/>
      </c>
    </row>
    <row r="3313">
      <c r="A3313">
        <f>IF('KG1-6'!$B24="","",'KG1-6'!$B24)</f>
        <v/>
      </c>
      <c r="B3313">
        <f>IF(A3313="","",'KG1-6'!$C24)</f>
        <v/>
      </c>
      <c r="C3313">
        <f>IF(A3313="","",'KG1-6'!$B$2)</f>
        <v/>
      </c>
      <c r="D3313" s="126">
        <f t="array" ref="D3313">IF(A3313="","",IFERROR(SMALL(IF((('KG1-6'!$AD24:$IM24="غياب بدون عذر")+('KG1-6'!$AD24:$IM24="غياب بعذر"))*('KG1-6'!$AD$7:$IM$7="✓"),'KG1-6'!$AD$5:$IM$5),12),""))</f>
        <v/>
      </c>
      <c r="E3313">
        <f>IF(D3313="","",INDEX('KG1-6'!$AD24:$IM24,MATCH(D3313,'KG1-6'!$AD$5:$IM$5,0)))</f>
        <v/>
      </c>
      <c r="F3313">
        <f>IF(D3313="","",COUNTIFS('KG1-6'!$AD24:$IM24,"غياب بدون عذر",'KG1-6'!$AD$7:$IM$7,"✓",'KG1-6'!$AD$5:$IM$5,"&lt;="&amp;D3313))</f>
        <v/>
      </c>
      <c r="G3313">
        <f>G3312+IF(D3313="",0,1)</f>
        <v/>
      </c>
    </row>
    <row r="3314">
      <c r="A3314">
        <f>IF('KG1-6'!$B24="","",'KG1-6'!$B24)</f>
        <v/>
      </c>
      <c r="B3314">
        <f>IF(A3314="","",'KG1-6'!$C24)</f>
        <v/>
      </c>
      <c r="C3314">
        <f>IF(A3314="","",'KG1-6'!$B$2)</f>
        <v/>
      </c>
      <c r="D3314" s="126">
        <f t="array" ref="D3314">IF(A3314="","",IFERROR(SMALL(IF((('KG1-6'!$AD24:$IM24="غياب بدون عذر")+('KG1-6'!$AD24:$IM24="غياب بعذر"))*('KG1-6'!$AD$7:$IM$7="✓"),'KG1-6'!$AD$5:$IM$5),13),""))</f>
        <v/>
      </c>
      <c r="E3314">
        <f>IF(D3314="","",INDEX('KG1-6'!$AD24:$IM24,MATCH(D3314,'KG1-6'!$AD$5:$IM$5,0)))</f>
        <v/>
      </c>
      <c r="F3314">
        <f>IF(D3314="","",COUNTIFS('KG1-6'!$AD24:$IM24,"غياب بدون عذر",'KG1-6'!$AD$7:$IM$7,"✓",'KG1-6'!$AD$5:$IM$5,"&lt;="&amp;D3314))</f>
        <v/>
      </c>
      <c r="G3314">
        <f>G3313+IF(D3314="",0,1)</f>
        <v/>
      </c>
    </row>
    <row r="3315">
      <c r="A3315">
        <f>IF('KG1-6'!$B24="","",'KG1-6'!$B24)</f>
        <v/>
      </c>
      <c r="B3315">
        <f>IF(A3315="","",'KG1-6'!$C24)</f>
        <v/>
      </c>
      <c r="C3315">
        <f>IF(A3315="","",'KG1-6'!$B$2)</f>
        <v/>
      </c>
      <c r="D3315" s="126">
        <f t="array" ref="D3315">IF(A3315="","",IFERROR(SMALL(IF((('KG1-6'!$AD24:$IM24="غياب بدون عذر")+('KG1-6'!$AD24:$IM24="غياب بعذر"))*('KG1-6'!$AD$7:$IM$7="✓"),'KG1-6'!$AD$5:$IM$5),14),""))</f>
        <v/>
      </c>
      <c r="E3315">
        <f>IF(D3315="","",INDEX('KG1-6'!$AD24:$IM24,MATCH(D3315,'KG1-6'!$AD$5:$IM$5,0)))</f>
        <v/>
      </c>
      <c r="F3315">
        <f>IF(D3315="","",COUNTIFS('KG1-6'!$AD24:$IM24,"غياب بدون عذر",'KG1-6'!$AD$7:$IM$7,"✓",'KG1-6'!$AD$5:$IM$5,"&lt;="&amp;D3315))</f>
        <v/>
      </c>
      <c r="G3315">
        <f>G3314+IF(D3315="",0,1)</f>
        <v/>
      </c>
    </row>
    <row r="3316">
      <c r="A3316">
        <f>IF('KG1-6'!$B24="","",'KG1-6'!$B24)</f>
        <v/>
      </c>
      <c r="B3316">
        <f>IF(A3316="","",'KG1-6'!$C24)</f>
        <v/>
      </c>
      <c r="C3316">
        <f>IF(A3316="","",'KG1-6'!$B$2)</f>
        <v/>
      </c>
      <c r="D3316" s="126">
        <f t="array" ref="D3316">IF(A3316="","",IFERROR(SMALL(IF((('KG1-6'!$AD24:$IM24="غياب بدون عذر")+('KG1-6'!$AD24:$IM24="غياب بعذر"))*('KG1-6'!$AD$7:$IM$7="✓"),'KG1-6'!$AD$5:$IM$5),15),""))</f>
        <v/>
      </c>
      <c r="E3316">
        <f>IF(D3316="","",INDEX('KG1-6'!$AD24:$IM24,MATCH(D3316,'KG1-6'!$AD$5:$IM$5,0)))</f>
        <v/>
      </c>
      <c r="F3316">
        <f>IF(D3316="","",COUNTIFS('KG1-6'!$AD24:$IM24,"غياب بدون عذر",'KG1-6'!$AD$7:$IM$7,"✓",'KG1-6'!$AD$5:$IM$5,"&lt;="&amp;D3316))</f>
        <v/>
      </c>
      <c r="G3316">
        <f>G3315+IF(D3316="",0,1)</f>
        <v/>
      </c>
    </row>
    <row r="3317">
      <c r="A3317">
        <f>IF('KG1-6'!$B24="","",'KG1-6'!$B24)</f>
        <v/>
      </c>
      <c r="B3317">
        <f>IF(A3317="","",'KG1-6'!$C24)</f>
        <v/>
      </c>
      <c r="C3317">
        <f>IF(A3317="","",'KG1-6'!$B$2)</f>
        <v/>
      </c>
      <c r="D3317" s="126">
        <f t="array" ref="D3317">IF(A3317="","",IFERROR(SMALL(IF((('KG1-6'!$AD24:$IM24="غياب بدون عذر")+('KG1-6'!$AD24:$IM24="غياب بعذر"))*('KG1-6'!$AD$7:$IM$7="✓"),'KG1-6'!$AD$5:$IM$5),16),""))</f>
        <v/>
      </c>
      <c r="E3317">
        <f>IF(D3317="","",INDEX('KG1-6'!$AD24:$IM24,MATCH(D3317,'KG1-6'!$AD$5:$IM$5,0)))</f>
        <v/>
      </c>
      <c r="F3317">
        <f>IF(D3317="","",COUNTIFS('KG1-6'!$AD24:$IM24,"غياب بدون عذر",'KG1-6'!$AD$7:$IM$7,"✓",'KG1-6'!$AD$5:$IM$5,"&lt;="&amp;D3317))</f>
        <v/>
      </c>
      <c r="G3317">
        <f>G3316+IF(D3317="",0,1)</f>
        <v/>
      </c>
    </row>
    <row r="3318">
      <c r="A3318">
        <f>IF('KG1-6'!$B24="","",'KG1-6'!$B24)</f>
        <v/>
      </c>
      <c r="B3318">
        <f>IF(A3318="","",'KG1-6'!$C24)</f>
        <v/>
      </c>
      <c r="C3318">
        <f>IF(A3318="","",'KG1-6'!$B$2)</f>
        <v/>
      </c>
      <c r="D3318" s="126">
        <f t="array" ref="D3318">IF(A3318="","",IFERROR(SMALL(IF((('KG1-6'!$AD24:$IM24="غياب بدون عذر")+('KG1-6'!$AD24:$IM24="غياب بعذر"))*('KG1-6'!$AD$7:$IM$7="✓"),'KG1-6'!$AD$5:$IM$5),17),""))</f>
        <v/>
      </c>
      <c r="E3318">
        <f>IF(D3318="","",INDEX('KG1-6'!$AD24:$IM24,MATCH(D3318,'KG1-6'!$AD$5:$IM$5,0)))</f>
        <v/>
      </c>
      <c r="F3318">
        <f>IF(D3318="","",COUNTIFS('KG1-6'!$AD24:$IM24,"غياب بدون عذر",'KG1-6'!$AD$7:$IM$7,"✓",'KG1-6'!$AD$5:$IM$5,"&lt;="&amp;D3318))</f>
        <v/>
      </c>
      <c r="G3318">
        <f>G3317+IF(D3318="",0,1)</f>
        <v/>
      </c>
    </row>
    <row r="3319">
      <c r="A3319">
        <f>IF('KG1-6'!$B24="","",'KG1-6'!$B24)</f>
        <v/>
      </c>
      <c r="B3319">
        <f>IF(A3319="","",'KG1-6'!$C24)</f>
        <v/>
      </c>
      <c r="C3319">
        <f>IF(A3319="","",'KG1-6'!$B$2)</f>
        <v/>
      </c>
      <c r="D3319" s="126">
        <f t="array" ref="D3319">IF(A3319="","",IFERROR(SMALL(IF((('KG1-6'!$AD24:$IM24="غياب بدون عذر")+('KG1-6'!$AD24:$IM24="غياب بعذر"))*('KG1-6'!$AD$7:$IM$7="✓"),'KG1-6'!$AD$5:$IM$5),18),""))</f>
        <v/>
      </c>
      <c r="E3319">
        <f>IF(D3319="","",INDEX('KG1-6'!$AD24:$IM24,MATCH(D3319,'KG1-6'!$AD$5:$IM$5,0)))</f>
        <v/>
      </c>
      <c r="F3319">
        <f>IF(D3319="","",COUNTIFS('KG1-6'!$AD24:$IM24,"غياب بدون عذر",'KG1-6'!$AD$7:$IM$7,"✓",'KG1-6'!$AD$5:$IM$5,"&lt;="&amp;D3319))</f>
        <v/>
      </c>
      <c r="G3319">
        <f>G3318+IF(D3319="",0,1)</f>
        <v/>
      </c>
    </row>
    <row r="3320">
      <c r="A3320">
        <f>IF('KG1-6'!$B24="","",'KG1-6'!$B24)</f>
        <v/>
      </c>
      <c r="B3320">
        <f>IF(A3320="","",'KG1-6'!$C24)</f>
        <v/>
      </c>
      <c r="C3320">
        <f>IF(A3320="","",'KG1-6'!$B$2)</f>
        <v/>
      </c>
      <c r="D3320" s="126">
        <f t="array" ref="D3320">IF(A3320="","",IFERROR(SMALL(IF((('KG1-6'!$AD24:$IM24="غياب بدون عذر")+('KG1-6'!$AD24:$IM24="غياب بعذر"))*('KG1-6'!$AD$7:$IM$7="✓"),'KG1-6'!$AD$5:$IM$5),19),""))</f>
        <v/>
      </c>
      <c r="E3320">
        <f>IF(D3320="","",INDEX('KG1-6'!$AD24:$IM24,MATCH(D3320,'KG1-6'!$AD$5:$IM$5,0)))</f>
        <v/>
      </c>
      <c r="F3320">
        <f>IF(D3320="","",COUNTIFS('KG1-6'!$AD24:$IM24,"غياب بدون عذر",'KG1-6'!$AD$7:$IM$7,"✓",'KG1-6'!$AD$5:$IM$5,"&lt;="&amp;D3320))</f>
        <v/>
      </c>
      <c r="G3320">
        <f>G3319+IF(D3320="",0,1)</f>
        <v/>
      </c>
    </row>
    <row r="3321">
      <c r="A3321">
        <f>IF('KG1-6'!$B24="","",'KG1-6'!$B24)</f>
        <v/>
      </c>
      <c r="B3321">
        <f>IF(A3321="","",'KG1-6'!$C24)</f>
        <v/>
      </c>
      <c r="C3321">
        <f>IF(A3321="","",'KG1-6'!$B$2)</f>
        <v/>
      </c>
      <c r="D3321" s="126">
        <f t="array" ref="D3321">IF(A3321="","",IFERROR(SMALL(IF((('KG1-6'!$AD24:$IM24="غياب بدون عذر")+('KG1-6'!$AD24:$IM24="غياب بعذر"))*('KG1-6'!$AD$7:$IM$7="✓"),'KG1-6'!$AD$5:$IM$5),20),""))</f>
        <v/>
      </c>
      <c r="E3321">
        <f>IF(D3321="","",INDEX('KG1-6'!$AD24:$IM24,MATCH(D3321,'KG1-6'!$AD$5:$IM$5,0)))</f>
        <v/>
      </c>
      <c r="F3321">
        <f>IF(D3321="","",COUNTIFS('KG1-6'!$AD24:$IM24,"غياب بدون عذر",'KG1-6'!$AD$7:$IM$7,"✓",'KG1-6'!$AD$5:$IM$5,"&lt;="&amp;D3321))</f>
        <v/>
      </c>
      <c r="G3321">
        <f>G3320+IF(D3321="",0,1)</f>
        <v/>
      </c>
    </row>
    <row r="3322">
      <c r="A3322">
        <f>IF('KG1-6'!$B25="","",'KG1-6'!$B25)</f>
        <v/>
      </c>
      <c r="B3322">
        <f>IF(A3322="","",'KG1-6'!$C25)</f>
        <v/>
      </c>
      <c r="C3322">
        <f>IF(A3322="","",'KG1-6'!$B$2)</f>
        <v/>
      </c>
      <c r="D3322" s="126">
        <f t="array" ref="D3322">IF(A3322="","",IFERROR(SMALL(IF((('KG1-6'!$AD25:$IM25="غياب بدون عذر")+('KG1-6'!$AD25:$IM25="غياب بعذر"))*('KG1-6'!$AD$7:$IM$7="✓"),'KG1-6'!$AD$5:$IM$5),1),""))</f>
        <v/>
      </c>
      <c r="E3322">
        <f>IF(D3322="","",INDEX('KG1-6'!$AD25:$IM25,MATCH(D3322,'KG1-6'!$AD$5:$IM$5,0)))</f>
        <v/>
      </c>
      <c r="F3322">
        <f>IF(D3322="","",COUNTIFS('KG1-6'!$AD25:$IM25,"غياب بدون عذر",'KG1-6'!$AD$7:$IM$7,"✓",'KG1-6'!$AD$5:$IM$5,"&lt;="&amp;D3322))</f>
        <v/>
      </c>
      <c r="G3322">
        <f>G3321+IF(D3322="",0,1)</f>
        <v/>
      </c>
    </row>
    <row r="3323">
      <c r="A3323">
        <f>IF('KG1-6'!$B25="","",'KG1-6'!$B25)</f>
        <v/>
      </c>
      <c r="B3323">
        <f>IF(A3323="","",'KG1-6'!$C25)</f>
        <v/>
      </c>
      <c r="C3323">
        <f>IF(A3323="","",'KG1-6'!$B$2)</f>
        <v/>
      </c>
      <c r="D3323" s="126">
        <f t="array" ref="D3323">IF(A3323="","",IFERROR(SMALL(IF((('KG1-6'!$AD25:$IM25="غياب بدون عذر")+('KG1-6'!$AD25:$IM25="غياب بعذر"))*('KG1-6'!$AD$7:$IM$7="✓"),'KG1-6'!$AD$5:$IM$5),2),""))</f>
        <v/>
      </c>
      <c r="E3323">
        <f>IF(D3323="","",INDEX('KG1-6'!$AD25:$IM25,MATCH(D3323,'KG1-6'!$AD$5:$IM$5,0)))</f>
        <v/>
      </c>
      <c r="F3323">
        <f>IF(D3323="","",COUNTIFS('KG1-6'!$AD25:$IM25,"غياب بدون عذر",'KG1-6'!$AD$7:$IM$7,"✓",'KG1-6'!$AD$5:$IM$5,"&lt;="&amp;D3323))</f>
        <v/>
      </c>
      <c r="G3323">
        <f>G3322+IF(D3323="",0,1)</f>
        <v/>
      </c>
    </row>
    <row r="3324">
      <c r="A3324">
        <f>IF('KG1-6'!$B25="","",'KG1-6'!$B25)</f>
        <v/>
      </c>
      <c r="B3324">
        <f>IF(A3324="","",'KG1-6'!$C25)</f>
        <v/>
      </c>
      <c r="C3324">
        <f>IF(A3324="","",'KG1-6'!$B$2)</f>
        <v/>
      </c>
      <c r="D3324" s="126">
        <f t="array" ref="D3324">IF(A3324="","",IFERROR(SMALL(IF((('KG1-6'!$AD25:$IM25="غياب بدون عذر")+('KG1-6'!$AD25:$IM25="غياب بعذر"))*('KG1-6'!$AD$7:$IM$7="✓"),'KG1-6'!$AD$5:$IM$5),3),""))</f>
        <v/>
      </c>
      <c r="E3324">
        <f>IF(D3324="","",INDEX('KG1-6'!$AD25:$IM25,MATCH(D3324,'KG1-6'!$AD$5:$IM$5,0)))</f>
        <v/>
      </c>
      <c r="F3324">
        <f>IF(D3324="","",COUNTIFS('KG1-6'!$AD25:$IM25,"غياب بدون عذر",'KG1-6'!$AD$7:$IM$7,"✓",'KG1-6'!$AD$5:$IM$5,"&lt;="&amp;D3324))</f>
        <v/>
      </c>
      <c r="G3324">
        <f>G3323+IF(D3324="",0,1)</f>
        <v/>
      </c>
    </row>
    <row r="3325">
      <c r="A3325">
        <f>IF('KG1-6'!$B25="","",'KG1-6'!$B25)</f>
        <v/>
      </c>
      <c r="B3325">
        <f>IF(A3325="","",'KG1-6'!$C25)</f>
        <v/>
      </c>
      <c r="C3325">
        <f>IF(A3325="","",'KG1-6'!$B$2)</f>
        <v/>
      </c>
      <c r="D3325" s="126">
        <f t="array" ref="D3325">IF(A3325="","",IFERROR(SMALL(IF((('KG1-6'!$AD25:$IM25="غياب بدون عذر")+('KG1-6'!$AD25:$IM25="غياب بعذر"))*('KG1-6'!$AD$7:$IM$7="✓"),'KG1-6'!$AD$5:$IM$5),4),""))</f>
        <v/>
      </c>
      <c r="E3325">
        <f>IF(D3325="","",INDEX('KG1-6'!$AD25:$IM25,MATCH(D3325,'KG1-6'!$AD$5:$IM$5,0)))</f>
        <v/>
      </c>
      <c r="F3325">
        <f>IF(D3325="","",COUNTIFS('KG1-6'!$AD25:$IM25,"غياب بدون عذر",'KG1-6'!$AD$7:$IM$7,"✓",'KG1-6'!$AD$5:$IM$5,"&lt;="&amp;D3325))</f>
        <v/>
      </c>
      <c r="G3325">
        <f>G3324+IF(D3325="",0,1)</f>
        <v/>
      </c>
    </row>
    <row r="3326">
      <c r="A3326">
        <f>IF('KG1-6'!$B25="","",'KG1-6'!$B25)</f>
        <v/>
      </c>
      <c r="B3326">
        <f>IF(A3326="","",'KG1-6'!$C25)</f>
        <v/>
      </c>
      <c r="C3326">
        <f>IF(A3326="","",'KG1-6'!$B$2)</f>
        <v/>
      </c>
      <c r="D3326" s="126">
        <f t="array" ref="D3326">IF(A3326="","",IFERROR(SMALL(IF((('KG1-6'!$AD25:$IM25="غياب بدون عذر")+('KG1-6'!$AD25:$IM25="غياب بعذر"))*('KG1-6'!$AD$7:$IM$7="✓"),'KG1-6'!$AD$5:$IM$5),5),""))</f>
        <v/>
      </c>
      <c r="E3326">
        <f>IF(D3326="","",INDEX('KG1-6'!$AD25:$IM25,MATCH(D3326,'KG1-6'!$AD$5:$IM$5,0)))</f>
        <v/>
      </c>
      <c r="F3326">
        <f>IF(D3326="","",COUNTIFS('KG1-6'!$AD25:$IM25,"غياب بدون عذر",'KG1-6'!$AD$7:$IM$7,"✓",'KG1-6'!$AD$5:$IM$5,"&lt;="&amp;D3326))</f>
        <v/>
      </c>
      <c r="G3326">
        <f>G3325+IF(D3326="",0,1)</f>
        <v/>
      </c>
    </row>
    <row r="3327">
      <c r="A3327">
        <f>IF('KG1-6'!$B25="","",'KG1-6'!$B25)</f>
        <v/>
      </c>
      <c r="B3327">
        <f>IF(A3327="","",'KG1-6'!$C25)</f>
        <v/>
      </c>
      <c r="C3327">
        <f>IF(A3327="","",'KG1-6'!$B$2)</f>
        <v/>
      </c>
      <c r="D3327" s="126">
        <f t="array" ref="D3327">IF(A3327="","",IFERROR(SMALL(IF((('KG1-6'!$AD25:$IM25="غياب بدون عذر")+('KG1-6'!$AD25:$IM25="غياب بعذر"))*('KG1-6'!$AD$7:$IM$7="✓"),'KG1-6'!$AD$5:$IM$5),6),""))</f>
        <v/>
      </c>
      <c r="E3327">
        <f>IF(D3327="","",INDEX('KG1-6'!$AD25:$IM25,MATCH(D3327,'KG1-6'!$AD$5:$IM$5,0)))</f>
        <v/>
      </c>
      <c r="F3327">
        <f>IF(D3327="","",COUNTIFS('KG1-6'!$AD25:$IM25,"غياب بدون عذر",'KG1-6'!$AD$7:$IM$7,"✓",'KG1-6'!$AD$5:$IM$5,"&lt;="&amp;D3327))</f>
        <v/>
      </c>
      <c r="G3327">
        <f>G3326+IF(D3327="",0,1)</f>
        <v/>
      </c>
    </row>
    <row r="3328">
      <c r="A3328">
        <f>IF('KG1-6'!$B25="","",'KG1-6'!$B25)</f>
        <v/>
      </c>
      <c r="B3328">
        <f>IF(A3328="","",'KG1-6'!$C25)</f>
        <v/>
      </c>
      <c r="C3328">
        <f>IF(A3328="","",'KG1-6'!$B$2)</f>
        <v/>
      </c>
      <c r="D3328" s="126">
        <f t="array" ref="D3328">IF(A3328="","",IFERROR(SMALL(IF((('KG1-6'!$AD25:$IM25="غياب بدون عذر")+('KG1-6'!$AD25:$IM25="غياب بعذر"))*('KG1-6'!$AD$7:$IM$7="✓"),'KG1-6'!$AD$5:$IM$5),7),""))</f>
        <v/>
      </c>
      <c r="E3328">
        <f>IF(D3328="","",INDEX('KG1-6'!$AD25:$IM25,MATCH(D3328,'KG1-6'!$AD$5:$IM$5,0)))</f>
        <v/>
      </c>
      <c r="F3328">
        <f>IF(D3328="","",COUNTIFS('KG1-6'!$AD25:$IM25,"غياب بدون عذر",'KG1-6'!$AD$7:$IM$7,"✓",'KG1-6'!$AD$5:$IM$5,"&lt;="&amp;D3328))</f>
        <v/>
      </c>
      <c r="G3328">
        <f>G3327+IF(D3328="",0,1)</f>
        <v/>
      </c>
    </row>
    <row r="3329">
      <c r="A3329">
        <f>IF('KG1-6'!$B25="","",'KG1-6'!$B25)</f>
        <v/>
      </c>
      <c r="B3329">
        <f>IF(A3329="","",'KG1-6'!$C25)</f>
        <v/>
      </c>
      <c r="C3329">
        <f>IF(A3329="","",'KG1-6'!$B$2)</f>
        <v/>
      </c>
      <c r="D3329" s="126">
        <f t="array" ref="D3329">IF(A3329="","",IFERROR(SMALL(IF((('KG1-6'!$AD25:$IM25="غياب بدون عذر")+('KG1-6'!$AD25:$IM25="غياب بعذر"))*('KG1-6'!$AD$7:$IM$7="✓"),'KG1-6'!$AD$5:$IM$5),8),""))</f>
        <v/>
      </c>
      <c r="E3329">
        <f>IF(D3329="","",INDEX('KG1-6'!$AD25:$IM25,MATCH(D3329,'KG1-6'!$AD$5:$IM$5,0)))</f>
        <v/>
      </c>
      <c r="F3329">
        <f>IF(D3329="","",COUNTIFS('KG1-6'!$AD25:$IM25,"غياب بدون عذر",'KG1-6'!$AD$7:$IM$7,"✓",'KG1-6'!$AD$5:$IM$5,"&lt;="&amp;D3329))</f>
        <v/>
      </c>
      <c r="G3329">
        <f>G3328+IF(D3329="",0,1)</f>
        <v/>
      </c>
    </row>
    <row r="3330">
      <c r="A3330">
        <f>IF('KG1-6'!$B25="","",'KG1-6'!$B25)</f>
        <v/>
      </c>
      <c r="B3330">
        <f>IF(A3330="","",'KG1-6'!$C25)</f>
        <v/>
      </c>
      <c r="C3330">
        <f>IF(A3330="","",'KG1-6'!$B$2)</f>
        <v/>
      </c>
      <c r="D3330" s="126">
        <f t="array" ref="D3330">IF(A3330="","",IFERROR(SMALL(IF((('KG1-6'!$AD25:$IM25="غياب بدون عذر")+('KG1-6'!$AD25:$IM25="غياب بعذر"))*('KG1-6'!$AD$7:$IM$7="✓"),'KG1-6'!$AD$5:$IM$5),9),""))</f>
        <v/>
      </c>
      <c r="E3330">
        <f>IF(D3330="","",INDEX('KG1-6'!$AD25:$IM25,MATCH(D3330,'KG1-6'!$AD$5:$IM$5,0)))</f>
        <v/>
      </c>
      <c r="F3330">
        <f>IF(D3330="","",COUNTIFS('KG1-6'!$AD25:$IM25,"غياب بدون عذر",'KG1-6'!$AD$7:$IM$7,"✓",'KG1-6'!$AD$5:$IM$5,"&lt;="&amp;D3330))</f>
        <v/>
      </c>
      <c r="G3330">
        <f>G3329+IF(D3330="",0,1)</f>
        <v/>
      </c>
    </row>
    <row r="3331">
      <c r="A3331">
        <f>IF('KG1-6'!$B25="","",'KG1-6'!$B25)</f>
        <v/>
      </c>
      <c r="B3331">
        <f>IF(A3331="","",'KG1-6'!$C25)</f>
        <v/>
      </c>
      <c r="C3331">
        <f>IF(A3331="","",'KG1-6'!$B$2)</f>
        <v/>
      </c>
      <c r="D3331" s="126">
        <f t="array" ref="D3331">IF(A3331="","",IFERROR(SMALL(IF((('KG1-6'!$AD25:$IM25="غياب بدون عذر")+('KG1-6'!$AD25:$IM25="غياب بعذر"))*('KG1-6'!$AD$7:$IM$7="✓"),'KG1-6'!$AD$5:$IM$5),10),""))</f>
        <v/>
      </c>
      <c r="E3331">
        <f>IF(D3331="","",INDEX('KG1-6'!$AD25:$IM25,MATCH(D3331,'KG1-6'!$AD$5:$IM$5,0)))</f>
        <v/>
      </c>
      <c r="F3331">
        <f>IF(D3331="","",COUNTIFS('KG1-6'!$AD25:$IM25,"غياب بدون عذر",'KG1-6'!$AD$7:$IM$7,"✓",'KG1-6'!$AD$5:$IM$5,"&lt;="&amp;D3331))</f>
        <v/>
      </c>
      <c r="G3331">
        <f>G3330+IF(D3331="",0,1)</f>
        <v/>
      </c>
    </row>
    <row r="3332">
      <c r="A3332">
        <f>IF('KG1-6'!$B25="","",'KG1-6'!$B25)</f>
        <v/>
      </c>
      <c r="B3332">
        <f>IF(A3332="","",'KG1-6'!$C25)</f>
        <v/>
      </c>
      <c r="C3332">
        <f>IF(A3332="","",'KG1-6'!$B$2)</f>
        <v/>
      </c>
      <c r="D3332" s="126">
        <f t="array" ref="D3332">IF(A3332="","",IFERROR(SMALL(IF((('KG1-6'!$AD25:$IM25="غياب بدون عذر")+('KG1-6'!$AD25:$IM25="غياب بعذر"))*('KG1-6'!$AD$7:$IM$7="✓"),'KG1-6'!$AD$5:$IM$5),11),""))</f>
        <v/>
      </c>
      <c r="E3332">
        <f>IF(D3332="","",INDEX('KG1-6'!$AD25:$IM25,MATCH(D3332,'KG1-6'!$AD$5:$IM$5,0)))</f>
        <v/>
      </c>
      <c r="F3332">
        <f>IF(D3332="","",COUNTIFS('KG1-6'!$AD25:$IM25,"غياب بدون عذر",'KG1-6'!$AD$7:$IM$7,"✓",'KG1-6'!$AD$5:$IM$5,"&lt;="&amp;D3332))</f>
        <v/>
      </c>
      <c r="G3332">
        <f>G3331+IF(D3332="",0,1)</f>
        <v/>
      </c>
    </row>
    <row r="3333">
      <c r="A3333">
        <f>IF('KG1-6'!$B25="","",'KG1-6'!$B25)</f>
        <v/>
      </c>
      <c r="B3333">
        <f>IF(A3333="","",'KG1-6'!$C25)</f>
        <v/>
      </c>
      <c r="C3333">
        <f>IF(A3333="","",'KG1-6'!$B$2)</f>
        <v/>
      </c>
      <c r="D3333" s="126">
        <f t="array" ref="D3333">IF(A3333="","",IFERROR(SMALL(IF((('KG1-6'!$AD25:$IM25="غياب بدون عذر")+('KG1-6'!$AD25:$IM25="غياب بعذر"))*('KG1-6'!$AD$7:$IM$7="✓"),'KG1-6'!$AD$5:$IM$5),12),""))</f>
        <v/>
      </c>
      <c r="E3333">
        <f>IF(D3333="","",INDEX('KG1-6'!$AD25:$IM25,MATCH(D3333,'KG1-6'!$AD$5:$IM$5,0)))</f>
        <v/>
      </c>
      <c r="F3333">
        <f>IF(D3333="","",COUNTIFS('KG1-6'!$AD25:$IM25,"غياب بدون عذر",'KG1-6'!$AD$7:$IM$7,"✓",'KG1-6'!$AD$5:$IM$5,"&lt;="&amp;D3333))</f>
        <v/>
      </c>
      <c r="G3333">
        <f>G3332+IF(D3333="",0,1)</f>
        <v/>
      </c>
    </row>
    <row r="3334">
      <c r="A3334">
        <f>IF('KG1-6'!$B25="","",'KG1-6'!$B25)</f>
        <v/>
      </c>
      <c r="B3334">
        <f>IF(A3334="","",'KG1-6'!$C25)</f>
        <v/>
      </c>
      <c r="C3334">
        <f>IF(A3334="","",'KG1-6'!$B$2)</f>
        <v/>
      </c>
      <c r="D3334" s="126">
        <f t="array" ref="D3334">IF(A3334="","",IFERROR(SMALL(IF((('KG1-6'!$AD25:$IM25="غياب بدون عذر")+('KG1-6'!$AD25:$IM25="غياب بعذر"))*('KG1-6'!$AD$7:$IM$7="✓"),'KG1-6'!$AD$5:$IM$5),13),""))</f>
        <v/>
      </c>
      <c r="E3334">
        <f>IF(D3334="","",INDEX('KG1-6'!$AD25:$IM25,MATCH(D3334,'KG1-6'!$AD$5:$IM$5,0)))</f>
        <v/>
      </c>
      <c r="F3334">
        <f>IF(D3334="","",COUNTIFS('KG1-6'!$AD25:$IM25,"غياب بدون عذر",'KG1-6'!$AD$7:$IM$7,"✓",'KG1-6'!$AD$5:$IM$5,"&lt;="&amp;D3334))</f>
        <v/>
      </c>
      <c r="G3334">
        <f>G3333+IF(D3334="",0,1)</f>
        <v/>
      </c>
    </row>
    <row r="3335">
      <c r="A3335">
        <f>IF('KG1-6'!$B25="","",'KG1-6'!$B25)</f>
        <v/>
      </c>
      <c r="B3335">
        <f>IF(A3335="","",'KG1-6'!$C25)</f>
        <v/>
      </c>
      <c r="C3335">
        <f>IF(A3335="","",'KG1-6'!$B$2)</f>
        <v/>
      </c>
      <c r="D3335" s="126">
        <f t="array" ref="D3335">IF(A3335="","",IFERROR(SMALL(IF((('KG1-6'!$AD25:$IM25="غياب بدون عذر")+('KG1-6'!$AD25:$IM25="غياب بعذر"))*('KG1-6'!$AD$7:$IM$7="✓"),'KG1-6'!$AD$5:$IM$5),14),""))</f>
        <v/>
      </c>
      <c r="E3335">
        <f>IF(D3335="","",INDEX('KG1-6'!$AD25:$IM25,MATCH(D3335,'KG1-6'!$AD$5:$IM$5,0)))</f>
        <v/>
      </c>
      <c r="F3335">
        <f>IF(D3335="","",COUNTIFS('KG1-6'!$AD25:$IM25,"غياب بدون عذر",'KG1-6'!$AD$7:$IM$7,"✓",'KG1-6'!$AD$5:$IM$5,"&lt;="&amp;D3335))</f>
        <v/>
      </c>
      <c r="G3335">
        <f>G3334+IF(D3335="",0,1)</f>
        <v/>
      </c>
    </row>
    <row r="3336">
      <c r="A3336">
        <f>IF('KG1-6'!$B25="","",'KG1-6'!$B25)</f>
        <v/>
      </c>
      <c r="B3336">
        <f>IF(A3336="","",'KG1-6'!$C25)</f>
        <v/>
      </c>
      <c r="C3336">
        <f>IF(A3336="","",'KG1-6'!$B$2)</f>
        <v/>
      </c>
      <c r="D3336" s="126">
        <f t="array" ref="D3336">IF(A3336="","",IFERROR(SMALL(IF((('KG1-6'!$AD25:$IM25="غياب بدون عذر")+('KG1-6'!$AD25:$IM25="غياب بعذر"))*('KG1-6'!$AD$7:$IM$7="✓"),'KG1-6'!$AD$5:$IM$5),15),""))</f>
        <v/>
      </c>
      <c r="E3336">
        <f>IF(D3336="","",INDEX('KG1-6'!$AD25:$IM25,MATCH(D3336,'KG1-6'!$AD$5:$IM$5,0)))</f>
        <v/>
      </c>
      <c r="F3336">
        <f>IF(D3336="","",COUNTIFS('KG1-6'!$AD25:$IM25,"غياب بدون عذر",'KG1-6'!$AD$7:$IM$7,"✓",'KG1-6'!$AD$5:$IM$5,"&lt;="&amp;D3336))</f>
        <v/>
      </c>
      <c r="G3336">
        <f>G3335+IF(D3336="",0,1)</f>
        <v/>
      </c>
    </row>
    <row r="3337">
      <c r="A3337">
        <f>IF('KG1-6'!$B25="","",'KG1-6'!$B25)</f>
        <v/>
      </c>
      <c r="B3337">
        <f>IF(A3337="","",'KG1-6'!$C25)</f>
        <v/>
      </c>
      <c r="C3337">
        <f>IF(A3337="","",'KG1-6'!$B$2)</f>
        <v/>
      </c>
      <c r="D3337" s="126">
        <f t="array" ref="D3337">IF(A3337="","",IFERROR(SMALL(IF((('KG1-6'!$AD25:$IM25="غياب بدون عذر")+('KG1-6'!$AD25:$IM25="غياب بعذر"))*('KG1-6'!$AD$7:$IM$7="✓"),'KG1-6'!$AD$5:$IM$5),16),""))</f>
        <v/>
      </c>
      <c r="E3337">
        <f>IF(D3337="","",INDEX('KG1-6'!$AD25:$IM25,MATCH(D3337,'KG1-6'!$AD$5:$IM$5,0)))</f>
        <v/>
      </c>
      <c r="F3337">
        <f>IF(D3337="","",COUNTIFS('KG1-6'!$AD25:$IM25,"غياب بدون عذر",'KG1-6'!$AD$7:$IM$7,"✓",'KG1-6'!$AD$5:$IM$5,"&lt;="&amp;D3337))</f>
        <v/>
      </c>
      <c r="G3337">
        <f>G3336+IF(D3337="",0,1)</f>
        <v/>
      </c>
    </row>
    <row r="3338">
      <c r="A3338">
        <f>IF('KG1-6'!$B25="","",'KG1-6'!$B25)</f>
        <v/>
      </c>
      <c r="B3338">
        <f>IF(A3338="","",'KG1-6'!$C25)</f>
        <v/>
      </c>
      <c r="C3338">
        <f>IF(A3338="","",'KG1-6'!$B$2)</f>
        <v/>
      </c>
      <c r="D3338" s="126">
        <f t="array" ref="D3338">IF(A3338="","",IFERROR(SMALL(IF((('KG1-6'!$AD25:$IM25="غياب بدون عذر")+('KG1-6'!$AD25:$IM25="غياب بعذر"))*('KG1-6'!$AD$7:$IM$7="✓"),'KG1-6'!$AD$5:$IM$5),17),""))</f>
        <v/>
      </c>
      <c r="E3338">
        <f>IF(D3338="","",INDEX('KG1-6'!$AD25:$IM25,MATCH(D3338,'KG1-6'!$AD$5:$IM$5,0)))</f>
        <v/>
      </c>
      <c r="F3338">
        <f>IF(D3338="","",COUNTIFS('KG1-6'!$AD25:$IM25,"غياب بدون عذر",'KG1-6'!$AD$7:$IM$7,"✓",'KG1-6'!$AD$5:$IM$5,"&lt;="&amp;D3338))</f>
        <v/>
      </c>
      <c r="G3338">
        <f>G3337+IF(D3338="",0,1)</f>
        <v/>
      </c>
    </row>
    <row r="3339">
      <c r="A3339">
        <f>IF('KG1-6'!$B25="","",'KG1-6'!$B25)</f>
        <v/>
      </c>
      <c r="B3339">
        <f>IF(A3339="","",'KG1-6'!$C25)</f>
        <v/>
      </c>
      <c r="C3339">
        <f>IF(A3339="","",'KG1-6'!$B$2)</f>
        <v/>
      </c>
      <c r="D3339" s="126">
        <f t="array" ref="D3339">IF(A3339="","",IFERROR(SMALL(IF((('KG1-6'!$AD25:$IM25="غياب بدون عذر")+('KG1-6'!$AD25:$IM25="غياب بعذر"))*('KG1-6'!$AD$7:$IM$7="✓"),'KG1-6'!$AD$5:$IM$5),18),""))</f>
        <v/>
      </c>
      <c r="E3339">
        <f>IF(D3339="","",INDEX('KG1-6'!$AD25:$IM25,MATCH(D3339,'KG1-6'!$AD$5:$IM$5,0)))</f>
        <v/>
      </c>
      <c r="F3339">
        <f>IF(D3339="","",COUNTIFS('KG1-6'!$AD25:$IM25,"غياب بدون عذر",'KG1-6'!$AD$7:$IM$7,"✓",'KG1-6'!$AD$5:$IM$5,"&lt;="&amp;D3339))</f>
        <v/>
      </c>
      <c r="G3339">
        <f>G3338+IF(D3339="",0,1)</f>
        <v/>
      </c>
    </row>
    <row r="3340">
      <c r="A3340">
        <f>IF('KG1-6'!$B25="","",'KG1-6'!$B25)</f>
        <v/>
      </c>
      <c r="B3340">
        <f>IF(A3340="","",'KG1-6'!$C25)</f>
        <v/>
      </c>
      <c r="C3340">
        <f>IF(A3340="","",'KG1-6'!$B$2)</f>
        <v/>
      </c>
      <c r="D3340" s="126">
        <f t="array" ref="D3340">IF(A3340="","",IFERROR(SMALL(IF((('KG1-6'!$AD25:$IM25="غياب بدون عذر")+('KG1-6'!$AD25:$IM25="غياب بعذر"))*('KG1-6'!$AD$7:$IM$7="✓"),'KG1-6'!$AD$5:$IM$5),19),""))</f>
        <v/>
      </c>
      <c r="E3340">
        <f>IF(D3340="","",INDEX('KG1-6'!$AD25:$IM25,MATCH(D3340,'KG1-6'!$AD$5:$IM$5,0)))</f>
        <v/>
      </c>
      <c r="F3340">
        <f>IF(D3340="","",COUNTIFS('KG1-6'!$AD25:$IM25,"غياب بدون عذر",'KG1-6'!$AD$7:$IM$7,"✓",'KG1-6'!$AD$5:$IM$5,"&lt;="&amp;D3340))</f>
        <v/>
      </c>
      <c r="G3340">
        <f>G3339+IF(D3340="",0,1)</f>
        <v/>
      </c>
    </row>
    <row r="3341">
      <c r="A3341">
        <f>IF('KG1-6'!$B25="","",'KG1-6'!$B25)</f>
        <v/>
      </c>
      <c r="B3341">
        <f>IF(A3341="","",'KG1-6'!$C25)</f>
        <v/>
      </c>
      <c r="C3341">
        <f>IF(A3341="","",'KG1-6'!$B$2)</f>
        <v/>
      </c>
      <c r="D3341" s="126">
        <f t="array" ref="D3341">IF(A3341="","",IFERROR(SMALL(IF((('KG1-6'!$AD25:$IM25="غياب بدون عذر")+('KG1-6'!$AD25:$IM25="غياب بعذر"))*('KG1-6'!$AD$7:$IM$7="✓"),'KG1-6'!$AD$5:$IM$5),20),""))</f>
        <v/>
      </c>
      <c r="E3341">
        <f>IF(D3341="","",INDEX('KG1-6'!$AD25:$IM25,MATCH(D3341,'KG1-6'!$AD$5:$IM$5,0)))</f>
        <v/>
      </c>
      <c r="F3341">
        <f>IF(D3341="","",COUNTIFS('KG1-6'!$AD25:$IM25,"غياب بدون عذر",'KG1-6'!$AD$7:$IM$7,"✓",'KG1-6'!$AD$5:$IM$5,"&lt;="&amp;D3341))</f>
        <v/>
      </c>
      <c r="G3341">
        <f>G3340+IF(D3341="",0,1)</f>
        <v/>
      </c>
    </row>
    <row r="3342">
      <c r="A3342">
        <f>IF('KG1-6'!$B26="","",'KG1-6'!$B26)</f>
        <v/>
      </c>
      <c r="B3342">
        <f>IF(A3342="","",'KG1-6'!$C26)</f>
        <v/>
      </c>
      <c r="C3342">
        <f>IF(A3342="","",'KG1-6'!$B$2)</f>
        <v/>
      </c>
      <c r="D3342" s="126">
        <f t="array" ref="D3342">IF(A3342="","",IFERROR(SMALL(IF((('KG1-6'!$AD26:$IM26="غياب بدون عذر")+('KG1-6'!$AD26:$IM26="غياب بعذر"))*('KG1-6'!$AD$7:$IM$7="✓"),'KG1-6'!$AD$5:$IM$5),1),""))</f>
        <v/>
      </c>
      <c r="E3342">
        <f>IF(D3342="","",INDEX('KG1-6'!$AD26:$IM26,MATCH(D3342,'KG1-6'!$AD$5:$IM$5,0)))</f>
        <v/>
      </c>
      <c r="F3342">
        <f>IF(D3342="","",COUNTIFS('KG1-6'!$AD26:$IM26,"غياب بدون عذر",'KG1-6'!$AD$7:$IM$7,"✓",'KG1-6'!$AD$5:$IM$5,"&lt;="&amp;D3342))</f>
        <v/>
      </c>
      <c r="G3342">
        <f>G3341+IF(D3342="",0,1)</f>
        <v/>
      </c>
    </row>
    <row r="3343">
      <c r="A3343">
        <f>IF('KG1-6'!$B26="","",'KG1-6'!$B26)</f>
        <v/>
      </c>
      <c r="B3343">
        <f>IF(A3343="","",'KG1-6'!$C26)</f>
        <v/>
      </c>
      <c r="C3343">
        <f>IF(A3343="","",'KG1-6'!$B$2)</f>
        <v/>
      </c>
      <c r="D3343" s="126">
        <f t="array" ref="D3343">IF(A3343="","",IFERROR(SMALL(IF((('KG1-6'!$AD26:$IM26="غياب بدون عذر")+('KG1-6'!$AD26:$IM26="غياب بعذر"))*('KG1-6'!$AD$7:$IM$7="✓"),'KG1-6'!$AD$5:$IM$5),2),""))</f>
        <v/>
      </c>
      <c r="E3343">
        <f>IF(D3343="","",INDEX('KG1-6'!$AD26:$IM26,MATCH(D3343,'KG1-6'!$AD$5:$IM$5,0)))</f>
        <v/>
      </c>
      <c r="F3343">
        <f>IF(D3343="","",COUNTIFS('KG1-6'!$AD26:$IM26,"غياب بدون عذر",'KG1-6'!$AD$7:$IM$7,"✓",'KG1-6'!$AD$5:$IM$5,"&lt;="&amp;D3343))</f>
        <v/>
      </c>
      <c r="G3343">
        <f>G3342+IF(D3343="",0,1)</f>
        <v/>
      </c>
    </row>
    <row r="3344">
      <c r="A3344">
        <f>IF('KG1-6'!$B26="","",'KG1-6'!$B26)</f>
        <v/>
      </c>
      <c r="B3344">
        <f>IF(A3344="","",'KG1-6'!$C26)</f>
        <v/>
      </c>
      <c r="C3344">
        <f>IF(A3344="","",'KG1-6'!$B$2)</f>
        <v/>
      </c>
      <c r="D3344" s="126">
        <f t="array" ref="D3344">IF(A3344="","",IFERROR(SMALL(IF((('KG1-6'!$AD26:$IM26="غياب بدون عذر")+('KG1-6'!$AD26:$IM26="غياب بعذر"))*('KG1-6'!$AD$7:$IM$7="✓"),'KG1-6'!$AD$5:$IM$5),3),""))</f>
        <v/>
      </c>
      <c r="E3344">
        <f>IF(D3344="","",INDEX('KG1-6'!$AD26:$IM26,MATCH(D3344,'KG1-6'!$AD$5:$IM$5,0)))</f>
        <v/>
      </c>
      <c r="F3344">
        <f>IF(D3344="","",COUNTIFS('KG1-6'!$AD26:$IM26,"غياب بدون عذر",'KG1-6'!$AD$7:$IM$7,"✓",'KG1-6'!$AD$5:$IM$5,"&lt;="&amp;D3344))</f>
        <v/>
      </c>
      <c r="G3344">
        <f>G3343+IF(D3344="",0,1)</f>
        <v/>
      </c>
    </row>
    <row r="3345">
      <c r="A3345">
        <f>IF('KG1-6'!$B26="","",'KG1-6'!$B26)</f>
        <v/>
      </c>
      <c r="B3345">
        <f>IF(A3345="","",'KG1-6'!$C26)</f>
        <v/>
      </c>
      <c r="C3345">
        <f>IF(A3345="","",'KG1-6'!$B$2)</f>
        <v/>
      </c>
      <c r="D3345" s="126">
        <f t="array" ref="D3345">IF(A3345="","",IFERROR(SMALL(IF((('KG1-6'!$AD26:$IM26="غياب بدون عذر")+('KG1-6'!$AD26:$IM26="غياب بعذر"))*('KG1-6'!$AD$7:$IM$7="✓"),'KG1-6'!$AD$5:$IM$5),4),""))</f>
        <v/>
      </c>
      <c r="E3345">
        <f>IF(D3345="","",INDEX('KG1-6'!$AD26:$IM26,MATCH(D3345,'KG1-6'!$AD$5:$IM$5,0)))</f>
        <v/>
      </c>
      <c r="F3345">
        <f>IF(D3345="","",COUNTIFS('KG1-6'!$AD26:$IM26,"غياب بدون عذر",'KG1-6'!$AD$7:$IM$7,"✓",'KG1-6'!$AD$5:$IM$5,"&lt;="&amp;D3345))</f>
        <v/>
      </c>
      <c r="G3345">
        <f>G3344+IF(D3345="",0,1)</f>
        <v/>
      </c>
    </row>
    <row r="3346">
      <c r="A3346">
        <f>IF('KG1-6'!$B26="","",'KG1-6'!$B26)</f>
        <v/>
      </c>
      <c r="B3346">
        <f>IF(A3346="","",'KG1-6'!$C26)</f>
        <v/>
      </c>
      <c r="C3346">
        <f>IF(A3346="","",'KG1-6'!$B$2)</f>
        <v/>
      </c>
      <c r="D3346" s="126">
        <f t="array" ref="D3346">IF(A3346="","",IFERROR(SMALL(IF((('KG1-6'!$AD26:$IM26="غياب بدون عذر")+('KG1-6'!$AD26:$IM26="غياب بعذر"))*('KG1-6'!$AD$7:$IM$7="✓"),'KG1-6'!$AD$5:$IM$5),5),""))</f>
        <v/>
      </c>
      <c r="E3346">
        <f>IF(D3346="","",INDEX('KG1-6'!$AD26:$IM26,MATCH(D3346,'KG1-6'!$AD$5:$IM$5,0)))</f>
        <v/>
      </c>
      <c r="F3346">
        <f>IF(D3346="","",COUNTIFS('KG1-6'!$AD26:$IM26,"غياب بدون عذر",'KG1-6'!$AD$7:$IM$7,"✓",'KG1-6'!$AD$5:$IM$5,"&lt;="&amp;D3346))</f>
        <v/>
      </c>
      <c r="G3346">
        <f>G3345+IF(D3346="",0,1)</f>
        <v/>
      </c>
    </row>
    <row r="3347">
      <c r="A3347">
        <f>IF('KG1-6'!$B26="","",'KG1-6'!$B26)</f>
        <v/>
      </c>
      <c r="B3347">
        <f>IF(A3347="","",'KG1-6'!$C26)</f>
        <v/>
      </c>
      <c r="C3347">
        <f>IF(A3347="","",'KG1-6'!$B$2)</f>
        <v/>
      </c>
      <c r="D3347" s="126">
        <f t="array" ref="D3347">IF(A3347="","",IFERROR(SMALL(IF((('KG1-6'!$AD26:$IM26="غياب بدون عذر")+('KG1-6'!$AD26:$IM26="غياب بعذر"))*('KG1-6'!$AD$7:$IM$7="✓"),'KG1-6'!$AD$5:$IM$5),6),""))</f>
        <v/>
      </c>
      <c r="E3347">
        <f>IF(D3347="","",INDEX('KG1-6'!$AD26:$IM26,MATCH(D3347,'KG1-6'!$AD$5:$IM$5,0)))</f>
        <v/>
      </c>
      <c r="F3347">
        <f>IF(D3347="","",COUNTIFS('KG1-6'!$AD26:$IM26,"غياب بدون عذر",'KG1-6'!$AD$7:$IM$7,"✓",'KG1-6'!$AD$5:$IM$5,"&lt;="&amp;D3347))</f>
        <v/>
      </c>
      <c r="G3347">
        <f>G3346+IF(D3347="",0,1)</f>
        <v/>
      </c>
    </row>
    <row r="3348">
      <c r="A3348">
        <f>IF('KG1-6'!$B26="","",'KG1-6'!$B26)</f>
        <v/>
      </c>
      <c r="B3348">
        <f>IF(A3348="","",'KG1-6'!$C26)</f>
        <v/>
      </c>
      <c r="C3348">
        <f>IF(A3348="","",'KG1-6'!$B$2)</f>
        <v/>
      </c>
      <c r="D3348" s="126">
        <f t="array" ref="D3348">IF(A3348="","",IFERROR(SMALL(IF((('KG1-6'!$AD26:$IM26="غياب بدون عذر")+('KG1-6'!$AD26:$IM26="غياب بعذر"))*('KG1-6'!$AD$7:$IM$7="✓"),'KG1-6'!$AD$5:$IM$5),7),""))</f>
        <v/>
      </c>
      <c r="E3348">
        <f>IF(D3348="","",INDEX('KG1-6'!$AD26:$IM26,MATCH(D3348,'KG1-6'!$AD$5:$IM$5,0)))</f>
        <v/>
      </c>
      <c r="F3348">
        <f>IF(D3348="","",COUNTIFS('KG1-6'!$AD26:$IM26,"غياب بدون عذر",'KG1-6'!$AD$7:$IM$7,"✓",'KG1-6'!$AD$5:$IM$5,"&lt;="&amp;D3348))</f>
        <v/>
      </c>
      <c r="G3348">
        <f>G3347+IF(D3348="",0,1)</f>
        <v/>
      </c>
    </row>
    <row r="3349">
      <c r="A3349">
        <f>IF('KG1-6'!$B26="","",'KG1-6'!$B26)</f>
        <v/>
      </c>
      <c r="B3349">
        <f>IF(A3349="","",'KG1-6'!$C26)</f>
        <v/>
      </c>
      <c r="C3349">
        <f>IF(A3349="","",'KG1-6'!$B$2)</f>
        <v/>
      </c>
      <c r="D3349" s="126">
        <f t="array" ref="D3349">IF(A3349="","",IFERROR(SMALL(IF((('KG1-6'!$AD26:$IM26="غياب بدون عذر")+('KG1-6'!$AD26:$IM26="غياب بعذر"))*('KG1-6'!$AD$7:$IM$7="✓"),'KG1-6'!$AD$5:$IM$5),8),""))</f>
        <v/>
      </c>
      <c r="E3349">
        <f>IF(D3349="","",INDEX('KG1-6'!$AD26:$IM26,MATCH(D3349,'KG1-6'!$AD$5:$IM$5,0)))</f>
        <v/>
      </c>
      <c r="F3349">
        <f>IF(D3349="","",COUNTIFS('KG1-6'!$AD26:$IM26,"غياب بدون عذر",'KG1-6'!$AD$7:$IM$7,"✓",'KG1-6'!$AD$5:$IM$5,"&lt;="&amp;D3349))</f>
        <v/>
      </c>
      <c r="G3349">
        <f>G3348+IF(D3349="",0,1)</f>
        <v/>
      </c>
    </row>
    <row r="3350">
      <c r="A3350">
        <f>IF('KG1-6'!$B26="","",'KG1-6'!$B26)</f>
        <v/>
      </c>
      <c r="B3350">
        <f>IF(A3350="","",'KG1-6'!$C26)</f>
        <v/>
      </c>
      <c r="C3350">
        <f>IF(A3350="","",'KG1-6'!$B$2)</f>
        <v/>
      </c>
      <c r="D3350" s="126">
        <f t="array" ref="D3350">IF(A3350="","",IFERROR(SMALL(IF((('KG1-6'!$AD26:$IM26="غياب بدون عذر")+('KG1-6'!$AD26:$IM26="غياب بعذر"))*('KG1-6'!$AD$7:$IM$7="✓"),'KG1-6'!$AD$5:$IM$5),9),""))</f>
        <v/>
      </c>
      <c r="E3350">
        <f>IF(D3350="","",INDEX('KG1-6'!$AD26:$IM26,MATCH(D3350,'KG1-6'!$AD$5:$IM$5,0)))</f>
        <v/>
      </c>
      <c r="F3350">
        <f>IF(D3350="","",COUNTIFS('KG1-6'!$AD26:$IM26,"غياب بدون عذر",'KG1-6'!$AD$7:$IM$7,"✓",'KG1-6'!$AD$5:$IM$5,"&lt;="&amp;D3350))</f>
        <v/>
      </c>
      <c r="G3350">
        <f>G3349+IF(D3350="",0,1)</f>
        <v/>
      </c>
    </row>
    <row r="3351">
      <c r="A3351">
        <f>IF('KG1-6'!$B26="","",'KG1-6'!$B26)</f>
        <v/>
      </c>
      <c r="B3351">
        <f>IF(A3351="","",'KG1-6'!$C26)</f>
        <v/>
      </c>
      <c r="C3351">
        <f>IF(A3351="","",'KG1-6'!$B$2)</f>
        <v/>
      </c>
      <c r="D3351" s="126">
        <f t="array" ref="D3351">IF(A3351="","",IFERROR(SMALL(IF((('KG1-6'!$AD26:$IM26="غياب بدون عذر")+('KG1-6'!$AD26:$IM26="غياب بعذر"))*('KG1-6'!$AD$7:$IM$7="✓"),'KG1-6'!$AD$5:$IM$5),10),""))</f>
        <v/>
      </c>
      <c r="E3351">
        <f>IF(D3351="","",INDEX('KG1-6'!$AD26:$IM26,MATCH(D3351,'KG1-6'!$AD$5:$IM$5,0)))</f>
        <v/>
      </c>
      <c r="F3351">
        <f>IF(D3351="","",COUNTIFS('KG1-6'!$AD26:$IM26,"غياب بدون عذر",'KG1-6'!$AD$7:$IM$7,"✓",'KG1-6'!$AD$5:$IM$5,"&lt;="&amp;D3351))</f>
        <v/>
      </c>
      <c r="G3351">
        <f>G3350+IF(D3351="",0,1)</f>
        <v/>
      </c>
    </row>
    <row r="3352">
      <c r="A3352">
        <f>IF('KG1-6'!$B26="","",'KG1-6'!$B26)</f>
        <v/>
      </c>
      <c r="B3352">
        <f>IF(A3352="","",'KG1-6'!$C26)</f>
        <v/>
      </c>
      <c r="C3352">
        <f>IF(A3352="","",'KG1-6'!$B$2)</f>
        <v/>
      </c>
      <c r="D3352" s="126">
        <f t="array" ref="D3352">IF(A3352="","",IFERROR(SMALL(IF((('KG1-6'!$AD26:$IM26="غياب بدون عذر")+('KG1-6'!$AD26:$IM26="غياب بعذر"))*('KG1-6'!$AD$7:$IM$7="✓"),'KG1-6'!$AD$5:$IM$5),11),""))</f>
        <v/>
      </c>
      <c r="E3352">
        <f>IF(D3352="","",INDEX('KG1-6'!$AD26:$IM26,MATCH(D3352,'KG1-6'!$AD$5:$IM$5,0)))</f>
        <v/>
      </c>
      <c r="F3352">
        <f>IF(D3352="","",COUNTIFS('KG1-6'!$AD26:$IM26,"غياب بدون عذر",'KG1-6'!$AD$7:$IM$7,"✓",'KG1-6'!$AD$5:$IM$5,"&lt;="&amp;D3352))</f>
        <v/>
      </c>
      <c r="G3352">
        <f>G3351+IF(D3352="",0,1)</f>
        <v/>
      </c>
    </row>
    <row r="3353">
      <c r="A3353">
        <f>IF('KG1-6'!$B26="","",'KG1-6'!$B26)</f>
        <v/>
      </c>
      <c r="B3353">
        <f>IF(A3353="","",'KG1-6'!$C26)</f>
        <v/>
      </c>
      <c r="C3353">
        <f>IF(A3353="","",'KG1-6'!$B$2)</f>
        <v/>
      </c>
      <c r="D3353" s="126">
        <f t="array" ref="D3353">IF(A3353="","",IFERROR(SMALL(IF((('KG1-6'!$AD26:$IM26="غياب بدون عذر")+('KG1-6'!$AD26:$IM26="غياب بعذر"))*('KG1-6'!$AD$7:$IM$7="✓"),'KG1-6'!$AD$5:$IM$5),12),""))</f>
        <v/>
      </c>
      <c r="E3353">
        <f>IF(D3353="","",INDEX('KG1-6'!$AD26:$IM26,MATCH(D3353,'KG1-6'!$AD$5:$IM$5,0)))</f>
        <v/>
      </c>
      <c r="F3353">
        <f>IF(D3353="","",COUNTIFS('KG1-6'!$AD26:$IM26,"غياب بدون عذر",'KG1-6'!$AD$7:$IM$7,"✓",'KG1-6'!$AD$5:$IM$5,"&lt;="&amp;D3353))</f>
        <v/>
      </c>
      <c r="G3353">
        <f>G3352+IF(D3353="",0,1)</f>
        <v/>
      </c>
    </row>
    <row r="3354">
      <c r="A3354">
        <f>IF('KG1-6'!$B26="","",'KG1-6'!$B26)</f>
        <v/>
      </c>
      <c r="B3354">
        <f>IF(A3354="","",'KG1-6'!$C26)</f>
        <v/>
      </c>
      <c r="C3354">
        <f>IF(A3354="","",'KG1-6'!$B$2)</f>
        <v/>
      </c>
      <c r="D3354" s="126">
        <f t="array" ref="D3354">IF(A3354="","",IFERROR(SMALL(IF((('KG1-6'!$AD26:$IM26="غياب بدون عذر")+('KG1-6'!$AD26:$IM26="غياب بعذر"))*('KG1-6'!$AD$7:$IM$7="✓"),'KG1-6'!$AD$5:$IM$5),13),""))</f>
        <v/>
      </c>
      <c r="E3354">
        <f>IF(D3354="","",INDEX('KG1-6'!$AD26:$IM26,MATCH(D3354,'KG1-6'!$AD$5:$IM$5,0)))</f>
        <v/>
      </c>
      <c r="F3354">
        <f>IF(D3354="","",COUNTIFS('KG1-6'!$AD26:$IM26,"غياب بدون عذر",'KG1-6'!$AD$7:$IM$7,"✓",'KG1-6'!$AD$5:$IM$5,"&lt;="&amp;D3354))</f>
        <v/>
      </c>
      <c r="G3354">
        <f>G3353+IF(D3354="",0,1)</f>
        <v/>
      </c>
    </row>
    <row r="3355">
      <c r="A3355">
        <f>IF('KG1-6'!$B26="","",'KG1-6'!$B26)</f>
        <v/>
      </c>
      <c r="B3355">
        <f>IF(A3355="","",'KG1-6'!$C26)</f>
        <v/>
      </c>
      <c r="C3355">
        <f>IF(A3355="","",'KG1-6'!$B$2)</f>
        <v/>
      </c>
      <c r="D3355" s="126">
        <f t="array" ref="D3355">IF(A3355="","",IFERROR(SMALL(IF((('KG1-6'!$AD26:$IM26="غياب بدون عذر")+('KG1-6'!$AD26:$IM26="غياب بعذر"))*('KG1-6'!$AD$7:$IM$7="✓"),'KG1-6'!$AD$5:$IM$5),14),""))</f>
        <v/>
      </c>
      <c r="E3355">
        <f>IF(D3355="","",INDEX('KG1-6'!$AD26:$IM26,MATCH(D3355,'KG1-6'!$AD$5:$IM$5,0)))</f>
        <v/>
      </c>
      <c r="F3355">
        <f>IF(D3355="","",COUNTIFS('KG1-6'!$AD26:$IM26,"غياب بدون عذر",'KG1-6'!$AD$7:$IM$7,"✓",'KG1-6'!$AD$5:$IM$5,"&lt;="&amp;D3355))</f>
        <v/>
      </c>
      <c r="G3355">
        <f>G3354+IF(D3355="",0,1)</f>
        <v/>
      </c>
    </row>
    <row r="3356">
      <c r="A3356">
        <f>IF('KG1-6'!$B26="","",'KG1-6'!$B26)</f>
        <v/>
      </c>
      <c r="B3356">
        <f>IF(A3356="","",'KG1-6'!$C26)</f>
        <v/>
      </c>
      <c r="C3356">
        <f>IF(A3356="","",'KG1-6'!$B$2)</f>
        <v/>
      </c>
      <c r="D3356" s="126">
        <f t="array" ref="D3356">IF(A3356="","",IFERROR(SMALL(IF((('KG1-6'!$AD26:$IM26="غياب بدون عذر")+('KG1-6'!$AD26:$IM26="غياب بعذر"))*('KG1-6'!$AD$7:$IM$7="✓"),'KG1-6'!$AD$5:$IM$5),15),""))</f>
        <v/>
      </c>
      <c r="E3356">
        <f>IF(D3356="","",INDEX('KG1-6'!$AD26:$IM26,MATCH(D3356,'KG1-6'!$AD$5:$IM$5,0)))</f>
        <v/>
      </c>
      <c r="F3356">
        <f>IF(D3356="","",COUNTIFS('KG1-6'!$AD26:$IM26,"غياب بدون عذر",'KG1-6'!$AD$7:$IM$7,"✓",'KG1-6'!$AD$5:$IM$5,"&lt;="&amp;D3356))</f>
        <v/>
      </c>
      <c r="G3356">
        <f>G3355+IF(D3356="",0,1)</f>
        <v/>
      </c>
    </row>
    <row r="3357">
      <c r="A3357">
        <f>IF('KG1-6'!$B26="","",'KG1-6'!$B26)</f>
        <v/>
      </c>
      <c r="B3357">
        <f>IF(A3357="","",'KG1-6'!$C26)</f>
        <v/>
      </c>
      <c r="C3357">
        <f>IF(A3357="","",'KG1-6'!$B$2)</f>
        <v/>
      </c>
      <c r="D3357" s="126">
        <f t="array" ref="D3357">IF(A3357="","",IFERROR(SMALL(IF((('KG1-6'!$AD26:$IM26="غياب بدون عذر")+('KG1-6'!$AD26:$IM26="غياب بعذر"))*('KG1-6'!$AD$7:$IM$7="✓"),'KG1-6'!$AD$5:$IM$5),16),""))</f>
        <v/>
      </c>
      <c r="E3357">
        <f>IF(D3357="","",INDEX('KG1-6'!$AD26:$IM26,MATCH(D3357,'KG1-6'!$AD$5:$IM$5,0)))</f>
        <v/>
      </c>
      <c r="F3357">
        <f>IF(D3357="","",COUNTIFS('KG1-6'!$AD26:$IM26,"غياب بدون عذر",'KG1-6'!$AD$7:$IM$7,"✓",'KG1-6'!$AD$5:$IM$5,"&lt;="&amp;D3357))</f>
        <v/>
      </c>
      <c r="G3357">
        <f>G3356+IF(D3357="",0,1)</f>
        <v/>
      </c>
    </row>
    <row r="3358">
      <c r="A3358">
        <f>IF('KG1-6'!$B26="","",'KG1-6'!$B26)</f>
        <v/>
      </c>
      <c r="B3358">
        <f>IF(A3358="","",'KG1-6'!$C26)</f>
        <v/>
      </c>
      <c r="C3358">
        <f>IF(A3358="","",'KG1-6'!$B$2)</f>
        <v/>
      </c>
      <c r="D3358" s="126">
        <f t="array" ref="D3358">IF(A3358="","",IFERROR(SMALL(IF((('KG1-6'!$AD26:$IM26="غياب بدون عذر")+('KG1-6'!$AD26:$IM26="غياب بعذر"))*('KG1-6'!$AD$7:$IM$7="✓"),'KG1-6'!$AD$5:$IM$5),17),""))</f>
        <v/>
      </c>
      <c r="E3358">
        <f>IF(D3358="","",INDEX('KG1-6'!$AD26:$IM26,MATCH(D3358,'KG1-6'!$AD$5:$IM$5,0)))</f>
        <v/>
      </c>
      <c r="F3358">
        <f>IF(D3358="","",COUNTIFS('KG1-6'!$AD26:$IM26,"غياب بدون عذر",'KG1-6'!$AD$7:$IM$7,"✓",'KG1-6'!$AD$5:$IM$5,"&lt;="&amp;D3358))</f>
        <v/>
      </c>
      <c r="G3358">
        <f>G3357+IF(D3358="",0,1)</f>
        <v/>
      </c>
    </row>
    <row r="3359">
      <c r="A3359">
        <f>IF('KG1-6'!$B26="","",'KG1-6'!$B26)</f>
        <v/>
      </c>
      <c r="B3359">
        <f>IF(A3359="","",'KG1-6'!$C26)</f>
        <v/>
      </c>
      <c r="C3359">
        <f>IF(A3359="","",'KG1-6'!$B$2)</f>
        <v/>
      </c>
      <c r="D3359" s="126">
        <f t="array" ref="D3359">IF(A3359="","",IFERROR(SMALL(IF((('KG1-6'!$AD26:$IM26="غياب بدون عذر")+('KG1-6'!$AD26:$IM26="غياب بعذر"))*('KG1-6'!$AD$7:$IM$7="✓"),'KG1-6'!$AD$5:$IM$5),18),""))</f>
        <v/>
      </c>
      <c r="E3359">
        <f>IF(D3359="","",INDEX('KG1-6'!$AD26:$IM26,MATCH(D3359,'KG1-6'!$AD$5:$IM$5,0)))</f>
        <v/>
      </c>
      <c r="F3359">
        <f>IF(D3359="","",COUNTIFS('KG1-6'!$AD26:$IM26,"غياب بدون عذر",'KG1-6'!$AD$7:$IM$7,"✓",'KG1-6'!$AD$5:$IM$5,"&lt;="&amp;D3359))</f>
        <v/>
      </c>
      <c r="G3359">
        <f>G3358+IF(D3359="",0,1)</f>
        <v/>
      </c>
    </row>
    <row r="3360">
      <c r="A3360">
        <f>IF('KG1-6'!$B26="","",'KG1-6'!$B26)</f>
        <v/>
      </c>
      <c r="B3360">
        <f>IF(A3360="","",'KG1-6'!$C26)</f>
        <v/>
      </c>
      <c r="C3360">
        <f>IF(A3360="","",'KG1-6'!$B$2)</f>
        <v/>
      </c>
      <c r="D3360" s="126">
        <f t="array" ref="D3360">IF(A3360="","",IFERROR(SMALL(IF((('KG1-6'!$AD26:$IM26="غياب بدون عذر")+('KG1-6'!$AD26:$IM26="غياب بعذر"))*('KG1-6'!$AD$7:$IM$7="✓"),'KG1-6'!$AD$5:$IM$5),19),""))</f>
        <v/>
      </c>
      <c r="E3360">
        <f>IF(D3360="","",INDEX('KG1-6'!$AD26:$IM26,MATCH(D3360,'KG1-6'!$AD$5:$IM$5,0)))</f>
        <v/>
      </c>
      <c r="F3360">
        <f>IF(D3360="","",COUNTIFS('KG1-6'!$AD26:$IM26,"غياب بدون عذر",'KG1-6'!$AD$7:$IM$7,"✓",'KG1-6'!$AD$5:$IM$5,"&lt;="&amp;D3360))</f>
        <v/>
      </c>
      <c r="G3360">
        <f>G3359+IF(D3360="",0,1)</f>
        <v/>
      </c>
    </row>
    <row r="3361">
      <c r="A3361">
        <f>IF('KG1-6'!$B26="","",'KG1-6'!$B26)</f>
        <v/>
      </c>
      <c r="B3361">
        <f>IF(A3361="","",'KG1-6'!$C26)</f>
        <v/>
      </c>
      <c r="C3361">
        <f>IF(A3361="","",'KG1-6'!$B$2)</f>
        <v/>
      </c>
      <c r="D3361" s="126">
        <f t="array" ref="D3361">IF(A3361="","",IFERROR(SMALL(IF((('KG1-6'!$AD26:$IM26="غياب بدون عذر")+('KG1-6'!$AD26:$IM26="غياب بعذر"))*('KG1-6'!$AD$7:$IM$7="✓"),'KG1-6'!$AD$5:$IM$5),20),""))</f>
        <v/>
      </c>
      <c r="E3361">
        <f>IF(D3361="","",INDEX('KG1-6'!$AD26:$IM26,MATCH(D3361,'KG1-6'!$AD$5:$IM$5,0)))</f>
        <v/>
      </c>
      <c r="F3361">
        <f>IF(D3361="","",COUNTIFS('KG1-6'!$AD26:$IM26,"غياب بدون عذر",'KG1-6'!$AD$7:$IM$7,"✓",'KG1-6'!$AD$5:$IM$5,"&lt;="&amp;D3361))</f>
        <v/>
      </c>
      <c r="G3361">
        <f>G3360+IF(D3361="",0,1)</f>
        <v/>
      </c>
    </row>
    <row r="3362">
      <c r="A3362">
        <f>IF('KG1-6'!$B27="","",'KG1-6'!$B27)</f>
        <v/>
      </c>
      <c r="B3362">
        <f>IF(A3362="","",'KG1-6'!$C27)</f>
        <v/>
      </c>
      <c r="C3362">
        <f>IF(A3362="","",'KG1-6'!$B$2)</f>
        <v/>
      </c>
      <c r="D3362" s="126">
        <f t="array" ref="D3362">IF(A3362="","",IFERROR(SMALL(IF((('KG1-6'!$AD27:$IM27="غياب بدون عذر")+('KG1-6'!$AD27:$IM27="غياب بعذر"))*('KG1-6'!$AD$7:$IM$7="✓"),'KG1-6'!$AD$5:$IM$5),1),""))</f>
        <v/>
      </c>
      <c r="E3362">
        <f>IF(D3362="","",INDEX('KG1-6'!$AD27:$IM27,MATCH(D3362,'KG1-6'!$AD$5:$IM$5,0)))</f>
        <v/>
      </c>
      <c r="F3362">
        <f>IF(D3362="","",COUNTIFS('KG1-6'!$AD27:$IM27,"غياب بدون عذر",'KG1-6'!$AD$7:$IM$7,"✓",'KG1-6'!$AD$5:$IM$5,"&lt;="&amp;D3362))</f>
        <v/>
      </c>
      <c r="G3362">
        <f>G3361+IF(D3362="",0,1)</f>
        <v/>
      </c>
    </row>
    <row r="3363">
      <c r="A3363">
        <f>IF('KG1-6'!$B27="","",'KG1-6'!$B27)</f>
        <v/>
      </c>
      <c r="B3363">
        <f>IF(A3363="","",'KG1-6'!$C27)</f>
        <v/>
      </c>
      <c r="C3363">
        <f>IF(A3363="","",'KG1-6'!$B$2)</f>
        <v/>
      </c>
      <c r="D3363" s="126">
        <f t="array" ref="D3363">IF(A3363="","",IFERROR(SMALL(IF((('KG1-6'!$AD27:$IM27="غياب بدون عذر")+('KG1-6'!$AD27:$IM27="غياب بعذر"))*('KG1-6'!$AD$7:$IM$7="✓"),'KG1-6'!$AD$5:$IM$5),2),""))</f>
        <v/>
      </c>
      <c r="E3363">
        <f>IF(D3363="","",INDEX('KG1-6'!$AD27:$IM27,MATCH(D3363,'KG1-6'!$AD$5:$IM$5,0)))</f>
        <v/>
      </c>
      <c r="F3363">
        <f>IF(D3363="","",COUNTIFS('KG1-6'!$AD27:$IM27,"غياب بدون عذر",'KG1-6'!$AD$7:$IM$7,"✓",'KG1-6'!$AD$5:$IM$5,"&lt;="&amp;D3363))</f>
        <v/>
      </c>
      <c r="G3363">
        <f>G3362+IF(D3363="",0,1)</f>
        <v/>
      </c>
    </row>
    <row r="3364">
      <c r="A3364">
        <f>IF('KG1-6'!$B27="","",'KG1-6'!$B27)</f>
        <v/>
      </c>
      <c r="B3364">
        <f>IF(A3364="","",'KG1-6'!$C27)</f>
        <v/>
      </c>
      <c r="C3364">
        <f>IF(A3364="","",'KG1-6'!$B$2)</f>
        <v/>
      </c>
      <c r="D3364" s="126">
        <f t="array" ref="D3364">IF(A3364="","",IFERROR(SMALL(IF((('KG1-6'!$AD27:$IM27="غياب بدون عذر")+('KG1-6'!$AD27:$IM27="غياب بعذر"))*('KG1-6'!$AD$7:$IM$7="✓"),'KG1-6'!$AD$5:$IM$5),3),""))</f>
        <v/>
      </c>
      <c r="E3364">
        <f>IF(D3364="","",INDEX('KG1-6'!$AD27:$IM27,MATCH(D3364,'KG1-6'!$AD$5:$IM$5,0)))</f>
        <v/>
      </c>
      <c r="F3364">
        <f>IF(D3364="","",COUNTIFS('KG1-6'!$AD27:$IM27,"غياب بدون عذر",'KG1-6'!$AD$7:$IM$7,"✓",'KG1-6'!$AD$5:$IM$5,"&lt;="&amp;D3364))</f>
        <v/>
      </c>
      <c r="G3364">
        <f>G3363+IF(D3364="",0,1)</f>
        <v/>
      </c>
    </row>
    <row r="3365">
      <c r="A3365">
        <f>IF('KG1-6'!$B27="","",'KG1-6'!$B27)</f>
        <v/>
      </c>
      <c r="B3365">
        <f>IF(A3365="","",'KG1-6'!$C27)</f>
        <v/>
      </c>
      <c r="C3365">
        <f>IF(A3365="","",'KG1-6'!$B$2)</f>
        <v/>
      </c>
      <c r="D3365" s="126">
        <f t="array" ref="D3365">IF(A3365="","",IFERROR(SMALL(IF((('KG1-6'!$AD27:$IM27="غياب بدون عذر")+('KG1-6'!$AD27:$IM27="غياب بعذر"))*('KG1-6'!$AD$7:$IM$7="✓"),'KG1-6'!$AD$5:$IM$5),4),""))</f>
        <v/>
      </c>
      <c r="E3365">
        <f>IF(D3365="","",INDEX('KG1-6'!$AD27:$IM27,MATCH(D3365,'KG1-6'!$AD$5:$IM$5,0)))</f>
        <v/>
      </c>
      <c r="F3365">
        <f>IF(D3365="","",COUNTIFS('KG1-6'!$AD27:$IM27,"غياب بدون عذر",'KG1-6'!$AD$7:$IM$7,"✓",'KG1-6'!$AD$5:$IM$5,"&lt;="&amp;D3365))</f>
        <v/>
      </c>
      <c r="G3365">
        <f>G3364+IF(D3365="",0,1)</f>
        <v/>
      </c>
    </row>
    <row r="3366">
      <c r="A3366">
        <f>IF('KG1-6'!$B27="","",'KG1-6'!$B27)</f>
        <v/>
      </c>
      <c r="B3366">
        <f>IF(A3366="","",'KG1-6'!$C27)</f>
        <v/>
      </c>
      <c r="C3366">
        <f>IF(A3366="","",'KG1-6'!$B$2)</f>
        <v/>
      </c>
      <c r="D3366" s="126">
        <f t="array" ref="D3366">IF(A3366="","",IFERROR(SMALL(IF((('KG1-6'!$AD27:$IM27="غياب بدون عذر")+('KG1-6'!$AD27:$IM27="غياب بعذر"))*('KG1-6'!$AD$7:$IM$7="✓"),'KG1-6'!$AD$5:$IM$5),5),""))</f>
        <v/>
      </c>
      <c r="E3366">
        <f>IF(D3366="","",INDEX('KG1-6'!$AD27:$IM27,MATCH(D3366,'KG1-6'!$AD$5:$IM$5,0)))</f>
        <v/>
      </c>
      <c r="F3366">
        <f>IF(D3366="","",COUNTIFS('KG1-6'!$AD27:$IM27,"غياب بدون عذر",'KG1-6'!$AD$7:$IM$7,"✓",'KG1-6'!$AD$5:$IM$5,"&lt;="&amp;D3366))</f>
        <v/>
      </c>
      <c r="G3366">
        <f>G3365+IF(D3366="",0,1)</f>
        <v/>
      </c>
    </row>
    <row r="3367">
      <c r="A3367">
        <f>IF('KG1-6'!$B27="","",'KG1-6'!$B27)</f>
        <v/>
      </c>
      <c r="B3367">
        <f>IF(A3367="","",'KG1-6'!$C27)</f>
        <v/>
      </c>
      <c r="C3367">
        <f>IF(A3367="","",'KG1-6'!$B$2)</f>
        <v/>
      </c>
      <c r="D3367" s="126">
        <f t="array" ref="D3367">IF(A3367="","",IFERROR(SMALL(IF((('KG1-6'!$AD27:$IM27="غياب بدون عذر")+('KG1-6'!$AD27:$IM27="غياب بعذر"))*('KG1-6'!$AD$7:$IM$7="✓"),'KG1-6'!$AD$5:$IM$5),6),""))</f>
        <v/>
      </c>
      <c r="E3367">
        <f>IF(D3367="","",INDEX('KG1-6'!$AD27:$IM27,MATCH(D3367,'KG1-6'!$AD$5:$IM$5,0)))</f>
        <v/>
      </c>
      <c r="F3367">
        <f>IF(D3367="","",COUNTIFS('KG1-6'!$AD27:$IM27,"غياب بدون عذر",'KG1-6'!$AD$7:$IM$7,"✓",'KG1-6'!$AD$5:$IM$5,"&lt;="&amp;D3367))</f>
        <v/>
      </c>
      <c r="G3367">
        <f>G3366+IF(D3367="",0,1)</f>
        <v/>
      </c>
    </row>
    <row r="3368">
      <c r="A3368">
        <f>IF('KG1-6'!$B27="","",'KG1-6'!$B27)</f>
        <v/>
      </c>
      <c r="B3368">
        <f>IF(A3368="","",'KG1-6'!$C27)</f>
        <v/>
      </c>
      <c r="C3368">
        <f>IF(A3368="","",'KG1-6'!$B$2)</f>
        <v/>
      </c>
      <c r="D3368" s="126">
        <f t="array" ref="D3368">IF(A3368="","",IFERROR(SMALL(IF((('KG1-6'!$AD27:$IM27="غياب بدون عذر")+('KG1-6'!$AD27:$IM27="غياب بعذر"))*('KG1-6'!$AD$7:$IM$7="✓"),'KG1-6'!$AD$5:$IM$5),7),""))</f>
        <v/>
      </c>
      <c r="E3368">
        <f>IF(D3368="","",INDEX('KG1-6'!$AD27:$IM27,MATCH(D3368,'KG1-6'!$AD$5:$IM$5,0)))</f>
        <v/>
      </c>
      <c r="F3368">
        <f>IF(D3368="","",COUNTIFS('KG1-6'!$AD27:$IM27,"غياب بدون عذر",'KG1-6'!$AD$7:$IM$7,"✓",'KG1-6'!$AD$5:$IM$5,"&lt;="&amp;D3368))</f>
        <v/>
      </c>
      <c r="G3368">
        <f>G3367+IF(D3368="",0,1)</f>
        <v/>
      </c>
    </row>
    <row r="3369">
      <c r="A3369">
        <f>IF('KG1-6'!$B27="","",'KG1-6'!$B27)</f>
        <v/>
      </c>
      <c r="B3369">
        <f>IF(A3369="","",'KG1-6'!$C27)</f>
        <v/>
      </c>
      <c r="C3369">
        <f>IF(A3369="","",'KG1-6'!$B$2)</f>
        <v/>
      </c>
      <c r="D3369" s="126">
        <f t="array" ref="D3369">IF(A3369="","",IFERROR(SMALL(IF((('KG1-6'!$AD27:$IM27="غياب بدون عذر")+('KG1-6'!$AD27:$IM27="غياب بعذر"))*('KG1-6'!$AD$7:$IM$7="✓"),'KG1-6'!$AD$5:$IM$5),8),""))</f>
        <v/>
      </c>
      <c r="E3369">
        <f>IF(D3369="","",INDEX('KG1-6'!$AD27:$IM27,MATCH(D3369,'KG1-6'!$AD$5:$IM$5,0)))</f>
        <v/>
      </c>
      <c r="F3369">
        <f>IF(D3369="","",COUNTIFS('KG1-6'!$AD27:$IM27,"غياب بدون عذر",'KG1-6'!$AD$7:$IM$7,"✓",'KG1-6'!$AD$5:$IM$5,"&lt;="&amp;D3369))</f>
        <v/>
      </c>
      <c r="G3369">
        <f>G3368+IF(D3369="",0,1)</f>
        <v/>
      </c>
    </row>
    <row r="3370">
      <c r="A3370">
        <f>IF('KG1-6'!$B27="","",'KG1-6'!$B27)</f>
        <v/>
      </c>
      <c r="B3370">
        <f>IF(A3370="","",'KG1-6'!$C27)</f>
        <v/>
      </c>
      <c r="C3370">
        <f>IF(A3370="","",'KG1-6'!$B$2)</f>
        <v/>
      </c>
      <c r="D3370" s="126">
        <f t="array" ref="D3370">IF(A3370="","",IFERROR(SMALL(IF((('KG1-6'!$AD27:$IM27="غياب بدون عذر")+('KG1-6'!$AD27:$IM27="غياب بعذر"))*('KG1-6'!$AD$7:$IM$7="✓"),'KG1-6'!$AD$5:$IM$5),9),""))</f>
        <v/>
      </c>
      <c r="E3370">
        <f>IF(D3370="","",INDEX('KG1-6'!$AD27:$IM27,MATCH(D3370,'KG1-6'!$AD$5:$IM$5,0)))</f>
        <v/>
      </c>
      <c r="F3370">
        <f>IF(D3370="","",COUNTIFS('KG1-6'!$AD27:$IM27,"غياب بدون عذر",'KG1-6'!$AD$7:$IM$7,"✓",'KG1-6'!$AD$5:$IM$5,"&lt;="&amp;D3370))</f>
        <v/>
      </c>
      <c r="G3370">
        <f>G3369+IF(D3370="",0,1)</f>
        <v/>
      </c>
    </row>
    <row r="3371">
      <c r="A3371">
        <f>IF('KG1-6'!$B27="","",'KG1-6'!$B27)</f>
        <v/>
      </c>
      <c r="B3371">
        <f>IF(A3371="","",'KG1-6'!$C27)</f>
        <v/>
      </c>
      <c r="C3371">
        <f>IF(A3371="","",'KG1-6'!$B$2)</f>
        <v/>
      </c>
      <c r="D3371" s="126">
        <f t="array" ref="D3371">IF(A3371="","",IFERROR(SMALL(IF((('KG1-6'!$AD27:$IM27="غياب بدون عذر")+('KG1-6'!$AD27:$IM27="غياب بعذر"))*('KG1-6'!$AD$7:$IM$7="✓"),'KG1-6'!$AD$5:$IM$5),10),""))</f>
        <v/>
      </c>
      <c r="E3371">
        <f>IF(D3371="","",INDEX('KG1-6'!$AD27:$IM27,MATCH(D3371,'KG1-6'!$AD$5:$IM$5,0)))</f>
        <v/>
      </c>
      <c r="F3371">
        <f>IF(D3371="","",COUNTIFS('KG1-6'!$AD27:$IM27,"غياب بدون عذر",'KG1-6'!$AD$7:$IM$7,"✓",'KG1-6'!$AD$5:$IM$5,"&lt;="&amp;D3371))</f>
        <v/>
      </c>
      <c r="G3371">
        <f>G3370+IF(D3371="",0,1)</f>
        <v/>
      </c>
    </row>
    <row r="3372">
      <c r="A3372">
        <f>IF('KG1-6'!$B27="","",'KG1-6'!$B27)</f>
        <v/>
      </c>
      <c r="B3372">
        <f>IF(A3372="","",'KG1-6'!$C27)</f>
        <v/>
      </c>
      <c r="C3372">
        <f>IF(A3372="","",'KG1-6'!$B$2)</f>
        <v/>
      </c>
      <c r="D3372" s="126">
        <f t="array" ref="D3372">IF(A3372="","",IFERROR(SMALL(IF((('KG1-6'!$AD27:$IM27="غياب بدون عذر")+('KG1-6'!$AD27:$IM27="غياب بعذر"))*('KG1-6'!$AD$7:$IM$7="✓"),'KG1-6'!$AD$5:$IM$5),11),""))</f>
        <v/>
      </c>
      <c r="E3372">
        <f>IF(D3372="","",INDEX('KG1-6'!$AD27:$IM27,MATCH(D3372,'KG1-6'!$AD$5:$IM$5,0)))</f>
        <v/>
      </c>
      <c r="F3372">
        <f>IF(D3372="","",COUNTIFS('KG1-6'!$AD27:$IM27,"غياب بدون عذر",'KG1-6'!$AD$7:$IM$7,"✓",'KG1-6'!$AD$5:$IM$5,"&lt;="&amp;D3372))</f>
        <v/>
      </c>
      <c r="G3372">
        <f>G3371+IF(D3372="",0,1)</f>
        <v/>
      </c>
    </row>
    <row r="3373">
      <c r="A3373">
        <f>IF('KG1-6'!$B27="","",'KG1-6'!$B27)</f>
        <v/>
      </c>
      <c r="B3373">
        <f>IF(A3373="","",'KG1-6'!$C27)</f>
        <v/>
      </c>
      <c r="C3373">
        <f>IF(A3373="","",'KG1-6'!$B$2)</f>
        <v/>
      </c>
      <c r="D3373" s="126">
        <f t="array" ref="D3373">IF(A3373="","",IFERROR(SMALL(IF((('KG1-6'!$AD27:$IM27="غياب بدون عذر")+('KG1-6'!$AD27:$IM27="غياب بعذر"))*('KG1-6'!$AD$7:$IM$7="✓"),'KG1-6'!$AD$5:$IM$5),12),""))</f>
        <v/>
      </c>
      <c r="E3373">
        <f>IF(D3373="","",INDEX('KG1-6'!$AD27:$IM27,MATCH(D3373,'KG1-6'!$AD$5:$IM$5,0)))</f>
        <v/>
      </c>
      <c r="F3373">
        <f>IF(D3373="","",COUNTIFS('KG1-6'!$AD27:$IM27,"غياب بدون عذر",'KG1-6'!$AD$7:$IM$7,"✓",'KG1-6'!$AD$5:$IM$5,"&lt;="&amp;D3373))</f>
        <v/>
      </c>
      <c r="G3373">
        <f>G3372+IF(D3373="",0,1)</f>
        <v/>
      </c>
    </row>
    <row r="3374">
      <c r="A3374">
        <f>IF('KG1-6'!$B27="","",'KG1-6'!$B27)</f>
        <v/>
      </c>
      <c r="B3374">
        <f>IF(A3374="","",'KG1-6'!$C27)</f>
        <v/>
      </c>
      <c r="C3374">
        <f>IF(A3374="","",'KG1-6'!$B$2)</f>
        <v/>
      </c>
      <c r="D3374" s="126">
        <f t="array" ref="D3374">IF(A3374="","",IFERROR(SMALL(IF((('KG1-6'!$AD27:$IM27="غياب بدون عذر")+('KG1-6'!$AD27:$IM27="غياب بعذر"))*('KG1-6'!$AD$7:$IM$7="✓"),'KG1-6'!$AD$5:$IM$5),13),""))</f>
        <v/>
      </c>
      <c r="E3374">
        <f>IF(D3374="","",INDEX('KG1-6'!$AD27:$IM27,MATCH(D3374,'KG1-6'!$AD$5:$IM$5,0)))</f>
        <v/>
      </c>
      <c r="F3374">
        <f>IF(D3374="","",COUNTIFS('KG1-6'!$AD27:$IM27,"غياب بدون عذر",'KG1-6'!$AD$7:$IM$7,"✓",'KG1-6'!$AD$5:$IM$5,"&lt;="&amp;D3374))</f>
        <v/>
      </c>
      <c r="G3374">
        <f>G3373+IF(D3374="",0,1)</f>
        <v/>
      </c>
    </row>
    <row r="3375">
      <c r="A3375">
        <f>IF('KG1-6'!$B27="","",'KG1-6'!$B27)</f>
        <v/>
      </c>
      <c r="B3375">
        <f>IF(A3375="","",'KG1-6'!$C27)</f>
        <v/>
      </c>
      <c r="C3375">
        <f>IF(A3375="","",'KG1-6'!$B$2)</f>
        <v/>
      </c>
      <c r="D3375" s="126">
        <f t="array" ref="D3375">IF(A3375="","",IFERROR(SMALL(IF((('KG1-6'!$AD27:$IM27="غياب بدون عذر")+('KG1-6'!$AD27:$IM27="غياب بعذر"))*('KG1-6'!$AD$7:$IM$7="✓"),'KG1-6'!$AD$5:$IM$5),14),""))</f>
        <v/>
      </c>
      <c r="E3375">
        <f>IF(D3375="","",INDEX('KG1-6'!$AD27:$IM27,MATCH(D3375,'KG1-6'!$AD$5:$IM$5,0)))</f>
        <v/>
      </c>
      <c r="F3375">
        <f>IF(D3375="","",COUNTIFS('KG1-6'!$AD27:$IM27,"غياب بدون عذر",'KG1-6'!$AD$7:$IM$7,"✓",'KG1-6'!$AD$5:$IM$5,"&lt;="&amp;D3375))</f>
        <v/>
      </c>
      <c r="G3375">
        <f>G3374+IF(D3375="",0,1)</f>
        <v/>
      </c>
    </row>
    <row r="3376">
      <c r="A3376">
        <f>IF('KG1-6'!$B27="","",'KG1-6'!$B27)</f>
        <v/>
      </c>
      <c r="B3376">
        <f>IF(A3376="","",'KG1-6'!$C27)</f>
        <v/>
      </c>
      <c r="C3376">
        <f>IF(A3376="","",'KG1-6'!$B$2)</f>
        <v/>
      </c>
      <c r="D3376" s="126">
        <f t="array" ref="D3376">IF(A3376="","",IFERROR(SMALL(IF((('KG1-6'!$AD27:$IM27="غياب بدون عذر")+('KG1-6'!$AD27:$IM27="غياب بعذر"))*('KG1-6'!$AD$7:$IM$7="✓"),'KG1-6'!$AD$5:$IM$5),15),""))</f>
        <v/>
      </c>
      <c r="E3376">
        <f>IF(D3376="","",INDEX('KG1-6'!$AD27:$IM27,MATCH(D3376,'KG1-6'!$AD$5:$IM$5,0)))</f>
        <v/>
      </c>
      <c r="F3376">
        <f>IF(D3376="","",COUNTIFS('KG1-6'!$AD27:$IM27,"غياب بدون عذر",'KG1-6'!$AD$7:$IM$7,"✓",'KG1-6'!$AD$5:$IM$5,"&lt;="&amp;D3376))</f>
        <v/>
      </c>
      <c r="G3376">
        <f>G3375+IF(D3376="",0,1)</f>
        <v/>
      </c>
    </row>
    <row r="3377">
      <c r="A3377">
        <f>IF('KG1-6'!$B27="","",'KG1-6'!$B27)</f>
        <v/>
      </c>
      <c r="B3377">
        <f>IF(A3377="","",'KG1-6'!$C27)</f>
        <v/>
      </c>
      <c r="C3377">
        <f>IF(A3377="","",'KG1-6'!$B$2)</f>
        <v/>
      </c>
      <c r="D3377" s="126">
        <f t="array" ref="D3377">IF(A3377="","",IFERROR(SMALL(IF((('KG1-6'!$AD27:$IM27="غياب بدون عذر")+('KG1-6'!$AD27:$IM27="غياب بعذر"))*('KG1-6'!$AD$7:$IM$7="✓"),'KG1-6'!$AD$5:$IM$5),16),""))</f>
        <v/>
      </c>
      <c r="E3377">
        <f>IF(D3377="","",INDEX('KG1-6'!$AD27:$IM27,MATCH(D3377,'KG1-6'!$AD$5:$IM$5,0)))</f>
        <v/>
      </c>
      <c r="F3377">
        <f>IF(D3377="","",COUNTIFS('KG1-6'!$AD27:$IM27,"غياب بدون عذر",'KG1-6'!$AD$7:$IM$7,"✓",'KG1-6'!$AD$5:$IM$5,"&lt;="&amp;D3377))</f>
        <v/>
      </c>
      <c r="G3377">
        <f>G3376+IF(D3377="",0,1)</f>
        <v/>
      </c>
    </row>
    <row r="3378">
      <c r="A3378">
        <f>IF('KG1-6'!$B27="","",'KG1-6'!$B27)</f>
        <v/>
      </c>
      <c r="B3378">
        <f>IF(A3378="","",'KG1-6'!$C27)</f>
        <v/>
      </c>
      <c r="C3378">
        <f>IF(A3378="","",'KG1-6'!$B$2)</f>
        <v/>
      </c>
      <c r="D3378" s="126">
        <f t="array" ref="D3378">IF(A3378="","",IFERROR(SMALL(IF((('KG1-6'!$AD27:$IM27="غياب بدون عذر")+('KG1-6'!$AD27:$IM27="غياب بعذر"))*('KG1-6'!$AD$7:$IM$7="✓"),'KG1-6'!$AD$5:$IM$5),17),""))</f>
        <v/>
      </c>
      <c r="E3378">
        <f>IF(D3378="","",INDEX('KG1-6'!$AD27:$IM27,MATCH(D3378,'KG1-6'!$AD$5:$IM$5,0)))</f>
        <v/>
      </c>
      <c r="F3378">
        <f>IF(D3378="","",COUNTIFS('KG1-6'!$AD27:$IM27,"غياب بدون عذر",'KG1-6'!$AD$7:$IM$7,"✓",'KG1-6'!$AD$5:$IM$5,"&lt;="&amp;D3378))</f>
        <v/>
      </c>
      <c r="G3378">
        <f>G3377+IF(D3378="",0,1)</f>
        <v/>
      </c>
    </row>
    <row r="3379">
      <c r="A3379">
        <f>IF('KG1-6'!$B27="","",'KG1-6'!$B27)</f>
        <v/>
      </c>
      <c r="B3379">
        <f>IF(A3379="","",'KG1-6'!$C27)</f>
        <v/>
      </c>
      <c r="C3379">
        <f>IF(A3379="","",'KG1-6'!$B$2)</f>
        <v/>
      </c>
      <c r="D3379" s="126">
        <f t="array" ref="D3379">IF(A3379="","",IFERROR(SMALL(IF((('KG1-6'!$AD27:$IM27="غياب بدون عذر")+('KG1-6'!$AD27:$IM27="غياب بعذر"))*('KG1-6'!$AD$7:$IM$7="✓"),'KG1-6'!$AD$5:$IM$5),18),""))</f>
        <v/>
      </c>
      <c r="E3379">
        <f>IF(D3379="","",INDEX('KG1-6'!$AD27:$IM27,MATCH(D3379,'KG1-6'!$AD$5:$IM$5,0)))</f>
        <v/>
      </c>
      <c r="F3379">
        <f>IF(D3379="","",COUNTIFS('KG1-6'!$AD27:$IM27,"غياب بدون عذر",'KG1-6'!$AD$7:$IM$7,"✓",'KG1-6'!$AD$5:$IM$5,"&lt;="&amp;D3379))</f>
        <v/>
      </c>
      <c r="G3379">
        <f>G3378+IF(D3379="",0,1)</f>
        <v/>
      </c>
    </row>
    <row r="3380">
      <c r="A3380">
        <f>IF('KG1-6'!$B27="","",'KG1-6'!$B27)</f>
        <v/>
      </c>
      <c r="B3380">
        <f>IF(A3380="","",'KG1-6'!$C27)</f>
        <v/>
      </c>
      <c r="C3380">
        <f>IF(A3380="","",'KG1-6'!$B$2)</f>
        <v/>
      </c>
      <c r="D3380" s="126">
        <f t="array" ref="D3380">IF(A3380="","",IFERROR(SMALL(IF((('KG1-6'!$AD27:$IM27="غياب بدون عذر")+('KG1-6'!$AD27:$IM27="غياب بعذر"))*('KG1-6'!$AD$7:$IM$7="✓"),'KG1-6'!$AD$5:$IM$5),19),""))</f>
        <v/>
      </c>
      <c r="E3380">
        <f>IF(D3380="","",INDEX('KG1-6'!$AD27:$IM27,MATCH(D3380,'KG1-6'!$AD$5:$IM$5,0)))</f>
        <v/>
      </c>
      <c r="F3380">
        <f>IF(D3380="","",COUNTIFS('KG1-6'!$AD27:$IM27,"غياب بدون عذر",'KG1-6'!$AD$7:$IM$7,"✓",'KG1-6'!$AD$5:$IM$5,"&lt;="&amp;D3380))</f>
        <v/>
      </c>
      <c r="G3380">
        <f>G3379+IF(D3380="",0,1)</f>
        <v/>
      </c>
    </row>
    <row r="3381">
      <c r="A3381">
        <f>IF('KG1-6'!$B27="","",'KG1-6'!$B27)</f>
        <v/>
      </c>
      <c r="B3381">
        <f>IF(A3381="","",'KG1-6'!$C27)</f>
        <v/>
      </c>
      <c r="C3381">
        <f>IF(A3381="","",'KG1-6'!$B$2)</f>
        <v/>
      </c>
      <c r="D3381" s="126">
        <f t="array" ref="D3381">IF(A3381="","",IFERROR(SMALL(IF((('KG1-6'!$AD27:$IM27="غياب بدون عذر")+('KG1-6'!$AD27:$IM27="غياب بعذر"))*('KG1-6'!$AD$7:$IM$7="✓"),'KG1-6'!$AD$5:$IM$5),20),""))</f>
        <v/>
      </c>
      <c r="E3381">
        <f>IF(D3381="","",INDEX('KG1-6'!$AD27:$IM27,MATCH(D3381,'KG1-6'!$AD$5:$IM$5,0)))</f>
        <v/>
      </c>
      <c r="F3381">
        <f>IF(D3381="","",COUNTIFS('KG1-6'!$AD27:$IM27,"غياب بدون عذر",'KG1-6'!$AD$7:$IM$7,"✓",'KG1-6'!$AD$5:$IM$5,"&lt;="&amp;D3381))</f>
        <v/>
      </c>
      <c r="G3381">
        <f>G3380+IF(D3381="",0,1)</f>
        <v/>
      </c>
    </row>
    <row r="3382">
      <c r="A3382">
        <f>IF('KG1-6'!$B28="","",'KG1-6'!$B28)</f>
        <v/>
      </c>
      <c r="B3382">
        <f>IF(A3382="","",'KG1-6'!$C28)</f>
        <v/>
      </c>
      <c r="C3382">
        <f>IF(A3382="","",'KG1-6'!$B$2)</f>
        <v/>
      </c>
      <c r="D3382" s="126">
        <f t="array" ref="D3382">IF(A3382="","",IFERROR(SMALL(IF((('KG1-6'!$AD28:$IM28="غياب بدون عذر")+('KG1-6'!$AD28:$IM28="غياب بعذر"))*('KG1-6'!$AD$7:$IM$7="✓"),'KG1-6'!$AD$5:$IM$5),1),""))</f>
        <v/>
      </c>
      <c r="E3382">
        <f>IF(D3382="","",INDEX('KG1-6'!$AD28:$IM28,MATCH(D3382,'KG1-6'!$AD$5:$IM$5,0)))</f>
        <v/>
      </c>
      <c r="F3382">
        <f>IF(D3382="","",COUNTIFS('KG1-6'!$AD28:$IM28,"غياب بدون عذر",'KG1-6'!$AD$7:$IM$7,"✓",'KG1-6'!$AD$5:$IM$5,"&lt;="&amp;D3382))</f>
        <v/>
      </c>
      <c r="G3382">
        <f>G3381+IF(D3382="",0,1)</f>
        <v/>
      </c>
    </row>
    <row r="3383">
      <c r="A3383">
        <f>IF('KG1-6'!$B28="","",'KG1-6'!$B28)</f>
        <v/>
      </c>
      <c r="B3383">
        <f>IF(A3383="","",'KG1-6'!$C28)</f>
        <v/>
      </c>
      <c r="C3383">
        <f>IF(A3383="","",'KG1-6'!$B$2)</f>
        <v/>
      </c>
      <c r="D3383" s="126">
        <f t="array" ref="D3383">IF(A3383="","",IFERROR(SMALL(IF((('KG1-6'!$AD28:$IM28="غياب بدون عذر")+('KG1-6'!$AD28:$IM28="غياب بعذر"))*('KG1-6'!$AD$7:$IM$7="✓"),'KG1-6'!$AD$5:$IM$5),2),""))</f>
        <v/>
      </c>
      <c r="E3383">
        <f>IF(D3383="","",INDEX('KG1-6'!$AD28:$IM28,MATCH(D3383,'KG1-6'!$AD$5:$IM$5,0)))</f>
        <v/>
      </c>
      <c r="F3383">
        <f>IF(D3383="","",COUNTIFS('KG1-6'!$AD28:$IM28,"غياب بدون عذر",'KG1-6'!$AD$7:$IM$7,"✓",'KG1-6'!$AD$5:$IM$5,"&lt;="&amp;D3383))</f>
        <v/>
      </c>
      <c r="G3383">
        <f>G3382+IF(D3383="",0,1)</f>
        <v/>
      </c>
    </row>
    <row r="3384">
      <c r="A3384">
        <f>IF('KG1-6'!$B28="","",'KG1-6'!$B28)</f>
        <v/>
      </c>
      <c r="B3384">
        <f>IF(A3384="","",'KG1-6'!$C28)</f>
        <v/>
      </c>
      <c r="C3384">
        <f>IF(A3384="","",'KG1-6'!$B$2)</f>
        <v/>
      </c>
      <c r="D3384" s="126">
        <f t="array" ref="D3384">IF(A3384="","",IFERROR(SMALL(IF((('KG1-6'!$AD28:$IM28="غياب بدون عذر")+('KG1-6'!$AD28:$IM28="غياب بعذر"))*('KG1-6'!$AD$7:$IM$7="✓"),'KG1-6'!$AD$5:$IM$5),3),""))</f>
        <v/>
      </c>
      <c r="E3384">
        <f>IF(D3384="","",INDEX('KG1-6'!$AD28:$IM28,MATCH(D3384,'KG1-6'!$AD$5:$IM$5,0)))</f>
        <v/>
      </c>
      <c r="F3384">
        <f>IF(D3384="","",COUNTIFS('KG1-6'!$AD28:$IM28,"غياب بدون عذر",'KG1-6'!$AD$7:$IM$7,"✓",'KG1-6'!$AD$5:$IM$5,"&lt;="&amp;D3384))</f>
        <v/>
      </c>
      <c r="G3384">
        <f>G3383+IF(D3384="",0,1)</f>
        <v/>
      </c>
    </row>
    <row r="3385">
      <c r="A3385">
        <f>IF('KG1-6'!$B28="","",'KG1-6'!$B28)</f>
        <v/>
      </c>
      <c r="B3385">
        <f>IF(A3385="","",'KG1-6'!$C28)</f>
        <v/>
      </c>
      <c r="C3385">
        <f>IF(A3385="","",'KG1-6'!$B$2)</f>
        <v/>
      </c>
      <c r="D3385" s="126">
        <f t="array" ref="D3385">IF(A3385="","",IFERROR(SMALL(IF((('KG1-6'!$AD28:$IM28="غياب بدون عذر")+('KG1-6'!$AD28:$IM28="غياب بعذر"))*('KG1-6'!$AD$7:$IM$7="✓"),'KG1-6'!$AD$5:$IM$5),4),""))</f>
        <v/>
      </c>
      <c r="E3385">
        <f>IF(D3385="","",INDEX('KG1-6'!$AD28:$IM28,MATCH(D3385,'KG1-6'!$AD$5:$IM$5,0)))</f>
        <v/>
      </c>
      <c r="F3385">
        <f>IF(D3385="","",COUNTIFS('KG1-6'!$AD28:$IM28,"غياب بدون عذر",'KG1-6'!$AD$7:$IM$7,"✓",'KG1-6'!$AD$5:$IM$5,"&lt;="&amp;D3385))</f>
        <v/>
      </c>
      <c r="G3385">
        <f>G3384+IF(D3385="",0,1)</f>
        <v/>
      </c>
    </row>
    <row r="3386">
      <c r="A3386">
        <f>IF('KG1-6'!$B28="","",'KG1-6'!$B28)</f>
        <v/>
      </c>
      <c r="B3386">
        <f>IF(A3386="","",'KG1-6'!$C28)</f>
        <v/>
      </c>
      <c r="C3386">
        <f>IF(A3386="","",'KG1-6'!$B$2)</f>
        <v/>
      </c>
      <c r="D3386" s="126">
        <f t="array" ref="D3386">IF(A3386="","",IFERROR(SMALL(IF((('KG1-6'!$AD28:$IM28="غياب بدون عذر")+('KG1-6'!$AD28:$IM28="غياب بعذر"))*('KG1-6'!$AD$7:$IM$7="✓"),'KG1-6'!$AD$5:$IM$5),5),""))</f>
        <v/>
      </c>
      <c r="E3386">
        <f>IF(D3386="","",INDEX('KG1-6'!$AD28:$IM28,MATCH(D3386,'KG1-6'!$AD$5:$IM$5,0)))</f>
        <v/>
      </c>
      <c r="F3386">
        <f>IF(D3386="","",COUNTIFS('KG1-6'!$AD28:$IM28,"غياب بدون عذر",'KG1-6'!$AD$7:$IM$7,"✓",'KG1-6'!$AD$5:$IM$5,"&lt;="&amp;D3386))</f>
        <v/>
      </c>
      <c r="G3386">
        <f>G3385+IF(D3386="",0,1)</f>
        <v/>
      </c>
    </row>
    <row r="3387">
      <c r="A3387">
        <f>IF('KG1-6'!$B28="","",'KG1-6'!$B28)</f>
        <v/>
      </c>
      <c r="B3387">
        <f>IF(A3387="","",'KG1-6'!$C28)</f>
        <v/>
      </c>
      <c r="C3387">
        <f>IF(A3387="","",'KG1-6'!$B$2)</f>
        <v/>
      </c>
      <c r="D3387" s="126">
        <f t="array" ref="D3387">IF(A3387="","",IFERROR(SMALL(IF((('KG1-6'!$AD28:$IM28="غياب بدون عذر")+('KG1-6'!$AD28:$IM28="غياب بعذر"))*('KG1-6'!$AD$7:$IM$7="✓"),'KG1-6'!$AD$5:$IM$5),6),""))</f>
        <v/>
      </c>
      <c r="E3387">
        <f>IF(D3387="","",INDEX('KG1-6'!$AD28:$IM28,MATCH(D3387,'KG1-6'!$AD$5:$IM$5,0)))</f>
        <v/>
      </c>
      <c r="F3387">
        <f>IF(D3387="","",COUNTIFS('KG1-6'!$AD28:$IM28,"غياب بدون عذر",'KG1-6'!$AD$7:$IM$7,"✓",'KG1-6'!$AD$5:$IM$5,"&lt;="&amp;D3387))</f>
        <v/>
      </c>
      <c r="G3387">
        <f>G3386+IF(D3387="",0,1)</f>
        <v/>
      </c>
    </row>
    <row r="3388">
      <c r="A3388">
        <f>IF('KG1-6'!$B28="","",'KG1-6'!$B28)</f>
        <v/>
      </c>
      <c r="B3388">
        <f>IF(A3388="","",'KG1-6'!$C28)</f>
        <v/>
      </c>
      <c r="C3388">
        <f>IF(A3388="","",'KG1-6'!$B$2)</f>
        <v/>
      </c>
      <c r="D3388" s="126">
        <f t="array" ref="D3388">IF(A3388="","",IFERROR(SMALL(IF((('KG1-6'!$AD28:$IM28="غياب بدون عذر")+('KG1-6'!$AD28:$IM28="غياب بعذر"))*('KG1-6'!$AD$7:$IM$7="✓"),'KG1-6'!$AD$5:$IM$5),7),""))</f>
        <v/>
      </c>
      <c r="E3388">
        <f>IF(D3388="","",INDEX('KG1-6'!$AD28:$IM28,MATCH(D3388,'KG1-6'!$AD$5:$IM$5,0)))</f>
        <v/>
      </c>
      <c r="F3388">
        <f>IF(D3388="","",COUNTIFS('KG1-6'!$AD28:$IM28,"غياب بدون عذر",'KG1-6'!$AD$7:$IM$7,"✓",'KG1-6'!$AD$5:$IM$5,"&lt;="&amp;D3388))</f>
        <v/>
      </c>
      <c r="G3388">
        <f>G3387+IF(D3388="",0,1)</f>
        <v/>
      </c>
    </row>
    <row r="3389">
      <c r="A3389">
        <f>IF('KG1-6'!$B28="","",'KG1-6'!$B28)</f>
        <v/>
      </c>
      <c r="B3389">
        <f>IF(A3389="","",'KG1-6'!$C28)</f>
        <v/>
      </c>
      <c r="C3389">
        <f>IF(A3389="","",'KG1-6'!$B$2)</f>
        <v/>
      </c>
      <c r="D3389" s="126">
        <f t="array" ref="D3389">IF(A3389="","",IFERROR(SMALL(IF((('KG1-6'!$AD28:$IM28="غياب بدون عذر")+('KG1-6'!$AD28:$IM28="غياب بعذر"))*('KG1-6'!$AD$7:$IM$7="✓"),'KG1-6'!$AD$5:$IM$5),8),""))</f>
        <v/>
      </c>
      <c r="E3389">
        <f>IF(D3389="","",INDEX('KG1-6'!$AD28:$IM28,MATCH(D3389,'KG1-6'!$AD$5:$IM$5,0)))</f>
        <v/>
      </c>
      <c r="F3389">
        <f>IF(D3389="","",COUNTIFS('KG1-6'!$AD28:$IM28,"غياب بدون عذر",'KG1-6'!$AD$7:$IM$7,"✓",'KG1-6'!$AD$5:$IM$5,"&lt;="&amp;D3389))</f>
        <v/>
      </c>
      <c r="G3389">
        <f>G3388+IF(D3389="",0,1)</f>
        <v/>
      </c>
    </row>
    <row r="3390">
      <c r="A3390">
        <f>IF('KG1-6'!$B28="","",'KG1-6'!$B28)</f>
        <v/>
      </c>
      <c r="B3390">
        <f>IF(A3390="","",'KG1-6'!$C28)</f>
        <v/>
      </c>
      <c r="C3390">
        <f>IF(A3390="","",'KG1-6'!$B$2)</f>
        <v/>
      </c>
      <c r="D3390" s="126">
        <f t="array" ref="D3390">IF(A3390="","",IFERROR(SMALL(IF((('KG1-6'!$AD28:$IM28="غياب بدون عذر")+('KG1-6'!$AD28:$IM28="غياب بعذر"))*('KG1-6'!$AD$7:$IM$7="✓"),'KG1-6'!$AD$5:$IM$5),9),""))</f>
        <v/>
      </c>
      <c r="E3390">
        <f>IF(D3390="","",INDEX('KG1-6'!$AD28:$IM28,MATCH(D3390,'KG1-6'!$AD$5:$IM$5,0)))</f>
        <v/>
      </c>
      <c r="F3390">
        <f>IF(D3390="","",COUNTIFS('KG1-6'!$AD28:$IM28,"غياب بدون عذر",'KG1-6'!$AD$7:$IM$7,"✓",'KG1-6'!$AD$5:$IM$5,"&lt;="&amp;D3390))</f>
        <v/>
      </c>
      <c r="G3390">
        <f>G3389+IF(D3390="",0,1)</f>
        <v/>
      </c>
    </row>
    <row r="3391">
      <c r="A3391">
        <f>IF('KG1-6'!$B28="","",'KG1-6'!$B28)</f>
        <v/>
      </c>
      <c r="B3391">
        <f>IF(A3391="","",'KG1-6'!$C28)</f>
        <v/>
      </c>
      <c r="C3391">
        <f>IF(A3391="","",'KG1-6'!$B$2)</f>
        <v/>
      </c>
      <c r="D3391" s="126">
        <f t="array" ref="D3391">IF(A3391="","",IFERROR(SMALL(IF((('KG1-6'!$AD28:$IM28="غياب بدون عذر")+('KG1-6'!$AD28:$IM28="غياب بعذر"))*('KG1-6'!$AD$7:$IM$7="✓"),'KG1-6'!$AD$5:$IM$5),10),""))</f>
        <v/>
      </c>
      <c r="E3391">
        <f>IF(D3391="","",INDEX('KG1-6'!$AD28:$IM28,MATCH(D3391,'KG1-6'!$AD$5:$IM$5,0)))</f>
        <v/>
      </c>
      <c r="F3391">
        <f>IF(D3391="","",COUNTIFS('KG1-6'!$AD28:$IM28,"غياب بدون عذر",'KG1-6'!$AD$7:$IM$7,"✓",'KG1-6'!$AD$5:$IM$5,"&lt;="&amp;D3391))</f>
        <v/>
      </c>
      <c r="G3391">
        <f>G3390+IF(D3391="",0,1)</f>
        <v/>
      </c>
    </row>
    <row r="3392">
      <c r="A3392">
        <f>IF('KG1-6'!$B28="","",'KG1-6'!$B28)</f>
        <v/>
      </c>
      <c r="B3392">
        <f>IF(A3392="","",'KG1-6'!$C28)</f>
        <v/>
      </c>
      <c r="C3392">
        <f>IF(A3392="","",'KG1-6'!$B$2)</f>
        <v/>
      </c>
      <c r="D3392" s="126">
        <f t="array" ref="D3392">IF(A3392="","",IFERROR(SMALL(IF((('KG1-6'!$AD28:$IM28="غياب بدون عذر")+('KG1-6'!$AD28:$IM28="غياب بعذر"))*('KG1-6'!$AD$7:$IM$7="✓"),'KG1-6'!$AD$5:$IM$5),11),""))</f>
        <v/>
      </c>
      <c r="E3392">
        <f>IF(D3392="","",INDEX('KG1-6'!$AD28:$IM28,MATCH(D3392,'KG1-6'!$AD$5:$IM$5,0)))</f>
        <v/>
      </c>
      <c r="F3392">
        <f>IF(D3392="","",COUNTIFS('KG1-6'!$AD28:$IM28,"غياب بدون عذر",'KG1-6'!$AD$7:$IM$7,"✓",'KG1-6'!$AD$5:$IM$5,"&lt;="&amp;D3392))</f>
        <v/>
      </c>
      <c r="G3392">
        <f>G3391+IF(D3392="",0,1)</f>
        <v/>
      </c>
    </row>
    <row r="3393">
      <c r="A3393">
        <f>IF('KG1-6'!$B28="","",'KG1-6'!$B28)</f>
        <v/>
      </c>
      <c r="B3393">
        <f>IF(A3393="","",'KG1-6'!$C28)</f>
        <v/>
      </c>
      <c r="C3393">
        <f>IF(A3393="","",'KG1-6'!$B$2)</f>
        <v/>
      </c>
      <c r="D3393" s="126">
        <f t="array" ref="D3393">IF(A3393="","",IFERROR(SMALL(IF((('KG1-6'!$AD28:$IM28="غياب بدون عذر")+('KG1-6'!$AD28:$IM28="غياب بعذر"))*('KG1-6'!$AD$7:$IM$7="✓"),'KG1-6'!$AD$5:$IM$5),12),""))</f>
        <v/>
      </c>
      <c r="E3393">
        <f>IF(D3393="","",INDEX('KG1-6'!$AD28:$IM28,MATCH(D3393,'KG1-6'!$AD$5:$IM$5,0)))</f>
        <v/>
      </c>
      <c r="F3393">
        <f>IF(D3393="","",COUNTIFS('KG1-6'!$AD28:$IM28,"غياب بدون عذر",'KG1-6'!$AD$7:$IM$7,"✓",'KG1-6'!$AD$5:$IM$5,"&lt;="&amp;D3393))</f>
        <v/>
      </c>
      <c r="G3393">
        <f>G3392+IF(D3393="",0,1)</f>
        <v/>
      </c>
    </row>
    <row r="3394">
      <c r="A3394">
        <f>IF('KG1-6'!$B28="","",'KG1-6'!$B28)</f>
        <v/>
      </c>
      <c r="B3394">
        <f>IF(A3394="","",'KG1-6'!$C28)</f>
        <v/>
      </c>
      <c r="C3394">
        <f>IF(A3394="","",'KG1-6'!$B$2)</f>
        <v/>
      </c>
      <c r="D3394" s="126">
        <f t="array" ref="D3394">IF(A3394="","",IFERROR(SMALL(IF((('KG1-6'!$AD28:$IM28="غياب بدون عذر")+('KG1-6'!$AD28:$IM28="غياب بعذر"))*('KG1-6'!$AD$7:$IM$7="✓"),'KG1-6'!$AD$5:$IM$5),13),""))</f>
        <v/>
      </c>
      <c r="E3394">
        <f>IF(D3394="","",INDEX('KG1-6'!$AD28:$IM28,MATCH(D3394,'KG1-6'!$AD$5:$IM$5,0)))</f>
        <v/>
      </c>
      <c r="F3394">
        <f>IF(D3394="","",COUNTIFS('KG1-6'!$AD28:$IM28,"غياب بدون عذر",'KG1-6'!$AD$7:$IM$7,"✓",'KG1-6'!$AD$5:$IM$5,"&lt;="&amp;D3394))</f>
        <v/>
      </c>
      <c r="G3394">
        <f>G3393+IF(D3394="",0,1)</f>
        <v/>
      </c>
    </row>
    <row r="3395">
      <c r="A3395">
        <f>IF('KG1-6'!$B28="","",'KG1-6'!$B28)</f>
        <v/>
      </c>
      <c r="B3395">
        <f>IF(A3395="","",'KG1-6'!$C28)</f>
        <v/>
      </c>
      <c r="C3395">
        <f>IF(A3395="","",'KG1-6'!$B$2)</f>
        <v/>
      </c>
      <c r="D3395" s="126">
        <f t="array" ref="D3395">IF(A3395="","",IFERROR(SMALL(IF((('KG1-6'!$AD28:$IM28="غياب بدون عذر")+('KG1-6'!$AD28:$IM28="غياب بعذر"))*('KG1-6'!$AD$7:$IM$7="✓"),'KG1-6'!$AD$5:$IM$5),14),""))</f>
        <v/>
      </c>
      <c r="E3395">
        <f>IF(D3395="","",INDEX('KG1-6'!$AD28:$IM28,MATCH(D3395,'KG1-6'!$AD$5:$IM$5,0)))</f>
        <v/>
      </c>
      <c r="F3395">
        <f>IF(D3395="","",COUNTIFS('KG1-6'!$AD28:$IM28,"غياب بدون عذر",'KG1-6'!$AD$7:$IM$7,"✓",'KG1-6'!$AD$5:$IM$5,"&lt;="&amp;D3395))</f>
        <v/>
      </c>
      <c r="G3395">
        <f>G3394+IF(D3395="",0,1)</f>
        <v/>
      </c>
    </row>
    <row r="3396">
      <c r="A3396">
        <f>IF('KG1-6'!$B28="","",'KG1-6'!$B28)</f>
        <v/>
      </c>
      <c r="B3396">
        <f>IF(A3396="","",'KG1-6'!$C28)</f>
        <v/>
      </c>
      <c r="C3396">
        <f>IF(A3396="","",'KG1-6'!$B$2)</f>
        <v/>
      </c>
      <c r="D3396" s="126">
        <f t="array" ref="D3396">IF(A3396="","",IFERROR(SMALL(IF((('KG1-6'!$AD28:$IM28="غياب بدون عذر")+('KG1-6'!$AD28:$IM28="غياب بعذر"))*('KG1-6'!$AD$7:$IM$7="✓"),'KG1-6'!$AD$5:$IM$5),15),""))</f>
        <v/>
      </c>
      <c r="E3396">
        <f>IF(D3396="","",INDEX('KG1-6'!$AD28:$IM28,MATCH(D3396,'KG1-6'!$AD$5:$IM$5,0)))</f>
        <v/>
      </c>
      <c r="F3396">
        <f>IF(D3396="","",COUNTIFS('KG1-6'!$AD28:$IM28,"غياب بدون عذر",'KG1-6'!$AD$7:$IM$7,"✓",'KG1-6'!$AD$5:$IM$5,"&lt;="&amp;D3396))</f>
        <v/>
      </c>
      <c r="G3396">
        <f>G3395+IF(D3396="",0,1)</f>
        <v/>
      </c>
    </row>
    <row r="3397">
      <c r="A3397">
        <f>IF('KG1-6'!$B28="","",'KG1-6'!$B28)</f>
        <v/>
      </c>
      <c r="B3397">
        <f>IF(A3397="","",'KG1-6'!$C28)</f>
        <v/>
      </c>
      <c r="C3397">
        <f>IF(A3397="","",'KG1-6'!$B$2)</f>
        <v/>
      </c>
      <c r="D3397" s="126">
        <f t="array" ref="D3397">IF(A3397="","",IFERROR(SMALL(IF((('KG1-6'!$AD28:$IM28="غياب بدون عذر")+('KG1-6'!$AD28:$IM28="غياب بعذر"))*('KG1-6'!$AD$7:$IM$7="✓"),'KG1-6'!$AD$5:$IM$5),16),""))</f>
        <v/>
      </c>
      <c r="E3397">
        <f>IF(D3397="","",INDEX('KG1-6'!$AD28:$IM28,MATCH(D3397,'KG1-6'!$AD$5:$IM$5,0)))</f>
        <v/>
      </c>
      <c r="F3397">
        <f>IF(D3397="","",COUNTIFS('KG1-6'!$AD28:$IM28,"غياب بدون عذر",'KG1-6'!$AD$7:$IM$7,"✓",'KG1-6'!$AD$5:$IM$5,"&lt;="&amp;D3397))</f>
        <v/>
      </c>
      <c r="G3397">
        <f>G3396+IF(D3397="",0,1)</f>
        <v/>
      </c>
    </row>
    <row r="3398">
      <c r="A3398">
        <f>IF('KG1-6'!$B28="","",'KG1-6'!$B28)</f>
        <v/>
      </c>
      <c r="B3398">
        <f>IF(A3398="","",'KG1-6'!$C28)</f>
        <v/>
      </c>
      <c r="C3398">
        <f>IF(A3398="","",'KG1-6'!$B$2)</f>
        <v/>
      </c>
      <c r="D3398" s="126">
        <f t="array" ref="D3398">IF(A3398="","",IFERROR(SMALL(IF((('KG1-6'!$AD28:$IM28="غياب بدون عذر")+('KG1-6'!$AD28:$IM28="غياب بعذر"))*('KG1-6'!$AD$7:$IM$7="✓"),'KG1-6'!$AD$5:$IM$5),17),""))</f>
        <v/>
      </c>
      <c r="E3398">
        <f>IF(D3398="","",INDEX('KG1-6'!$AD28:$IM28,MATCH(D3398,'KG1-6'!$AD$5:$IM$5,0)))</f>
        <v/>
      </c>
      <c r="F3398">
        <f>IF(D3398="","",COUNTIFS('KG1-6'!$AD28:$IM28,"غياب بدون عذر",'KG1-6'!$AD$7:$IM$7,"✓",'KG1-6'!$AD$5:$IM$5,"&lt;="&amp;D3398))</f>
        <v/>
      </c>
      <c r="G3398">
        <f>G3397+IF(D3398="",0,1)</f>
        <v/>
      </c>
    </row>
    <row r="3399">
      <c r="A3399">
        <f>IF('KG1-6'!$B28="","",'KG1-6'!$B28)</f>
        <v/>
      </c>
      <c r="B3399">
        <f>IF(A3399="","",'KG1-6'!$C28)</f>
        <v/>
      </c>
      <c r="C3399">
        <f>IF(A3399="","",'KG1-6'!$B$2)</f>
        <v/>
      </c>
      <c r="D3399" s="126">
        <f t="array" ref="D3399">IF(A3399="","",IFERROR(SMALL(IF((('KG1-6'!$AD28:$IM28="غياب بدون عذر")+('KG1-6'!$AD28:$IM28="غياب بعذر"))*('KG1-6'!$AD$7:$IM$7="✓"),'KG1-6'!$AD$5:$IM$5),18),""))</f>
        <v/>
      </c>
      <c r="E3399">
        <f>IF(D3399="","",INDEX('KG1-6'!$AD28:$IM28,MATCH(D3399,'KG1-6'!$AD$5:$IM$5,0)))</f>
        <v/>
      </c>
      <c r="F3399">
        <f>IF(D3399="","",COUNTIFS('KG1-6'!$AD28:$IM28,"غياب بدون عذر",'KG1-6'!$AD$7:$IM$7,"✓",'KG1-6'!$AD$5:$IM$5,"&lt;="&amp;D3399))</f>
        <v/>
      </c>
      <c r="G3399">
        <f>G3398+IF(D3399="",0,1)</f>
        <v/>
      </c>
    </row>
    <row r="3400">
      <c r="A3400">
        <f>IF('KG1-6'!$B28="","",'KG1-6'!$B28)</f>
        <v/>
      </c>
      <c r="B3400">
        <f>IF(A3400="","",'KG1-6'!$C28)</f>
        <v/>
      </c>
      <c r="C3400">
        <f>IF(A3400="","",'KG1-6'!$B$2)</f>
        <v/>
      </c>
      <c r="D3400" s="126">
        <f t="array" ref="D3400">IF(A3400="","",IFERROR(SMALL(IF((('KG1-6'!$AD28:$IM28="غياب بدون عذر")+('KG1-6'!$AD28:$IM28="غياب بعذر"))*('KG1-6'!$AD$7:$IM$7="✓"),'KG1-6'!$AD$5:$IM$5),19),""))</f>
        <v/>
      </c>
      <c r="E3400">
        <f>IF(D3400="","",INDEX('KG1-6'!$AD28:$IM28,MATCH(D3400,'KG1-6'!$AD$5:$IM$5,0)))</f>
        <v/>
      </c>
      <c r="F3400">
        <f>IF(D3400="","",COUNTIFS('KG1-6'!$AD28:$IM28,"غياب بدون عذر",'KG1-6'!$AD$7:$IM$7,"✓",'KG1-6'!$AD$5:$IM$5,"&lt;="&amp;D3400))</f>
        <v/>
      </c>
      <c r="G3400">
        <f>G3399+IF(D3400="",0,1)</f>
        <v/>
      </c>
    </row>
    <row r="3401">
      <c r="A3401">
        <f>IF('KG1-6'!$B28="","",'KG1-6'!$B28)</f>
        <v/>
      </c>
      <c r="B3401">
        <f>IF(A3401="","",'KG1-6'!$C28)</f>
        <v/>
      </c>
      <c r="C3401">
        <f>IF(A3401="","",'KG1-6'!$B$2)</f>
        <v/>
      </c>
      <c r="D3401" s="126">
        <f t="array" ref="D3401">IF(A3401="","",IFERROR(SMALL(IF((('KG1-6'!$AD28:$IM28="غياب بدون عذر")+('KG1-6'!$AD28:$IM28="غياب بعذر"))*('KG1-6'!$AD$7:$IM$7="✓"),'KG1-6'!$AD$5:$IM$5),20),""))</f>
        <v/>
      </c>
      <c r="E3401">
        <f>IF(D3401="","",INDEX('KG1-6'!$AD28:$IM28,MATCH(D3401,'KG1-6'!$AD$5:$IM$5,0)))</f>
        <v/>
      </c>
      <c r="F3401">
        <f>IF(D3401="","",COUNTIFS('KG1-6'!$AD28:$IM28,"غياب بدون عذر",'KG1-6'!$AD$7:$IM$7,"✓",'KG1-6'!$AD$5:$IM$5,"&lt;="&amp;D3401))</f>
        <v/>
      </c>
      <c r="G3401">
        <f>G3400+IF(D3401="",0,1)</f>
        <v/>
      </c>
    </row>
    <row r="3402">
      <c r="A3402">
        <f>IF('KG1-6'!$B29="","",'KG1-6'!$B29)</f>
        <v/>
      </c>
      <c r="B3402">
        <f>IF(A3402="","",'KG1-6'!$C29)</f>
        <v/>
      </c>
      <c r="C3402">
        <f>IF(A3402="","",'KG1-6'!$B$2)</f>
        <v/>
      </c>
      <c r="D3402" s="126">
        <f t="array" ref="D3402">IF(A3402="","",IFERROR(SMALL(IF((('KG1-6'!$AD29:$IM29="غياب بدون عذر")+('KG1-6'!$AD29:$IM29="غياب بعذر"))*('KG1-6'!$AD$7:$IM$7="✓"),'KG1-6'!$AD$5:$IM$5),1),""))</f>
        <v/>
      </c>
      <c r="E3402">
        <f>IF(D3402="","",INDEX('KG1-6'!$AD29:$IM29,MATCH(D3402,'KG1-6'!$AD$5:$IM$5,0)))</f>
        <v/>
      </c>
      <c r="F3402">
        <f>IF(D3402="","",COUNTIFS('KG1-6'!$AD29:$IM29,"غياب بدون عذر",'KG1-6'!$AD$7:$IM$7,"✓",'KG1-6'!$AD$5:$IM$5,"&lt;="&amp;D3402))</f>
        <v/>
      </c>
      <c r="G3402">
        <f>G3401+IF(D3402="",0,1)</f>
        <v/>
      </c>
    </row>
    <row r="3403">
      <c r="A3403">
        <f>IF('KG1-6'!$B29="","",'KG1-6'!$B29)</f>
        <v/>
      </c>
      <c r="B3403">
        <f>IF(A3403="","",'KG1-6'!$C29)</f>
        <v/>
      </c>
      <c r="C3403">
        <f>IF(A3403="","",'KG1-6'!$B$2)</f>
        <v/>
      </c>
      <c r="D3403" s="126">
        <f t="array" ref="D3403">IF(A3403="","",IFERROR(SMALL(IF((('KG1-6'!$AD29:$IM29="غياب بدون عذر")+('KG1-6'!$AD29:$IM29="غياب بعذر"))*('KG1-6'!$AD$7:$IM$7="✓"),'KG1-6'!$AD$5:$IM$5),2),""))</f>
        <v/>
      </c>
      <c r="E3403">
        <f>IF(D3403="","",INDEX('KG1-6'!$AD29:$IM29,MATCH(D3403,'KG1-6'!$AD$5:$IM$5,0)))</f>
        <v/>
      </c>
      <c r="F3403">
        <f>IF(D3403="","",COUNTIFS('KG1-6'!$AD29:$IM29,"غياب بدون عذر",'KG1-6'!$AD$7:$IM$7,"✓",'KG1-6'!$AD$5:$IM$5,"&lt;="&amp;D3403))</f>
        <v/>
      </c>
      <c r="G3403">
        <f>G3402+IF(D3403="",0,1)</f>
        <v/>
      </c>
    </row>
    <row r="3404">
      <c r="A3404">
        <f>IF('KG1-6'!$B29="","",'KG1-6'!$B29)</f>
        <v/>
      </c>
      <c r="B3404">
        <f>IF(A3404="","",'KG1-6'!$C29)</f>
        <v/>
      </c>
      <c r="C3404">
        <f>IF(A3404="","",'KG1-6'!$B$2)</f>
        <v/>
      </c>
      <c r="D3404" s="126">
        <f t="array" ref="D3404">IF(A3404="","",IFERROR(SMALL(IF((('KG1-6'!$AD29:$IM29="غياب بدون عذر")+('KG1-6'!$AD29:$IM29="غياب بعذر"))*('KG1-6'!$AD$7:$IM$7="✓"),'KG1-6'!$AD$5:$IM$5),3),""))</f>
        <v/>
      </c>
      <c r="E3404">
        <f>IF(D3404="","",INDEX('KG1-6'!$AD29:$IM29,MATCH(D3404,'KG1-6'!$AD$5:$IM$5,0)))</f>
        <v/>
      </c>
      <c r="F3404">
        <f>IF(D3404="","",COUNTIFS('KG1-6'!$AD29:$IM29,"غياب بدون عذر",'KG1-6'!$AD$7:$IM$7,"✓",'KG1-6'!$AD$5:$IM$5,"&lt;="&amp;D3404))</f>
        <v/>
      </c>
      <c r="G3404">
        <f>G3403+IF(D3404="",0,1)</f>
        <v/>
      </c>
    </row>
    <row r="3405">
      <c r="A3405">
        <f>IF('KG1-6'!$B29="","",'KG1-6'!$B29)</f>
        <v/>
      </c>
      <c r="B3405">
        <f>IF(A3405="","",'KG1-6'!$C29)</f>
        <v/>
      </c>
      <c r="C3405">
        <f>IF(A3405="","",'KG1-6'!$B$2)</f>
        <v/>
      </c>
      <c r="D3405" s="126">
        <f t="array" ref="D3405">IF(A3405="","",IFERROR(SMALL(IF((('KG1-6'!$AD29:$IM29="غياب بدون عذر")+('KG1-6'!$AD29:$IM29="غياب بعذر"))*('KG1-6'!$AD$7:$IM$7="✓"),'KG1-6'!$AD$5:$IM$5),4),""))</f>
        <v/>
      </c>
      <c r="E3405">
        <f>IF(D3405="","",INDEX('KG1-6'!$AD29:$IM29,MATCH(D3405,'KG1-6'!$AD$5:$IM$5,0)))</f>
        <v/>
      </c>
      <c r="F3405">
        <f>IF(D3405="","",COUNTIFS('KG1-6'!$AD29:$IM29,"غياب بدون عذر",'KG1-6'!$AD$7:$IM$7,"✓",'KG1-6'!$AD$5:$IM$5,"&lt;="&amp;D3405))</f>
        <v/>
      </c>
      <c r="G3405">
        <f>G3404+IF(D3405="",0,1)</f>
        <v/>
      </c>
    </row>
    <row r="3406">
      <c r="A3406">
        <f>IF('KG1-6'!$B29="","",'KG1-6'!$B29)</f>
        <v/>
      </c>
      <c r="B3406">
        <f>IF(A3406="","",'KG1-6'!$C29)</f>
        <v/>
      </c>
      <c r="C3406">
        <f>IF(A3406="","",'KG1-6'!$B$2)</f>
        <v/>
      </c>
      <c r="D3406" s="126">
        <f t="array" ref="D3406">IF(A3406="","",IFERROR(SMALL(IF((('KG1-6'!$AD29:$IM29="غياب بدون عذر")+('KG1-6'!$AD29:$IM29="غياب بعذر"))*('KG1-6'!$AD$7:$IM$7="✓"),'KG1-6'!$AD$5:$IM$5),5),""))</f>
        <v/>
      </c>
      <c r="E3406">
        <f>IF(D3406="","",INDEX('KG1-6'!$AD29:$IM29,MATCH(D3406,'KG1-6'!$AD$5:$IM$5,0)))</f>
        <v/>
      </c>
      <c r="F3406">
        <f>IF(D3406="","",COUNTIFS('KG1-6'!$AD29:$IM29,"غياب بدون عذر",'KG1-6'!$AD$7:$IM$7,"✓",'KG1-6'!$AD$5:$IM$5,"&lt;="&amp;D3406))</f>
        <v/>
      </c>
      <c r="G3406">
        <f>G3405+IF(D3406="",0,1)</f>
        <v/>
      </c>
    </row>
    <row r="3407">
      <c r="A3407">
        <f>IF('KG1-6'!$B29="","",'KG1-6'!$B29)</f>
        <v/>
      </c>
      <c r="B3407">
        <f>IF(A3407="","",'KG1-6'!$C29)</f>
        <v/>
      </c>
      <c r="C3407">
        <f>IF(A3407="","",'KG1-6'!$B$2)</f>
        <v/>
      </c>
      <c r="D3407" s="126">
        <f t="array" ref="D3407">IF(A3407="","",IFERROR(SMALL(IF((('KG1-6'!$AD29:$IM29="غياب بدون عذر")+('KG1-6'!$AD29:$IM29="غياب بعذر"))*('KG1-6'!$AD$7:$IM$7="✓"),'KG1-6'!$AD$5:$IM$5),6),""))</f>
        <v/>
      </c>
      <c r="E3407">
        <f>IF(D3407="","",INDEX('KG1-6'!$AD29:$IM29,MATCH(D3407,'KG1-6'!$AD$5:$IM$5,0)))</f>
        <v/>
      </c>
      <c r="F3407">
        <f>IF(D3407="","",COUNTIFS('KG1-6'!$AD29:$IM29,"غياب بدون عذر",'KG1-6'!$AD$7:$IM$7,"✓",'KG1-6'!$AD$5:$IM$5,"&lt;="&amp;D3407))</f>
        <v/>
      </c>
      <c r="G3407">
        <f>G3406+IF(D3407="",0,1)</f>
        <v/>
      </c>
    </row>
    <row r="3408">
      <c r="A3408">
        <f>IF('KG1-6'!$B29="","",'KG1-6'!$B29)</f>
        <v/>
      </c>
      <c r="B3408">
        <f>IF(A3408="","",'KG1-6'!$C29)</f>
        <v/>
      </c>
      <c r="C3408">
        <f>IF(A3408="","",'KG1-6'!$B$2)</f>
        <v/>
      </c>
      <c r="D3408" s="126">
        <f t="array" ref="D3408">IF(A3408="","",IFERROR(SMALL(IF((('KG1-6'!$AD29:$IM29="غياب بدون عذر")+('KG1-6'!$AD29:$IM29="غياب بعذر"))*('KG1-6'!$AD$7:$IM$7="✓"),'KG1-6'!$AD$5:$IM$5),7),""))</f>
        <v/>
      </c>
      <c r="E3408">
        <f>IF(D3408="","",INDEX('KG1-6'!$AD29:$IM29,MATCH(D3408,'KG1-6'!$AD$5:$IM$5,0)))</f>
        <v/>
      </c>
      <c r="F3408">
        <f>IF(D3408="","",COUNTIFS('KG1-6'!$AD29:$IM29,"غياب بدون عذر",'KG1-6'!$AD$7:$IM$7,"✓",'KG1-6'!$AD$5:$IM$5,"&lt;="&amp;D3408))</f>
        <v/>
      </c>
      <c r="G3408">
        <f>G3407+IF(D3408="",0,1)</f>
        <v/>
      </c>
    </row>
    <row r="3409">
      <c r="A3409">
        <f>IF('KG1-6'!$B29="","",'KG1-6'!$B29)</f>
        <v/>
      </c>
      <c r="B3409">
        <f>IF(A3409="","",'KG1-6'!$C29)</f>
        <v/>
      </c>
      <c r="C3409">
        <f>IF(A3409="","",'KG1-6'!$B$2)</f>
        <v/>
      </c>
      <c r="D3409" s="126">
        <f t="array" ref="D3409">IF(A3409="","",IFERROR(SMALL(IF((('KG1-6'!$AD29:$IM29="غياب بدون عذر")+('KG1-6'!$AD29:$IM29="غياب بعذر"))*('KG1-6'!$AD$7:$IM$7="✓"),'KG1-6'!$AD$5:$IM$5),8),""))</f>
        <v/>
      </c>
      <c r="E3409">
        <f>IF(D3409="","",INDEX('KG1-6'!$AD29:$IM29,MATCH(D3409,'KG1-6'!$AD$5:$IM$5,0)))</f>
        <v/>
      </c>
      <c r="F3409">
        <f>IF(D3409="","",COUNTIFS('KG1-6'!$AD29:$IM29,"غياب بدون عذر",'KG1-6'!$AD$7:$IM$7,"✓",'KG1-6'!$AD$5:$IM$5,"&lt;="&amp;D3409))</f>
        <v/>
      </c>
      <c r="G3409">
        <f>G3408+IF(D3409="",0,1)</f>
        <v/>
      </c>
    </row>
    <row r="3410">
      <c r="A3410">
        <f>IF('KG1-6'!$B29="","",'KG1-6'!$B29)</f>
        <v/>
      </c>
      <c r="B3410">
        <f>IF(A3410="","",'KG1-6'!$C29)</f>
        <v/>
      </c>
      <c r="C3410">
        <f>IF(A3410="","",'KG1-6'!$B$2)</f>
        <v/>
      </c>
      <c r="D3410" s="126">
        <f t="array" ref="D3410">IF(A3410="","",IFERROR(SMALL(IF((('KG1-6'!$AD29:$IM29="غياب بدون عذر")+('KG1-6'!$AD29:$IM29="غياب بعذر"))*('KG1-6'!$AD$7:$IM$7="✓"),'KG1-6'!$AD$5:$IM$5),9),""))</f>
        <v/>
      </c>
      <c r="E3410">
        <f>IF(D3410="","",INDEX('KG1-6'!$AD29:$IM29,MATCH(D3410,'KG1-6'!$AD$5:$IM$5,0)))</f>
        <v/>
      </c>
      <c r="F3410">
        <f>IF(D3410="","",COUNTIFS('KG1-6'!$AD29:$IM29,"غياب بدون عذر",'KG1-6'!$AD$7:$IM$7,"✓",'KG1-6'!$AD$5:$IM$5,"&lt;="&amp;D3410))</f>
        <v/>
      </c>
      <c r="G3410">
        <f>G3409+IF(D3410="",0,1)</f>
        <v/>
      </c>
    </row>
    <row r="3411">
      <c r="A3411">
        <f>IF('KG1-6'!$B29="","",'KG1-6'!$B29)</f>
        <v/>
      </c>
      <c r="B3411">
        <f>IF(A3411="","",'KG1-6'!$C29)</f>
        <v/>
      </c>
      <c r="C3411">
        <f>IF(A3411="","",'KG1-6'!$B$2)</f>
        <v/>
      </c>
      <c r="D3411" s="126">
        <f t="array" ref="D3411">IF(A3411="","",IFERROR(SMALL(IF((('KG1-6'!$AD29:$IM29="غياب بدون عذر")+('KG1-6'!$AD29:$IM29="غياب بعذر"))*('KG1-6'!$AD$7:$IM$7="✓"),'KG1-6'!$AD$5:$IM$5),10),""))</f>
        <v/>
      </c>
      <c r="E3411">
        <f>IF(D3411="","",INDEX('KG1-6'!$AD29:$IM29,MATCH(D3411,'KG1-6'!$AD$5:$IM$5,0)))</f>
        <v/>
      </c>
      <c r="F3411">
        <f>IF(D3411="","",COUNTIFS('KG1-6'!$AD29:$IM29,"غياب بدون عذر",'KG1-6'!$AD$7:$IM$7,"✓",'KG1-6'!$AD$5:$IM$5,"&lt;="&amp;D3411))</f>
        <v/>
      </c>
      <c r="G3411">
        <f>G3410+IF(D3411="",0,1)</f>
        <v/>
      </c>
    </row>
    <row r="3412">
      <c r="A3412">
        <f>IF('KG1-6'!$B29="","",'KG1-6'!$B29)</f>
        <v/>
      </c>
      <c r="B3412">
        <f>IF(A3412="","",'KG1-6'!$C29)</f>
        <v/>
      </c>
      <c r="C3412">
        <f>IF(A3412="","",'KG1-6'!$B$2)</f>
        <v/>
      </c>
      <c r="D3412" s="126">
        <f t="array" ref="D3412">IF(A3412="","",IFERROR(SMALL(IF((('KG1-6'!$AD29:$IM29="غياب بدون عذر")+('KG1-6'!$AD29:$IM29="غياب بعذر"))*('KG1-6'!$AD$7:$IM$7="✓"),'KG1-6'!$AD$5:$IM$5),11),""))</f>
        <v/>
      </c>
      <c r="E3412">
        <f>IF(D3412="","",INDEX('KG1-6'!$AD29:$IM29,MATCH(D3412,'KG1-6'!$AD$5:$IM$5,0)))</f>
        <v/>
      </c>
      <c r="F3412">
        <f>IF(D3412="","",COUNTIFS('KG1-6'!$AD29:$IM29,"غياب بدون عذر",'KG1-6'!$AD$7:$IM$7,"✓",'KG1-6'!$AD$5:$IM$5,"&lt;="&amp;D3412))</f>
        <v/>
      </c>
      <c r="G3412">
        <f>G3411+IF(D3412="",0,1)</f>
        <v/>
      </c>
    </row>
    <row r="3413">
      <c r="A3413">
        <f>IF('KG1-6'!$B29="","",'KG1-6'!$B29)</f>
        <v/>
      </c>
      <c r="B3413">
        <f>IF(A3413="","",'KG1-6'!$C29)</f>
        <v/>
      </c>
      <c r="C3413">
        <f>IF(A3413="","",'KG1-6'!$B$2)</f>
        <v/>
      </c>
      <c r="D3413" s="126">
        <f t="array" ref="D3413">IF(A3413="","",IFERROR(SMALL(IF((('KG1-6'!$AD29:$IM29="غياب بدون عذر")+('KG1-6'!$AD29:$IM29="غياب بعذر"))*('KG1-6'!$AD$7:$IM$7="✓"),'KG1-6'!$AD$5:$IM$5),12),""))</f>
        <v/>
      </c>
      <c r="E3413">
        <f>IF(D3413="","",INDEX('KG1-6'!$AD29:$IM29,MATCH(D3413,'KG1-6'!$AD$5:$IM$5,0)))</f>
        <v/>
      </c>
      <c r="F3413">
        <f>IF(D3413="","",COUNTIFS('KG1-6'!$AD29:$IM29,"غياب بدون عذر",'KG1-6'!$AD$7:$IM$7,"✓",'KG1-6'!$AD$5:$IM$5,"&lt;="&amp;D3413))</f>
        <v/>
      </c>
      <c r="G3413">
        <f>G3412+IF(D3413="",0,1)</f>
        <v/>
      </c>
    </row>
    <row r="3414">
      <c r="A3414">
        <f>IF('KG1-6'!$B29="","",'KG1-6'!$B29)</f>
        <v/>
      </c>
      <c r="B3414">
        <f>IF(A3414="","",'KG1-6'!$C29)</f>
        <v/>
      </c>
      <c r="C3414">
        <f>IF(A3414="","",'KG1-6'!$B$2)</f>
        <v/>
      </c>
      <c r="D3414" s="126">
        <f t="array" ref="D3414">IF(A3414="","",IFERROR(SMALL(IF((('KG1-6'!$AD29:$IM29="غياب بدون عذر")+('KG1-6'!$AD29:$IM29="غياب بعذر"))*('KG1-6'!$AD$7:$IM$7="✓"),'KG1-6'!$AD$5:$IM$5),13),""))</f>
        <v/>
      </c>
      <c r="E3414">
        <f>IF(D3414="","",INDEX('KG1-6'!$AD29:$IM29,MATCH(D3414,'KG1-6'!$AD$5:$IM$5,0)))</f>
        <v/>
      </c>
      <c r="F3414">
        <f>IF(D3414="","",COUNTIFS('KG1-6'!$AD29:$IM29,"غياب بدون عذر",'KG1-6'!$AD$7:$IM$7,"✓",'KG1-6'!$AD$5:$IM$5,"&lt;="&amp;D3414))</f>
        <v/>
      </c>
      <c r="G3414">
        <f>G3413+IF(D3414="",0,1)</f>
        <v/>
      </c>
    </row>
    <row r="3415">
      <c r="A3415">
        <f>IF('KG1-6'!$B29="","",'KG1-6'!$B29)</f>
        <v/>
      </c>
      <c r="B3415">
        <f>IF(A3415="","",'KG1-6'!$C29)</f>
        <v/>
      </c>
      <c r="C3415">
        <f>IF(A3415="","",'KG1-6'!$B$2)</f>
        <v/>
      </c>
      <c r="D3415" s="126">
        <f t="array" ref="D3415">IF(A3415="","",IFERROR(SMALL(IF((('KG1-6'!$AD29:$IM29="غياب بدون عذر")+('KG1-6'!$AD29:$IM29="غياب بعذر"))*('KG1-6'!$AD$7:$IM$7="✓"),'KG1-6'!$AD$5:$IM$5),14),""))</f>
        <v/>
      </c>
      <c r="E3415">
        <f>IF(D3415="","",INDEX('KG1-6'!$AD29:$IM29,MATCH(D3415,'KG1-6'!$AD$5:$IM$5,0)))</f>
        <v/>
      </c>
      <c r="F3415">
        <f>IF(D3415="","",COUNTIFS('KG1-6'!$AD29:$IM29,"غياب بدون عذر",'KG1-6'!$AD$7:$IM$7,"✓",'KG1-6'!$AD$5:$IM$5,"&lt;="&amp;D3415))</f>
        <v/>
      </c>
      <c r="G3415">
        <f>G3414+IF(D3415="",0,1)</f>
        <v/>
      </c>
    </row>
    <row r="3416">
      <c r="A3416">
        <f>IF('KG1-6'!$B29="","",'KG1-6'!$B29)</f>
        <v/>
      </c>
      <c r="B3416">
        <f>IF(A3416="","",'KG1-6'!$C29)</f>
        <v/>
      </c>
      <c r="C3416">
        <f>IF(A3416="","",'KG1-6'!$B$2)</f>
        <v/>
      </c>
      <c r="D3416" s="126">
        <f t="array" ref="D3416">IF(A3416="","",IFERROR(SMALL(IF((('KG1-6'!$AD29:$IM29="غياب بدون عذر")+('KG1-6'!$AD29:$IM29="غياب بعذر"))*('KG1-6'!$AD$7:$IM$7="✓"),'KG1-6'!$AD$5:$IM$5),15),""))</f>
        <v/>
      </c>
      <c r="E3416">
        <f>IF(D3416="","",INDEX('KG1-6'!$AD29:$IM29,MATCH(D3416,'KG1-6'!$AD$5:$IM$5,0)))</f>
        <v/>
      </c>
      <c r="F3416">
        <f>IF(D3416="","",COUNTIFS('KG1-6'!$AD29:$IM29,"غياب بدون عذر",'KG1-6'!$AD$7:$IM$7,"✓",'KG1-6'!$AD$5:$IM$5,"&lt;="&amp;D3416))</f>
        <v/>
      </c>
      <c r="G3416">
        <f>G3415+IF(D3416="",0,1)</f>
        <v/>
      </c>
    </row>
    <row r="3417">
      <c r="A3417">
        <f>IF('KG1-6'!$B29="","",'KG1-6'!$B29)</f>
        <v/>
      </c>
      <c r="B3417">
        <f>IF(A3417="","",'KG1-6'!$C29)</f>
        <v/>
      </c>
      <c r="C3417">
        <f>IF(A3417="","",'KG1-6'!$B$2)</f>
        <v/>
      </c>
      <c r="D3417" s="126">
        <f t="array" ref="D3417">IF(A3417="","",IFERROR(SMALL(IF((('KG1-6'!$AD29:$IM29="غياب بدون عذر")+('KG1-6'!$AD29:$IM29="غياب بعذر"))*('KG1-6'!$AD$7:$IM$7="✓"),'KG1-6'!$AD$5:$IM$5),16),""))</f>
        <v/>
      </c>
      <c r="E3417">
        <f>IF(D3417="","",INDEX('KG1-6'!$AD29:$IM29,MATCH(D3417,'KG1-6'!$AD$5:$IM$5,0)))</f>
        <v/>
      </c>
      <c r="F3417">
        <f>IF(D3417="","",COUNTIFS('KG1-6'!$AD29:$IM29,"غياب بدون عذر",'KG1-6'!$AD$7:$IM$7,"✓",'KG1-6'!$AD$5:$IM$5,"&lt;="&amp;D3417))</f>
        <v/>
      </c>
      <c r="G3417">
        <f>G3416+IF(D3417="",0,1)</f>
        <v/>
      </c>
    </row>
    <row r="3418">
      <c r="A3418">
        <f>IF('KG1-6'!$B29="","",'KG1-6'!$B29)</f>
        <v/>
      </c>
      <c r="B3418">
        <f>IF(A3418="","",'KG1-6'!$C29)</f>
        <v/>
      </c>
      <c r="C3418">
        <f>IF(A3418="","",'KG1-6'!$B$2)</f>
        <v/>
      </c>
      <c r="D3418" s="126">
        <f t="array" ref="D3418">IF(A3418="","",IFERROR(SMALL(IF((('KG1-6'!$AD29:$IM29="غياب بدون عذر")+('KG1-6'!$AD29:$IM29="غياب بعذر"))*('KG1-6'!$AD$7:$IM$7="✓"),'KG1-6'!$AD$5:$IM$5),17),""))</f>
        <v/>
      </c>
      <c r="E3418">
        <f>IF(D3418="","",INDEX('KG1-6'!$AD29:$IM29,MATCH(D3418,'KG1-6'!$AD$5:$IM$5,0)))</f>
        <v/>
      </c>
      <c r="F3418">
        <f>IF(D3418="","",COUNTIFS('KG1-6'!$AD29:$IM29,"غياب بدون عذر",'KG1-6'!$AD$7:$IM$7,"✓",'KG1-6'!$AD$5:$IM$5,"&lt;="&amp;D3418))</f>
        <v/>
      </c>
      <c r="G3418">
        <f>G3417+IF(D3418="",0,1)</f>
        <v/>
      </c>
    </row>
    <row r="3419">
      <c r="A3419">
        <f>IF('KG1-6'!$B29="","",'KG1-6'!$B29)</f>
        <v/>
      </c>
      <c r="B3419">
        <f>IF(A3419="","",'KG1-6'!$C29)</f>
        <v/>
      </c>
      <c r="C3419">
        <f>IF(A3419="","",'KG1-6'!$B$2)</f>
        <v/>
      </c>
      <c r="D3419" s="126">
        <f t="array" ref="D3419">IF(A3419="","",IFERROR(SMALL(IF((('KG1-6'!$AD29:$IM29="غياب بدون عذر")+('KG1-6'!$AD29:$IM29="غياب بعذر"))*('KG1-6'!$AD$7:$IM$7="✓"),'KG1-6'!$AD$5:$IM$5),18),""))</f>
        <v/>
      </c>
      <c r="E3419">
        <f>IF(D3419="","",INDEX('KG1-6'!$AD29:$IM29,MATCH(D3419,'KG1-6'!$AD$5:$IM$5,0)))</f>
        <v/>
      </c>
      <c r="F3419">
        <f>IF(D3419="","",COUNTIFS('KG1-6'!$AD29:$IM29,"غياب بدون عذر",'KG1-6'!$AD$7:$IM$7,"✓",'KG1-6'!$AD$5:$IM$5,"&lt;="&amp;D3419))</f>
        <v/>
      </c>
      <c r="G3419">
        <f>G3418+IF(D3419="",0,1)</f>
        <v/>
      </c>
    </row>
    <row r="3420">
      <c r="A3420">
        <f>IF('KG1-6'!$B29="","",'KG1-6'!$B29)</f>
        <v/>
      </c>
      <c r="B3420">
        <f>IF(A3420="","",'KG1-6'!$C29)</f>
        <v/>
      </c>
      <c r="C3420">
        <f>IF(A3420="","",'KG1-6'!$B$2)</f>
        <v/>
      </c>
      <c r="D3420" s="126">
        <f t="array" ref="D3420">IF(A3420="","",IFERROR(SMALL(IF((('KG1-6'!$AD29:$IM29="غياب بدون عذر")+('KG1-6'!$AD29:$IM29="غياب بعذر"))*('KG1-6'!$AD$7:$IM$7="✓"),'KG1-6'!$AD$5:$IM$5),19),""))</f>
        <v/>
      </c>
      <c r="E3420">
        <f>IF(D3420="","",INDEX('KG1-6'!$AD29:$IM29,MATCH(D3420,'KG1-6'!$AD$5:$IM$5,0)))</f>
        <v/>
      </c>
      <c r="F3420">
        <f>IF(D3420="","",COUNTIFS('KG1-6'!$AD29:$IM29,"غياب بدون عذر",'KG1-6'!$AD$7:$IM$7,"✓",'KG1-6'!$AD$5:$IM$5,"&lt;="&amp;D3420))</f>
        <v/>
      </c>
      <c r="G3420">
        <f>G3419+IF(D3420="",0,1)</f>
        <v/>
      </c>
    </row>
    <row r="3421">
      <c r="A3421">
        <f>IF('KG1-6'!$B29="","",'KG1-6'!$B29)</f>
        <v/>
      </c>
      <c r="B3421">
        <f>IF(A3421="","",'KG1-6'!$C29)</f>
        <v/>
      </c>
      <c r="C3421">
        <f>IF(A3421="","",'KG1-6'!$B$2)</f>
        <v/>
      </c>
      <c r="D3421" s="126">
        <f t="array" ref="D3421">IF(A3421="","",IFERROR(SMALL(IF((('KG1-6'!$AD29:$IM29="غياب بدون عذر")+('KG1-6'!$AD29:$IM29="غياب بعذر"))*('KG1-6'!$AD$7:$IM$7="✓"),'KG1-6'!$AD$5:$IM$5),20),""))</f>
        <v/>
      </c>
      <c r="E3421">
        <f>IF(D3421="","",INDEX('KG1-6'!$AD29:$IM29,MATCH(D3421,'KG1-6'!$AD$5:$IM$5,0)))</f>
        <v/>
      </c>
      <c r="F3421">
        <f>IF(D3421="","",COUNTIFS('KG1-6'!$AD29:$IM29,"غياب بدون عذر",'KG1-6'!$AD$7:$IM$7,"✓",'KG1-6'!$AD$5:$IM$5,"&lt;="&amp;D3421))</f>
        <v/>
      </c>
      <c r="G3421">
        <f>G3420+IF(D3421="",0,1)</f>
        <v/>
      </c>
    </row>
    <row r="3422">
      <c r="A3422">
        <f>IF('KG1-6'!$B30="","",'KG1-6'!$B30)</f>
        <v/>
      </c>
      <c r="B3422">
        <f>IF(A3422="","",'KG1-6'!$C30)</f>
        <v/>
      </c>
      <c r="C3422">
        <f>IF(A3422="","",'KG1-6'!$B$2)</f>
        <v/>
      </c>
      <c r="D3422" s="126">
        <f t="array" ref="D3422">IF(A3422="","",IFERROR(SMALL(IF((('KG1-6'!$AD30:$IM30="غياب بدون عذر")+('KG1-6'!$AD30:$IM30="غياب بعذر"))*('KG1-6'!$AD$7:$IM$7="✓"),'KG1-6'!$AD$5:$IM$5),1),""))</f>
        <v/>
      </c>
      <c r="E3422">
        <f>IF(D3422="","",INDEX('KG1-6'!$AD30:$IM30,MATCH(D3422,'KG1-6'!$AD$5:$IM$5,0)))</f>
        <v/>
      </c>
      <c r="F3422">
        <f>IF(D3422="","",COUNTIFS('KG1-6'!$AD30:$IM30,"غياب بدون عذر",'KG1-6'!$AD$7:$IM$7,"✓",'KG1-6'!$AD$5:$IM$5,"&lt;="&amp;D3422))</f>
        <v/>
      </c>
      <c r="G3422">
        <f>G3421+IF(D3422="",0,1)</f>
        <v/>
      </c>
    </row>
    <row r="3423">
      <c r="A3423">
        <f>IF('KG1-6'!$B30="","",'KG1-6'!$B30)</f>
        <v/>
      </c>
      <c r="B3423">
        <f>IF(A3423="","",'KG1-6'!$C30)</f>
        <v/>
      </c>
      <c r="C3423">
        <f>IF(A3423="","",'KG1-6'!$B$2)</f>
        <v/>
      </c>
      <c r="D3423" s="126">
        <f t="array" ref="D3423">IF(A3423="","",IFERROR(SMALL(IF((('KG1-6'!$AD30:$IM30="غياب بدون عذر")+('KG1-6'!$AD30:$IM30="غياب بعذر"))*('KG1-6'!$AD$7:$IM$7="✓"),'KG1-6'!$AD$5:$IM$5),2),""))</f>
        <v/>
      </c>
      <c r="E3423">
        <f>IF(D3423="","",INDEX('KG1-6'!$AD30:$IM30,MATCH(D3423,'KG1-6'!$AD$5:$IM$5,0)))</f>
        <v/>
      </c>
      <c r="F3423">
        <f>IF(D3423="","",COUNTIFS('KG1-6'!$AD30:$IM30,"غياب بدون عذر",'KG1-6'!$AD$7:$IM$7,"✓",'KG1-6'!$AD$5:$IM$5,"&lt;="&amp;D3423))</f>
        <v/>
      </c>
      <c r="G3423">
        <f>G3422+IF(D3423="",0,1)</f>
        <v/>
      </c>
    </row>
    <row r="3424">
      <c r="A3424">
        <f>IF('KG1-6'!$B30="","",'KG1-6'!$B30)</f>
        <v/>
      </c>
      <c r="B3424">
        <f>IF(A3424="","",'KG1-6'!$C30)</f>
        <v/>
      </c>
      <c r="C3424">
        <f>IF(A3424="","",'KG1-6'!$B$2)</f>
        <v/>
      </c>
      <c r="D3424" s="126">
        <f t="array" ref="D3424">IF(A3424="","",IFERROR(SMALL(IF((('KG1-6'!$AD30:$IM30="غياب بدون عذر")+('KG1-6'!$AD30:$IM30="غياب بعذر"))*('KG1-6'!$AD$7:$IM$7="✓"),'KG1-6'!$AD$5:$IM$5),3),""))</f>
        <v/>
      </c>
      <c r="E3424">
        <f>IF(D3424="","",INDEX('KG1-6'!$AD30:$IM30,MATCH(D3424,'KG1-6'!$AD$5:$IM$5,0)))</f>
        <v/>
      </c>
      <c r="F3424">
        <f>IF(D3424="","",COUNTIFS('KG1-6'!$AD30:$IM30,"غياب بدون عذر",'KG1-6'!$AD$7:$IM$7,"✓",'KG1-6'!$AD$5:$IM$5,"&lt;="&amp;D3424))</f>
        <v/>
      </c>
      <c r="G3424">
        <f>G3423+IF(D3424="",0,1)</f>
        <v/>
      </c>
    </row>
    <row r="3425">
      <c r="A3425">
        <f>IF('KG1-6'!$B30="","",'KG1-6'!$B30)</f>
        <v/>
      </c>
      <c r="B3425">
        <f>IF(A3425="","",'KG1-6'!$C30)</f>
        <v/>
      </c>
      <c r="C3425">
        <f>IF(A3425="","",'KG1-6'!$B$2)</f>
        <v/>
      </c>
      <c r="D3425" s="126">
        <f t="array" ref="D3425">IF(A3425="","",IFERROR(SMALL(IF((('KG1-6'!$AD30:$IM30="غياب بدون عذر")+('KG1-6'!$AD30:$IM30="غياب بعذر"))*('KG1-6'!$AD$7:$IM$7="✓"),'KG1-6'!$AD$5:$IM$5),4),""))</f>
        <v/>
      </c>
      <c r="E3425">
        <f>IF(D3425="","",INDEX('KG1-6'!$AD30:$IM30,MATCH(D3425,'KG1-6'!$AD$5:$IM$5,0)))</f>
        <v/>
      </c>
      <c r="F3425">
        <f>IF(D3425="","",COUNTIFS('KG1-6'!$AD30:$IM30,"غياب بدون عذر",'KG1-6'!$AD$7:$IM$7,"✓",'KG1-6'!$AD$5:$IM$5,"&lt;="&amp;D3425))</f>
        <v/>
      </c>
      <c r="G3425">
        <f>G3424+IF(D3425="",0,1)</f>
        <v/>
      </c>
    </row>
    <row r="3426">
      <c r="A3426">
        <f>IF('KG1-6'!$B30="","",'KG1-6'!$B30)</f>
        <v/>
      </c>
      <c r="B3426">
        <f>IF(A3426="","",'KG1-6'!$C30)</f>
        <v/>
      </c>
      <c r="C3426">
        <f>IF(A3426="","",'KG1-6'!$B$2)</f>
        <v/>
      </c>
      <c r="D3426" s="126">
        <f t="array" ref="D3426">IF(A3426="","",IFERROR(SMALL(IF((('KG1-6'!$AD30:$IM30="غياب بدون عذر")+('KG1-6'!$AD30:$IM30="غياب بعذر"))*('KG1-6'!$AD$7:$IM$7="✓"),'KG1-6'!$AD$5:$IM$5),5),""))</f>
        <v/>
      </c>
      <c r="E3426">
        <f>IF(D3426="","",INDEX('KG1-6'!$AD30:$IM30,MATCH(D3426,'KG1-6'!$AD$5:$IM$5,0)))</f>
        <v/>
      </c>
      <c r="F3426">
        <f>IF(D3426="","",COUNTIFS('KG1-6'!$AD30:$IM30,"غياب بدون عذر",'KG1-6'!$AD$7:$IM$7,"✓",'KG1-6'!$AD$5:$IM$5,"&lt;="&amp;D3426))</f>
        <v/>
      </c>
      <c r="G3426">
        <f>G3425+IF(D3426="",0,1)</f>
        <v/>
      </c>
    </row>
    <row r="3427">
      <c r="A3427">
        <f>IF('KG1-6'!$B30="","",'KG1-6'!$B30)</f>
        <v/>
      </c>
      <c r="B3427">
        <f>IF(A3427="","",'KG1-6'!$C30)</f>
        <v/>
      </c>
      <c r="C3427">
        <f>IF(A3427="","",'KG1-6'!$B$2)</f>
        <v/>
      </c>
      <c r="D3427" s="126">
        <f t="array" ref="D3427">IF(A3427="","",IFERROR(SMALL(IF((('KG1-6'!$AD30:$IM30="غياب بدون عذر")+('KG1-6'!$AD30:$IM30="غياب بعذر"))*('KG1-6'!$AD$7:$IM$7="✓"),'KG1-6'!$AD$5:$IM$5),6),""))</f>
        <v/>
      </c>
      <c r="E3427">
        <f>IF(D3427="","",INDEX('KG1-6'!$AD30:$IM30,MATCH(D3427,'KG1-6'!$AD$5:$IM$5,0)))</f>
        <v/>
      </c>
      <c r="F3427">
        <f>IF(D3427="","",COUNTIFS('KG1-6'!$AD30:$IM30,"غياب بدون عذر",'KG1-6'!$AD$7:$IM$7,"✓",'KG1-6'!$AD$5:$IM$5,"&lt;="&amp;D3427))</f>
        <v/>
      </c>
      <c r="G3427">
        <f>G3426+IF(D3427="",0,1)</f>
        <v/>
      </c>
    </row>
    <row r="3428">
      <c r="A3428">
        <f>IF('KG1-6'!$B30="","",'KG1-6'!$B30)</f>
        <v/>
      </c>
      <c r="B3428">
        <f>IF(A3428="","",'KG1-6'!$C30)</f>
        <v/>
      </c>
      <c r="C3428">
        <f>IF(A3428="","",'KG1-6'!$B$2)</f>
        <v/>
      </c>
      <c r="D3428" s="126">
        <f t="array" ref="D3428">IF(A3428="","",IFERROR(SMALL(IF((('KG1-6'!$AD30:$IM30="غياب بدون عذر")+('KG1-6'!$AD30:$IM30="غياب بعذر"))*('KG1-6'!$AD$7:$IM$7="✓"),'KG1-6'!$AD$5:$IM$5),7),""))</f>
        <v/>
      </c>
      <c r="E3428">
        <f>IF(D3428="","",INDEX('KG1-6'!$AD30:$IM30,MATCH(D3428,'KG1-6'!$AD$5:$IM$5,0)))</f>
        <v/>
      </c>
      <c r="F3428">
        <f>IF(D3428="","",COUNTIFS('KG1-6'!$AD30:$IM30,"غياب بدون عذر",'KG1-6'!$AD$7:$IM$7,"✓",'KG1-6'!$AD$5:$IM$5,"&lt;="&amp;D3428))</f>
        <v/>
      </c>
      <c r="G3428">
        <f>G3427+IF(D3428="",0,1)</f>
        <v/>
      </c>
    </row>
    <row r="3429">
      <c r="A3429">
        <f>IF('KG1-6'!$B30="","",'KG1-6'!$B30)</f>
        <v/>
      </c>
      <c r="B3429">
        <f>IF(A3429="","",'KG1-6'!$C30)</f>
        <v/>
      </c>
      <c r="C3429">
        <f>IF(A3429="","",'KG1-6'!$B$2)</f>
        <v/>
      </c>
      <c r="D3429" s="126">
        <f t="array" ref="D3429">IF(A3429="","",IFERROR(SMALL(IF((('KG1-6'!$AD30:$IM30="غياب بدون عذر")+('KG1-6'!$AD30:$IM30="غياب بعذر"))*('KG1-6'!$AD$7:$IM$7="✓"),'KG1-6'!$AD$5:$IM$5),8),""))</f>
        <v/>
      </c>
      <c r="E3429">
        <f>IF(D3429="","",INDEX('KG1-6'!$AD30:$IM30,MATCH(D3429,'KG1-6'!$AD$5:$IM$5,0)))</f>
        <v/>
      </c>
      <c r="F3429">
        <f>IF(D3429="","",COUNTIFS('KG1-6'!$AD30:$IM30,"غياب بدون عذر",'KG1-6'!$AD$7:$IM$7,"✓",'KG1-6'!$AD$5:$IM$5,"&lt;="&amp;D3429))</f>
        <v/>
      </c>
      <c r="G3429">
        <f>G3428+IF(D3429="",0,1)</f>
        <v/>
      </c>
    </row>
    <row r="3430">
      <c r="A3430">
        <f>IF('KG1-6'!$B30="","",'KG1-6'!$B30)</f>
        <v/>
      </c>
      <c r="B3430">
        <f>IF(A3430="","",'KG1-6'!$C30)</f>
        <v/>
      </c>
      <c r="C3430">
        <f>IF(A3430="","",'KG1-6'!$B$2)</f>
        <v/>
      </c>
      <c r="D3430" s="126">
        <f t="array" ref="D3430">IF(A3430="","",IFERROR(SMALL(IF((('KG1-6'!$AD30:$IM30="غياب بدون عذر")+('KG1-6'!$AD30:$IM30="غياب بعذر"))*('KG1-6'!$AD$7:$IM$7="✓"),'KG1-6'!$AD$5:$IM$5),9),""))</f>
        <v/>
      </c>
      <c r="E3430">
        <f>IF(D3430="","",INDEX('KG1-6'!$AD30:$IM30,MATCH(D3430,'KG1-6'!$AD$5:$IM$5,0)))</f>
        <v/>
      </c>
      <c r="F3430">
        <f>IF(D3430="","",COUNTIFS('KG1-6'!$AD30:$IM30,"غياب بدون عذر",'KG1-6'!$AD$7:$IM$7,"✓",'KG1-6'!$AD$5:$IM$5,"&lt;="&amp;D3430))</f>
        <v/>
      </c>
      <c r="G3430">
        <f>G3429+IF(D3430="",0,1)</f>
        <v/>
      </c>
    </row>
    <row r="3431">
      <c r="A3431">
        <f>IF('KG1-6'!$B30="","",'KG1-6'!$B30)</f>
        <v/>
      </c>
      <c r="B3431">
        <f>IF(A3431="","",'KG1-6'!$C30)</f>
        <v/>
      </c>
      <c r="C3431">
        <f>IF(A3431="","",'KG1-6'!$B$2)</f>
        <v/>
      </c>
      <c r="D3431" s="126">
        <f t="array" ref="D3431">IF(A3431="","",IFERROR(SMALL(IF((('KG1-6'!$AD30:$IM30="غياب بدون عذر")+('KG1-6'!$AD30:$IM30="غياب بعذر"))*('KG1-6'!$AD$7:$IM$7="✓"),'KG1-6'!$AD$5:$IM$5),10),""))</f>
        <v/>
      </c>
      <c r="E3431">
        <f>IF(D3431="","",INDEX('KG1-6'!$AD30:$IM30,MATCH(D3431,'KG1-6'!$AD$5:$IM$5,0)))</f>
        <v/>
      </c>
      <c r="F3431">
        <f>IF(D3431="","",COUNTIFS('KG1-6'!$AD30:$IM30,"غياب بدون عذر",'KG1-6'!$AD$7:$IM$7,"✓",'KG1-6'!$AD$5:$IM$5,"&lt;="&amp;D3431))</f>
        <v/>
      </c>
      <c r="G3431">
        <f>G3430+IF(D3431="",0,1)</f>
        <v/>
      </c>
    </row>
    <row r="3432">
      <c r="A3432">
        <f>IF('KG1-6'!$B30="","",'KG1-6'!$B30)</f>
        <v/>
      </c>
      <c r="B3432">
        <f>IF(A3432="","",'KG1-6'!$C30)</f>
        <v/>
      </c>
      <c r="C3432">
        <f>IF(A3432="","",'KG1-6'!$B$2)</f>
        <v/>
      </c>
      <c r="D3432" s="126">
        <f t="array" ref="D3432">IF(A3432="","",IFERROR(SMALL(IF((('KG1-6'!$AD30:$IM30="غياب بدون عذر")+('KG1-6'!$AD30:$IM30="غياب بعذر"))*('KG1-6'!$AD$7:$IM$7="✓"),'KG1-6'!$AD$5:$IM$5),11),""))</f>
        <v/>
      </c>
      <c r="E3432">
        <f>IF(D3432="","",INDEX('KG1-6'!$AD30:$IM30,MATCH(D3432,'KG1-6'!$AD$5:$IM$5,0)))</f>
        <v/>
      </c>
      <c r="F3432">
        <f>IF(D3432="","",COUNTIFS('KG1-6'!$AD30:$IM30,"غياب بدون عذر",'KG1-6'!$AD$7:$IM$7,"✓",'KG1-6'!$AD$5:$IM$5,"&lt;="&amp;D3432))</f>
        <v/>
      </c>
      <c r="G3432">
        <f>G3431+IF(D3432="",0,1)</f>
        <v/>
      </c>
    </row>
    <row r="3433">
      <c r="A3433">
        <f>IF('KG1-6'!$B30="","",'KG1-6'!$B30)</f>
        <v/>
      </c>
      <c r="B3433">
        <f>IF(A3433="","",'KG1-6'!$C30)</f>
        <v/>
      </c>
      <c r="C3433">
        <f>IF(A3433="","",'KG1-6'!$B$2)</f>
        <v/>
      </c>
      <c r="D3433" s="126">
        <f t="array" ref="D3433">IF(A3433="","",IFERROR(SMALL(IF((('KG1-6'!$AD30:$IM30="غياب بدون عذر")+('KG1-6'!$AD30:$IM30="غياب بعذر"))*('KG1-6'!$AD$7:$IM$7="✓"),'KG1-6'!$AD$5:$IM$5),12),""))</f>
        <v/>
      </c>
      <c r="E3433">
        <f>IF(D3433="","",INDEX('KG1-6'!$AD30:$IM30,MATCH(D3433,'KG1-6'!$AD$5:$IM$5,0)))</f>
        <v/>
      </c>
      <c r="F3433">
        <f>IF(D3433="","",COUNTIFS('KG1-6'!$AD30:$IM30,"غياب بدون عذر",'KG1-6'!$AD$7:$IM$7,"✓",'KG1-6'!$AD$5:$IM$5,"&lt;="&amp;D3433))</f>
        <v/>
      </c>
      <c r="G3433">
        <f>G3432+IF(D3433="",0,1)</f>
        <v/>
      </c>
    </row>
    <row r="3434">
      <c r="A3434">
        <f>IF('KG1-6'!$B30="","",'KG1-6'!$B30)</f>
        <v/>
      </c>
      <c r="B3434">
        <f>IF(A3434="","",'KG1-6'!$C30)</f>
        <v/>
      </c>
      <c r="C3434">
        <f>IF(A3434="","",'KG1-6'!$B$2)</f>
        <v/>
      </c>
      <c r="D3434" s="126">
        <f t="array" ref="D3434">IF(A3434="","",IFERROR(SMALL(IF((('KG1-6'!$AD30:$IM30="غياب بدون عذر")+('KG1-6'!$AD30:$IM30="غياب بعذر"))*('KG1-6'!$AD$7:$IM$7="✓"),'KG1-6'!$AD$5:$IM$5),13),""))</f>
        <v/>
      </c>
      <c r="E3434">
        <f>IF(D3434="","",INDEX('KG1-6'!$AD30:$IM30,MATCH(D3434,'KG1-6'!$AD$5:$IM$5,0)))</f>
        <v/>
      </c>
      <c r="F3434">
        <f>IF(D3434="","",COUNTIFS('KG1-6'!$AD30:$IM30,"غياب بدون عذر",'KG1-6'!$AD$7:$IM$7,"✓",'KG1-6'!$AD$5:$IM$5,"&lt;="&amp;D3434))</f>
        <v/>
      </c>
      <c r="G3434">
        <f>G3433+IF(D3434="",0,1)</f>
        <v/>
      </c>
    </row>
    <row r="3435">
      <c r="A3435">
        <f>IF('KG1-6'!$B30="","",'KG1-6'!$B30)</f>
        <v/>
      </c>
      <c r="B3435">
        <f>IF(A3435="","",'KG1-6'!$C30)</f>
        <v/>
      </c>
      <c r="C3435">
        <f>IF(A3435="","",'KG1-6'!$B$2)</f>
        <v/>
      </c>
      <c r="D3435" s="126">
        <f t="array" ref="D3435">IF(A3435="","",IFERROR(SMALL(IF((('KG1-6'!$AD30:$IM30="غياب بدون عذر")+('KG1-6'!$AD30:$IM30="غياب بعذر"))*('KG1-6'!$AD$7:$IM$7="✓"),'KG1-6'!$AD$5:$IM$5),14),""))</f>
        <v/>
      </c>
      <c r="E3435">
        <f>IF(D3435="","",INDEX('KG1-6'!$AD30:$IM30,MATCH(D3435,'KG1-6'!$AD$5:$IM$5,0)))</f>
        <v/>
      </c>
      <c r="F3435">
        <f>IF(D3435="","",COUNTIFS('KG1-6'!$AD30:$IM30,"غياب بدون عذر",'KG1-6'!$AD$7:$IM$7,"✓",'KG1-6'!$AD$5:$IM$5,"&lt;="&amp;D3435))</f>
        <v/>
      </c>
      <c r="G3435">
        <f>G3434+IF(D3435="",0,1)</f>
        <v/>
      </c>
    </row>
    <row r="3436">
      <c r="A3436">
        <f>IF('KG1-6'!$B30="","",'KG1-6'!$B30)</f>
        <v/>
      </c>
      <c r="B3436">
        <f>IF(A3436="","",'KG1-6'!$C30)</f>
        <v/>
      </c>
      <c r="C3436">
        <f>IF(A3436="","",'KG1-6'!$B$2)</f>
        <v/>
      </c>
      <c r="D3436" s="126">
        <f t="array" ref="D3436">IF(A3436="","",IFERROR(SMALL(IF((('KG1-6'!$AD30:$IM30="غياب بدون عذر")+('KG1-6'!$AD30:$IM30="غياب بعذر"))*('KG1-6'!$AD$7:$IM$7="✓"),'KG1-6'!$AD$5:$IM$5),15),""))</f>
        <v/>
      </c>
      <c r="E3436">
        <f>IF(D3436="","",INDEX('KG1-6'!$AD30:$IM30,MATCH(D3436,'KG1-6'!$AD$5:$IM$5,0)))</f>
        <v/>
      </c>
      <c r="F3436">
        <f>IF(D3436="","",COUNTIFS('KG1-6'!$AD30:$IM30,"غياب بدون عذر",'KG1-6'!$AD$7:$IM$7,"✓",'KG1-6'!$AD$5:$IM$5,"&lt;="&amp;D3436))</f>
        <v/>
      </c>
      <c r="G3436">
        <f>G3435+IF(D3436="",0,1)</f>
        <v/>
      </c>
    </row>
    <row r="3437">
      <c r="A3437">
        <f>IF('KG1-6'!$B30="","",'KG1-6'!$B30)</f>
        <v/>
      </c>
      <c r="B3437">
        <f>IF(A3437="","",'KG1-6'!$C30)</f>
        <v/>
      </c>
      <c r="C3437">
        <f>IF(A3437="","",'KG1-6'!$B$2)</f>
        <v/>
      </c>
      <c r="D3437" s="126">
        <f t="array" ref="D3437">IF(A3437="","",IFERROR(SMALL(IF((('KG1-6'!$AD30:$IM30="غياب بدون عذر")+('KG1-6'!$AD30:$IM30="غياب بعذر"))*('KG1-6'!$AD$7:$IM$7="✓"),'KG1-6'!$AD$5:$IM$5),16),""))</f>
        <v/>
      </c>
      <c r="E3437">
        <f>IF(D3437="","",INDEX('KG1-6'!$AD30:$IM30,MATCH(D3437,'KG1-6'!$AD$5:$IM$5,0)))</f>
        <v/>
      </c>
      <c r="F3437">
        <f>IF(D3437="","",COUNTIFS('KG1-6'!$AD30:$IM30,"غياب بدون عذر",'KG1-6'!$AD$7:$IM$7,"✓",'KG1-6'!$AD$5:$IM$5,"&lt;="&amp;D3437))</f>
        <v/>
      </c>
      <c r="G3437">
        <f>G3436+IF(D3437="",0,1)</f>
        <v/>
      </c>
    </row>
    <row r="3438">
      <c r="A3438">
        <f>IF('KG1-6'!$B30="","",'KG1-6'!$B30)</f>
        <v/>
      </c>
      <c r="B3438">
        <f>IF(A3438="","",'KG1-6'!$C30)</f>
        <v/>
      </c>
      <c r="C3438">
        <f>IF(A3438="","",'KG1-6'!$B$2)</f>
        <v/>
      </c>
      <c r="D3438" s="126">
        <f t="array" ref="D3438">IF(A3438="","",IFERROR(SMALL(IF((('KG1-6'!$AD30:$IM30="غياب بدون عذر")+('KG1-6'!$AD30:$IM30="غياب بعذر"))*('KG1-6'!$AD$7:$IM$7="✓"),'KG1-6'!$AD$5:$IM$5),17),""))</f>
        <v/>
      </c>
      <c r="E3438">
        <f>IF(D3438="","",INDEX('KG1-6'!$AD30:$IM30,MATCH(D3438,'KG1-6'!$AD$5:$IM$5,0)))</f>
        <v/>
      </c>
      <c r="F3438">
        <f>IF(D3438="","",COUNTIFS('KG1-6'!$AD30:$IM30,"غياب بدون عذر",'KG1-6'!$AD$7:$IM$7,"✓",'KG1-6'!$AD$5:$IM$5,"&lt;="&amp;D3438))</f>
        <v/>
      </c>
      <c r="G3438">
        <f>G3437+IF(D3438="",0,1)</f>
        <v/>
      </c>
    </row>
    <row r="3439">
      <c r="A3439">
        <f>IF('KG1-6'!$B30="","",'KG1-6'!$B30)</f>
        <v/>
      </c>
      <c r="B3439">
        <f>IF(A3439="","",'KG1-6'!$C30)</f>
        <v/>
      </c>
      <c r="C3439">
        <f>IF(A3439="","",'KG1-6'!$B$2)</f>
        <v/>
      </c>
      <c r="D3439" s="126">
        <f t="array" ref="D3439">IF(A3439="","",IFERROR(SMALL(IF((('KG1-6'!$AD30:$IM30="غياب بدون عذر")+('KG1-6'!$AD30:$IM30="غياب بعذر"))*('KG1-6'!$AD$7:$IM$7="✓"),'KG1-6'!$AD$5:$IM$5),18),""))</f>
        <v/>
      </c>
      <c r="E3439">
        <f>IF(D3439="","",INDEX('KG1-6'!$AD30:$IM30,MATCH(D3439,'KG1-6'!$AD$5:$IM$5,0)))</f>
        <v/>
      </c>
      <c r="F3439">
        <f>IF(D3439="","",COUNTIFS('KG1-6'!$AD30:$IM30,"غياب بدون عذر",'KG1-6'!$AD$7:$IM$7,"✓",'KG1-6'!$AD$5:$IM$5,"&lt;="&amp;D3439))</f>
        <v/>
      </c>
      <c r="G3439">
        <f>G3438+IF(D3439="",0,1)</f>
        <v/>
      </c>
    </row>
    <row r="3440">
      <c r="A3440">
        <f>IF('KG1-6'!$B30="","",'KG1-6'!$B30)</f>
        <v/>
      </c>
      <c r="B3440">
        <f>IF(A3440="","",'KG1-6'!$C30)</f>
        <v/>
      </c>
      <c r="C3440">
        <f>IF(A3440="","",'KG1-6'!$B$2)</f>
        <v/>
      </c>
      <c r="D3440" s="126">
        <f t="array" ref="D3440">IF(A3440="","",IFERROR(SMALL(IF((('KG1-6'!$AD30:$IM30="غياب بدون عذر")+('KG1-6'!$AD30:$IM30="غياب بعذر"))*('KG1-6'!$AD$7:$IM$7="✓"),'KG1-6'!$AD$5:$IM$5),19),""))</f>
        <v/>
      </c>
      <c r="E3440">
        <f>IF(D3440="","",INDEX('KG1-6'!$AD30:$IM30,MATCH(D3440,'KG1-6'!$AD$5:$IM$5,0)))</f>
        <v/>
      </c>
      <c r="F3440">
        <f>IF(D3440="","",COUNTIFS('KG1-6'!$AD30:$IM30,"غياب بدون عذر",'KG1-6'!$AD$7:$IM$7,"✓",'KG1-6'!$AD$5:$IM$5,"&lt;="&amp;D3440))</f>
        <v/>
      </c>
      <c r="G3440">
        <f>G3439+IF(D3440="",0,1)</f>
        <v/>
      </c>
    </row>
    <row r="3441">
      <c r="A3441">
        <f>IF('KG1-6'!$B30="","",'KG1-6'!$B30)</f>
        <v/>
      </c>
      <c r="B3441">
        <f>IF(A3441="","",'KG1-6'!$C30)</f>
        <v/>
      </c>
      <c r="C3441">
        <f>IF(A3441="","",'KG1-6'!$B$2)</f>
        <v/>
      </c>
      <c r="D3441" s="126">
        <f t="array" ref="D3441">IF(A3441="","",IFERROR(SMALL(IF((('KG1-6'!$AD30:$IM30="غياب بدون عذر")+('KG1-6'!$AD30:$IM30="غياب بعذر"))*('KG1-6'!$AD$7:$IM$7="✓"),'KG1-6'!$AD$5:$IM$5),20),""))</f>
        <v/>
      </c>
      <c r="E3441">
        <f>IF(D3441="","",INDEX('KG1-6'!$AD30:$IM30,MATCH(D3441,'KG1-6'!$AD$5:$IM$5,0)))</f>
        <v/>
      </c>
      <c r="F3441">
        <f>IF(D3441="","",COUNTIFS('KG1-6'!$AD30:$IM30,"غياب بدون عذر",'KG1-6'!$AD$7:$IM$7,"✓",'KG1-6'!$AD$5:$IM$5,"&lt;="&amp;D3441))</f>
        <v/>
      </c>
      <c r="G3441">
        <f>G3440+IF(D3441="",0,1)</f>
        <v/>
      </c>
    </row>
    <row r="3442">
      <c r="A3442">
        <f>IF('KG1-6'!$B31="","",'KG1-6'!$B31)</f>
        <v/>
      </c>
      <c r="B3442">
        <f>IF(A3442="","",'KG1-6'!$C31)</f>
        <v/>
      </c>
      <c r="C3442">
        <f>IF(A3442="","",'KG1-6'!$B$2)</f>
        <v/>
      </c>
      <c r="D3442" s="126">
        <f t="array" ref="D3442">IF(A3442="","",IFERROR(SMALL(IF((('KG1-6'!$AD31:$IM31="غياب بدون عذر")+('KG1-6'!$AD31:$IM31="غياب بعذر"))*('KG1-6'!$AD$7:$IM$7="✓"),'KG1-6'!$AD$5:$IM$5),1),""))</f>
        <v/>
      </c>
      <c r="E3442">
        <f>IF(D3442="","",INDEX('KG1-6'!$AD31:$IM31,MATCH(D3442,'KG1-6'!$AD$5:$IM$5,0)))</f>
        <v/>
      </c>
      <c r="F3442">
        <f>IF(D3442="","",COUNTIFS('KG1-6'!$AD31:$IM31,"غياب بدون عذر",'KG1-6'!$AD$7:$IM$7,"✓",'KG1-6'!$AD$5:$IM$5,"&lt;="&amp;D3442))</f>
        <v/>
      </c>
      <c r="G3442">
        <f>G3441+IF(D3442="",0,1)</f>
        <v/>
      </c>
    </row>
    <row r="3443">
      <c r="A3443">
        <f>IF('KG1-6'!$B31="","",'KG1-6'!$B31)</f>
        <v/>
      </c>
      <c r="B3443">
        <f>IF(A3443="","",'KG1-6'!$C31)</f>
        <v/>
      </c>
      <c r="C3443">
        <f>IF(A3443="","",'KG1-6'!$B$2)</f>
        <v/>
      </c>
      <c r="D3443" s="126">
        <f t="array" ref="D3443">IF(A3443="","",IFERROR(SMALL(IF((('KG1-6'!$AD31:$IM31="غياب بدون عذر")+('KG1-6'!$AD31:$IM31="غياب بعذر"))*('KG1-6'!$AD$7:$IM$7="✓"),'KG1-6'!$AD$5:$IM$5),2),""))</f>
        <v/>
      </c>
      <c r="E3443">
        <f>IF(D3443="","",INDEX('KG1-6'!$AD31:$IM31,MATCH(D3443,'KG1-6'!$AD$5:$IM$5,0)))</f>
        <v/>
      </c>
      <c r="F3443">
        <f>IF(D3443="","",COUNTIFS('KG1-6'!$AD31:$IM31,"غياب بدون عذر",'KG1-6'!$AD$7:$IM$7,"✓",'KG1-6'!$AD$5:$IM$5,"&lt;="&amp;D3443))</f>
        <v/>
      </c>
      <c r="G3443">
        <f>G3442+IF(D3443="",0,1)</f>
        <v/>
      </c>
    </row>
    <row r="3444">
      <c r="A3444">
        <f>IF('KG1-6'!$B31="","",'KG1-6'!$B31)</f>
        <v/>
      </c>
      <c r="B3444">
        <f>IF(A3444="","",'KG1-6'!$C31)</f>
        <v/>
      </c>
      <c r="C3444">
        <f>IF(A3444="","",'KG1-6'!$B$2)</f>
        <v/>
      </c>
      <c r="D3444" s="126">
        <f t="array" ref="D3444">IF(A3444="","",IFERROR(SMALL(IF((('KG1-6'!$AD31:$IM31="غياب بدون عذر")+('KG1-6'!$AD31:$IM31="غياب بعذر"))*('KG1-6'!$AD$7:$IM$7="✓"),'KG1-6'!$AD$5:$IM$5),3),""))</f>
        <v/>
      </c>
      <c r="E3444">
        <f>IF(D3444="","",INDEX('KG1-6'!$AD31:$IM31,MATCH(D3444,'KG1-6'!$AD$5:$IM$5,0)))</f>
        <v/>
      </c>
      <c r="F3444">
        <f>IF(D3444="","",COUNTIFS('KG1-6'!$AD31:$IM31,"غياب بدون عذر",'KG1-6'!$AD$7:$IM$7,"✓",'KG1-6'!$AD$5:$IM$5,"&lt;="&amp;D3444))</f>
        <v/>
      </c>
      <c r="G3444">
        <f>G3443+IF(D3444="",0,1)</f>
        <v/>
      </c>
    </row>
    <row r="3445">
      <c r="A3445">
        <f>IF('KG1-6'!$B31="","",'KG1-6'!$B31)</f>
        <v/>
      </c>
      <c r="B3445">
        <f>IF(A3445="","",'KG1-6'!$C31)</f>
        <v/>
      </c>
      <c r="C3445">
        <f>IF(A3445="","",'KG1-6'!$B$2)</f>
        <v/>
      </c>
      <c r="D3445" s="126">
        <f t="array" ref="D3445">IF(A3445="","",IFERROR(SMALL(IF((('KG1-6'!$AD31:$IM31="غياب بدون عذر")+('KG1-6'!$AD31:$IM31="غياب بعذر"))*('KG1-6'!$AD$7:$IM$7="✓"),'KG1-6'!$AD$5:$IM$5),4),""))</f>
        <v/>
      </c>
      <c r="E3445">
        <f>IF(D3445="","",INDEX('KG1-6'!$AD31:$IM31,MATCH(D3445,'KG1-6'!$AD$5:$IM$5,0)))</f>
        <v/>
      </c>
      <c r="F3445">
        <f>IF(D3445="","",COUNTIFS('KG1-6'!$AD31:$IM31,"غياب بدون عذر",'KG1-6'!$AD$7:$IM$7,"✓",'KG1-6'!$AD$5:$IM$5,"&lt;="&amp;D3445))</f>
        <v/>
      </c>
      <c r="G3445">
        <f>G3444+IF(D3445="",0,1)</f>
        <v/>
      </c>
    </row>
    <row r="3446">
      <c r="A3446">
        <f>IF('KG1-6'!$B31="","",'KG1-6'!$B31)</f>
        <v/>
      </c>
      <c r="B3446">
        <f>IF(A3446="","",'KG1-6'!$C31)</f>
        <v/>
      </c>
      <c r="C3446">
        <f>IF(A3446="","",'KG1-6'!$B$2)</f>
        <v/>
      </c>
      <c r="D3446" s="126">
        <f t="array" ref="D3446">IF(A3446="","",IFERROR(SMALL(IF((('KG1-6'!$AD31:$IM31="غياب بدون عذر")+('KG1-6'!$AD31:$IM31="غياب بعذر"))*('KG1-6'!$AD$7:$IM$7="✓"),'KG1-6'!$AD$5:$IM$5),5),""))</f>
        <v/>
      </c>
      <c r="E3446">
        <f>IF(D3446="","",INDEX('KG1-6'!$AD31:$IM31,MATCH(D3446,'KG1-6'!$AD$5:$IM$5,0)))</f>
        <v/>
      </c>
      <c r="F3446">
        <f>IF(D3446="","",COUNTIFS('KG1-6'!$AD31:$IM31,"غياب بدون عذر",'KG1-6'!$AD$7:$IM$7,"✓",'KG1-6'!$AD$5:$IM$5,"&lt;="&amp;D3446))</f>
        <v/>
      </c>
      <c r="G3446">
        <f>G3445+IF(D3446="",0,1)</f>
        <v/>
      </c>
    </row>
    <row r="3447">
      <c r="A3447">
        <f>IF('KG1-6'!$B31="","",'KG1-6'!$B31)</f>
        <v/>
      </c>
      <c r="B3447">
        <f>IF(A3447="","",'KG1-6'!$C31)</f>
        <v/>
      </c>
      <c r="C3447">
        <f>IF(A3447="","",'KG1-6'!$B$2)</f>
        <v/>
      </c>
      <c r="D3447" s="126">
        <f t="array" ref="D3447">IF(A3447="","",IFERROR(SMALL(IF((('KG1-6'!$AD31:$IM31="غياب بدون عذر")+('KG1-6'!$AD31:$IM31="غياب بعذر"))*('KG1-6'!$AD$7:$IM$7="✓"),'KG1-6'!$AD$5:$IM$5),6),""))</f>
        <v/>
      </c>
      <c r="E3447">
        <f>IF(D3447="","",INDEX('KG1-6'!$AD31:$IM31,MATCH(D3447,'KG1-6'!$AD$5:$IM$5,0)))</f>
        <v/>
      </c>
      <c r="F3447">
        <f>IF(D3447="","",COUNTIFS('KG1-6'!$AD31:$IM31,"غياب بدون عذر",'KG1-6'!$AD$7:$IM$7,"✓",'KG1-6'!$AD$5:$IM$5,"&lt;="&amp;D3447))</f>
        <v/>
      </c>
      <c r="G3447">
        <f>G3446+IF(D3447="",0,1)</f>
        <v/>
      </c>
    </row>
    <row r="3448">
      <c r="A3448">
        <f>IF('KG1-6'!$B31="","",'KG1-6'!$B31)</f>
        <v/>
      </c>
      <c r="B3448">
        <f>IF(A3448="","",'KG1-6'!$C31)</f>
        <v/>
      </c>
      <c r="C3448">
        <f>IF(A3448="","",'KG1-6'!$B$2)</f>
        <v/>
      </c>
      <c r="D3448" s="126">
        <f t="array" ref="D3448">IF(A3448="","",IFERROR(SMALL(IF((('KG1-6'!$AD31:$IM31="غياب بدون عذر")+('KG1-6'!$AD31:$IM31="غياب بعذر"))*('KG1-6'!$AD$7:$IM$7="✓"),'KG1-6'!$AD$5:$IM$5),7),""))</f>
        <v/>
      </c>
      <c r="E3448">
        <f>IF(D3448="","",INDEX('KG1-6'!$AD31:$IM31,MATCH(D3448,'KG1-6'!$AD$5:$IM$5,0)))</f>
        <v/>
      </c>
      <c r="F3448">
        <f>IF(D3448="","",COUNTIFS('KG1-6'!$AD31:$IM31,"غياب بدون عذر",'KG1-6'!$AD$7:$IM$7,"✓",'KG1-6'!$AD$5:$IM$5,"&lt;="&amp;D3448))</f>
        <v/>
      </c>
      <c r="G3448">
        <f>G3447+IF(D3448="",0,1)</f>
        <v/>
      </c>
    </row>
    <row r="3449">
      <c r="A3449">
        <f>IF('KG1-6'!$B31="","",'KG1-6'!$B31)</f>
        <v/>
      </c>
      <c r="B3449">
        <f>IF(A3449="","",'KG1-6'!$C31)</f>
        <v/>
      </c>
      <c r="C3449">
        <f>IF(A3449="","",'KG1-6'!$B$2)</f>
        <v/>
      </c>
      <c r="D3449" s="126">
        <f t="array" ref="D3449">IF(A3449="","",IFERROR(SMALL(IF((('KG1-6'!$AD31:$IM31="غياب بدون عذر")+('KG1-6'!$AD31:$IM31="غياب بعذر"))*('KG1-6'!$AD$7:$IM$7="✓"),'KG1-6'!$AD$5:$IM$5),8),""))</f>
        <v/>
      </c>
      <c r="E3449">
        <f>IF(D3449="","",INDEX('KG1-6'!$AD31:$IM31,MATCH(D3449,'KG1-6'!$AD$5:$IM$5,0)))</f>
        <v/>
      </c>
      <c r="F3449">
        <f>IF(D3449="","",COUNTIFS('KG1-6'!$AD31:$IM31,"غياب بدون عذر",'KG1-6'!$AD$7:$IM$7,"✓",'KG1-6'!$AD$5:$IM$5,"&lt;="&amp;D3449))</f>
        <v/>
      </c>
      <c r="G3449">
        <f>G3448+IF(D3449="",0,1)</f>
        <v/>
      </c>
    </row>
    <row r="3450">
      <c r="A3450">
        <f>IF('KG1-6'!$B31="","",'KG1-6'!$B31)</f>
        <v/>
      </c>
      <c r="B3450">
        <f>IF(A3450="","",'KG1-6'!$C31)</f>
        <v/>
      </c>
      <c r="C3450">
        <f>IF(A3450="","",'KG1-6'!$B$2)</f>
        <v/>
      </c>
      <c r="D3450" s="126">
        <f t="array" ref="D3450">IF(A3450="","",IFERROR(SMALL(IF((('KG1-6'!$AD31:$IM31="غياب بدون عذر")+('KG1-6'!$AD31:$IM31="غياب بعذر"))*('KG1-6'!$AD$7:$IM$7="✓"),'KG1-6'!$AD$5:$IM$5),9),""))</f>
        <v/>
      </c>
      <c r="E3450">
        <f>IF(D3450="","",INDEX('KG1-6'!$AD31:$IM31,MATCH(D3450,'KG1-6'!$AD$5:$IM$5,0)))</f>
        <v/>
      </c>
      <c r="F3450">
        <f>IF(D3450="","",COUNTIFS('KG1-6'!$AD31:$IM31,"غياب بدون عذر",'KG1-6'!$AD$7:$IM$7,"✓",'KG1-6'!$AD$5:$IM$5,"&lt;="&amp;D3450))</f>
        <v/>
      </c>
      <c r="G3450">
        <f>G3449+IF(D3450="",0,1)</f>
        <v/>
      </c>
    </row>
    <row r="3451">
      <c r="A3451">
        <f>IF('KG1-6'!$B31="","",'KG1-6'!$B31)</f>
        <v/>
      </c>
      <c r="B3451">
        <f>IF(A3451="","",'KG1-6'!$C31)</f>
        <v/>
      </c>
      <c r="C3451">
        <f>IF(A3451="","",'KG1-6'!$B$2)</f>
        <v/>
      </c>
      <c r="D3451" s="126">
        <f t="array" ref="D3451">IF(A3451="","",IFERROR(SMALL(IF((('KG1-6'!$AD31:$IM31="غياب بدون عذر")+('KG1-6'!$AD31:$IM31="غياب بعذر"))*('KG1-6'!$AD$7:$IM$7="✓"),'KG1-6'!$AD$5:$IM$5),10),""))</f>
        <v/>
      </c>
      <c r="E3451">
        <f>IF(D3451="","",INDEX('KG1-6'!$AD31:$IM31,MATCH(D3451,'KG1-6'!$AD$5:$IM$5,0)))</f>
        <v/>
      </c>
      <c r="F3451">
        <f>IF(D3451="","",COUNTIFS('KG1-6'!$AD31:$IM31,"غياب بدون عذر",'KG1-6'!$AD$7:$IM$7,"✓",'KG1-6'!$AD$5:$IM$5,"&lt;="&amp;D3451))</f>
        <v/>
      </c>
      <c r="G3451">
        <f>G3450+IF(D3451="",0,1)</f>
        <v/>
      </c>
    </row>
    <row r="3452">
      <c r="A3452">
        <f>IF('KG1-6'!$B31="","",'KG1-6'!$B31)</f>
        <v/>
      </c>
      <c r="B3452">
        <f>IF(A3452="","",'KG1-6'!$C31)</f>
        <v/>
      </c>
      <c r="C3452">
        <f>IF(A3452="","",'KG1-6'!$B$2)</f>
        <v/>
      </c>
      <c r="D3452" s="126">
        <f t="array" ref="D3452">IF(A3452="","",IFERROR(SMALL(IF((('KG1-6'!$AD31:$IM31="غياب بدون عذر")+('KG1-6'!$AD31:$IM31="غياب بعذر"))*('KG1-6'!$AD$7:$IM$7="✓"),'KG1-6'!$AD$5:$IM$5),11),""))</f>
        <v/>
      </c>
      <c r="E3452">
        <f>IF(D3452="","",INDEX('KG1-6'!$AD31:$IM31,MATCH(D3452,'KG1-6'!$AD$5:$IM$5,0)))</f>
        <v/>
      </c>
      <c r="F3452">
        <f>IF(D3452="","",COUNTIFS('KG1-6'!$AD31:$IM31,"غياب بدون عذر",'KG1-6'!$AD$7:$IM$7,"✓",'KG1-6'!$AD$5:$IM$5,"&lt;="&amp;D3452))</f>
        <v/>
      </c>
      <c r="G3452">
        <f>G3451+IF(D3452="",0,1)</f>
        <v/>
      </c>
    </row>
    <row r="3453">
      <c r="A3453">
        <f>IF('KG1-6'!$B31="","",'KG1-6'!$B31)</f>
        <v/>
      </c>
      <c r="B3453">
        <f>IF(A3453="","",'KG1-6'!$C31)</f>
        <v/>
      </c>
      <c r="C3453">
        <f>IF(A3453="","",'KG1-6'!$B$2)</f>
        <v/>
      </c>
      <c r="D3453" s="126">
        <f t="array" ref="D3453">IF(A3453="","",IFERROR(SMALL(IF((('KG1-6'!$AD31:$IM31="غياب بدون عذر")+('KG1-6'!$AD31:$IM31="غياب بعذر"))*('KG1-6'!$AD$7:$IM$7="✓"),'KG1-6'!$AD$5:$IM$5),12),""))</f>
        <v/>
      </c>
      <c r="E3453">
        <f>IF(D3453="","",INDEX('KG1-6'!$AD31:$IM31,MATCH(D3453,'KG1-6'!$AD$5:$IM$5,0)))</f>
        <v/>
      </c>
      <c r="F3453">
        <f>IF(D3453="","",COUNTIFS('KG1-6'!$AD31:$IM31,"غياب بدون عذر",'KG1-6'!$AD$7:$IM$7,"✓",'KG1-6'!$AD$5:$IM$5,"&lt;="&amp;D3453))</f>
        <v/>
      </c>
      <c r="G3453">
        <f>G3452+IF(D3453="",0,1)</f>
        <v/>
      </c>
    </row>
    <row r="3454">
      <c r="A3454">
        <f>IF('KG1-6'!$B31="","",'KG1-6'!$B31)</f>
        <v/>
      </c>
      <c r="B3454">
        <f>IF(A3454="","",'KG1-6'!$C31)</f>
        <v/>
      </c>
      <c r="C3454">
        <f>IF(A3454="","",'KG1-6'!$B$2)</f>
        <v/>
      </c>
      <c r="D3454" s="126">
        <f t="array" ref="D3454">IF(A3454="","",IFERROR(SMALL(IF((('KG1-6'!$AD31:$IM31="غياب بدون عذر")+('KG1-6'!$AD31:$IM31="غياب بعذر"))*('KG1-6'!$AD$7:$IM$7="✓"),'KG1-6'!$AD$5:$IM$5),13),""))</f>
        <v/>
      </c>
      <c r="E3454">
        <f>IF(D3454="","",INDEX('KG1-6'!$AD31:$IM31,MATCH(D3454,'KG1-6'!$AD$5:$IM$5,0)))</f>
        <v/>
      </c>
      <c r="F3454">
        <f>IF(D3454="","",COUNTIFS('KG1-6'!$AD31:$IM31,"غياب بدون عذر",'KG1-6'!$AD$7:$IM$7,"✓",'KG1-6'!$AD$5:$IM$5,"&lt;="&amp;D3454))</f>
        <v/>
      </c>
      <c r="G3454">
        <f>G3453+IF(D3454="",0,1)</f>
        <v/>
      </c>
    </row>
    <row r="3455">
      <c r="A3455">
        <f>IF('KG1-6'!$B31="","",'KG1-6'!$B31)</f>
        <v/>
      </c>
      <c r="B3455">
        <f>IF(A3455="","",'KG1-6'!$C31)</f>
        <v/>
      </c>
      <c r="C3455">
        <f>IF(A3455="","",'KG1-6'!$B$2)</f>
        <v/>
      </c>
      <c r="D3455" s="126">
        <f t="array" ref="D3455">IF(A3455="","",IFERROR(SMALL(IF((('KG1-6'!$AD31:$IM31="غياب بدون عذر")+('KG1-6'!$AD31:$IM31="غياب بعذر"))*('KG1-6'!$AD$7:$IM$7="✓"),'KG1-6'!$AD$5:$IM$5),14),""))</f>
        <v/>
      </c>
      <c r="E3455">
        <f>IF(D3455="","",INDEX('KG1-6'!$AD31:$IM31,MATCH(D3455,'KG1-6'!$AD$5:$IM$5,0)))</f>
        <v/>
      </c>
      <c r="F3455">
        <f>IF(D3455="","",COUNTIFS('KG1-6'!$AD31:$IM31,"غياب بدون عذر",'KG1-6'!$AD$7:$IM$7,"✓",'KG1-6'!$AD$5:$IM$5,"&lt;="&amp;D3455))</f>
        <v/>
      </c>
      <c r="G3455">
        <f>G3454+IF(D3455="",0,1)</f>
        <v/>
      </c>
    </row>
    <row r="3456">
      <c r="A3456">
        <f>IF('KG1-6'!$B31="","",'KG1-6'!$B31)</f>
        <v/>
      </c>
      <c r="B3456">
        <f>IF(A3456="","",'KG1-6'!$C31)</f>
        <v/>
      </c>
      <c r="C3456">
        <f>IF(A3456="","",'KG1-6'!$B$2)</f>
        <v/>
      </c>
      <c r="D3456" s="126">
        <f t="array" ref="D3456">IF(A3456="","",IFERROR(SMALL(IF((('KG1-6'!$AD31:$IM31="غياب بدون عذر")+('KG1-6'!$AD31:$IM31="غياب بعذر"))*('KG1-6'!$AD$7:$IM$7="✓"),'KG1-6'!$AD$5:$IM$5),15),""))</f>
        <v/>
      </c>
      <c r="E3456">
        <f>IF(D3456="","",INDEX('KG1-6'!$AD31:$IM31,MATCH(D3456,'KG1-6'!$AD$5:$IM$5,0)))</f>
        <v/>
      </c>
      <c r="F3456">
        <f>IF(D3456="","",COUNTIFS('KG1-6'!$AD31:$IM31,"غياب بدون عذر",'KG1-6'!$AD$7:$IM$7,"✓",'KG1-6'!$AD$5:$IM$5,"&lt;="&amp;D3456))</f>
        <v/>
      </c>
      <c r="G3456">
        <f>G3455+IF(D3456="",0,1)</f>
        <v/>
      </c>
    </row>
    <row r="3457">
      <c r="A3457">
        <f>IF('KG1-6'!$B31="","",'KG1-6'!$B31)</f>
        <v/>
      </c>
      <c r="B3457">
        <f>IF(A3457="","",'KG1-6'!$C31)</f>
        <v/>
      </c>
      <c r="C3457">
        <f>IF(A3457="","",'KG1-6'!$B$2)</f>
        <v/>
      </c>
      <c r="D3457" s="126">
        <f t="array" ref="D3457">IF(A3457="","",IFERROR(SMALL(IF((('KG1-6'!$AD31:$IM31="غياب بدون عذر")+('KG1-6'!$AD31:$IM31="غياب بعذر"))*('KG1-6'!$AD$7:$IM$7="✓"),'KG1-6'!$AD$5:$IM$5),16),""))</f>
        <v/>
      </c>
      <c r="E3457">
        <f>IF(D3457="","",INDEX('KG1-6'!$AD31:$IM31,MATCH(D3457,'KG1-6'!$AD$5:$IM$5,0)))</f>
        <v/>
      </c>
      <c r="F3457">
        <f>IF(D3457="","",COUNTIFS('KG1-6'!$AD31:$IM31,"غياب بدون عذر",'KG1-6'!$AD$7:$IM$7,"✓",'KG1-6'!$AD$5:$IM$5,"&lt;="&amp;D3457))</f>
        <v/>
      </c>
      <c r="G3457">
        <f>G3456+IF(D3457="",0,1)</f>
        <v/>
      </c>
    </row>
    <row r="3458">
      <c r="A3458">
        <f>IF('KG1-6'!$B31="","",'KG1-6'!$B31)</f>
        <v/>
      </c>
      <c r="B3458">
        <f>IF(A3458="","",'KG1-6'!$C31)</f>
        <v/>
      </c>
      <c r="C3458">
        <f>IF(A3458="","",'KG1-6'!$B$2)</f>
        <v/>
      </c>
      <c r="D3458" s="126">
        <f t="array" ref="D3458">IF(A3458="","",IFERROR(SMALL(IF((('KG1-6'!$AD31:$IM31="غياب بدون عذر")+('KG1-6'!$AD31:$IM31="غياب بعذر"))*('KG1-6'!$AD$7:$IM$7="✓"),'KG1-6'!$AD$5:$IM$5),17),""))</f>
        <v/>
      </c>
      <c r="E3458">
        <f>IF(D3458="","",INDEX('KG1-6'!$AD31:$IM31,MATCH(D3458,'KG1-6'!$AD$5:$IM$5,0)))</f>
        <v/>
      </c>
      <c r="F3458">
        <f>IF(D3458="","",COUNTIFS('KG1-6'!$AD31:$IM31,"غياب بدون عذر",'KG1-6'!$AD$7:$IM$7,"✓",'KG1-6'!$AD$5:$IM$5,"&lt;="&amp;D3458))</f>
        <v/>
      </c>
      <c r="G3458">
        <f>G3457+IF(D3458="",0,1)</f>
        <v/>
      </c>
    </row>
    <row r="3459">
      <c r="A3459">
        <f>IF('KG1-6'!$B31="","",'KG1-6'!$B31)</f>
        <v/>
      </c>
      <c r="B3459">
        <f>IF(A3459="","",'KG1-6'!$C31)</f>
        <v/>
      </c>
      <c r="C3459">
        <f>IF(A3459="","",'KG1-6'!$B$2)</f>
        <v/>
      </c>
      <c r="D3459" s="126">
        <f t="array" ref="D3459">IF(A3459="","",IFERROR(SMALL(IF((('KG1-6'!$AD31:$IM31="غياب بدون عذر")+('KG1-6'!$AD31:$IM31="غياب بعذر"))*('KG1-6'!$AD$7:$IM$7="✓"),'KG1-6'!$AD$5:$IM$5),18),""))</f>
        <v/>
      </c>
      <c r="E3459">
        <f>IF(D3459="","",INDEX('KG1-6'!$AD31:$IM31,MATCH(D3459,'KG1-6'!$AD$5:$IM$5,0)))</f>
        <v/>
      </c>
      <c r="F3459">
        <f>IF(D3459="","",COUNTIFS('KG1-6'!$AD31:$IM31,"غياب بدون عذر",'KG1-6'!$AD$7:$IM$7,"✓",'KG1-6'!$AD$5:$IM$5,"&lt;="&amp;D3459))</f>
        <v/>
      </c>
      <c r="G3459">
        <f>G3458+IF(D3459="",0,1)</f>
        <v/>
      </c>
    </row>
    <row r="3460">
      <c r="A3460">
        <f>IF('KG1-6'!$B31="","",'KG1-6'!$B31)</f>
        <v/>
      </c>
      <c r="B3460">
        <f>IF(A3460="","",'KG1-6'!$C31)</f>
        <v/>
      </c>
      <c r="C3460">
        <f>IF(A3460="","",'KG1-6'!$B$2)</f>
        <v/>
      </c>
      <c r="D3460" s="126">
        <f t="array" ref="D3460">IF(A3460="","",IFERROR(SMALL(IF((('KG1-6'!$AD31:$IM31="غياب بدون عذر")+('KG1-6'!$AD31:$IM31="غياب بعذر"))*('KG1-6'!$AD$7:$IM$7="✓"),'KG1-6'!$AD$5:$IM$5),19),""))</f>
        <v/>
      </c>
      <c r="E3460">
        <f>IF(D3460="","",INDEX('KG1-6'!$AD31:$IM31,MATCH(D3460,'KG1-6'!$AD$5:$IM$5,0)))</f>
        <v/>
      </c>
      <c r="F3460">
        <f>IF(D3460="","",COUNTIFS('KG1-6'!$AD31:$IM31,"غياب بدون عذر",'KG1-6'!$AD$7:$IM$7,"✓",'KG1-6'!$AD$5:$IM$5,"&lt;="&amp;D3460))</f>
        <v/>
      </c>
      <c r="G3460">
        <f>G3459+IF(D3460="",0,1)</f>
        <v/>
      </c>
    </row>
    <row r="3461">
      <c r="A3461">
        <f>IF('KG1-6'!$B31="","",'KG1-6'!$B31)</f>
        <v/>
      </c>
      <c r="B3461">
        <f>IF(A3461="","",'KG1-6'!$C31)</f>
        <v/>
      </c>
      <c r="C3461">
        <f>IF(A3461="","",'KG1-6'!$B$2)</f>
        <v/>
      </c>
      <c r="D3461" s="126">
        <f t="array" ref="D3461">IF(A3461="","",IFERROR(SMALL(IF((('KG1-6'!$AD31:$IM31="غياب بدون عذر")+('KG1-6'!$AD31:$IM31="غياب بعذر"))*('KG1-6'!$AD$7:$IM$7="✓"),'KG1-6'!$AD$5:$IM$5),20),""))</f>
        <v/>
      </c>
      <c r="E3461">
        <f>IF(D3461="","",INDEX('KG1-6'!$AD31:$IM31,MATCH(D3461,'KG1-6'!$AD$5:$IM$5,0)))</f>
        <v/>
      </c>
      <c r="F3461">
        <f>IF(D3461="","",COUNTIFS('KG1-6'!$AD31:$IM31,"غياب بدون عذر",'KG1-6'!$AD$7:$IM$7,"✓",'KG1-6'!$AD$5:$IM$5,"&lt;="&amp;D3461))</f>
        <v/>
      </c>
      <c r="G3461">
        <f>G3460+IF(D3461="",0,1)</f>
        <v/>
      </c>
    </row>
    <row r="3462">
      <c r="A3462">
        <f>IF('KG1-6'!$B32="","",'KG1-6'!$B32)</f>
        <v/>
      </c>
      <c r="B3462">
        <f>IF(A3462="","",'KG1-6'!$C32)</f>
        <v/>
      </c>
      <c r="C3462">
        <f>IF(A3462="","",'KG1-6'!$B$2)</f>
        <v/>
      </c>
      <c r="D3462" s="126">
        <f t="array" ref="D3462">IF(A3462="","",IFERROR(SMALL(IF((('KG1-6'!$AD32:$IM32="غياب بدون عذر")+('KG1-6'!$AD32:$IM32="غياب بعذر"))*('KG1-6'!$AD$7:$IM$7="✓"),'KG1-6'!$AD$5:$IM$5),1),""))</f>
        <v/>
      </c>
      <c r="E3462">
        <f>IF(D3462="","",INDEX('KG1-6'!$AD32:$IM32,MATCH(D3462,'KG1-6'!$AD$5:$IM$5,0)))</f>
        <v/>
      </c>
      <c r="F3462">
        <f>IF(D3462="","",COUNTIFS('KG1-6'!$AD32:$IM32,"غياب بدون عذر",'KG1-6'!$AD$7:$IM$7,"✓",'KG1-6'!$AD$5:$IM$5,"&lt;="&amp;D3462))</f>
        <v/>
      </c>
      <c r="G3462">
        <f>G3461+IF(D3462="",0,1)</f>
        <v/>
      </c>
    </row>
    <row r="3463">
      <c r="A3463">
        <f>IF('KG1-6'!$B32="","",'KG1-6'!$B32)</f>
        <v/>
      </c>
      <c r="B3463">
        <f>IF(A3463="","",'KG1-6'!$C32)</f>
        <v/>
      </c>
      <c r="C3463">
        <f>IF(A3463="","",'KG1-6'!$B$2)</f>
        <v/>
      </c>
      <c r="D3463" s="126">
        <f t="array" ref="D3463">IF(A3463="","",IFERROR(SMALL(IF((('KG1-6'!$AD32:$IM32="غياب بدون عذر")+('KG1-6'!$AD32:$IM32="غياب بعذر"))*('KG1-6'!$AD$7:$IM$7="✓"),'KG1-6'!$AD$5:$IM$5),2),""))</f>
        <v/>
      </c>
      <c r="E3463">
        <f>IF(D3463="","",INDEX('KG1-6'!$AD32:$IM32,MATCH(D3463,'KG1-6'!$AD$5:$IM$5,0)))</f>
        <v/>
      </c>
      <c r="F3463">
        <f>IF(D3463="","",COUNTIFS('KG1-6'!$AD32:$IM32,"غياب بدون عذر",'KG1-6'!$AD$7:$IM$7,"✓",'KG1-6'!$AD$5:$IM$5,"&lt;="&amp;D3463))</f>
        <v/>
      </c>
      <c r="G3463">
        <f>G3462+IF(D3463="",0,1)</f>
        <v/>
      </c>
    </row>
    <row r="3464">
      <c r="A3464">
        <f>IF('KG1-6'!$B32="","",'KG1-6'!$B32)</f>
        <v/>
      </c>
      <c r="B3464">
        <f>IF(A3464="","",'KG1-6'!$C32)</f>
        <v/>
      </c>
      <c r="C3464">
        <f>IF(A3464="","",'KG1-6'!$B$2)</f>
        <v/>
      </c>
      <c r="D3464" s="126">
        <f t="array" ref="D3464">IF(A3464="","",IFERROR(SMALL(IF((('KG1-6'!$AD32:$IM32="غياب بدون عذر")+('KG1-6'!$AD32:$IM32="غياب بعذر"))*('KG1-6'!$AD$7:$IM$7="✓"),'KG1-6'!$AD$5:$IM$5),3),""))</f>
        <v/>
      </c>
      <c r="E3464">
        <f>IF(D3464="","",INDEX('KG1-6'!$AD32:$IM32,MATCH(D3464,'KG1-6'!$AD$5:$IM$5,0)))</f>
        <v/>
      </c>
      <c r="F3464">
        <f>IF(D3464="","",COUNTIFS('KG1-6'!$AD32:$IM32,"غياب بدون عذر",'KG1-6'!$AD$7:$IM$7,"✓",'KG1-6'!$AD$5:$IM$5,"&lt;="&amp;D3464))</f>
        <v/>
      </c>
      <c r="G3464">
        <f>G3463+IF(D3464="",0,1)</f>
        <v/>
      </c>
    </row>
    <row r="3465">
      <c r="A3465">
        <f>IF('KG1-6'!$B32="","",'KG1-6'!$B32)</f>
        <v/>
      </c>
      <c r="B3465">
        <f>IF(A3465="","",'KG1-6'!$C32)</f>
        <v/>
      </c>
      <c r="C3465">
        <f>IF(A3465="","",'KG1-6'!$B$2)</f>
        <v/>
      </c>
      <c r="D3465" s="126">
        <f t="array" ref="D3465">IF(A3465="","",IFERROR(SMALL(IF((('KG1-6'!$AD32:$IM32="غياب بدون عذر")+('KG1-6'!$AD32:$IM32="غياب بعذر"))*('KG1-6'!$AD$7:$IM$7="✓"),'KG1-6'!$AD$5:$IM$5),4),""))</f>
        <v/>
      </c>
      <c r="E3465">
        <f>IF(D3465="","",INDEX('KG1-6'!$AD32:$IM32,MATCH(D3465,'KG1-6'!$AD$5:$IM$5,0)))</f>
        <v/>
      </c>
      <c r="F3465">
        <f>IF(D3465="","",COUNTIFS('KG1-6'!$AD32:$IM32,"غياب بدون عذر",'KG1-6'!$AD$7:$IM$7,"✓",'KG1-6'!$AD$5:$IM$5,"&lt;="&amp;D3465))</f>
        <v/>
      </c>
      <c r="G3465">
        <f>G3464+IF(D3465="",0,1)</f>
        <v/>
      </c>
    </row>
    <row r="3466">
      <c r="A3466">
        <f>IF('KG1-6'!$B32="","",'KG1-6'!$B32)</f>
        <v/>
      </c>
      <c r="B3466">
        <f>IF(A3466="","",'KG1-6'!$C32)</f>
        <v/>
      </c>
      <c r="C3466">
        <f>IF(A3466="","",'KG1-6'!$B$2)</f>
        <v/>
      </c>
      <c r="D3466" s="126">
        <f t="array" ref="D3466">IF(A3466="","",IFERROR(SMALL(IF((('KG1-6'!$AD32:$IM32="غياب بدون عذر")+('KG1-6'!$AD32:$IM32="غياب بعذر"))*('KG1-6'!$AD$7:$IM$7="✓"),'KG1-6'!$AD$5:$IM$5),5),""))</f>
        <v/>
      </c>
      <c r="E3466">
        <f>IF(D3466="","",INDEX('KG1-6'!$AD32:$IM32,MATCH(D3466,'KG1-6'!$AD$5:$IM$5,0)))</f>
        <v/>
      </c>
      <c r="F3466">
        <f>IF(D3466="","",COUNTIFS('KG1-6'!$AD32:$IM32,"غياب بدون عذر",'KG1-6'!$AD$7:$IM$7,"✓",'KG1-6'!$AD$5:$IM$5,"&lt;="&amp;D3466))</f>
        <v/>
      </c>
      <c r="G3466">
        <f>G3465+IF(D3466="",0,1)</f>
        <v/>
      </c>
    </row>
    <row r="3467">
      <c r="A3467">
        <f>IF('KG1-6'!$B32="","",'KG1-6'!$B32)</f>
        <v/>
      </c>
      <c r="B3467">
        <f>IF(A3467="","",'KG1-6'!$C32)</f>
        <v/>
      </c>
      <c r="C3467">
        <f>IF(A3467="","",'KG1-6'!$B$2)</f>
        <v/>
      </c>
      <c r="D3467" s="126">
        <f t="array" ref="D3467">IF(A3467="","",IFERROR(SMALL(IF((('KG1-6'!$AD32:$IM32="غياب بدون عذر")+('KG1-6'!$AD32:$IM32="غياب بعذر"))*('KG1-6'!$AD$7:$IM$7="✓"),'KG1-6'!$AD$5:$IM$5),6),""))</f>
        <v/>
      </c>
      <c r="E3467">
        <f>IF(D3467="","",INDEX('KG1-6'!$AD32:$IM32,MATCH(D3467,'KG1-6'!$AD$5:$IM$5,0)))</f>
        <v/>
      </c>
      <c r="F3467">
        <f>IF(D3467="","",COUNTIFS('KG1-6'!$AD32:$IM32,"غياب بدون عذر",'KG1-6'!$AD$7:$IM$7,"✓",'KG1-6'!$AD$5:$IM$5,"&lt;="&amp;D3467))</f>
        <v/>
      </c>
      <c r="G3467">
        <f>G3466+IF(D3467="",0,1)</f>
        <v/>
      </c>
    </row>
    <row r="3468">
      <c r="A3468">
        <f>IF('KG1-6'!$B32="","",'KG1-6'!$B32)</f>
        <v/>
      </c>
      <c r="B3468">
        <f>IF(A3468="","",'KG1-6'!$C32)</f>
        <v/>
      </c>
      <c r="C3468">
        <f>IF(A3468="","",'KG1-6'!$B$2)</f>
        <v/>
      </c>
      <c r="D3468" s="126">
        <f t="array" ref="D3468">IF(A3468="","",IFERROR(SMALL(IF((('KG1-6'!$AD32:$IM32="غياب بدون عذر")+('KG1-6'!$AD32:$IM32="غياب بعذر"))*('KG1-6'!$AD$7:$IM$7="✓"),'KG1-6'!$AD$5:$IM$5),7),""))</f>
        <v/>
      </c>
      <c r="E3468">
        <f>IF(D3468="","",INDEX('KG1-6'!$AD32:$IM32,MATCH(D3468,'KG1-6'!$AD$5:$IM$5,0)))</f>
        <v/>
      </c>
      <c r="F3468">
        <f>IF(D3468="","",COUNTIFS('KG1-6'!$AD32:$IM32,"غياب بدون عذر",'KG1-6'!$AD$7:$IM$7,"✓",'KG1-6'!$AD$5:$IM$5,"&lt;="&amp;D3468))</f>
        <v/>
      </c>
      <c r="G3468">
        <f>G3467+IF(D3468="",0,1)</f>
        <v/>
      </c>
    </row>
    <row r="3469">
      <c r="A3469">
        <f>IF('KG1-6'!$B32="","",'KG1-6'!$B32)</f>
        <v/>
      </c>
      <c r="B3469">
        <f>IF(A3469="","",'KG1-6'!$C32)</f>
        <v/>
      </c>
      <c r="C3469">
        <f>IF(A3469="","",'KG1-6'!$B$2)</f>
        <v/>
      </c>
      <c r="D3469" s="126">
        <f t="array" ref="D3469">IF(A3469="","",IFERROR(SMALL(IF((('KG1-6'!$AD32:$IM32="غياب بدون عذر")+('KG1-6'!$AD32:$IM32="غياب بعذر"))*('KG1-6'!$AD$7:$IM$7="✓"),'KG1-6'!$AD$5:$IM$5),8),""))</f>
        <v/>
      </c>
      <c r="E3469">
        <f>IF(D3469="","",INDEX('KG1-6'!$AD32:$IM32,MATCH(D3469,'KG1-6'!$AD$5:$IM$5,0)))</f>
        <v/>
      </c>
      <c r="F3469">
        <f>IF(D3469="","",COUNTIFS('KG1-6'!$AD32:$IM32,"غياب بدون عذر",'KG1-6'!$AD$7:$IM$7,"✓",'KG1-6'!$AD$5:$IM$5,"&lt;="&amp;D3469))</f>
        <v/>
      </c>
      <c r="G3469">
        <f>G3468+IF(D3469="",0,1)</f>
        <v/>
      </c>
    </row>
    <row r="3470">
      <c r="A3470">
        <f>IF('KG1-6'!$B32="","",'KG1-6'!$B32)</f>
        <v/>
      </c>
      <c r="B3470">
        <f>IF(A3470="","",'KG1-6'!$C32)</f>
        <v/>
      </c>
      <c r="C3470">
        <f>IF(A3470="","",'KG1-6'!$B$2)</f>
        <v/>
      </c>
      <c r="D3470" s="126">
        <f t="array" ref="D3470">IF(A3470="","",IFERROR(SMALL(IF((('KG1-6'!$AD32:$IM32="غياب بدون عذر")+('KG1-6'!$AD32:$IM32="غياب بعذر"))*('KG1-6'!$AD$7:$IM$7="✓"),'KG1-6'!$AD$5:$IM$5),9),""))</f>
        <v/>
      </c>
      <c r="E3470">
        <f>IF(D3470="","",INDEX('KG1-6'!$AD32:$IM32,MATCH(D3470,'KG1-6'!$AD$5:$IM$5,0)))</f>
        <v/>
      </c>
      <c r="F3470">
        <f>IF(D3470="","",COUNTIFS('KG1-6'!$AD32:$IM32,"غياب بدون عذر",'KG1-6'!$AD$7:$IM$7,"✓",'KG1-6'!$AD$5:$IM$5,"&lt;="&amp;D3470))</f>
        <v/>
      </c>
      <c r="G3470">
        <f>G3469+IF(D3470="",0,1)</f>
        <v/>
      </c>
    </row>
    <row r="3471">
      <c r="A3471">
        <f>IF('KG1-6'!$B32="","",'KG1-6'!$B32)</f>
        <v/>
      </c>
      <c r="B3471">
        <f>IF(A3471="","",'KG1-6'!$C32)</f>
        <v/>
      </c>
      <c r="C3471">
        <f>IF(A3471="","",'KG1-6'!$B$2)</f>
        <v/>
      </c>
      <c r="D3471" s="126">
        <f t="array" ref="D3471">IF(A3471="","",IFERROR(SMALL(IF((('KG1-6'!$AD32:$IM32="غياب بدون عذر")+('KG1-6'!$AD32:$IM32="غياب بعذر"))*('KG1-6'!$AD$7:$IM$7="✓"),'KG1-6'!$AD$5:$IM$5),10),""))</f>
        <v/>
      </c>
      <c r="E3471">
        <f>IF(D3471="","",INDEX('KG1-6'!$AD32:$IM32,MATCH(D3471,'KG1-6'!$AD$5:$IM$5,0)))</f>
        <v/>
      </c>
      <c r="F3471">
        <f>IF(D3471="","",COUNTIFS('KG1-6'!$AD32:$IM32,"غياب بدون عذر",'KG1-6'!$AD$7:$IM$7,"✓",'KG1-6'!$AD$5:$IM$5,"&lt;="&amp;D3471))</f>
        <v/>
      </c>
      <c r="G3471">
        <f>G3470+IF(D3471="",0,1)</f>
        <v/>
      </c>
    </row>
    <row r="3472">
      <c r="A3472">
        <f>IF('KG1-6'!$B32="","",'KG1-6'!$B32)</f>
        <v/>
      </c>
      <c r="B3472">
        <f>IF(A3472="","",'KG1-6'!$C32)</f>
        <v/>
      </c>
      <c r="C3472">
        <f>IF(A3472="","",'KG1-6'!$B$2)</f>
        <v/>
      </c>
      <c r="D3472" s="126">
        <f t="array" ref="D3472">IF(A3472="","",IFERROR(SMALL(IF((('KG1-6'!$AD32:$IM32="غياب بدون عذر")+('KG1-6'!$AD32:$IM32="غياب بعذر"))*('KG1-6'!$AD$7:$IM$7="✓"),'KG1-6'!$AD$5:$IM$5),11),""))</f>
        <v/>
      </c>
      <c r="E3472">
        <f>IF(D3472="","",INDEX('KG1-6'!$AD32:$IM32,MATCH(D3472,'KG1-6'!$AD$5:$IM$5,0)))</f>
        <v/>
      </c>
      <c r="F3472">
        <f>IF(D3472="","",COUNTIFS('KG1-6'!$AD32:$IM32,"غياب بدون عذر",'KG1-6'!$AD$7:$IM$7,"✓",'KG1-6'!$AD$5:$IM$5,"&lt;="&amp;D3472))</f>
        <v/>
      </c>
      <c r="G3472">
        <f>G3471+IF(D3472="",0,1)</f>
        <v/>
      </c>
    </row>
    <row r="3473">
      <c r="A3473">
        <f>IF('KG1-6'!$B32="","",'KG1-6'!$B32)</f>
        <v/>
      </c>
      <c r="B3473">
        <f>IF(A3473="","",'KG1-6'!$C32)</f>
        <v/>
      </c>
      <c r="C3473">
        <f>IF(A3473="","",'KG1-6'!$B$2)</f>
        <v/>
      </c>
      <c r="D3473" s="126">
        <f t="array" ref="D3473">IF(A3473="","",IFERROR(SMALL(IF((('KG1-6'!$AD32:$IM32="غياب بدون عذر")+('KG1-6'!$AD32:$IM32="غياب بعذر"))*('KG1-6'!$AD$7:$IM$7="✓"),'KG1-6'!$AD$5:$IM$5),12),""))</f>
        <v/>
      </c>
      <c r="E3473">
        <f>IF(D3473="","",INDEX('KG1-6'!$AD32:$IM32,MATCH(D3473,'KG1-6'!$AD$5:$IM$5,0)))</f>
        <v/>
      </c>
      <c r="F3473">
        <f>IF(D3473="","",COUNTIFS('KG1-6'!$AD32:$IM32,"غياب بدون عذر",'KG1-6'!$AD$7:$IM$7,"✓",'KG1-6'!$AD$5:$IM$5,"&lt;="&amp;D3473))</f>
        <v/>
      </c>
      <c r="G3473">
        <f>G3472+IF(D3473="",0,1)</f>
        <v/>
      </c>
    </row>
    <row r="3474">
      <c r="A3474">
        <f>IF('KG1-6'!$B32="","",'KG1-6'!$B32)</f>
        <v/>
      </c>
      <c r="B3474">
        <f>IF(A3474="","",'KG1-6'!$C32)</f>
        <v/>
      </c>
      <c r="C3474">
        <f>IF(A3474="","",'KG1-6'!$B$2)</f>
        <v/>
      </c>
      <c r="D3474" s="126">
        <f t="array" ref="D3474">IF(A3474="","",IFERROR(SMALL(IF((('KG1-6'!$AD32:$IM32="غياب بدون عذر")+('KG1-6'!$AD32:$IM32="غياب بعذر"))*('KG1-6'!$AD$7:$IM$7="✓"),'KG1-6'!$AD$5:$IM$5),13),""))</f>
        <v/>
      </c>
      <c r="E3474">
        <f>IF(D3474="","",INDEX('KG1-6'!$AD32:$IM32,MATCH(D3474,'KG1-6'!$AD$5:$IM$5,0)))</f>
        <v/>
      </c>
      <c r="F3474">
        <f>IF(D3474="","",COUNTIFS('KG1-6'!$AD32:$IM32,"غياب بدون عذر",'KG1-6'!$AD$7:$IM$7,"✓",'KG1-6'!$AD$5:$IM$5,"&lt;="&amp;D3474))</f>
        <v/>
      </c>
      <c r="G3474">
        <f>G3473+IF(D3474="",0,1)</f>
        <v/>
      </c>
    </row>
    <row r="3475">
      <c r="A3475">
        <f>IF('KG1-6'!$B32="","",'KG1-6'!$B32)</f>
        <v/>
      </c>
      <c r="B3475">
        <f>IF(A3475="","",'KG1-6'!$C32)</f>
        <v/>
      </c>
      <c r="C3475">
        <f>IF(A3475="","",'KG1-6'!$B$2)</f>
        <v/>
      </c>
      <c r="D3475" s="126">
        <f t="array" ref="D3475">IF(A3475="","",IFERROR(SMALL(IF((('KG1-6'!$AD32:$IM32="غياب بدون عذر")+('KG1-6'!$AD32:$IM32="غياب بعذر"))*('KG1-6'!$AD$7:$IM$7="✓"),'KG1-6'!$AD$5:$IM$5),14),""))</f>
        <v/>
      </c>
      <c r="E3475">
        <f>IF(D3475="","",INDEX('KG1-6'!$AD32:$IM32,MATCH(D3475,'KG1-6'!$AD$5:$IM$5,0)))</f>
        <v/>
      </c>
      <c r="F3475">
        <f>IF(D3475="","",COUNTIFS('KG1-6'!$AD32:$IM32,"غياب بدون عذر",'KG1-6'!$AD$7:$IM$7,"✓",'KG1-6'!$AD$5:$IM$5,"&lt;="&amp;D3475))</f>
        <v/>
      </c>
      <c r="G3475">
        <f>G3474+IF(D3475="",0,1)</f>
        <v/>
      </c>
    </row>
    <row r="3476">
      <c r="A3476">
        <f>IF('KG1-6'!$B32="","",'KG1-6'!$B32)</f>
        <v/>
      </c>
      <c r="B3476">
        <f>IF(A3476="","",'KG1-6'!$C32)</f>
        <v/>
      </c>
      <c r="C3476">
        <f>IF(A3476="","",'KG1-6'!$B$2)</f>
        <v/>
      </c>
      <c r="D3476" s="126">
        <f t="array" ref="D3476">IF(A3476="","",IFERROR(SMALL(IF((('KG1-6'!$AD32:$IM32="غياب بدون عذر")+('KG1-6'!$AD32:$IM32="غياب بعذر"))*('KG1-6'!$AD$7:$IM$7="✓"),'KG1-6'!$AD$5:$IM$5),15),""))</f>
        <v/>
      </c>
      <c r="E3476">
        <f>IF(D3476="","",INDEX('KG1-6'!$AD32:$IM32,MATCH(D3476,'KG1-6'!$AD$5:$IM$5,0)))</f>
        <v/>
      </c>
      <c r="F3476">
        <f>IF(D3476="","",COUNTIFS('KG1-6'!$AD32:$IM32,"غياب بدون عذر",'KG1-6'!$AD$7:$IM$7,"✓",'KG1-6'!$AD$5:$IM$5,"&lt;="&amp;D3476))</f>
        <v/>
      </c>
      <c r="G3476">
        <f>G3475+IF(D3476="",0,1)</f>
        <v/>
      </c>
    </row>
    <row r="3477">
      <c r="A3477">
        <f>IF('KG1-6'!$B32="","",'KG1-6'!$B32)</f>
        <v/>
      </c>
      <c r="B3477">
        <f>IF(A3477="","",'KG1-6'!$C32)</f>
        <v/>
      </c>
      <c r="C3477">
        <f>IF(A3477="","",'KG1-6'!$B$2)</f>
        <v/>
      </c>
      <c r="D3477" s="126">
        <f t="array" ref="D3477">IF(A3477="","",IFERROR(SMALL(IF((('KG1-6'!$AD32:$IM32="غياب بدون عذر")+('KG1-6'!$AD32:$IM32="غياب بعذر"))*('KG1-6'!$AD$7:$IM$7="✓"),'KG1-6'!$AD$5:$IM$5),16),""))</f>
        <v/>
      </c>
      <c r="E3477">
        <f>IF(D3477="","",INDEX('KG1-6'!$AD32:$IM32,MATCH(D3477,'KG1-6'!$AD$5:$IM$5,0)))</f>
        <v/>
      </c>
      <c r="F3477">
        <f>IF(D3477="","",COUNTIFS('KG1-6'!$AD32:$IM32,"غياب بدون عذر",'KG1-6'!$AD$7:$IM$7,"✓",'KG1-6'!$AD$5:$IM$5,"&lt;="&amp;D3477))</f>
        <v/>
      </c>
      <c r="G3477">
        <f>G3476+IF(D3477="",0,1)</f>
        <v/>
      </c>
    </row>
    <row r="3478">
      <c r="A3478">
        <f>IF('KG1-6'!$B32="","",'KG1-6'!$B32)</f>
        <v/>
      </c>
      <c r="B3478">
        <f>IF(A3478="","",'KG1-6'!$C32)</f>
        <v/>
      </c>
      <c r="C3478">
        <f>IF(A3478="","",'KG1-6'!$B$2)</f>
        <v/>
      </c>
      <c r="D3478" s="126">
        <f t="array" ref="D3478">IF(A3478="","",IFERROR(SMALL(IF((('KG1-6'!$AD32:$IM32="غياب بدون عذر")+('KG1-6'!$AD32:$IM32="غياب بعذر"))*('KG1-6'!$AD$7:$IM$7="✓"),'KG1-6'!$AD$5:$IM$5),17),""))</f>
        <v/>
      </c>
      <c r="E3478">
        <f>IF(D3478="","",INDEX('KG1-6'!$AD32:$IM32,MATCH(D3478,'KG1-6'!$AD$5:$IM$5,0)))</f>
        <v/>
      </c>
      <c r="F3478">
        <f>IF(D3478="","",COUNTIFS('KG1-6'!$AD32:$IM32,"غياب بدون عذر",'KG1-6'!$AD$7:$IM$7,"✓",'KG1-6'!$AD$5:$IM$5,"&lt;="&amp;D3478))</f>
        <v/>
      </c>
      <c r="G3478">
        <f>G3477+IF(D3478="",0,1)</f>
        <v/>
      </c>
    </row>
    <row r="3479">
      <c r="A3479">
        <f>IF('KG1-6'!$B32="","",'KG1-6'!$B32)</f>
        <v/>
      </c>
      <c r="B3479">
        <f>IF(A3479="","",'KG1-6'!$C32)</f>
        <v/>
      </c>
      <c r="C3479">
        <f>IF(A3479="","",'KG1-6'!$B$2)</f>
        <v/>
      </c>
      <c r="D3479" s="126">
        <f t="array" ref="D3479">IF(A3479="","",IFERROR(SMALL(IF((('KG1-6'!$AD32:$IM32="غياب بدون عذر")+('KG1-6'!$AD32:$IM32="غياب بعذر"))*('KG1-6'!$AD$7:$IM$7="✓"),'KG1-6'!$AD$5:$IM$5),18),""))</f>
        <v/>
      </c>
      <c r="E3479">
        <f>IF(D3479="","",INDEX('KG1-6'!$AD32:$IM32,MATCH(D3479,'KG1-6'!$AD$5:$IM$5,0)))</f>
        <v/>
      </c>
      <c r="F3479">
        <f>IF(D3479="","",COUNTIFS('KG1-6'!$AD32:$IM32,"غياب بدون عذر",'KG1-6'!$AD$7:$IM$7,"✓",'KG1-6'!$AD$5:$IM$5,"&lt;="&amp;D3479))</f>
        <v/>
      </c>
      <c r="G3479">
        <f>G3478+IF(D3479="",0,1)</f>
        <v/>
      </c>
    </row>
    <row r="3480">
      <c r="A3480">
        <f>IF('KG1-6'!$B32="","",'KG1-6'!$B32)</f>
        <v/>
      </c>
      <c r="B3480">
        <f>IF(A3480="","",'KG1-6'!$C32)</f>
        <v/>
      </c>
      <c r="C3480">
        <f>IF(A3480="","",'KG1-6'!$B$2)</f>
        <v/>
      </c>
      <c r="D3480" s="126">
        <f t="array" ref="D3480">IF(A3480="","",IFERROR(SMALL(IF((('KG1-6'!$AD32:$IM32="غياب بدون عذر")+('KG1-6'!$AD32:$IM32="غياب بعذر"))*('KG1-6'!$AD$7:$IM$7="✓"),'KG1-6'!$AD$5:$IM$5),19),""))</f>
        <v/>
      </c>
      <c r="E3480">
        <f>IF(D3480="","",INDEX('KG1-6'!$AD32:$IM32,MATCH(D3480,'KG1-6'!$AD$5:$IM$5,0)))</f>
        <v/>
      </c>
      <c r="F3480">
        <f>IF(D3480="","",COUNTIFS('KG1-6'!$AD32:$IM32,"غياب بدون عذر",'KG1-6'!$AD$7:$IM$7,"✓",'KG1-6'!$AD$5:$IM$5,"&lt;="&amp;D3480))</f>
        <v/>
      </c>
      <c r="G3480">
        <f>G3479+IF(D3480="",0,1)</f>
        <v/>
      </c>
    </row>
    <row r="3481">
      <c r="A3481">
        <f>IF('KG1-6'!$B32="","",'KG1-6'!$B32)</f>
        <v/>
      </c>
      <c r="B3481">
        <f>IF(A3481="","",'KG1-6'!$C32)</f>
        <v/>
      </c>
      <c r="C3481">
        <f>IF(A3481="","",'KG1-6'!$B$2)</f>
        <v/>
      </c>
      <c r="D3481" s="126">
        <f t="array" ref="D3481">IF(A3481="","",IFERROR(SMALL(IF((('KG1-6'!$AD32:$IM32="غياب بدون عذر")+('KG1-6'!$AD32:$IM32="غياب بعذر"))*('KG1-6'!$AD$7:$IM$7="✓"),'KG1-6'!$AD$5:$IM$5),20),""))</f>
        <v/>
      </c>
      <c r="E3481">
        <f>IF(D3481="","",INDEX('KG1-6'!$AD32:$IM32,MATCH(D3481,'KG1-6'!$AD$5:$IM$5,0)))</f>
        <v/>
      </c>
      <c r="F3481">
        <f>IF(D3481="","",COUNTIFS('KG1-6'!$AD32:$IM32,"غياب بدون عذر",'KG1-6'!$AD$7:$IM$7,"✓",'KG1-6'!$AD$5:$IM$5,"&lt;="&amp;D3481))</f>
        <v/>
      </c>
      <c r="G3481">
        <f>G3480+IF(D3481="",0,1)</f>
        <v/>
      </c>
    </row>
    <row r="3482">
      <c r="A3482">
        <f>IF('KG1-6'!$B33="","",'KG1-6'!$B33)</f>
        <v/>
      </c>
      <c r="B3482">
        <f>IF(A3482="","",'KG1-6'!$C33)</f>
        <v/>
      </c>
      <c r="C3482">
        <f>IF(A3482="","",'KG1-6'!$B$2)</f>
        <v/>
      </c>
      <c r="D3482" s="126">
        <f t="array" ref="D3482">IF(A3482="","",IFERROR(SMALL(IF((('KG1-6'!$AD33:$IM33="غياب بدون عذر")+('KG1-6'!$AD33:$IM33="غياب بعذر"))*('KG1-6'!$AD$7:$IM$7="✓"),'KG1-6'!$AD$5:$IM$5),1),""))</f>
        <v/>
      </c>
      <c r="E3482">
        <f>IF(D3482="","",INDEX('KG1-6'!$AD33:$IM33,MATCH(D3482,'KG1-6'!$AD$5:$IM$5,0)))</f>
        <v/>
      </c>
      <c r="F3482">
        <f>IF(D3482="","",COUNTIFS('KG1-6'!$AD33:$IM33,"غياب بدون عذر",'KG1-6'!$AD$7:$IM$7,"✓",'KG1-6'!$AD$5:$IM$5,"&lt;="&amp;D3482))</f>
        <v/>
      </c>
      <c r="G3482">
        <f>G3481+IF(D3482="",0,1)</f>
        <v/>
      </c>
    </row>
    <row r="3483">
      <c r="A3483">
        <f>IF('KG1-6'!$B33="","",'KG1-6'!$B33)</f>
        <v/>
      </c>
      <c r="B3483">
        <f>IF(A3483="","",'KG1-6'!$C33)</f>
        <v/>
      </c>
      <c r="C3483">
        <f>IF(A3483="","",'KG1-6'!$B$2)</f>
        <v/>
      </c>
      <c r="D3483" s="126">
        <f t="array" ref="D3483">IF(A3483="","",IFERROR(SMALL(IF((('KG1-6'!$AD33:$IM33="غياب بدون عذر")+('KG1-6'!$AD33:$IM33="غياب بعذر"))*('KG1-6'!$AD$7:$IM$7="✓"),'KG1-6'!$AD$5:$IM$5),2),""))</f>
        <v/>
      </c>
      <c r="E3483">
        <f>IF(D3483="","",INDEX('KG1-6'!$AD33:$IM33,MATCH(D3483,'KG1-6'!$AD$5:$IM$5,0)))</f>
        <v/>
      </c>
      <c r="F3483">
        <f>IF(D3483="","",COUNTIFS('KG1-6'!$AD33:$IM33,"غياب بدون عذر",'KG1-6'!$AD$7:$IM$7,"✓",'KG1-6'!$AD$5:$IM$5,"&lt;="&amp;D3483))</f>
        <v/>
      </c>
      <c r="G3483">
        <f>G3482+IF(D3483="",0,1)</f>
        <v/>
      </c>
    </row>
    <row r="3484">
      <c r="A3484">
        <f>IF('KG1-6'!$B33="","",'KG1-6'!$B33)</f>
        <v/>
      </c>
      <c r="B3484">
        <f>IF(A3484="","",'KG1-6'!$C33)</f>
        <v/>
      </c>
      <c r="C3484">
        <f>IF(A3484="","",'KG1-6'!$B$2)</f>
        <v/>
      </c>
      <c r="D3484" s="126">
        <f t="array" ref="D3484">IF(A3484="","",IFERROR(SMALL(IF((('KG1-6'!$AD33:$IM33="غياب بدون عذر")+('KG1-6'!$AD33:$IM33="غياب بعذر"))*('KG1-6'!$AD$7:$IM$7="✓"),'KG1-6'!$AD$5:$IM$5),3),""))</f>
        <v/>
      </c>
      <c r="E3484">
        <f>IF(D3484="","",INDEX('KG1-6'!$AD33:$IM33,MATCH(D3484,'KG1-6'!$AD$5:$IM$5,0)))</f>
        <v/>
      </c>
      <c r="F3484">
        <f>IF(D3484="","",COUNTIFS('KG1-6'!$AD33:$IM33,"غياب بدون عذر",'KG1-6'!$AD$7:$IM$7,"✓",'KG1-6'!$AD$5:$IM$5,"&lt;="&amp;D3484))</f>
        <v/>
      </c>
      <c r="G3484">
        <f>G3483+IF(D3484="",0,1)</f>
        <v/>
      </c>
    </row>
    <row r="3485">
      <c r="A3485">
        <f>IF('KG1-6'!$B33="","",'KG1-6'!$B33)</f>
        <v/>
      </c>
      <c r="B3485">
        <f>IF(A3485="","",'KG1-6'!$C33)</f>
        <v/>
      </c>
      <c r="C3485">
        <f>IF(A3485="","",'KG1-6'!$B$2)</f>
        <v/>
      </c>
      <c r="D3485" s="126">
        <f t="array" ref="D3485">IF(A3485="","",IFERROR(SMALL(IF((('KG1-6'!$AD33:$IM33="غياب بدون عذر")+('KG1-6'!$AD33:$IM33="غياب بعذر"))*('KG1-6'!$AD$7:$IM$7="✓"),'KG1-6'!$AD$5:$IM$5),4),""))</f>
        <v/>
      </c>
      <c r="E3485">
        <f>IF(D3485="","",INDEX('KG1-6'!$AD33:$IM33,MATCH(D3485,'KG1-6'!$AD$5:$IM$5,0)))</f>
        <v/>
      </c>
      <c r="F3485">
        <f>IF(D3485="","",COUNTIFS('KG1-6'!$AD33:$IM33,"غياب بدون عذر",'KG1-6'!$AD$7:$IM$7,"✓",'KG1-6'!$AD$5:$IM$5,"&lt;="&amp;D3485))</f>
        <v/>
      </c>
      <c r="G3485">
        <f>G3484+IF(D3485="",0,1)</f>
        <v/>
      </c>
    </row>
    <row r="3486">
      <c r="A3486">
        <f>IF('KG1-6'!$B33="","",'KG1-6'!$B33)</f>
        <v/>
      </c>
      <c r="B3486">
        <f>IF(A3486="","",'KG1-6'!$C33)</f>
        <v/>
      </c>
      <c r="C3486">
        <f>IF(A3486="","",'KG1-6'!$B$2)</f>
        <v/>
      </c>
      <c r="D3486" s="126">
        <f t="array" ref="D3486">IF(A3486="","",IFERROR(SMALL(IF((('KG1-6'!$AD33:$IM33="غياب بدون عذر")+('KG1-6'!$AD33:$IM33="غياب بعذر"))*('KG1-6'!$AD$7:$IM$7="✓"),'KG1-6'!$AD$5:$IM$5),5),""))</f>
        <v/>
      </c>
      <c r="E3486">
        <f>IF(D3486="","",INDEX('KG1-6'!$AD33:$IM33,MATCH(D3486,'KG1-6'!$AD$5:$IM$5,0)))</f>
        <v/>
      </c>
      <c r="F3486">
        <f>IF(D3486="","",COUNTIFS('KG1-6'!$AD33:$IM33,"غياب بدون عذر",'KG1-6'!$AD$7:$IM$7,"✓",'KG1-6'!$AD$5:$IM$5,"&lt;="&amp;D3486))</f>
        <v/>
      </c>
      <c r="G3486">
        <f>G3485+IF(D3486="",0,1)</f>
        <v/>
      </c>
    </row>
    <row r="3487">
      <c r="A3487">
        <f>IF('KG1-6'!$B33="","",'KG1-6'!$B33)</f>
        <v/>
      </c>
      <c r="B3487">
        <f>IF(A3487="","",'KG1-6'!$C33)</f>
        <v/>
      </c>
      <c r="C3487">
        <f>IF(A3487="","",'KG1-6'!$B$2)</f>
        <v/>
      </c>
      <c r="D3487" s="126">
        <f t="array" ref="D3487">IF(A3487="","",IFERROR(SMALL(IF((('KG1-6'!$AD33:$IM33="غياب بدون عذر")+('KG1-6'!$AD33:$IM33="غياب بعذر"))*('KG1-6'!$AD$7:$IM$7="✓"),'KG1-6'!$AD$5:$IM$5),6),""))</f>
        <v/>
      </c>
      <c r="E3487">
        <f>IF(D3487="","",INDEX('KG1-6'!$AD33:$IM33,MATCH(D3487,'KG1-6'!$AD$5:$IM$5,0)))</f>
        <v/>
      </c>
      <c r="F3487">
        <f>IF(D3487="","",COUNTIFS('KG1-6'!$AD33:$IM33,"غياب بدون عذر",'KG1-6'!$AD$7:$IM$7,"✓",'KG1-6'!$AD$5:$IM$5,"&lt;="&amp;D3487))</f>
        <v/>
      </c>
      <c r="G3487">
        <f>G3486+IF(D3487="",0,1)</f>
        <v/>
      </c>
    </row>
    <row r="3488">
      <c r="A3488">
        <f>IF('KG1-6'!$B33="","",'KG1-6'!$B33)</f>
        <v/>
      </c>
      <c r="B3488">
        <f>IF(A3488="","",'KG1-6'!$C33)</f>
        <v/>
      </c>
      <c r="C3488">
        <f>IF(A3488="","",'KG1-6'!$B$2)</f>
        <v/>
      </c>
      <c r="D3488" s="126">
        <f t="array" ref="D3488">IF(A3488="","",IFERROR(SMALL(IF((('KG1-6'!$AD33:$IM33="غياب بدون عذر")+('KG1-6'!$AD33:$IM33="غياب بعذر"))*('KG1-6'!$AD$7:$IM$7="✓"),'KG1-6'!$AD$5:$IM$5),7),""))</f>
        <v/>
      </c>
      <c r="E3488">
        <f>IF(D3488="","",INDEX('KG1-6'!$AD33:$IM33,MATCH(D3488,'KG1-6'!$AD$5:$IM$5,0)))</f>
        <v/>
      </c>
      <c r="F3488">
        <f>IF(D3488="","",COUNTIFS('KG1-6'!$AD33:$IM33,"غياب بدون عذر",'KG1-6'!$AD$7:$IM$7,"✓",'KG1-6'!$AD$5:$IM$5,"&lt;="&amp;D3488))</f>
        <v/>
      </c>
      <c r="G3488">
        <f>G3487+IF(D3488="",0,1)</f>
        <v/>
      </c>
    </row>
    <row r="3489">
      <c r="A3489">
        <f>IF('KG1-6'!$B33="","",'KG1-6'!$B33)</f>
        <v/>
      </c>
      <c r="B3489">
        <f>IF(A3489="","",'KG1-6'!$C33)</f>
        <v/>
      </c>
      <c r="C3489">
        <f>IF(A3489="","",'KG1-6'!$B$2)</f>
        <v/>
      </c>
      <c r="D3489" s="126">
        <f t="array" ref="D3489">IF(A3489="","",IFERROR(SMALL(IF((('KG1-6'!$AD33:$IM33="غياب بدون عذر")+('KG1-6'!$AD33:$IM33="غياب بعذر"))*('KG1-6'!$AD$7:$IM$7="✓"),'KG1-6'!$AD$5:$IM$5),8),""))</f>
        <v/>
      </c>
      <c r="E3489">
        <f>IF(D3489="","",INDEX('KG1-6'!$AD33:$IM33,MATCH(D3489,'KG1-6'!$AD$5:$IM$5,0)))</f>
        <v/>
      </c>
      <c r="F3489">
        <f>IF(D3489="","",COUNTIFS('KG1-6'!$AD33:$IM33,"غياب بدون عذر",'KG1-6'!$AD$7:$IM$7,"✓",'KG1-6'!$AD$5:$IM$5,"&lt;="&amp;D3489))</f>
        <v/>
      </c>
      <c r="G3489">
        <f>G3488+IF(D3489="",0,1)</f>
        <v/>
      </c>
    </row>
    <row r="3490">
      <c r="A3490">
        <f>IF('KG1-6'!$B33="","",'KG1-6'!$B33)</f>
        <v/>
      </c>
      <c r="B3490">
        <f>IF(A3490="","",'KG1-6'!$C33)</f>
        <v/>
      </c>
      <c r="C3490">
        <f>IF(A3490="","",'KG1-6'!$B$2)</f>
        <v/>
      </c>
      <c r="D3490" s="126">
        <f t="array" ref="D3490">IF(A3490="","",IFERROR(SMALL(IF((('KG1-6'!$AD33:$IM33="غياب بدون عذر")+('KG1-6'!$AD33:$IM33="غياب بعذر"))*('KG1-6'!$AD$7:$IM$7="✓"),'KG1-6'!$AD$5:$IM$5),9),""))</f>
        <v/>
      </c>
      <c r="E3490">
        <f>IF(D3490="","",INDEX('KG1-6'!$AD33:$IM33,MATCH(D3490,'KG1-6'!$AD$5:$IM$5,0)))</f>
        <v/>
      </c>
      <c r="F3490">
        <f>IF(D3490="","",COUNTIFS('KG1-6'!$AD33:$IM33,"غياب بدون عذر",'KG1-6'!$AD$7:$IM$7,"✓",'KG1-6'!$AD$5:$IM$5,"&lt;="&amp;D3490))</f>
        <v/>
      </c>
      <c r="G3490">
        <f>G3489+IF(D3490="",0,1)</f>
        <v/>
      </c>
    </row>
    <row r="3491">
      <c r="A3491">
        <f>IF('KG1-6'!$B33="","",'KG1-6'!$B33)</f>
        <v/>
      </c>
      <c r="B3491">
        <f>IF(A3491="","",'KG1-6'!$C33)</f>
        <v/>
      </c>
      <c r="C3491">
        <f>IF(A3491="","",'KG1-6'!$B$2)</f>
        <v/>
      </c>
      <c r="D3491" s="126">
        <f t="array" ref="D3491">IF(A3491="","",IFERROR(SMALL(IF((('KG1-6'!$AD33:$IM33="غياب بدون عذر")+('KG1-6'!$AD33:$IM33="غياب بعذر"))*('KG1-6'!$AD$7:$IM$7="✓"),'KG1-6'!$AD$5:$IM$5),10),""))</f>
        <v/>
      </c>
      <c r="E3491">
        <f>IF(D3491="","",INDEX('KG1-6'!$AD33:$IM33,MATCH(D3491,'KG1-6'!$AD$5:$IM$5,0)))</f>
        <v/>
      </c>
      <c r="F3491">
        <f>IF(D3491="","",COUNTIFS('KG1-6'!$AD33:$IM33,"غياب بدون عذر",'KG1-6'!$AD$7:$IM$7,"✓",'KG1-6'!$AD$5:$IM$5,"&lt;="&amp;D3491))</f>
        <v/>
      </c>
      <c r="G3491">
        <f>G3490+IF(D3491="",0,1)</f>
        <v/>
      </c>
    </row>
    <row r="3492">
      <c r="A3492">
        <f>IF('KG1-6'!$B33="","",'KG1-6'!$B33)</f>
        <v/>
      </c>
      <c r="B3492">
        <f>IF(A3492="","",'KG1-6'!$C33)</f>
        <v/>
      </c>
      <c r="C3492">
        <f>IF(A3492="","",'KG1-6'!$B$2)</f>
        <v/>
      </c>
      <c r="D3492" s="126">
        <f t="array" ref="D3492">IF(A3492="","",IFERROR(SMALL(IF((('KG1-6'!$AD33:$IM33="غياب بدون عذر")+('KG1-6'!$AD33:$IM33="غياب بعذر"))*('KG1-6'!$AD$7:$IM$7="✓"),'KG1-6'!$AD$5:$IM$5),11),""))</f>
        <v/>
      </c>
      <c r="E3492">
        <f>IF(D3492="","",INDEX('KG1-6'!$AD33:$IM33,MATCH(D3492,'KG1-6'!$AD$5:$IM$5,0)))</f>
        <v/>
      </c>
      <c r="F3492">
        <f>IF(D3492="","",COUNTIFS('KG1-6'!$AD33:$IM33,"غياب بدون عذر",'KG1-6'!$AD$7:$IM$7,"✓",'KG1-6'!$AD$5:$IM$5,"&lt;="&amp;D3492))</f>
        <v/>
      </c>
      <c r="G3492">
        <f>G3491+IF(D3492="",0,1)</f>
        <v/>
      </c>
    </row>
    <row r="3493">
      <c r="A3493">
        <f>IF('KG1-6'!$B33="","",'KG1-6'!$B33)</f>
        <v/>
      </c>
      <c r="B3493">
        <f>IF(A3493="","",'KG1-6'!$C33)</f>
        <v/>
      </c>
      <c r="C3493">
        <f>IF(A3493="","",'KG1-6'!$B$2)</f>
        <v/>
      </c>
      <c r="D3493" s="126">
        <f t="array" ref="D3493">IF(A3493="","",IFERROR(SMALL(IF((('KG1-6'!$AD33:$IM33="غياب بدون عذر")+('KG1-6'!$AD33:$IM33="غياب بعذر"))*('KG1-6'!$AD$7:$IM$7="✓"),'KG1-6'!$AD$5:$IM$5),12),""))</f>
        <v/>
      </c>
      <c r="E3493">
        <f>IF(D3493="","",INDEX('KG1-6'!$AD33:$IM33,MATCH(D3493,'KG1-6'!$AD$5:$IM$5,0)))</f>
        <v/>
      </c>
      <c r="F3493">
        <f>IF(D3493="","",COUNTIFS('KG1-6'!$AD33:$IM33,"غياب بدون عذر",'KG1-6'!$AD$7:$IM$7,"✓",'KG1-6'!$AD$5:$IM$5,"&lt;="&amp;D3493))</f>
        <v/>
      </c>
      <c r="G3493">
        <f>G3492+IF(D3493="",0,1)</f>
        <v/>
      </c>
    </row>
    <row r="3494">
      <c r="A3494">
        <f>IF('KG1-6'!$B33="","",'KG1-6'!$B33)</f>
        <v/>
      </c>
      <c r="B3494">
        <f>IF(A3494="","",'KG1-6'!$C33)</f>
        <v/>
      </c>
      <c r="C3494">
        <f>IF(A3494="","",'KG1-6'!$B$2)</f>
        <v/>
      </c>
      <c r="D3494" s="126">
        <f t="array" ref="D3494">IF(A3494="","",IFERROR(SMALL(IF((('KG1-6'!$AD33:$IM33="غياب بدون عذر")+('KG1-6'!$AD33:$IM33="غياب بعذر"))*('KG1-6'!$AD$7:$IM$7="✓"),'KG1-6'!$AD$5:$IM$5),13),""))</f>
        <v/>
      </c>
      <c r="E3494">
        <f>IF(D3494="","",INDEX('KG1-6'!$AD33:$IM33,MATCH(D3494,'KG1-6'!$AD$5:$IM$5,0)))</f>
        <v/>
      </c>
      <c r="F3494">
        <f>IF(D3494="","",COUNTIFS('KG1-6'!$AD33:$IM33,"غياب بدون عذر",'KG1-6'!$AD$7:$IM$7,"✓",'KG1-6'!$AD$5:$IM$5,"&lt;="&amp;D3494))</f>
        <v/>
      </c>
      <c r="G3494">
        <f>G3493+IF(D3494="",0,1)</f>
        <v/>
      </c>
    </row>
    <row r="3495">
      <c r="A3495">
        <f>IF('KG1-6'!$B33="","",'KG1-6'!$B33)</f>
        <v/>
      </c>
      <c r="B3495">
        <f>IF(A3495="","",'KG1-6'!$C33)</f>
        <v/>
      </c>
      <c r="C3495">
        <f>IF(A3495="","",'KG1-6'!$B$2)</f>
        <v/>
      </c>
      <c r="D3495" s="126">
        <f t="array" ref="D3495">IF(A3495="","",IFERROR(SMALL(IF((('KG1-6'!$AD33:$IM33="غياب بدون عذر")+('KG1-6'!$AD33:$IM33="غياب بعذر"))*('KG1-6'!$AD$7:$IM$7="✓"),'KG1-6'!$AD$5:$IM$5),14),""))</f>
        <v/>
      </c>
      <c r="E3495">
        <f>IF(D3495="","",INDEX('KG1-6'!$AD33:$IM33,MATCH(D3495,'KG1-6'!$AD$5:$IM$5,0)))</f>
        <v/>
      </c>
      <c r="F3495">
        <f>IF(D3495="","",COUNTIFS('KG1-6'!$AD33:$IM33,"غياب بدون عذر",'KG1-6'!$AD$7:$IM$7,"✓",'KG1-6'!$AD$5:$IM$5,"&lt;="&amp;D3495))</f>
        <v/>
      </c>
      <c r="G3495">
        <f>G3494+IF(D3495="",0,1)</f>
        <v/>
      </c>
    </row>
    <row r="3496">
      <c r="A3496">
        <f>IF('KG1-6'!$B33="","",'KG1-6'!$B33)</f>
        <v/>
      </c>
      <c r="B3496">
        <f>IF(A3496="","",'KG1-6'!$C33)</f>
        <v/>
      </c>
      <c r="C3496">
        <f>IF(A3496="","",'KG1-6'!$B$2)</f>
        <v/>
      </c>
      <c r="D3496" s="126">
        <f t="array" ref="D3496">IF(A3496="","",IFERROR(SMALL(IF((('KG1-6'!$AD33:$IM33="غياب بدون عذر")+('KG1-6'!$AD33:$IM33="غياب بعذر"))*('KG1-6'!$AD$7:$IM$7="✓"),'KG1-6'!$AD$5:$IM$5),15),""))</f>
        <v/>
      </c>
      <c r="E3496">
        <f>IF(D3496="","",INDEX('KG1-6'!$AD33:$IM33,MATCH(D3496,'KG1-6'!$AD$5:$IM$5,0)))</f>
        <v/>
      </c>
      <c r="F3496">
        <f>IF(D3496="","",COUNTIFS('KG1-6'!$AD33:$IM33,"غياب بدون عذر",'KG1-6'!$AD$7:$IM$7,"✓",'KG1-6'!$AD$5:$IM$5,"&lt;="&amp;D3496))</f>
        <v/>
      </c>
      <c r="G3496">
        <f>G3495+IF(D3496="",0,1)</f>
        <v/>
      </c>
    </row>
    <row r="3497">
      <c r="A3497">
        <f>IF('KG1-6'!$B33="","",'KG1-6'!$B33)</f>
        <v/>
      </c>
      <c r="B3497">
        <f>IF(A3497="","",'KG1-6'!$C33)</f>
        <v/>
      </c>
      <c r="C3497">
        <f>IF(A3497="","",'KG1-6'!$B$2)</f>
        <v/>
      </c>
      <c r="D3497" s="126">
        <f t="array" ref="D3497">IF(A3497="","",IFERROR(SMALL(IF((('KG1-6'!$AD33:$IM33="غياب بدون عذر")+('KG1-6'!$AD33:$IM33="غياب بعذر"))*('KG1-6'!$AD$7:$IM$7="✓"),'KG1-6'!$AD$5:$IM$5),16),""))</f>
        <v/>
      </c>
      <c r="E3497">
        <f>IF(D3497="","",INDEX('KG1-6'!$AD33:$IM33,MATCH(D3497,'KG1-6'!$AD$5:$IM$5,0)))</f>
        <v/>
      </c>
      <c r="F3497">
        <f>IF(D3497="","",COUNTIFS('KG1-6'!$AD33:$IM33,"غياب بدون عذر",'KG1-6'!$AD$7:$IM$7,"✓",'KG1-6'!$AD$5:$IM$5,"&lt;="&amp;D3497))</f>
        <v/>
      </c>
      <c r="G3497">
        <f>G3496+IF(D3497="",0,1)</f>
        <v/>
      </c>
    </row>
    <row r="3498">
      <c r="A3498">
        <f>IF('KG1-6'!$B33="","",'KG1-6'!$B33)</f>
        <v/>
      </c>
      <c r="B3498">
        <f>IF(A3498="","",'KG1-6'!$C33)</f>
        <v/>
      </c>
      <c r="C3498">
        <f>IF(A3498="","",'KG1-6'!$B$2)</f>
        <v/>
      </c>
      <c r="D3498" s="126">
        <f t="array" ref="D3498">IF(A3498="","",IFERROR(SMALL(IF((('KG1-6'!$AD33:$IM33="غياب بدون عذر")+('KG1-6'!$AD33:$IM33="غياب بعذر"))*('KG1-6'!$AD$7:$IM$7="✓"),'KG1-6'!$AD$5:$IM$5),17),""))</f>
        <v/>
      </c>
      <c r="E3498">
        <f>IF(D3498="","",INDEX('KG1-6'!$AD33:$IM33,MATCH(D3498,'KG1-6'!$AD$5:$IM$5,0)))</f>
        <v/>
      </c>
      <c r="F3498">
        <f>IF(D3498="","",COUNTIFS('KG1-6'!$AD33:$IM33,"غياب بدون عذر",'KG1-6'!$AD$7:$IM$7,"✓",'KG1-6'!$AD$5:$IM$5,"&lt;="&amp;D3498))</f>
        <v/>
      </c>
      <c r="G3498">
        <f>G3497+IF(D3498="",0,1)</f>
        <v/>
      </c>
    </row>
    <row r="3499">
      <c r="A3499">
        <f>IF('KG1-6'!$B33="","",'KG1-6'!$B33)</f>
        <v/>
      </c>
      <c r="B3499">
        <f>IF(A3499="","",'KG1-6'!$C33)</f>
        <v/>
      </c>
      <c r="C3499">
        <f>IF(A3499="","",'KG1-6'!$B$2)</f>
        <v/>
      </c>
      <c r="D3499" s="126">
        <f t="array" ref="D3499">IF(A3499="","",IFERROR(SMALL(IF((('KG1-6'!$AD33:$IM33="غياب بدون عذر")+('KG1-6'!$AD33:$IM33="غياب بعذر"))*('KG1-6'!$AD$7:$IM$7="✓"),'KG1-6'!$AD$5:$IM$5),18),""))</f>
        <v/>
      </c>
      <c r="E3499">
        <f>IF(D3499="","",INDEX('KG1-6'!$AD33:$IM33,MATCH(D3499,'KG1-6'!$AD$5:$IM$5,0)))</f>
        <v/>
      </c>
      <c r="F3499">
        <f>IF(D3499="","",COUNTIFS('KG1-6'!$AD33:$IM33,"غياب بدون عذر",'KG1-6'!$AD$7:$IM$7,"✓",'KG1-6'!$AD$5:$IM$5,"&lt;="&amp;D3499))</f>
        <v/>
      </c>
      <c r="G3499">
        <f>G3498+IF(D3499="",0,1)</f>
        <v/>
      </c>
    </row>
    <row r="3500">
      <c r="A3500">
        <f>IF('KG1-6'!$B33="","",'KG1-6'!$B33)</f>
        <v/>
      </c>
      <c r="B3500">
        <f>IF(A3500="","",'KG1-6'!$C33)</f>
        <v/>
      </c>
      <c r="C3500">
        <f>IF(A3500="","",'KG1-6'!$B$2)</f>
        <v/>
      </c>
      <c r="D3500" s="126">
        <f t="array" ref="D3500">IF(A3500="","",IFERROR(SMALL(IF((('KG1-6'!$AD33:$IM33="غياب بدون عذر")+('KG1-6'!$AD33:$IM33="غياب بعذر"))*('KG1-6'!$AD$7:$IM$7="✓"),'KG1-6'!$AD$5:$IM$5),19),""))</f>
        <v/>
      </c>
      <c r="E3500">
        <f>IF(D3500="","",INDEX('KG1-6'!$AD33:$IM33,MATCH(D3500,'KG1-6'!$AD$5:$IM$5,0)))</f>
        <v/>
      </c>
      <c r="F3500">
        <f>IF(D3500="","",COUNTIFS('KG1-6'!$AD33:$IM33,"غياب بدون عذر",'KG1-6'!$AD$7:$IM$7,"✓",'KG1-6'!$AD$5:$IM$5,"&lt;="&amp;D3500))</f>
        <v/>
      </c>
      <c r="G3500">
        <f>G3499+IF(D3500="",0,1)</f>
        <v/>
      </c>
    </row>
    <row r="3501">
      <c r="A3501">
        <f>IF('KG1-6'!$B33="","",'KG1-6'!$B33)</f>
        <v/>
      </c>
      <c r="B3501">
        <f>IF(A3501="","",'KG1-6'!$C33)</f>
        <v/>
      </c>
      <c r="C3501">
        <f>IF(A3501="","",'KG1-6'!$B$2)</f>
        <v/>
      </c>
      <c r="D3501" s="126">
        <f t="array" ref="D3501">IF(A3501="","",IFERROR(SMALL(IF((('KG1-6'!$AD33:$IM33="غياب بدون عذر")+('KG1-6'!$AD33:$IM33="غياب بعذر"))*('KG1-6'!$AD$7:$IM$7="✓"),'KG1-6'!$AD$5:$IM$5),20),""))</f>
        <v/>
      </c>
      <c r="E3501">
        <f>IF(D3501="","",INDEX('KG1-6'!$AD33:$IM33,MATCH(D3501,'KG1-6'!$AD$5:$IM$5,0)))</f>
        <v/>
      </c>
      <c r="F3501">
        <f>IF(D3501="","",COUNTIFS('KG1-6'!$AD33:$IM33,"غياب بدون عذر",'KG1-6'!$AD$7:$IM$7,"✓",'KG1-6'!$AD$5:$IM$5,"&lt;="&amp;D3501))</f>
        <v/>
      </c>
      <c r="G3501">
        <f>G3500+IF(D3501="",0,1)</f>
        <v/>
      </c>
    </row>
    <row r="3502">
      <c r="A3502">
        <f>IF('KG1-6'!$B34="","",'KG1-6'!$B34)</f>
        <v/>
      </c>
      <c r="B3502">
        <f>IF(A3502="","",'KG1-6'!$C34)</f>
        <v/>
      </c>
      <c r="C3502">
        <f>IF(A3502="","",'KG1-6'!$B$2)</f>
        <v/>
      </c>
      <c r="D3502" s="126">
        <f t="array" ref="D3502">IF(A3502="","",IFERROR(SMALL(IF((('KG1-6'!$AD34:$IM34="غياب بدون عذر")+('KG1-6'!$AD34:$IM34="غياب بعذر"))*('KG1-6'!$AD$7:$IM$7="✓"),'KG1-6'!$AD$5:$IM$5),1),""))</f>
        <v/>
      </c>
      <c r="E3502">
        <f>IF(D3502="","",INDEX('KG1-6'!$AD34:$IM34,MATCH(D3502,'KG1-6'!$AD$5:$IM$5,0)))</f>
        <v/>
      </c>
      <c r="F3502">
        <f>IF(D3502="","",COUNTIFS('KG1-6'!$AD34:$IM34,"غياب بدون عذر",'KG1-6'!$AD$7:$IM$7,"✓",'KG1-6'!$AD$5:$IM$5,"&lt;="&amp;D3502))</f>
        <v/>
      </c>
      <c r="G3502">
        <f>G3501+IF(D3502="",0,1)</f>
        <v/>
      </c>
    </row>
    <row r="3503">
      <c r="A3503">
        <f>IF('KG1-6'!$B34="","",'KG1-6'!$B34)</f>
        <v/>
      </c>
      <c r="B3503">
        <f>IF(A3503="","",'KG1-6'!$C34)</f>
        <v/>
      </c>
      <c r="C3503">
        <f>IF(A3503="","",'KG1-6'!$B$2)</f>
        <v/>
      </c>
      <c r="D3503" s="126">
        <f t="array" ref="D3503">IF(A3503="","",IFERROR(SMALL(IF((('KG1-6'!$AD34:$IM34="غياب بدون عذر")+('KG1-6'!$AD34:$IM34="غياب بعذر"))*('KG1-6'!$AD$7:$IM$7="✓"),'KG1-6'!$AD$5:$IM$5),2),""))</f>
        <v/>
      </c>
      <c r="E3503">
        <f>IF(D3503="","",INDEX('KG1-6'!$AD34:$IM34,MATCH(D3503,'KG1-6'!$AD$5:$IM$5,0)))</f>
        <v/>
      </c>
      <c r="F3503">
        <f>IF(D3503="","",COUNTIFS('KG1-6'!$AD34:$IM34,"غياب بدون عذر",'KG1-6'!$AD$7:$IM$7,"✓",'KG1-6'!$AD$5:$IM$5,"&lt;="&amp;D3503))</f>
        <v/>
      </c>
      <c r="G3503">
        <f>G3502+IF(D3503="",0,1)</f>
        <v/>
      </c>
    </row>
    <row r="3504">
      <c r="A3504">
        <f>IF('KG1-6'!$B34="","",'KG1-6'!$B34)</f>
        <v/>
      </c>
      <c r="B3504">
        <f>IF(A3504="","",'KG1-6'!$C34)</f>
        <v/>
      </c>
      <c r="C3504">
        <f>IF(A3504="","",'KG1-6'!$B$2)</f>
        <v/>
      </c>
      <c r="D3504" s="126">
        <f t="array" ref="D3504">IF(A3504="","",IFERROR(SMALL(IF((('KG1-6'!$AD34:$IM34="غياب بدون عذر")+('KG1-6'!$AD34:$IM34="غياب بعذر"))*('KG1-6'!$AD$7:$IM$7="✓"),'KG1-6'!$AD$5:$IM$5),3),""))</f>
        <v/>
      </c>
      <c r="E3504">
        <f>IF(D3504="","",INDEX('KG1-6'!$AD34:$IM34,MATCH(D3504,'KG1-6'!$AD$5:$IM$5,0)))</f>
        <v/>
      </c>
      <c r="F3504">
        <f>IF(D3504="","",COUNTIFS('KG1-6'!$AD34:$IM34,"غياب بدون عذر",'KG1-6'!$AD$7:$IM$7,"✓",'KG1-6'!$AD$5:$IM$5,"&lt;="&amp;D3504))</f>
        <v/>
      </c>
      <c r="G3504">
        <f>G3503+IF(D3504="",0,1)</f>
        <v/>
      </c>
    </row>
    <row r="3505">
      <c r="A3505">
        <f>IF('KG1-6'!$B34="","",'KG1-6'!$B34)</f>
        <v/>
      </c>
      <c r="B3505">
        <f>IF(A3505="","",'KG1-6'!$C34)</f>
        <v/>
      </c>
      <c r="C3505">
        <f>IF(A3505="","",'KG1-6'!$B$2)</f>
        <v/>
      </c>
      <c r="D3505" s="126">
        <f t="array" ref="D3505">IF(A3505="","",IFERROR(SMALL(IF((('KG1-6'!$AD34:$IM34="غياب بدون عذر")+('KG1-6'!$AD34:$IM34="غياب بعذر"))*('KG1-6'!$AD$7:$IM$7="✓"),'KG1-6'!$AD$5:$IM$5),4),""))</f>
        <v/>
      </c>
      <c r="E3505">
        <f>IF(D3505="","",INDEX('KG1-6'!$AD34:$IM34,MATCH(D3505,'KG1-6'!$AD$5:$IM$5,0)))</f>
        <v/>
      </c>
      <c r="F3505">
        <f>IF(D3505="","",COUNTIFS('KG1-6'!$AD34:$IM34,"غياب بدون عذر",'KG1-6'!$AD$7:$IM$7,"✓",'KG1-6'!$AD$5:$IM$5,"&lt;="&amp;D3505))</f>
        <v/>
      </c>
      <c r="G3505">
        <f>G3504+IF(D3505="",0,1)</f>
        <v/>
      </c>
    </row>
    <row r="3506">
      <c r="A3506">
        <f>IF('KG1-6'!$B34="","",'KG1-6'!$B34)</f>
        <v/>
      </c>
      <c r="B3506">
        <f>IF(A3506="","",'KG1-6'!$C34)</f>
        <v/>
      </c>
      <c r="C3506">
        <f>IF(A3506="","",'KG1-6'!$B$2)</f>
        <v/>
      </c>
      <c r="D3506" s="126">
        <f t="array" ref="D3506">IF(A3506="","",IFERROR(SMALL(IF((('KG1-6'!$AD34:$IM34="غياب بدون عذر")+('KG1-6'!$AD34:$IM34="غياب بعذر"))*('KG1-6'!$AD$7:$IM$7="✓"),'KG1-6'!$AD$5:$IM$5),5),""))</f>
        <v/>
      </c>
      <c r="E3506">
        <f>IF(D3506="","",INDEX('KG1-6'!$AD34:$IM34,MATCH(D3506,'KG1-6'!$AD$5:$IM$5,0)))</f>
        <v/>
      </c>
      <c r="F3506">
        <f>IF(D3506="","",COUNTIFS('KG1-6'!$AD34:$IM34,"غياب بدون عذر",'KG1-6'!$AD$7:$IM$7,"✓",'KG1-6'!$AD$5:$IM$5,"&lt;="&amp;D3506))</f>
        <v/>
      </c>
      <c r="G3506">
        <f>G3505+IF(D3506="",0,1)</f>
        <v/>
      </c>
    </row>
    <row r="3507">
      <c r="A3507">
        <f>IF('KG1-6'!$B34="","",'KG1-6'!$B34)</f>
        <v/>
      </c>
      <c r="B3507">
        <f>IF(A3507="","",'KG1-6'!$C34)</f>
        <v/>
      </c>
      <c r="C3507">
        <f>IF(A3507="","",'KG1-6'!$B$2)</f>
        <v/>
      </c>
      <c r="D3507" s="126">
        <f t="array" ref="D3507">IF(A3507="","",IFERROR(SMALL(IF((('KG1-6'!$AD34:$IM34="غياب بدون عذر")+('KG1-6'!$AD34:$IM34="غياب بعذر"))*('KG1-6'!$AD$7:$IM$7="✓"),'KG1-6'!$AD$5:$IM$5),6),""))</f>
        <v/>
      </c>
      <c r="E3507">
        <f>IF(D3507="","",INDEX('KG1-6'!$AD34:$IM34,MATCH(D3507,'KG1-6'!$AD$5:$IM$5,0)))</f>
        <v/>
      </c>
      <c r="F3507">
        <f>IF(D3507="","",COUNTIFS('KG1-6'!$AD34:$IM34,"غياب بدون عذر",'KG1-6'!$AD$7:$IM$7,"✓",'KG1-6'!$AD$5:$IM$5,"&lt;="&amp;D3507))</f>
        <v/>
      </c>
      <c r="G3507">
        <f>G3506+IF(D3507="",0,1)</f>
        <v/>
      </c>
    </row>
    <row r="3508">
      <c r="A3508">
        <f>IF('KG1-6'!$B34="","",'KG1-6'!$B34)</f>
        <v/>
      </c>
      <c r="B3508">
        <f>IF(A3508="","",'KG1-6'!$C34)</f>
        <v/>
      </c>
      <c r="C3508">
        <f>IF(A3508="","",'KG1-6'!$B$2)</f>
        <v/>
      </c>
      <c r="D3508" s="126">
        <f t="array" ref="D3508">IF(A3508="","",IFERROR(SMALL(IF((('KG1-6'!$AD34:$IM34="غياب بدون عذر")+('KG1-6'!$AD34:$IM34="غياب بعذر"))*('KG1-6'!$AD$7:$IM$7="✓"),'KG1-6'!$AD$5:$IM$5),7),""))</f>
        <v/>
      </c>
      <c r="E3508">
        <f>IF(D3508="","",INDEX('KG1-6'!$AD34:$IM34,MATCH(D3508,'KG1-6'!$AD$5:$IM$5,0)))</f>
        <v/>
      </c>
      <c r="F3508">
        <f>IF(D3508="","",COUNTIFS('KG1-6'!$AD34:$IM34,"غياب بدون عذر",'KG1-6'!$AD$7:$IM$7,"✓",'KG1-6'!$AD$5:$IM$5,"&lt;="&amp;D3508))</f>
        <v/>
      </c>
      <c r="G3508">
        <f>G3507+IF(D3508="",0,1)</f>
        <v/>
      </c>
    </row>
    <row r="3509">
      <c r="A3509">
        <f>IF('KG1-6'!$B34="","",'KG1-6'!$B34)</f>
        <v/>
      </c>
      <c r="B3509">
        <f>IF(A3509="","",'KG1-6'!$C34)</f>
        <v/>
      </c>
      <c r="C3509">
        <f>IF(A3509="","",'KG1-6'!$B$2)</f>
        <v/>
      </c>
      <c r="D3509" s="126">
        <f t="array" ref="D3509">IF(A3509="","",IFERROR(SMALL(IF((('KG1-6'!$AD34:$IM34="غياب بدون عذر")+('KG1-6'!$AD34:$IM34="غياب بعذر"))*('KG1-6'!$AD$7:$IM$7="✓"),'KG1-6'!$AD$5:$IM$5),8),""))</f>
        <v/>
      </c>
      <c r="E3509">
        <f>IF(D3509="","",INDEX('KG1-6'!$AD34:$IM34,MATCH(D3509,'KG1-6'!$AD$5:$IM$5,0)))</f>
        <v/>
      </c>
      <c r="F3509">
        <f>IF(D3509="","",COUNTIFS('KG1-6'!$AD34:$IM34,"غياب بدون عذر",'KG1-6'!$AD$7:$IM$7,"✓",'KG1-6'!$AD$5:$IM$5,"&lt;="&amp;D3509))</f>
        <v/>
      </c>
      <c r="G3509">
        <f>G3508+IF(D3509="",0,1)</f>
        <v/>
      </c>
    </row>
    <row r="3510">
      <c r="A3510">
        <f>IF('KG1-6'!$B34="","",'KG1-6'!$B34)</f>
        <v/>
      </c>
      <c r="B3510">
        <f>IF(A3510="","",'KG1-6'!$C34)</f>
        <v/>
      </c>
      <c r="C3510">
        <f>IF(A3510="","",'KG1-6'!$B$2)</f>
        <v/>
      </c>
      <c r="D3510" s="126">
        <f t="array" ref="D3510">IF(A3510="","",IFERROR(SMALL(IF((('KG1-6'!$AD34:$IM34="غياب بدون عذر")+('KG1-6'!$AD34:$IM34="غياب بعذر"))*('KG1-6'!$AD$7:$IM$7="✓"),'KG1-6'!$AD$5:$IM$5),9),""))</f>
        <v/>
      </c>
      <c r="E3510">
        <f>IF(D3510="","",INDEX('KG1-6'!$AD34:$IM34,MATCH(D3510,'KG1-6'!$AD$5:$IM$5,0)))</f>
        <v/>
      </c>
      <c r="F3510">
        <f>IF(D3510="","",COUNTIFS('KG1-6'!$AD34:$IM34,"غياب بدون عذر",'KG1-6'!$AD$7:$IM$7,"✓",'KG1-6'!$AD$5:$IM$5,"&lt;="&amp;D3510))</f>
        <v/>
      </c>
      <c r="G3510">
        <f>G3509+IF(D3510="",0,1)</f>
        <v/>
      </c>
    </row>
    <row r="3511">
      <c r="A3511">
        <f>IF('KG1-6'!$B34="","",'KG1-6'!$B34)</f>
        <v/>
      </c>
      <c r="B3511">
        <f>IF(A3511="","",'KG1-6'!$C34)</f>
        <v/>
      </c>
      <c r="C3511">
        <f>IF(A3511="","",'KG1-6'!$B$2)</f>
        <v/>
      </c>
      <c r="D3511" s="126">
        <f t="array" ref="D3511">IF(A3511="","",IFERROR(SMALL(IF((('KG1-6'!$AD34:$IM34="غياب بدون عذر")+('KG1-6'!$AD34:$IM34="غياب بعذر"))*('KG1-6'!$AD$7:$IM$7="✓"),'KG1-6'!$AD$5:$IM$5),10),""))</f>
        <v/>
      </c>
      <c r="E3511">
        <f>IF(D3511="","",INDEX('KG1-6'!$AD34:$IM34,MATCH(D3511,'KG1-6'!$AD$5:$IM$5,0)))</f>
        <v/>
      </c>
      <c r="F3511">
        <f>IF(D3511="","",COUNTIFS('KG1-6'!$AD34:$IM34,"غياب بدون عذر",'KG1-6'!$AD$7:$IM$7,"✓",'KG1-6'!$AD$5:$IM$5,"&lt;="&amp;D3511))</f>
        <v/>
      </c>
      <c r="G3511">
        <f>G3510+IF(D3511="",0,1)</f>
        <v/>
      </c>
    </row>
    <row r="3512">
      <c r="A3512">
        <f>IF('KG1-6'!$B34="","",'KG1-6'!$B34)</f>
        <v/>
      </c>
      <c r="B3512">
        <f>IF(A3512="","",'KG1-6'!$C34)</f>
        <v/>
      </c>
      <c r="C3512">
        <f>IF(A3512="","",'KG1-6'!$B$2)</f>
        <v/>
      </c>
      <c r="D3512" s="126">
        <f t="array" ref="D3512">IF(A3512="","",IFERROR(SMALL(IF((('KG1-6'!$AD34:$IM34="غياب بدون عذر")+('KG1-6'!$AD34:$IM34="غياب بعذر"))*('KG1-6'!$AD$7:$IM$7="✓"),'KG1-6'!$AD$5:$IM$5),11),""))</f>
        <v/>
      </c>
      <c r="E3512">
        <f>IF(D3512="","",INDEX('KG1-6'!$AD34:$IM34,MATCH(D3512,'KG1-6'!$AD$5:$IM$5,0)))</f>
        <v/>
      </c>
      <c r="F3512">
        <f>IF(D3512="","",COUNTIFS('KG1-6'!$AD34:$IM34,"غياب بدون عذر",'KG1-6'!$AD$7:$IM$7,"✓",'KG1-6'!$AD$5:$IM$5,"&lt;="&amp;D3512))</f>
        <v/>
      </c>
      <c r="G3512">
        <f>G3511+IF(D3512="",0,1)</f>
        <v/>
      </c>
    </row>
    <row r="3513">
      <c r="A3513">
        <f>IF('KG1-6'!$B34="","",'KG1-6'!$B34)</f>
        <v/>
      </c>
      <c r="B3513">
        <f>IF(A3513="","",'KG1-6'!$C34)</f>
        <v/>
      </c>
      <c r="C3513">
        <f>IF(A3513="","",'KG1-6'!$B$2)</f>
        <v/>
      </c>
      <c r="D3513" s="126">
        <f t="array" ref="D3513">IF(A3513="","",IFERROR(SMALL(IF((('KG1-6'!$AD34:$IM34="غياب بدون عذر")+('KG1-6'!$AD34:$IM34="غياب بعذر"))*('KG1-6'!$AD$7:$IM$7="✓"),'KG1-6'!$AD$5:$IM$5),12),""))</f>
        <v/>
      </c>
      <c r="E3513">
        <f>IF(D3513="","",INDEX('KG1-6'!$AD34:$IM34,MATCH(D3513,'KG1-6'!$AD$5:$IM$5,0)))</f>
        <v/>
      </c>
      <c r="F3513">
        <f>IF(D3513="","",COUNTIFS('KG1-6'!$AD34:$IM34,"غياب بدون عذر",'KG1-6'!$AD$7:$IM$7,"✓",'KG1-6'!$AD$5:$IM$5,"&lt;="&amp;D3513))</f>
        <v/>
      </c>
      <c r="G3513">
        <f>G3512+IF(D3513="",0,1)</f>
        <v/>
      </c>
    </row>
    <row r="3514">
      <c r="A3514">
        <f>IF('KG1-6'!$B34="","",'KG1-6'!$B34)</f>
        <v/>
      </c>
      <c r="B3514">
        <f>IF(A3514="","",'KG1-6'!$C34)</f>
        <v/>
      </c>
      <c r="C3514">
        <f>IF(A3514="","",'KG1-6'!$B$2)</f>
        <v/>
      </c>
      <c r="D3514" s="126">
        <f t="array" ref="D3514">IF(A3514="","",IFERROR(SMALL(IF((('KG1-6'!$AD34:$IM34="غياب بدون عذر")+('KG1-6'!$AD34:$IM34="غياب بعذر"))*('KG1-6'!$AD$7:$IM$7="✓"),'KG1-6'!$AD$5:$IM$5),13),""))</f>
        <v/>
      </c>
      <c r="E3514">
        <f>IF(D3514="","",INDEX('KG1-6'!$AD34:$IM34,MATCH(D3514,'KG1-6'!$AD$5:$IM$5,0)))</f>
        <v/>
      </c>
      <c r="F3514">
        <f>IF(D3514="","",COUNTIFS('KG1-6'!$AD34:$IM34,"غياب بدون عذر",'KG1-6'!$AD$7:$IM$7,"✓",'KG1-6'!$AD$5:$IM$5,"&lt;="&amp;D3514))</f>
        <v/>
      </c>
      <c r="G3514">
        <f>G3513+IF(D3514="",0,1)</f>
        <v/>
      </c>
    </row>
    <row r="3515">
      <c r="A3515">
        <f>IF('KG1-6'!$B34="","",'KG1-6'!$B34)</f>
        <v/>
      </c>
      <c r="B3515">
        <f>IF(A3515="","",'KG1-6'!$C34)</f>
        <v/>
      </c>
      <c r="C3515">
        <f>IF(A3515="","",'KG1-6'!$B$2)</f>
        <v/>
      </c>
      <c r="D3515" s="126">
        <f t="array" ref="D3515">IF(A3515="","",IFERROR(SMALL(IF((('KG1-6'!$AD34:$IM34="غياب بدون عذر")+('KG1-6'!$AD34:$IM34="غياب بعذر"))*('KG1-6'!$AD$7:$IM$7="✓"),'KG1-6'!$AD$5:$IM$5),14),""))</f>
        <v/>
      </c>
      <c r="E3515">
        <f>IF(D3515="","",INDEX('KG1-6'!$AD34:$IM34,MATCH(D3515,'KG1-6'!$AD$5:$IM$5,0)))</f>
        <v/>
      </c>
      <c r="F3515">
        <f>IF(D3515="","",COUNTIFS('KG1-6'!$AD34:$IM34,"غياب بدون عذر",'KG1-6'!$AD$7:$IM$7,"✓",'KG1-6'!$AD$5:$IM$5,"&lt;="&amp;D3515))</f>
        <v/>
      </c>
      <c r="G3515">
        <f>G3514+IF(D3515="",0,1)</f>
        <v/>
      </c>
    </row>
    <row r="3516">
      <c r="A3516">
        <f>IF('KG1-6'!$B34="","",'KG1-6'!$B34)</f>
        <v/>
      </c>
      <c r="B3516">
        <f>IF(A3516="","",'KG1-6'!$C34)</f>
        <v/>
      </c>
      <c r="C3516">
        <f>IF(A3516="","",'KG1-6'!$B$2)</f>
        <v/>
      </c>
      <c r="D3516" s="126">
        <f t="array" ref="D3516">IF(A3516="","",IFERROR(SMALL(IF((('KG1-6'!$AD34:$IM34="غياب بدون عذر")+('KG1-6'!$AD34:$IM34="غياب بعذر"))*('KG1-6'!$AD$7:$IM$7="✓"),'KG1-6'!$AD$5:$IM$5),15),""))</f>
        <v/>
      </c>
      <c r="E3516">
        <f>IF(D3516="","",INDEX('KG1-6'!$AD34:$IM34,MATCH(D3516,'KG1-6'!$AD$5:$IM$5,0)))</f>
        <v/>
      </c>
      <c r="F3516">
        <f>IF(D3516="","",COUNTIFS('KG1-6'!$AD34:$IM34,"غياب بدون عذر",'KG1-6'!$AD$7:$IM$7,"✓",'KG1-6'!$AD$5:$IM$5,"&lt;="&amp;D3516))</f>
        <v/>
      </c>
      <c r="G3516">
        <f>G3515+IF(D3516="",0,1)</f>
        <v/>
      </c>
    </row>
    <row r="3517">
      <c r="A3517">
        <f>IF('KG1-6'!$B34="","",'KG1-6'!$B34)</f>
        <v/>
      </c>
      <c r="B3517">
        <f>IF(A3517="","",'KG1-6'!$C34)</f>
        <v/>
      </c>
      <c r="C3517">
        <f>IF(A3517="","",'KG1-6'!$B$2)</f>
        <v/>
      </c>
      <c r="D3517" s="126">
        <f t="array" ref="D3517">IF(A3517="","",IFERROR(SMALL(IF((('KG1-6'!$AD34:$IM34="غياب بدون عذر")+('KG1-6'!$AD34:$IM34="غياب بعذر"))*('KG1-6'!$AD$7:$IM$7="✓"),'KG1-6'!$AD$5:$IM$5),16),""))</f>
        <v/>
      </c>
      <c r="E3517">
        <f>IF(D3517="","",INDEX('KG1-6'!$AD34:$IM34,MATCH(D3517,'KG1-6'!$AD$5:$IM$5,0)))</f>
        <v/>
      </c>
      <c r="F3517">
        <f>IF(D3517="","",COUNTIFS('KG1-6'!$AD34:$IM34,"غياب بدون عذر",'KG1-6'!$AD$7:$IM$7,"✓",'KG1-6'!$AD$5:$IM$5,"&lt;="&amp;D3517))</f>
        <v/>
      </c>
      <c r="G3517">
        <f>G3516+IF(D3517="",0,1)</f>
        <v/>
      </c>
    </row>
    <row r="3518">
      <c r="A3518">
        <f>IF('KG1-6'!$B34="","",'KG1-6'!$B34)</f>
        <v/>
      </c>
      <c r="B3518">
        <f>IF(A3518="","",'KG1-6'!$C34)</f>
        <v/>
      </c>
      <c r="C3518">
        <f>IF(A3518="","",'KG1-6'!$B$2)</f>
        <v/>
      </c>
      <c r="D3518" s="126">
        <f t="array" ref="D3518">IF(A3518="","",IFERROR(SMALL(IF((('KG1-6'!$AD34:$IM34="غياب بدون عذر")+('KG1-6'!$AD34:$IM34="غياب بعذر"))*('KG1-6'!$AD$7:$IM$7="✓"),'KG1-6'!$AD$5:$IM$5),17),""))</f>
        <v/>
      </c>
      <c r="E3518">
        <f>IF(D3518="","",INDEX('KG1-6'!$AD34:$IM34,MATCH(D3518,'KG1-6'!$AD$5:$IM$5,0)))</f>
        <v/>
      </c>
      <c r="F3518">
        <f>IF(D3518="","",COUNTIFS('KG1-6'!$AD34:$IM34,"غياب بدون عذر",'KG1-6'!$AD$7:$IM$7,"✓",'KG1-6'!$AD$5:$IM$5,"&lt;="&amp;D3518))</f>
        <v/>
      </c>
      <c r="G3518">
        <f>G3517+IF(D3518="",0,1)</f>
        <v/>
      </c>
    </row>
    <row r="3519">
      <c r="A3519">
        <f>IF('KG1-6'!$B34="","",'KG1-6'!$B34)</f>
        <v/>
      </c>
      <c r="B3519">
        <f>IF(A3519="","",'KG1-6'!$C34)</f>
        <v/>
      </c>
      <c r="C3519">
        <f>IF(A3519="","",'KG1-6'!$B$2)</f>
        <v/>
      </c>
      <c r="D3519" s="126">
        <f t="array" ref="D3519">IF(A3519="","",IFERROR(SMALL(IF((('KG1-6'!$AD34:$IM34="غياب بدون عذر")+('KG1-6'!$AD34:$IM34="غياب بعذر"))*('KG1-6'!$AD$7:$IM$7="✓"),'KG1-6'!$AD$5:$IM$5),18),""))</f>
        <v/>
      </c>
      <c r="E3519">
        <f>IF(D3519="","",INDEX('KG1-6'!$AD34:$IM34,MATCH(D3519,'KG1-6'!$AD$5:$IM$5,0)))</f>
        <v/>
      </c>
      <c r="F3519">
        <f>IF(D3519="","",COUNTIFS('KG1-6'!$AD34:$IM34,"غياب بدون عذر",'KG1-6'!$AD$7:$IM$7,"✓",'KG1-6'!$AD$5:$IM$5,"&lt;="&amp;D3519))</f>
        <v/>
      </c>
      <c r="G3519">
        <f>G3518+IF(D3519="",0,1)</f>
        <v/>
      </c>
    </row>
    <row r="3520">
      <c r="A3520">
        <f>IF('KG1-6'!$B34="","",'KG1-6'!$B34)</f>
        <v/>
      </c>
      <c r="B3520">
        <f>IF(A3520="","",'KG1-6'!$C34)</f>
        <v/>
      </c>
      <c r="C3520">
        <f>IF(A3520="","",'KG1-6'!$B$2)</f>
        <v/>
      </c>
      <c r="D3520" s="126">
        <f t="array" ref="D3520">IF(A3520="","",IFERROR(SMALL(IF((('KG1-6'!$AD34:$IM34="غياب بدون عذر")+('KG1-6'!$AD34:$IM34="غياب بعذر"))*('KG1-6'!$AD$7:$IM$7="✓"),'KG1-6'!$AD$5:$IM$5),19),""))</f>
        <v/>
      </c>
      <c r="E3520">
        <f>IF(D3520="","",INDEX('KG1-6'!$AD34:$IM34,MATCH(D3520,'KG1-6'!$AD$5:$IM$5,0)))</f>
        <v/>
      </c>
      <c r="F3520">
        <f>IF(D3520="","",COUNTIFS('KG1-6'!$AD34:$IM34,"غياب بدون عذر",'KG1-6'!$AD$7:$IM$7,"✓",'KG1-6'!$AD$5:$IM$5,"&lt;="&amp;D3520))</f>
        <v/>
      </c>
      <c r="G3520">
        <f>G3519+IF(D3520="",0,1)</f>
        <v/>
      </c>
    </row>
    <row r="3521">
      <c r="A3521">
        <f>IF('KG1-6'!$B34="","",'KG1-6'!$B34)</f>
        <v/>
      </c>
      <c r="B3521">
        <f>IF(A3521="","",'KG1-6'!$C34)</f>
        <v/>
      </c>
      <c r="C3521">
        <f>IF(A3521="","",'KG1-6'!$B$2)</f>
        <v/>
      </c>
      <c r="D3521" s="126">
        <f t="array" ref="D3521">IF(A3521="","",IFERROR(SMALL(IF((('KG1-6'!$AD34:$IM34="غياب بدون عذر")+('KG1-6'!$AD34:$IM34="غياب بعذر"))*('KG1-6'!$AD$7:$IM$7="✓"),'KG1-6'!$AD$5:$IM$5),20),""))</f>
        <v/>
      </c>
      <c r="E3521">
        <f>IF(D3521="","",INDEX('KG1-6'!$AD34:$IM34,MATCH(D3521,'KG1-6'!$AD$5:$IM$5,0)))</f>
        <v/>
      </c>
      <c r="F3521">
        <f>IF(D3521="","",COUNTIFS('KG1-6'!$AD34:$IM34,"غياب بدون عذر",'KG1-6'!$AD$7:$IM$7,"✓",'KG1-6'!$AD$5:$IM$5,"&lt;="&amp;D3521))</f>
        <v/>
      </c>
      <c r="G3521">
        <f>G3520+IF(D3521="",0,1)</f>
        <v/>
      </c>
    </row>
    <row r="3522">
      <c r="A3522">
        <f>IF('KG1-6'!$B35="","",'KG1-6'!$B35)</f>
        <v/>
      </c>
      <c r="B3522">
        <f>IF(A3522="","",'KG1-6'!$C35)</f>
        <v/>
      </c>
      <c r="C3522">
        <f>IF(A3522="","",'KG1-6'!$B$2)</f>
        <v/>
      </c>
      <c r="D3522" s="126">
        <f t="array" ref="D3522">IF(A3522="","",IFERROR(SMALL(IF((('KG1-6'!$AD35:$IM35="غياب بدون عذر")+('KG1-6'!$AD35:$IM35="غياب بعذر"))*('KG1-6'!$AD$7:$IM$7="✓"),'KG1-6'!$AD$5:$IM$5),1),""))</f>
        <v/>
      </c>
      <c r="E3522">
        <f>IF(D3522="","",INDEX('KG1-6'!$AD35:$IM35,MATCH(D3522,'KG1-6'!$AD$5:$IM$5,0)))</f>
        <v/>
      </c>
      <c r="F3522">
        <f>IF(D3522="","",COUNTIFS('KG1-6'!$AD35:$IM35,"غياب بدون عذر",'KG1-6'!$AD$7:$IM$7,"✓",'KG1-6'!$AD$5:$IM$5,"&lt;="&amp;D3522))</f>
        <v/>
      </c>
      <c r="G3522">
        <f>G3521+IF(D3522="",0,1)</f>
        <v/>
      </c>
    </row>
    <row r="3523">
      <c r="A3523">
        <f>IF('KG1-6'!$B35="","",'KG1-6'!$B35)</f>
        <v/>
      </c>
      <c r="B3523">
        <f>IF(A3523="","",'KG1-6'!$C35)</f>
        <v/>
      </c>
      <c r="C3523">
        <f>IF(A3523="","",'KG1-6'!$B$2)</f>
        <v/>
      </c>
      <c r="D3523" s="126">
        <f t="array" ref="D3523">IF(A3523="","",IFERROR(SMALL(IF((('KG1-6'!$AD35:$IM35="غياب بدون عذر")+('KG1-6'!$AD35:$IM35="غياب بعذر"))*('KG1-6'!$AD$7:$IM$7="✓"),'KG1-6'!$AD$5:$IM$5),2),""))</f>
        <v/>
      </c>
      <c r="E3523">
        <f>IF(D3523="","",INDEX('KG1-6'!$AD35:$IM35,MATCH(D3523,'KG1-6'!$AD$5:$IM$5,0)))</f>
        <v/>
      </c>
      <c r="F3523">
        <f>IF(D3523="","",COUNTIFS('KG1-6'!$AD35:$IM35,"غياب بدون عذر",'KG1-6'!$AD$7:$IM$7,"✓",'KG1-6'!$AD$5:$IM$5,"&lt;="&amp;D3523))</f>
        <v/>
      </c>
      <c r="G3523">
        <f>G3522+IF(D3523="",0,1)</f>
        <v/>
      </c>
    </row>
    <row r="3524">
      <c r="A3524">
        <f>IF('KG1-6'!$B35="","",'KG1-6'!$B35)</f>
        <v/>
      </c>
      <c r="B3524">
        <f>IF(A3524="","",'KG1-6'!$C35)</f>
        <v/>
      </c>
      <c r="C3524">
        <f>IF(A3524="","",'KG1-6'!$B$2)</f>
        <v/>
      </c>
      <c r="D3524" s="126">
        <f t="array" ref="D3524">IF(A3524="","",IFERROR(SMALL(IF((('KG1-6'!$AD35:$IM35="غياب بدون عذر")+('KG1-6'!$AD35:$IM35="غياب بعذر"))*('KG1-6'!$AD$7:$IM$7="✓"),'KG1-6'!$AD$5:$IM$5),3),""))</f>
        <v/>
      </c>
      <c r="E3524">
        <f>IF(D3524="","",INDEX('KG1-6'!$AD35:$IM35,MATCH(D3524,'KG1-6'!$AD$5:$IM$5,0)))</f>
        <v/>
      </c>
      <c r="F3524">
        <f>IF(D3524="","",COUNTIFS('KG1-6'!$AD35:$IM35,"غياب بدون عذر",'KG1-6'!$AD$7:$IM$7,"✓",'KG1-6'!$AD$5:$IM$5,"&lt;="&amp;D3524))</f>
        <v/>
      </c>
      <c r="G3524">
        <f>G3523+IF(D3524="",0,1)</f>
        <v/>
      </c>
    </row>
    <row r="3525">
      <c r="A3525">
        <f>IF('KG1-6'!$B35="","",'KG1-6'!$B35)</f>
        <v/>
      </c>
      <c r="B3525">
        <f>IF(A3525="","",'KG1-6'!$C35)</f>
        <v/>
      </c>
      <c r="C3525">
        <f>IF(A3525="","",'KG1-6'!$B$2)</f>
        <v/>
      </c>
      <c r="D3525" s="126">
        <f t="array" ref="D3525">IF(A3525="","",IFERROR(SMALL(IF((('KG1-6'!$AD35:$IM35="غياب بدون عذر")+('KG1-6'!$AD35:$IM35="غياب بعذر"))*('KG1-6'!$AD$7:$IM$7="✓"),'KG1-6'!$AD$5:$IM$5),4),""))</f>
        <v/>
      </c>
      <c r="E3525">
        <f>IF(D3525="","",INDEX('KG1-6'!$AD35:$IM35,MATCH(D3525,'KG1-6'!$AD$5:$IM$5,0)))</f>
        <v/>
      </c>
      <c r="F3525">
        <f>IF(D3525="","",COUNTIFS('KG1-6'!$AD35:$IM35,"غياب بدون عذر",'KG1-6'!$AD$7:$IM$7,"✓",'KG1-6'!$AD$5:$IM$5,"&lt;="&amp;D3525))</f>
        <v/>
      </c>
      <c r="G3525">
        <f>G3524+IF(D3525="",0,1)</f>
        <v/>
      </c>
    </row>
    <row r="3526">
      <c r="A3526">
        <f>IF('KG1-6'!$B35="","",'KG1-6'!$B35)</f>
        <v/>
      </c>
      <c r="B3526">
        <f>IF(A3526="","",'KG1-6'!$C35)</f>
        <v/>
      </c>
      <c r="C3526">
        <f>IF(A3526="","",'KG1-6'!$B$2)</f>
        <v/>
      </c>
      <c r="D3526" s="126">
        <f t="array" ref="D3526">IF(A3526="","",IFERROR(SMALL(IF((('KG1-6'!$AD35:$IM35="غياب بدون عذر")+('KG1-6'!$AD35:$IM35="غياب بعذر"))*('KG1-6'!$AD$7:$IM$7="✓"),'KG1-6'!$AD$5:$IM$5),5),""))</f>
        <v/>
      </c>
      <c r="E3526">
        <f>IF(D3526="","",INDEX('KG1-6'!$AD35:$IM35,MATCH(D3526,'KG1-6'!$AD$5:$IM$5,0)))</f>
        <v/>
      </c>
      <c r="F3526">
        <f>IF(D3526="","",COUNTIFS('KG1-6'!$AD35:$IM35,"غياب بدون عذر",'KG1-6'!$AD$7:$IM$7,"✓",'KG1-6'!$AD$5:$IM$5,"&lt;="&amp;D3526))</f>
        <v/>
      </c>
      <c r="G3526">
        <f>G3525+IF(D3526="",0,1)</f>
        <v/>
      </c>
    </row>
    <row r="3527">
      <c r="A3527">
        <f>IF('KG1-6'!$B35="","",'KG1-6'!$B35)</f>
        <v/>
      </c>
      <c r="B3527">
        <f>IF(A3527="","",'KG1-6'!$C35)</f>
        <v/>
      </c>
      <c r="C3527">
        <f>IF(A3527="","",'KG1-6'!$B$2)</f>
        <v/>
      </c>
      <c r="D3527" s="126">
        <f t="array" ref="D3527">IF(A3527="","",IFERROR(SMALL(IF((('KG1-6'!$AD35:$IM35="غياب بدون عذر")+('KG1-6'!$AD35:$IM35="غياب بعذر"))*('KG1-6'!$AD$7:$IM$7="✓"),'KG1-6'!$AD$5:$IM$5),6),""))</f>
        <v/>
      </c>
      <c r="E3527">
        <f>IF(D3527="","",INDEX('KG1-6'!$AD35:$IM35,MATCH(D3527,'KG1-6'!$AD$5:$IM$5,0)))</f>
        <v/>
      </c>
      <c r="F3527">
        <f>IF(D3527="","",COUNTIFS('KG1-6'!$AD35:$IM35,"غياب بدون عذر",'KG1-6'!$AD$7:$IM$7,"✓",'KG1-6'!$AD$5:$IM$5,"&lt;="&amp;D3527))</f>
        <v/>
      </c>
      <c r="G3527">
        <f>G3526+IF(D3527="",0,1)</f>
        <v/>
      </c>
    </row>
    <row r="3528">
      <c r="A3528">
        <f>IF('KG1-6'!$B35="","",'KG1-6'!$B35)</f>
        <v/>
      </c>
      <c r="B3528">
        <f>IF(A3528="","",'KG1-6'!$C35)</f>
        <v/>
      </c>
      <c r="C3528">
        <f>IF(A3528="","",'KG1-6'!$B$2)</f>
        <v/>
      </c>
      <c r="D3528" s="126">
        <f t="array" ref="D3528">IF(A3528="","",IFERROR(SMALL(IF((('KG1-6'!$AD35:$IM35="غياب بدون عذر")+('KG1-6'!$AD35:$IM35="غياب بعذر"))*('KG1-6'!$AD$7:$IM$7="✓"),'KG1-6'!$AD$5:$IM$5),7),""))</f>
        <v/>
      </c>
      <c r="E3528">
        <f>IF(D3528="","",INDEX('KG1-6'!$AD35:$IM35,MATCH(D3528,'KG1-6'!$AD$5:$IM$5,0)))</f>
        <v/>
      </c>
      <c r="F3528">
        <f>IF(D3528="","",COUNTIFS('KG1-6'!$AD35:$IM35,"غياب بدون عذر",'KG1-6'!$AD$7:$IM$7,"✓",'KG1-6'!$AD$5:$IM$5,"&lt;="&amp;D3528))</f>
        <v/>
      </c>
      <c r="G3528">
        <f>G3527+IF(D3528="",0,1)</f>
        <v/>
      </c>
    </row>
    <row r="3529">
      <c r="A3529">
        <f>IF('KG1-6'!$B35="","",'KG1-6'!$B35)</f>
        <v/>
      </c>
      <c r="B3529">
        <f>IF(A3529="","",'KG1-6'!$C35)</f>
        <v/>
      </c>
      <c r="C3529">
        <f>IF(A3529="","",'KG1-6'!$B$2)</f>
        <v/>
      </c>
      <c r="D3529" s="126">
        <f t="array" ref="D3529">IF(A3529="","",IFERROR(SMALL(IF((('KG1-6'!$AD35:$IM35="غياب بدون عذر")+('KG1-6'!$AD35:$IM35="غياب بعذر"))*('KG1-6'!$AD$7:$IM$7="✓"),'KG1-6'!$AD$5:$IM$5),8),""))</f>
        <v/>
      </c>
      <c r="E3529">
        <f>IF(D3529="","",INDEX('KG1-6'!$AD35:$IM35,MATCH(D3529,'KG1-6'!$AD$5:$IM$5,0)))</f>
        <v/>
      </c>
      <c r="F3529">
        <f>IF(D3529="","",COUNTIFS('KG1-6'!$AD35:$IM35,"غياب بدون عذر",'KG1-6'!$AD$7:$IM$7,"✓",'KG1-6'!$AD$5:$IM$5,"&lt;="&amp;D3529))</f>
        <v/>
      </c>
      <c r="G3529">
        <f>G3528+IF(D3529="",0,1)</f>
        <v/>
      </c>
    </row>
    <row r="3530">
      <c r="A3530">
        <f>IF('KG1-6'!$B35="","",'KG1-6'!$B35)</f>
        <v/>
      </c>
      <c r="B3530">
        <f>IF(A3530="","",'KG1-6'!$C35)</f>
        <v/>
      </c>
      <c r="C3530">
        <f>IF(A3530="","",'KG1-6'!$B$2)</f>
        <v/>
      </c>
      <c r="D3530" s="126">
        <f t="array" ref="D3530">IF(A3530="","",IFERROR(SMALL(IF((('KG1-6'!$AD35:$IM35="غياب بدون عذر")+('KG1-6'!$AD35:$IM35="غياب بعذر"))*('KG1-6'!$AD$7:$IM$7="✓"),'KG1-6'!$AD$5:$IM$5),9),""))</f>
        <v/>
      </c>
      <c r="E3530">
        <f>IF(D3530="","",INDEX('KG1-6'!$AD35:$IM35,MATCH(D3530,'KG1-6'!$AD$5:$IM$5,0)))</f>
        <v/>
      </c>
      <c r="F3530">
        <f>IF(D3530="","",COUNTIFS('KG1-6'!$AD35:$IM35,"غياب بدون عذر",'KG1-6'!$AD$7:$IM$7,"✓",'KG1-6'!$AD$5:$IM$5,"&lt;="&amp;D3530))</f>
        <v/>
      </c>
      <c r="G3530">
        <f>G3529+IF(D3530="",0,1)</f>
        <v/>
      </c>
    </row>
    <row r="3531">
      <c r="A3531">
        <f>IF('KG1-6'!$B35="","",'KG1-6'!$B35)</f>
        <v/>
      </c>
      <c r="B3531">
        <f>IF(A3531="","",'KG1-6'!$C35)</f>
        <v/>
      </c>
      <c r="C3531">
        <f>IF(A3531="","",'KG1-6'!$B$2)</f>
        <v/>
      </c>
      <c r="D3531" s="126">
        <f t="array" ref="D3531">IF(A3531="","",IFERROR(SMALL(IF((('KG1-6'!$AD35:$IM35="غياب بدون عذر")+('KG1-6'!$AD35:$IM35="غياب بعذر"))*('KG1-6'!$AD$7:$IM$7="✓"),'KG1-6'!$AD$5:$IM$5),10),""))</f>
        <v/>
      </c>
      <c r="E3531">
        <f>IF(D3531="","",INDEX('KG1-6'!$AD35:$IM35,MATCH(D3531,'KG1-6'!$AD$5:$IM$5,0)))</f>
        <v/>
      </c>
      <c r="F3531">
        <f>IF(D3531="","",COUNTIFS('KG1-6'!$AD35:$IM35,"غياب بدون عذر",'KG1-6'!$AD$7:$IM$7,"✓",'KG1-6'!$AD$5:$IM$5,"&lt;="&amp;D3531))</f>
        <v/>
      </c>
      <c r="G3531">
        <f>G3530+IF(D3531="",0,1)</f>
        <v/>
      </c>
    </row>
    <row r="3532">
      <c r="A3532">
        <f>IF('KG1-6'!$B35="","",'KG1-6'!$B35)</f>
        <v/>
      </c>
      <c r="B3532">
        <f>IF(A3532="","",'KG1-6'!$C35)</f>
        <v/>
      </c>
      <c r="C3532">
        <f>IF(A3532="","",'KG1-6'!$B$2)</f>
        <v/>
      </c>
      <c r="D3532" s="126">
        <f t="array" ref="D3532">IF(A3532="","",IFERROR(SMALL(IF((('KG1-6'!$AD35:$IM35="غياب بدون عذر")+('KG1-6'!$AD35:$IM35="غياب بعذر"))*('KG1-6'!$AD$7:$IM$7="✓"),'KG1-6'!$AD$5:$IM$5),11),""))</f>
        <v/>
      </c>
      <c r="E3532">
        <f>IF(D3532="","",INDEX('KG1-6'!$AD35:$IM35,MATCH(D3532,'KG1-6'!$AD$5:$IM$5,0)))</f>
        <v/>
      </c>
      <c r="F3532">
        <f>IF(D3532="","",COUNTIFS('KG1-6'!$AD35:$IM35,"غياب بدون عذر",'KG1-6'!$AD$7:$IM$7,"✓",'KG1-6'!$AD$5:$IM$5,"&lt;="&amp;D3532))</f>
        <v/>
      </c>
      <c r="G3532">
        <f>G3531+IF(D3532="",0,1)</f>
        <v/>
      </c>
    </row>
    <row r="3533">
      <c r="A3533">
        <f>IF('KG1-6'!$B35="","",'KG1-6'!$B35)</f>
        <v/>
      </c>
      <c r="B3533">
        <f>IF(A3533="","",'KG1-6'!$C35)</f>
        <v/>
      </c>
      <c r="C3533">
        <f>IF(A3533="","",'KG1-6'!$B$2)</f>
        <v/>
      </c>
      <c r="D3533" s="126">
        <f t="array" ref="D3533">IF(A3533="","",IFERROR(SMALL(IF((('KG1-6'!$AD35:$IM35="غياب بدون عذر")+('KG1-6'!$AD35:$IM35="غياب بعذر"))*('KG1-6'!$AD$7:$IM$7="✓"),'KG1-6'!$AD$5:$IM$5),12),""))</f>
        <v/>
      </c>
      <c r="E3533">
        <f>IF(D3533="","",INDEX('KG1-6'!$AD35:$IM35,MATCH(D3533,'KG1-6'!$AD$5:$IM$5,0)))</f>
        <v/>
      </c>
      <c r="F3533">
        <f>IF(D3533="","",COUNTIFS('KG1-6'!$AD35:$IM35,"غياب بدون عذر",'KG1-6'!$AD$7:$IM$7,"✓",'KG1-6'!$AD$5:$IM$5,"&lt;="&amp;D3533))</f>
        <v/>
      </c>
      <c r="G3533">
        <f>G3532+IF(D3533="",0,1)</f>
        <v/>
      </c>
    </row>
    <row r="3534">
      <c r="A3534">
        <f>IF('KG1-6'!$B35="","",'KG1-6'!$B35)</f>
        <v/>
      </c>
      <c r="B3534">
        <f>IF(A3534="","",'KG1-6'!$C35)</f>
        <v/>
      </c>
      <c r="C3534">
        <f>IF(A3534="","",'KG1-6'!$B$2)</f>
        <v/>
      </c>
      <c r="D3534" s="126">
        <f t="array" ref="D3534">IF(A3534="","",IFERROR(SMALL(IF((('KG1-6'!$AD35:$IM35="غياب بدون عذر")+('KG1-6'!$AD35:$IM35="غياب بعذر"))*('KG1-6'!$AD$7:$IM$7="✓"),'KG1-6'!$AD$5:$IM$5),13),""))</f>
        <v/>
      </c>
      <c r="E3534">
        <f>IF(D3534="","",INDEX('KG1-6'!$AD35:$IM35,MATCH(D3534,'KG1-6'!$AD$5:$IM$5,0)))</f>
        <v/>
      </c>
      <c r="F3534">
        <f>IF(D3534="","",COUNTIFS('KG1-6'!$AD35:$IM35,"غياب بدون عذر",'KG1-6'!$AD$7:$IM$7,"✓",'KG1-6'!$AD$5:$IM$5,"&lt;="&amp;D3534))</f>
        <v/>
      </c>
      <c r="G3534">
        <f>G3533+IF(D3534="",0,1)</f>
        <v/>
      </c>
    </row>
    <row r="3535">
      <c r="A3535">
        <f>IF('KG1-6'!$B35="","",'KG1-6'!$B35)</f>
        <v/>
      </c>
      <c r="B3535">
        <f>IF(A3535="","",'KG1-6'!$C35)</f>
        <v/>
      </c>
      <c r="C3535">
        <f>IF(A3535="","",'KG1-6'!$B$2)</f>
        <v/>
      </c>
      <c r="D3535" s="126">
        <f t="array" ref="D3535">IF(A3535="","",IFERROR(SMALL(IF((('KG1-6'!$AD35:$IM35="غياب بدون عذر")+('KG1-6'!$AD35:$IM35="غياب بعذر"))*('KG1-6'!$AD$7:$IM$7="✓"),'KG1-6'!$AD$5:$IM$5),14),""))</f>
        <v/>
      </c>
      <c r="E3535">
        <f>IF(D3535="","",INDEX('KG1-6'!$AD35:$IM35,MATCH(D3535,'KG1-6'!$AD$5:$IM$5,0)))</f>
        <v/>
      </c>
      <c r="F3535">
        <f>IF(D3535="","",COUNTIFS('KG1-6'!$AD35:$IM35,"غياب بدون عذر",'KG1-6'!$AD$7:$IM$7,"✓",'KG1-6'!$AD$5:$IM$5,"&lt;="&amp;D3535))</f>
        <v/>
      </c>
      <c r="G3535">
        <f>G3534+IF(D3535="",0,1)</f>
        <v/>
      </c>
    </row>
    <row r="3536">
      <c r="A3536">
        <f>IF('KG1-6'!$B35="","",'KG1-6'!$B35)</f>
        <v/>
      </c>
      <c r="B3536">
        <f>IF(A3536="","",'KG1-6'!$C35)</f>
        <v/>
      </c>
      <c r="C3536">
        <f>IF(A3536="","",'KG1-6'!$B$2)</f>
        <v/>
      </c>
      <c r="D3536" s="126">
        <f t="array" ref="D3536">IF(A3536="","",IFERROR(SMALL(IF((('KG1-6'!$AD35:$IM35="غياب بدون عذر")+('KG1-6'!$AD35:$IM35="غياب بعذر"))*('KG1-6'!$AD$7:$IM$7="✓"),'KG1-6'!$AD$5:$IM$5),15),""))</f>
        <v/>
      </c>
      <c r="E3536">
        <f>IF(D3536="","",INDEX('KG1-6'!$AD35:$IM35,MATCH(D3536,'KG1-6'!$AD$5:$IM$5,0)))</f>
        <v/>
      </c>
      <c r="F3536">
        <f>IF(D3536="","",COUNTIFS('KG1-6'!$AD35:$IM35,"غياب بدون عذر",'KG1-6'!$AD$7:$IM$7,"✓",'KG1-6'!$AD$5:$IM$5,"&lt;="&amp;D3536))</f>
        <v/>
      </c>
      <c r="G3536">
        <f>G3535+IF(D3536="",0,1)</f>
        <v/>
      </c>
    </row>
    <row r="3537">
      <c r="A3537">
        <f>IF('KG1-6'!$B35="","",'KG1-6'!$B35)</f>
        <v/>
      </c>
      <c r="B3537">
        <f>IF(A3537="","",'KG1-6'!$C35)</f>
        <v/>
      </c>
      <c r="C3537">
        <f>IF(A3537="","",'KG1-6'!$B$2)</f>
        <v/>
      </c>
      <c r="D3537" s="126">
        <f t="array" ref="D3537">IF(A3537="","",IFERROR(SMALL(IF((('KG1-6'!$AD35:$IM35="غياب بدون عذر")+('KG1-6'!$AD35:$IM35="غياب بعذر"))*('KG1-6'!$AD$7:$IM$7="✓"),'KG1-6'!$AD$5:$IM$5),16),""))</f>
        <v/>
      </c>
      <c r="E3537">
        <f>IF(D3537="","",INDEX('KG1-6'!$AD35:$IM35,MATCH(D3537,'KG1-6'!$AD$5:$IM$5,0)))</f>
        <v/>
      </c>
      <c r="F3537">
        <f>IF(D3537="","",COUNTIFS('KG1-6'!$AD35:$IM35,"غياب بدون عذر",'KG1-6'!$AD$7:$IM$7,"✓",'KG1-6'!$AD$5:$IM$5,"&lt;="&amp;D3537))</f>
        <v/>
      </c>
      <c r="G3537">
        <f>G3536+IF(D3537="",0,1)</f>
        <v/>
      </c>
    </row>
    <row r="3538">
      <c r="A3538">
        <f>IF('KG1-6'!$B35="","",'KG1-6'!$B35)</f>
        <v/>
      </c>
      <c r="B3538">
        <f>IF(A3538="","",'KG1-6'!$C35)</f>
        <v/>
      </c>
      <c r="C3538">
        <f>IF(A3538="","",'KG1-6'!$B$2)</f>
        <v/>
      </c>
      <c r="D3538" s="126">
        <f t="array" ref="D3538">IF(A3538="","",IFERROR(SMALL(IF((('KG1-6'!$AD35:$IM35="غياب بدون عذر")+('KG1-6'!$AD35:$IM35="غياب بعذر"))*('KG1-6'!$AD$7:$IM$7="✓"),'KG1-6'!$AD$5:$IM$5),17),""))</f>
        <v/>
      </c>
      <c r="E3538">
        <f>IF(D3538="","",INDEX('KG1-6'!$AD35:$IM35,MATCH(D3538,'KG1-6'!$AD$5:$IM$5,0)))</f>
        <v/>
      </c>
      <c r="F3538">
        <f>IF(D3538="","",COUNTIFS('KG1-6'!$AD35:$IM35,"غياب بدون عذر",'KG1-6'!$AD$7:$IM$7,"✓",'KG1-6'!$AD$5:$IM$5,"&lt;="&amp;D3538))</f>
        <v/>
      </c>
      <c r="G3538">
        <f>G3537+IF(D3538="",0,1)</f>
        <v/>
      </c>
    </row>
    <row r="3539">
      <c r="A3539">
        <f>IF('KG1-6'!$B35="","",'KG1-6'!$B35)</f>
        <v/>
      </c>
      <c r="B3539">
        <f>IF(A3539="","",'KG1-6'!$C35)</f>
        <v/>
      </c>
      <c r="C3539">
        <f>IF(A3539="","",'KG1-6'!$B$2)</f>
        <v/>
      </c>
      <c r="D3539" s="126">
        <f t="array" ref="D3539">IF(A3539="","",IFERROR(SMALL(IF((('KG1-6'!$AD35:$IM35="غياب بدون عذر")+('KG1-6'!$AD35:$IM35="غياب بعذر"))*('KG1-6'!$AD$7:$IM$7="✓"),'KG1-6'!$AD$5:$IM$5),18),""))</f>
        <v/>
      </c>
      <c r="E3539">
        <f>IF(D3539="","",INDEX('KG1-6'!$AD35:$IM35,MATCH(D3539,'KG1-6'!$AD$5:$IM$5,0)))</f>
        <v/>
      </c>
      <c r="F3539">
        <f>IF(D3539="","",COUNTIFS('KG1-6'!$AD35:$IM35,"غياب بدون عذر",'KG1-6'!$AD$7:$IM$7,"✓",'KG1-6'!$AD$5:$IM$5,"&lt;="&amp;D3539))</f>
        <v/>
      </c>
      <c r="G3539">
        <f>G3538+IF(D3539="",0,1)</f>
        <v/>
      </c>
    </row>
    <row r="3540">
      <c r="A3540">
        <f>IF('KG1-6'!$B35="","",'KG1-6'!$B35)</f>
        <v/>
      </c>
      <c r="B3540">
        <f>IF(A3540="","",'KG1-6'!$C35)</f>
        <v/>
      </c>
      <c r="C3540">
        <f>IF(A3540="","",'KG1-6'!$B$2)</f>
        <v/>
      </c>
      <c r="D3540" s="126">
        <f t="array" ref="D3540">IF(A3540="","",IFERROR(SMALL(IF((('KG1-6'!$AD35:$IM35="غياب بدون عذر")+('KG1-6'!$AD35:$IM35="غياب بعذر"))*('KG1-6'!$AD$7:$IM$7="✓"),'KG1-6'!$AD$5:$IM$5),19),""))</f>
        <v/>
      </c>
      <c r="E3540">
        <f>IF(D3540="","",INDEX('KG1-6'!$AD35:$IM35,MATCH(D3540,'KG1-6'!$AD$5:$IM$5,0)))</f>
        <v/>
      </c>
      <c r="F3540">
        <f>IF(D3540="","",COUNTIFS('KG1-6'!$AD35:$IM35,"غياب بدون عذر",'KG1-6'!$AD$7:$IM$7,"✓",'KG1-6'!$AD$5:$IM$5,"&lt;="&amp;D3540))</f>
        <v/>
      </c>
      <c r="G3540">
        <f>G3539+IF(D3540="",0,1)</f>
        <v/>
      </c>
    </row>
    <row r="3541">
      <c r="A3541">
        <f>IF('KG1-6'!$B35="","",'KG1-6'!$B35)</f>
        <v/>
      </c>
      <c r="B3541">
        <f>IF(A3541="","",'KG1-6'!$C35)</f>
        <v/>
      </c>
      <c r="C3541">
        <f>IF(A3541="","",'KG1-6'!$B$2)</f>
        <v/>
      </c>
      <c r="D3541" s="126">
        <f t="array" ref="D3541">IF(A3541="","",IFERROR(SMALL(IF((('KG1-6'!$AD35:$IM35="غياب بدون عذر")+('KG1-6'!$AD35:$IM35="غياب بعذر"))*('KG1-6'!$AD$7:$IM$7="✓"),'KG1-6'!$AD$5:$IM$5),20),""))</f>
        <v/>
      </c>
      <c r="E3541">
        <f>IF(D3541="","",INDEX('KG1-6'!$AD35:$IM35,MATCH(D3541,'KG1-6'!$AD$5:$IM$5,0)))</f>
        <v/>
      </c>
      <c r="F3541">
        <f>IF(D3541="","",COUNTIFS('KG1-6'!$AD35:$IM35,"غياب بدون عذر",'KG1-6'!$AD$7:$IM$7,"✓",'KG1-6'!$AD$5:$IM$5,"&lt;="&amp;D3541))</f>
        <v/>
      </c>
      <c r="G3541">
        <f>G3540+IF(D3541="",0,1)</f>
        <v/>
      </c>
    </row>
    <row r="3542">
      <c r="A3542">
        <f>IF('KG1-6'!$B36="","",'KG1-6'!$B36)</f>
        <v/>
      </c>
      <c r="B3542">
        <f>IF(A3542="","",'KG1-6'!$C36)</f>
        <v/>
      </c>
      <c r="C3542">
        <f>IF(A3542="","",'KG1-6'!$B$2)</f>
        <v/>
      </c>
      <c r="D3542" s="126">
        <f t="array" ref="D3542">IF(A3542="","",IFERROR(SMALL(IF((('KG1-6'!$AD36:$IM36="غياب بدون عذر")+('KG1-6'!$AD36:$IM36="غياب بعذر"))*('KG1-6'!$AD$7:$IM$7="✓"),'KG1-6'!$AD$5:$IM$5),1),""))</f>
        <v/>
      </c>
      <c r="E3542">
        <f>IF(D3542="","",INDEX('KG1-6'!$AD36:$IM36,MATCH(D3542,'KG1-6'!$AD$5:$IM$5,0)))</f>
        <v/>
      </c>
      <c r="F3542">
        <f>IF(D3542="","",COUNTIFS('KG1-6'!$AD36:$IM36,"غياب بدون عذر",'KG1-6'!$AD$7:$IM$7,"✓",'KG1-6'!$AD$5:$IM$5,"&lt;="&amp;D3542))</f>
        <v/>
      </c>
      <c r="G3542">
        <f>G3541+IF(D3542="",0,1)</f>
        <v/>
      </c>
    </row>
    <row r="3543">
      <c r="A3543">
        <f>IF('KG1-6'!$B36="","",'KG1-6'!$B36)</f>
        <v/>
      </c>
      <c r="B3543">
        <f>IF(A3543="","",'KG1-6'!$C36)</f>
        <v/>
      </c>
      <c r="C3543">
        <f>IF(A3543="","",'KG1-6'!$B$2)</f>
        <v/>
      </c>
      <c r="D3543" s="126">
        <f t="array" ref="D3543">IF(A3543="","",IFERROR(SMALL(IF((('KG1-6'!$AD36:$IM36="غياب بدون عذر")+('KG1-6'!$AD36:$IM36="غياب بعذر"))*('KG1-6'!$AD$7:$IM$7="✓"),'KG1-6'!$AD$5:$IM$5),2),""))</f>
        <v/>
      </c>
      <c r="E3543">
        <f>IF(D3543="","",INDEX('KG1-6'!$AD36:$IM36,MATCH(D3543,'KG1-6'!$AD$5:$IM$5,0)))</f>
        <v/>
      </c>
      <c r="F3543">
        <f>IF(D3543="","",COUNTIFS('KG1-6'!$AD36:$IM36,"غياب بدون عذر",'KG1-6'!$AD$7:$IM$7,"✓",'KG1-6'!$AD$5:$IM$5,"&lt;="&amp;D3543))</f>
        <v/>
      </c>
      <c r="G3543">
        <f>G3542+IF(D3543="",0,1)</f>
        <v/>
      </c>
    </row>
    <row r="3544">
      <c r="A3544">
        <f>IF('KG1-6'!$B36="","",'KG1-6'!$B36)</f>
        <v/>
      </c>
      <c r="B3544">
        <f>IF(A3544="","",'KG1-6'!$C36)</f>
        <v/>
      </c>
      <c r="C3544">
        <f>IF(A3544="","",'KG1-6'!$B$2)</f>
        <v/>
      </c>
      <c r="D3544" s="126">
        <f t="array" ref="D3544">IF(A3544="","",IFERROR(SMALL(IF((('KG1-6'!$AD36:$IM36="غياب بدون عذر")+('KG1-6'!$AD36:$IM36="غياب بعذر"))*('KG1-6'!$AD$7:$IM$7="✓"),'KG1-6'!$AD$5:$IM$5),3),""))</f>
        <v/>
      </c>
      <c r="E3544">
        <f>IF(D3544="","",INDEX('KG1-6'!$AD36:$IM36,MATCH(D3544,'KG1-6'!$AD$5:$IM$5,0)))</f>
        <v/>
      </c>
      <c r="F3544">
        <f>IF(D3544="","",COUNTIFS('KG1-6'!$AD36:$IM36,"غياب بدون عذر",'KG1-6'!$AD$7:$IM$7,"✓",'KG1-6'!$AD$5:$IM$5,"&lt;="&amp;D3544))</f>
        <v/>
      </c>
      <c r="G3544">
        <f>G3543+IF(D3544="",0,1)</f>
        <v/>
      </c>
    </row>
    <row r="3545">
      <c r="A3545">
        <f>IF('KG1-6'!$B36="","",'KG1-6'!$B36)</f>
        <v/>
      </c>
      <c r="B3545">
        <f>IF(A3545="","",'KG1-6'!$C36)</f>
        <v/>
      </c>
      <c r="C3545">
        <f>IF(A3545="","",'KG1-6'!$B$2)</f>
        <v/>
      </c>
      <c r="D3545" s="126">
        <f t="array" ref="D3545">IF(A3545="","",IFERROR(SMALL(IF((('KG1-6'!$AD36:$IM36="غياب بدون عذر")+('KG1-6'!$AD36:$IM36="غياب بعذر"))*('KG1-6'!$AD$7:$IM$7="✓"),'KG1-6'!$AD$5:$IM$5),4),""))</f>
        <v/>
      </c>
      <c r="E3545">
        <f>IF(D3545="","",INDEX('KG1-6'!$AD36:$IM36,MATCH(D3545,'KG1-6'!$AD$5:$IM$5,0)))</f>
        <v/>
      </c>
      <c r="F3545">
        <f>IF(D3545="","",COUNTIFS('KG1-6'!$AD36:$IM36,"غياب بدون عذر",'KG1-6'!$AD$7:$IM$7,"✓",'KG1-6'!$AD$5:$IM$5,"&lt;="&amp;D3545))</f>
        <v/>
      </c>
      <c r="G3545">
        <f>G3544+IF(D3545="",0,1)</f>
        <v/>
      </c>
    </row>
    <row r="3546">
      <c r="A3546">
        <f>IF('KG1-6'!$B36="","",'KG1-6'!$B36)</f>
        <v/>
      </c>
      <c r="B3546">
        <f>IF(A3546="","",'KG1-6'!$C36)</f>
        <v/>
      </c>
      <c r="C3546">
        <f>IF(A3546="","",'KG1-6'!$B$2)</f>
        <v/>
      </c>
      <c r="D3546" s="126">
        <f t="array" ref="D3546">IF(A3546="","",IFERROR(SMALL(IF((('KG1-6'!$AD36:$IM36="غياب بدون عذر")+('KG1-6'!$AD36:$IM36="غياب بعذر"))*('KG1-6'!$AD$7:$IM$7="✓"),'KG1-6'!$AD$5:$IM$5),5),""))</f>
        <v/>
      </c>
      <c r="E3546">
        <f>IF(D3546="","",INDEX('KG1-6'!$AD36:$IM36,MATCH(D3546,'KG1-6'!$AD$5:$IM$5,0)))</f>
        <v/>
      </c>
      <c r="F3546">
        <f>IF(D3546="","",COUNTIFS('KG1-6'!$AD36:$IM36,"غياب بدون عذر",'KG1-6'!$AD$7:$IM$7,"✓",'KG1-6'!$AD$5:$IM$5,"&lt;="&amp;D3546))</f>
        <v/>
      </c>
      <c r="G3546">
        <f>G3545+IF(D3546="",0,1)</f>
        <v/>
      </c>
    </row>
    <row r="3547">
      <c r="A3547">
        <f>IF('KG1-6'!$B36="","",'KG1-6'!$B36)</f>
        <v/>
      </c>
      <c r="B3547">
        <f>IF(A3547="","",'KG1-6'!$C36)</f>
        <v/>
      </c>
      <c r="C3547">
        <f>IF(A3547="","",'KG1-6'!$B$2)</f>
        <v/>
      </c>
      <c r="D3547" s="126">
        <f t="array" ref="D3547">IF(A3547="","",IFERROR(SMALL(IF((('KG1-6'!$AD36:$IM36="غياب بدون عذر")+('KG1-6'!$AD36:$IM36="غياب بعذر"))*('KG1-6'!$AD$7:$IM$7="✓"),'KG1-6'!$AD$5:$IM$5),6),""))</f>
        <v/>
      </c>
      <c r="E3547">
        <f>IF(D3547="","",INDEX('KG1-6'!$AD36:$IM36,MATCH(D3547,'KG1-6'!$AD$5:$IM$5,0)))</f>
        <v/>
      </c>
      <c r="F3547">
        <f>IF(D3547="","",COUNTIFS('KG1-6'!$AD36:$IM36,"غياب بدون عذر",'KG1-6'!$AD$7:$IM$7,"✓",'KG1-6'!$AD$5:$IM$5,"&lt;="&amp;D3547))</f>
        <v/>
      </c>
      <c r="G3547">
        <f>G3546+IF(D3547="",0,1)</f>
        <v/>
      </c>
    </row>
    <row r="3548">
      <c r="A3548">
        <f>IF('KG1-6'!$B36="","",'KG1-6'!$B36)</f>
        <v/>
      </c>
      <c r="B3548">
        <f>IF(A3548="","",'KG1-6'!$C36)</f>
        <v/>
      </c>
      <c r="C3548">
        <f>IF(A3548="","",'KG1-6'!$B$2)</f>
        <v/>
      </c>
      <c r="D3548" s="126">
        <f t="array" ref="D3548">IF(A3548="","",IFERROR(SMALL(IF((('KG1-6'!$AD36:$IM36="غياب بدون عذر")+('KG1-6'!$AD36:$IM36="غياب بعذر"))*('KG1-6'!$AD$7:$IM$7="✓"),'KG1-6'!$AD$5:$IM$5),7),""))</f>
        <v/>
      </c>
      <c r="E3548">
        <f>IF(D3548="","",INDEX('KG1-6'!$AD36:$IM36,MATCH(D3548,'KG1-6'!$AD$5:$IM$5,0)))</f>
        <v/>
      </c>
      <c r="F3548">
        <f>IF(D3548="","",COUNTIFS('KG1-6'!$AD36:$IM36,"غياب بدون عذر",'KG1-6'!$AD$7:$IM$7,"✓",'KG1-6'!$AD$5:$IM$5,"&lt;="&amp;D3548))</f>
        <v/>
      </c>
      <c r="G3548">
        <f>G3547+IF(D3548="",0,1)</f>
        <v/>
      </c>
    </row>
    <row r="3549">
      <c r="A3549">
        <f>IF('KG1-6'!$B36="","",'KG1-6'!$B36)</f>
        <v/>
      </c>
      <c r="B3549">
        <f>IF(A3549="","",'KG1-6'!$C36)</f>
        <v/>
      </c>
      <c r="C3549">
        <f>IF(A3549="","",'KG1-6'!$B$2)</f>
        <v/>
      </c>
      <c r="D3549" s="126">
        <f t="array" ref="D3549">IF(A3549="","",IFERROR(SMALL(IF((('KG1-6'!$AD36:$IM36="غياب بدون عذر")+('KG1-6'!$AD36:$IM36="غياب بعذر"))*('KG1-6'!$AD$7:$IM$7="✓"),'KG1-6'!$AD$5:$IM$5),8),""))</f>
        <v/>
      </c>
      <c r="E3549">
        <f>IF(D3549="","",INDEX('KG1-6'!$AD36:$IM36,MATCH(D3549,'KG1-6'!$AD$5:$IM$5,0)))</f>
        <v/>
      </c>
      <c r="F3549">
        <f>IF(D3549="","",COUNTIFS('KG1-6'!$AD36:$IM36,"غياب بدون عذر",'KG1-6'!$AD$7:$IM$7,"✓",'KG1-6'!$AD$5:$IM$5,"&lt;="&amp;D3549))</f>
        <v/>
      </c>
      <c r="G3549">
        <f>G3548+IF(D3549="",0,1)</f>
        <v/>
      </c>
    </row>
    <row r="3550">
      <c r="A3550">
        <f>IF('KG1-6'!$B36="","",'KG1-6'!$B36)</f>
        <v/>
      </c>
      <c r="B3550">
        <f>IF(A3550="","",'KG1-6'!$C36)</f>
        <v/>
      </c>
      <c r="C3550">
        <f>IF(A3550="","",'KG1-6'!$B$2)</f>
        <v/>
      </c>
      <c r="D3550" s="126">
        <f t="array" ref="D3550">IF(A3550="","",IFERROR(SMALL(IF((('KG1-6'!$AD36:$IM36="غياب بدون عذر")+('KG1-6'!$AD36:$IM36="غياب بعذر"))*('KG1-6'!$AD$7:$IM$7="✓"),'KG1-6'!$AD$5:$IM$5),9),""))</f>
        <v/>
      </c>
      <c r="E3550">
        <f>IF(D3550="","",INDEX('KG1-6'!$AD36:$IM36,MATCH(D3550,'KG1-6'!$AD$5:$IM$5,0)))</f>
        <v/>
      </c>
      <c r="F3550">
        <f>IF(D3550="","",COUNTIFS('KG1-6'!$AD36:$IM36,"غياب بدون عذر",'KG1-6'!$AD$7:$IM$7,"✓",'KG1-6'!$AD$5:$IM$5,"&lt;="&amp;D3550))</f>
        <v/>
      </c>
      <c r="G3550">
        <f>G3549+IF(D3550="",0,1)</f>
        <v/>
      </c>
    </row>
    <row r="3551">
      <c r="A3551">
        <f>IF('KG1-6'!$B36="","",'KG1-6'!$B36)</f>
        <v/>
      </c>
      <c r="B3551">
        <f>IF(A3551="","",'KG1-6'!$C36)</f>
        <v/>
      </c>
      <c r="C3551">
        <f>IF(A3551="","",'KG1-6'!$B$2)</f>
        <v/>
      </c>
      <c r="D3551" s="126">
        <f t="array" ref="D3551">IF(A3551="","",IFERROR(SMALL(IF((('KG1-6'!$AD36:$IM36="غياب بدون عذر")+('KG1-6'!$AD36:$IM36="غياب بعذر"))*('KG1-6'!$AD$7:$IM$7="✓"),'KG1-6'!$AD$5:$IM$5),10),""))</f>
        <v/>
      </c>
      <c r="E3551">
        <f>IF(D3551="","",INDEX('KG1-6'!$AD36:$IM36,MATCH(D3551,'KG1-6'!$AD$5:$IM$5,0)))</f>
        <v/>
      </c>
      <c r="F3551">
        <f>IF(D3551="","",COUNTIFS('KG1-6'!$AD36:$IM36,"غياب بدون عذر",'KG1-6'!$AD$7:$IM$7,"✓",'KG1-6'!$AD$5:$IM$5,"&lt;="&amp;D3551))</f>
        <v/>
      </c>
      <c r="G3551">
        <f>G3550+IF(D3551="",0,1)</f>
        <v/>
      </c>
    </row>
    <row r="3552">
      <c r="A3552">
        <f>IF('KG1-6'!$B36="","",'KG1-6'!$B36)</f>
        <v/>
      </c>
      <c r="B3552">
        <f>IF(A3552="","",'KG1-6'!$C36)</f>
        <v/>
      </c>
      <c r="C3552">
        <f>IF(A3552="","",'KG1-6'!$B$2)</f>
        <v/>
      </c>
      <c r="D3552" s="126">
        <f t="array" ref="D3552">IF(A3552="","",IFERROR(SMALL(IF((('KG1-6'!$AD36:$IM36="غياب بدون عذر")+('KG1-6'!$AD36:$IM36="غياب بعذر"))*('KG1-6'!$AD$7:$IM$7="✓"),'KG1-6'!$AD$5:$IM$5),11),""))</f>
        <v/>
      </c>
      <c r="E3552">
        <f>IF(D3552="","",INDEX('KG1-6'!$AD36:$IM36,MATCH(D3552,'KG1-6'!$AD$5:$IM$5,0)))</f>
        <v/>
      </c>
      <c r="F3552">
        <f>IF(D3552="","",COUNTIFS('KG1-6'!$AD36:$IM36,"غياب بدون عذر",'KG1-6'!$AD$7:$IM$7,"✓",'KG1-6'!$AD$5:$IM$5,"&lt;="&amp;D3552))</f>
        <v/>
      </c>
      <c r="G3552">
        <f>G3551+IF(D3552="",0,1)</f>
        <v/>
      </c>
    </row>
    <row r="3553">
      <c r="A3553">
        <f>IF('KG1-6'!$B36="","",'KG1-6'!$B36)</f>
        <v/>
      </c>
      <c r="B3553">
        <f>IF(A3553="","",'KG1-6'!$C36)</f>
        <v/>
      </c>
      <c r="C3553">
        <f>IF(A3553="","",'KG1-6'!$B$2)</f>
        <v/>
      </c>
      <c r="D3553" s="126">
        <f t="array" ref="D3553">IF(A3553="","",IFERROR(SMALL(IF((('KG1-6'!$AD36:$IM36="غياب بدون عذر")+('KG1-6'!$AD36:$IM36="غياب بعذر"))*('KG1-6'!$AD$7:$IM$7="✓"),'KG1-6'!$AD$5:$IM$5),12),""))</f>
        <v/>
      </c>
      <c r="E3553">
        <f>IF(D3553="","",INDEX('KG1-6'!$AD36:$IM36,MATCH(D3553,'KG1-6'!$AD$5:$IM$5,0)))</f>
        <v/>
      </c>
      <c r="F3553">
        <f>IF(D3553="","",COUNTIFS('KG1-6'!$AD36:$IM36,"غياب بدون عذر",'KG1-6'!$AD$7:$IM$7,"✓",'KG1-6'!$AD$5:$IM$5,"&lt;="&amp;D3553))</f>
        <v/>
      </c>
      <c r="G3553">
        <f>G3552+IF(D3553="",0,1)</f>
        <v/>
      </c>
    </row>
    <row r="3554">
      <c r="A3554">
        <f>IF('KG1-6'!$B36="","",'KG1-6'!$B36)</f>
        <v/>
      </c>
      <c r="B3554">
        <f>IF(A3554="","",'KG1-6'!$C36)</f>
        <v/>
      </c>
      <c r="C3554">
        <f>IF(A3554="","",'KG1-6'!$B$2)</f>
        <v/>
      </c>
      <c r="D3554" s="126">
        <f t="array" ref="D3554">IF(A3554="","",IFERROR(SMALL(IF((('KG1-6'!$AD36:$IM36="غياب بدون عذر")+('KG1-6'!$AD36:$IM36="غياب بعذر"))*('KG1-6'!$AD$7:$IM$7="✓"),'KG1-6'!$AD$5:$IM$5),13),""))</f>
        <v/>
      </c>
      <c r="E3554">
        <f>IF(D3554="","",INDEX('KG1-6'!$AD36:$IM36,MATCH(D3554,'KG1-6'!$AD$5:$IM$5,0)))</f>
        <v/>
      </c>
      <c r="F3554">
        <f>IF(D3554="","",COUNTIFS('KG1-6'!$AD36:$IM36,"غياب بدون عذر",'KG1-6'!$AD$7:$IM$7,"✓",'KG1-6'!$AD$5:$IM$5,"&lt;="&amp;D3554))</f>
        <v/>
      </c>
      <c r="G3554">
        <f>G3553+IF(D3554="",0,1)</f>
        <v/>
      </c>
    </row>
    <row r="3555">
      <c r="A3555">
        <f>IF('KG1-6'!$B36="","",'KG1-6'!$B36)</f>
        <v/>
      </c>
      <c r="B3555">
        <f>IF(A3555="","",'KG1-6'!$C36)</f>
        <v/>
      </c>
      <c r="C3555">
        <f>IF(A3555="","",'KG1-6'!$B$2)</f>
        <v/>
      </c>
      <c r="D3555" s="126">
        <f t="array" ref="D3555">IF(A3555="","",IFERROR(SMALL(IF((('KG1-6'!$AD36:$IM36="غياب بدون عذر")+('KG1-6'!$AD36:$IM36="غياب بعذر"))*('KG1-6'!$AD$7:$IM$7="✓"),'KG1-6'!$AD$5:$IM$5),14),""))</f>
        <v/>
      </c>
      <c r="E3555">
        <f>IF(D3555="","",INDEX('KG1-6'!$AD36:$IM36,MATCH(D3555,'KG1-6'!$AD$5:$IM$5,0)))</f>
        <v/>
      </c>
      <c r="F3555">
        <f>IF(D3555="","",COUNTIFS('KG1-6'!$AD36:$IM36,"غياب بدون عذر",'KG1-6'!$AD$7:$IM$7,"✓",'KG1-6'!$AD$5:$IM$5,"&lt;="&amp;D3555))</f>
        <v/>
      </c>
      <c r="G3555">
        <f>G3554+IF(D3555="",0,1)</f>
        <v/>
      </c>
    </row>
    <row r="3556">
      <c r="A3556">
        <f>IF('KG1-6'!$B36="","",'KG1-6'!$B36)</f>
        <v/>
      </c>
      <c r="B3556">
        <f>IF(A3556="","",'KG1-6'!$C36)</f>
        <v/>
      </c>
      <c r="C3556">
        <f>IF(A3556="","",'KG1-6'!$B$2)</f>
        <v/>
      </c>
      <c r="D3556" s="126">
        <f t="array" ref="D3556">IF(A3556="","",IFERROR(SMALL(IF((('KG1-6'!$AD36:$IM36="غياب بدون عذر")+('KG1-6'!$AD36:$IM36="غياب بعذر"))*('KG1-6'!$AD$7:$IM$7="✓"),'KG1-6'!$AD$5:$IM$5),15),""))</f>
        <v/>
      </c>
      <c r="E3556">
        <f>IF(D3556="","",INDEX('KG1-6'!$AD36:$IM36,MATCH(D3556,'KG1-6'!$AD$5:$IM$5,0)))</f>
        <v/>
      </c>
      <c r="F3556">
        <f>IF(D3556="","",COUNTIFS('KG1-6'!$AD36:$IM36,"غياب بدون عذر",'KG1-6'!$AD$7:$IM$7,"✓",'KG1-6'!$AD$5:$IM$5,"&lt;="&amp;D3556))</f>
        <v/>
      </c>
      <c r="G3556">
        <f>G3555+IF(D3556="",0,1)</f>
        <v/>
      </c>
    </row>
    <row r="3557">
      <c r="A3557">
        <f>IF('KG1-6'!$B36="","",'KG1-6'!$B36)</f>
        <v/>
      </c>
      <c r="B3557">
        <f>IF(A3557="","",'KG1-6'!$C36)</f>
        <v/>
      </c>
      <c r="C3557">
        <f>IF(A3557="","",'KG1-6'!$B$2)</f>
        <v/>
      </c>
      <c r="D3557" s="126">
        <f t="array" ref="D3557">IF(A3557="","",IFERROR(SMALL(IF((('KG1-6'!$AD36:$IM36="غياب بدون عذر")+('KG1-6'!$AD36:$IM36="غياب بعذر"))*('KG1-6'!$AD$7:$IM$7="✓"),'KG1-6'!$AD$5:$IM$5),16),""))</f>
        <v/>
      </c>
      <c r="E3557">
        <f>IF(D3557="","",INDEX('KG1-6'!$AD36:$IM36,MATCH(D3557,'KG1-6'!$AD$5:$IM$5,0)))</f>
        <v/>
      </c>
      <c r="F3557">
        <f>IF(D3557="","",COUNTIFS('KG1-6'!$AD36:$IM36,"غياب بدون عذر",'KG1-6'!$AD$7:$IM$7,"✓",'KG1-6'!$AD$5:$IM$5,"&lt;="&amp;D3557))</f>
        <v/>
      </c>
      <c r="G3557">
        <f>G3556+IF(D3557="",0,1)</f>
        <v/>
      </c>
    </row>
    <row r="3558">
      <c r="A3558">
        <f>IF('KG1-6'!$B36="","",'KG1-6'!$B36)</f>
        <v/>
      </c>
      <c r="B3558">
        <f>IF(A3558="","",'KG1-6'!$C36)</f>
        <v/>
      </c>
      <c r="C3558">
        <f>IF(A3558="","",'KG1-6'!$B$2)</f>
        <v/>
      </c>
      <c r="D3558" s="126">
        <f t="array" ref="D3558">IF(A3558="","",IFERROR(SMALL(IF((('KG1-6'!$AD36:$IM36="غياب بدون عذر")+('KG1-6'!$AD36:$IM36="غياب بعذر"))*('KG1-6'!$AD$7:$IM$7="✓"),'KG1-6'!$AD$5:$IM$5),17),""))</f>
        <v/>
      </c>
      <c r="E3558">
        <f>IF(D3558="","",INDEX('KG1-6'!$AD36:$IM36,MATCH(D3558,'KG1-6'!$AD$5:$IM$5,0)))</f>
        <v/>
      </c>
      <c r="F3558">
        <f>IF(D3558="","",COUNTIFS('KG1-6'!$AD36:$IM36,"غياب بدون عذر",'KG1-6'!$AD$7:$IM$7,"✓",'KG1-6'!$AD$5:$IM$5,"&lt;="&amp;D3558))</f>
        <v/>
      </c>
      <c r="G3558">
        <f>G3557+IF(D3558="",0,1)</f>
        <v/>
      </c>
    </row>
    <row r="3559">
      <c r="A3559">
        <f>IF('KG1-6'!$B36="","",'KG1-6'!$B36)</f>
        <v/>
      </c>
      <c r="B3559">
        <f>IF(A3559="","",'KG1-6'!$C36)</f>
        <v/>
      </c>
      <c r="C3559">
        <f>IF(A3559="","",'KG1-6'!$B$2)</f>
        <v/>
      </c>
      <c r="D3559" s="126">
        <f t="array" ref="D3559">IF(A3559="","",IFERROR(SMALL(IF((('KG1-6'!$AD36:$IM36="غياب بدون عذر")+('KG1-6'!$AD36:$IM36="غياب بعذر"))*('KG1-6'!$AD$7:$IM$7="✓"),'KG1-6'!$AD$5:$IM$5),18),""))</f>
        <v/>
      </c>
      <c r="E3559">
        <f>IF(D3559="","",INDEX('KG1-6'!$AD36:$IM36,MATCH(D3559,'KG1-6'!$AD$5:$IM$5,0)))</f>
        <v/>
      </c>
      <c r="F3559">
        <f>IF(D3559="","",COUNTIFS('KG1-6'!$AD36:$IM36,"غياب بدون عذر",'KG1-6'!$AD$7:$IM$7,"✓",'KG1-6'!$AD$5:$IM$5,"&lt;="&amp;D3559))</f>
        <v/>
      </c>
      <c r="G3559">
        <f>G3558+IF(D3559="",0,1)</f>
        <v/>
      </c>
    </row>
    <row r="3560">
      <c r="A3560">
        <f>IF('KG1-6'!$B36="","",'KG1-6'!$B36)</f>
        <v/>
      </c>
      <c r="B3560">
        <f>IF(A3560="","",'KG1-6'!$C36)</f>
        <v/>
      </c>
      <c r="C3560">
        <f>IF(A3560="","",'KG1-6'!$B$2)</f>
        <v/>
      </c>
      <c r="D3560" s="126">
        <f t="array" ref="D3560">IF(A3560="","",IFERROR(SMALL(IF((('KG1-6'!$AD36:$IM36="غياب بدون عذر")+('KG1-6'!$AD36:$IM36="غياب بعذر"))*('KG1-6'!$AD$7:$IM$7="✓"),'KG1-6'!$AD$5:$IM$5),19),""))</f>
        <v/>
      </c>
      <c r="E3560">
        <f>IF(D3560="","",INDEX('KG1-6'!$AD36:$IM36,MATCH(D3560,'KG1-6'!$AD$5:$IM$5,0)))</f>
        <v/>
      </c>
      <c r="F3560">
        <f>IF(D3560="","",COUNTIFS('KG1-6'!$AD36:$IM36,"غياب بدون عذر",'KG1-6'!$AD$7:$IM$7,"✓",'KG1-6'!$AD$5:$IM$5,"&lt;="&amp;D3560))</f>
        <v/>
      </c>
      <c r="G3560">
        <f>G3559+IF(D3560="",0,1)</f>
        <v/>
      </c>
    </row>
    <row r="3561">
      <c r="A3561">
        <f>IF('KG1-6'!$B36="","",'KG1-6'!$B36)</f>
        <v/>
      </c>
      <c r="B3561">
        <f>IF(A3561="","",'KG1-6'!$C36)</f>
        <v/>
      </c>
      <c r="C3561">
        <f>IF(A3561="","",'KG1-6'!$B$2)</f>
        <v/>
      </c>
      <c r="D3561" s="126">
        <f t="array" ref="D3561">IF(A3561="","",IFERROR(SMALL(IF((('KG1-6'!$AD36:$IM36="غياب بدون عذر")+('KG1-6'!$AD36:$IM36="غياب بعذر"))*('KG1-6'!$AD$7:$IM$7="✓"),'KG1-6'!$AD$5:$IM$5),20),""))</f>
        <v/>
      </c>
      <c r="E3561">
        <f>IF(D3561="","",INDEX('KG1-6'!$AD36:$IM36,MATCH(D3561,'KG1-6'!$AD$5:$IM$5,0)))</f>
        <v/>
      </c>
      <c r="F3561">
        <f>IF(D3561="","",COUNTIFS('KG1-6'!$AD36:$IM36,"غياب بدون عذر",'KG1-6'!$AD$7:$IM$7,"✓",'KG1-6'!$AD$5:$IM$5,"&lt;="&amp;D3561))</f>
        <v/>
      </c>
      <c r="G3561">
        <f>G3560+IF(D3561="",0,1)</f>
        <v/>
      </c>
    </row>
    <row r="3562">
      <c r="A3562">
        <f>IF('KG1-6'!$B37="","",'KG1-6'!$B37)</f>
        <v/>
      </c>
      <c r="B3562">
        <f>IF(A3562="","",'KG1-6'!$C37)</f>
        <v/>
      </c>
      <c r="C3562">
        <f>IF(A3562="","",'KG1-6'!$B$2)</f>
        <v/>
      </c>
      <c r="D3562" s="126">
        <f t="array" ref="D3562">IF(A3562="","",IFERROR(SMALL(IF((('KG1-6'!$AD37:$IM37="غياب بدون عذر")+('KG1-6'!$AD37:$IM37="غياب بعذر"))*('KG1-6'!$AD$7:$IM$7="✓"),'KG1-6'!$AD$5:$IM$5),1),""))</f>
        <v/>
      </c>
      <c r="E3562">
        <f>IF(D3562="","",INDEX('KG1-6'!$AD37:$IM37,MATCH(D3562,'KG1-6'!$AD$5:$IM$5,0)))</f>
        <v/>
      </c>
      <c r="F3562">
        <f>IF(D3562="","",COUNTIFS('KG1-6'!$AD37:$IM37,"غياب بدون عذر",'KG1-6'!$AD$7:$IM$7,"✓",'KG1-6'!$AD$5:$IM$5,"&lt;="&amp;D3562))</f>
        <v/>
      </c>
      <c r="G3562">
        <f>G3561+IF(D3562="",0,1)</f>
        <v/>
      </c>
    </row>
    <row r="3563">
      <c r="A3563">
        <f>IF('KG1-6'!$B37="","",'KG1-6'!$B37)</f>
        <v/>
      </c>
      <c r="B3563">
        <f>IF(A3563="","",'KG1-6'!$C37)</f>
        <v/>
      </c>
      <c r="C3563">
        <f>IF(A3563="","",'KG1-6'!$B$2)</f>
        <v/>
      </c>
      <c r="D3563" s="126">
        <f t="array" ref="D3563">IF(A3563="","",IFERROR(SMALL(IF((('KG1-6'!$AD37:$IM37="غياب بدون عذر")+('KG1-6'!$AD37:$IM37="غياب بعذر"))*('KG1-6'!$AD$7:$IM$7="✓"),'KG1-6'!$AD$5:$IM$5),2),""))</f>
        <v/>
      </c>
      <c r="E3563">
        <f>IF(D3563="","",INDEX('KG1-6'!$AD37:$IM37,MATCH(D3563,'KG1-6'!$AD$5:$IM$5,0)))</f>
        <v/>
      </c>
      <c r="F3563">
        <f>IF(D3563="","",COUNTIFS('KG1-6'!$AD37:$IM37,"غياب بدون عذر",'KG1-6'!$AD$7:$IM$7,"✓",'KG1-6'!$AD$5:$IM$5,"&lt;="&amp;D3563))</f>
        <v/>
      </c>
      <c r="G3563">
        <f>G3562+IF(D3563="",0,1)</f>
        <v/>
      </c>
    </row>
    <row r="3564">
      <c r="A3564">
        <f>IF('KG1-6'!$B37="","",'KG1-6'!$B37)</f>
        <v/>
      </c>
      <c r="B3564">
        <f>IF(A3564="","",'KG1-6'!$C37)</f>
        <v/>
      </c>
      <c r="C3564">
        <f>IF(A3564="","",'KG1-6'!$B$2)</f>
        <v/>
      </c>
      <c r="D3564" s="126">
        <f t="array" ref="D3564">IF(A3564="","",IFERROR(SMALL(IF((('KG1-6'!$AD37:$IM37="غياب بدون عذر")+('KG1-6'!$AD37:$IM37="غياب بعذر"))*('KG1-6'!$AD$7:$IM$7="✓"),'KG1-6'!$AD$5:$IM$5),3),""))</f>
        <v/>
      </c>
      <c r="E3564">
        <f>IF(D3564="","",INDEX('KG1-6'!$AD37:$IM37,MATCH(D3564,'KG1-6'!$AD$5:$IM$5,0)))</f>
        <v/>
      </c>
      <c r="F3564">
        <f>IF(D3564="","",COUNTIFS('KG1-6'!$AD37:$IM37,"غياب بدون عذر",'KG1-6'!$AD$7:$IM$7,"✓",'KG1-6'!$AD$5:$IM$5,"&lt;="&amp;D3564))</f>
        <v/>
      </c>
      <c r="G3564">
        <f>G3563+IF(D3564="",0,1)</f>
        <v/>
      </c>
    </row>
    <row r="3565">
      <c r="A3565">
        <f>IF('KG1-6'!$B37="","",'KG1-6'!$B37)</f>
        <v/>
      </c>
      <c r="B3565">
        <f>IF(A3565="","",'KG1-6'!$C37)</f>
        <v/>
      </c>
      <c r="C3565">
        <f>IF(A3565="","",'KG1-6'!$B$2)</f>
        <v/>
      </c>
      <c r="D3565" s="126">
        <f t="array" ref="D3565">IF(A3565="","",IFERROR(SMALL(IF((('KG1-6'!$AD37:$IM37="غياب بدون عذر")+('KG1-6'!$AD37:$IM37="غياب بعذر"))*('KG1-6'!$AD$7:$IM$7="✓"),'KG1-6'!$AD$5:$IM$5),4),""))</f>
        <v/>
      </c>
      <c r="E3565">
        <f>IF(D3565="","",INDEX('KG1-6'!$AD37:$IM37,MATCH(D3565,'KG1-6'!$AD$5:$IM$5,0)))</f>
        <v/>
      </c>
      <c r="F3565">
        <f>IF(D3565="","",COUNTIFS('KG1-6'!$AD37:$IM37,"غياب بدون عذر",'KG1-6'!$AD$7:$IM$7,"✓",'KG1-6'!$AD$5:$IM$5,"&lt;="&amp;D3565))</f>
        <v/>
      </c>
      <c r="G3565">
        <f>G3564+IF(D3565="",0,1)</f>
        <v/>
      </c>
    </row>
    <row r="3566">
      <c r="A3566">
        <f>IF('KG1-6'!$B37="","",'KG1-6'!$B37)</f>
        <v/>
      </c>
      <c r="B3566">
        <f>IF(A3566="","",'KG1-6'!$C37)</f>
        <v/>
      </c>
      <c r="C3566">
        <f>IF(A3566="","",'KG1-6'!$B$2)</f>
        <v/>
      </c>
      <c r="D3566" s="126">
        <f t="array" ref="D3566">IF(A3566="","",IFERROR(SMALL(IF((('KG1-6'!$AD37:$IM37="غياب بدون عذر")+('KG1-6'!$AD37:$IM37="غياب بعذر"))*('KG1-6'!$AD$7:$IM$7="✓"),'KG1-6'!$AD$5:$IM$5),5),""))</f>
        <v/>
      </c>
      <c r="E3566">
        <f>IF(D3566="","",INDEX('KG1-6'!$AD37:$IM37,MATCH(D3566,'KG1-6'!$AD$5:$IM$5,0)))</f>
        <v/>
      </c>
      <c r="F3566">
        <f>IF(D3566="","",COUNTIFS('KG1-6'!$AD37:$IM37,"غياب بدون عذر",'KG1-6'!$AD$7:$IM$7,"✓",'KG1-6'!$AD$5:$IM$5,"&lt;="&amp;D3566))</f>
        <v/>
      </c>
      <c r="G3566">
        <f>G3565+IF(D3566="",0,1)</f>
        <v/>
      </c>
    </row>
    <row r="3567">
      <c r="A3567">
        <f>IF('KG1-6'!$B37="","",'KG1-6'!$B37)</f>
        <v/>
      </c>
      <c r="B3567">
        <f>IF(A3567="","",'KG1-6'!$C37)</f>
        <v/>
      </c>
      <c r="C3567">
        <f>IF(A3567="","",'KG1-6'!$B$2)</f>
        <v/>
      </c>
      <c r="D3567" s="126">
        <f t="array" ref="D3567">IF(A3567="","",IFERROR(SMALL(IF((('KG1-6'!$AD37:$IM37="غياب بدون عذر")+('KG1-6'!$AD37:$IM37="غياب بعذر"))*('KG1-6'!$AD$7:$IM$7="✓"),'KG1-6'!$AD$5:$IM$5),6),""))</f>
        <v/>
      </c>
      <c r="E3567">
        <f>IF(D3567="","",INDEX('KG1-6'!$AD37:$IM37,MATCH(D3567,'KG1-6'!$AD$5:$IM$5,0)))</f>
        <v/>
      </c>
      <c r="F3567">
        <f>IF(D3567="","",COUNTIFS('KG1-6'!$AD37:$IM37,"غياب بدون عذر",'KG1-6'!$AD$7:$IM$7,"✓",'KG1-6'!$AD$5:$IM$5,"&lt;="&amp;D3567))</f>
        <v/>
      </c>
      <c r="G3567">
        <f>G3566+IF(D3567="",0,1)</f>
        <v/>
      </c>
    </row>
    <row r="3568">
      <c r="A3568">
        <f>IF('KG1-6'!$B37="","",'KG1-6'!$B37)</f>
        <v/>
      </c>
      <c r="B3568">
        <f>IF(A3568="","",'KG1-6'!$C37)</f>
        <v/>
      </c>
      <c r="C3568">
        <f>IF(A3568="","",'KG1-6'!$B$2)</f>
        <v/>
      </c>
      <c r="D3568" s="126">
        <f t="array" ref="D3568">IF(A3568="","",IFERROR(SMALL(IF((('KG1-6'!$AD37:$IM37="غياب بدون عذر")+('KG1-6'!$AD37:$IM37="غياب بعذر"))*('KG1-6'!$AD$7:$IM$7="✓"),'KG1-6'!$AD$5:$IM$5),7),""))</f>
        <v/>
      </c>
      <c r="E3568">
        <f>IF(D3568="","",INDEX('KG1-6'!$AD37:$IM37,MATCH(D3568,'KG1-6'!$AD$5:$IM$5,0)))</f>
        <v/>
      </c>
      <c r="F3568">
        <f>IF(D3568="","",COUNTIFS('KG1-6'!$AD37:$IM37,"غياب بدون عذر",'KG1-6'!$AD$7:$IM$7,"✓",'KG1-6'!$AD$5:$IM$5,"&lt;="&amp;D3568))</f>
        <v/>
      </c>
      <c r="G3568">
        <f>G3567+IF(D3568="",0,1)</f>
        <v/>
      </c>
    </row>
    <row r="3569">
      <c r="A3569">
        <f>IF('KG1-6'!$B37="","",'KG1-6'!$B37)</f>
        <v/>
      </c>
      <c r="B3569">
        <f>IF(A3569="","",'KG1-6'!$C37)</f>
        <v/>
      </c>
      <c r="C3569">
        <f>IF(A3569="","",'KG1-6'!$B$2)</f>
        <v/>
      </c>
      <c r="D3569" s="126">
        <f t="array" ref="D3569">IF(A3569="","",IFERROR(SMALL(IF((('KG1-6'!$AD37:$IM37="غياب بدون عذر")+('KG1-6'!$AD37:$IM37="غياب بعذر"))*('KG1-6'!$AD$7:$IM$7="✓"),'KG1-6'!$AD$5:$IM$5),8),""))</f>
        <v/>
      </c>
      <c r="E3569">
        <f>IF(D3569="","",INDEX('KG1-6'!$AD37:$IM37,MATCH(D3569,'KG1-6'!$AD$5:$IM$5,0)))</f>
        <v/>
      </c>
      <c r="F3569">
        <f>IF(D3569="","",COUNTIFS('KG1-6'!$AD37:$IM37,"غياب بدون عذر",'KG1-6'!$AD$7:$IM$7,"✓",'KG1-6'!$AD$5:$IM$5,"&lt;="&amp;D3569))</f>
        <v/>
      </c>
      <c r="G3569">
        <f>G3568+IF(D3569="",0,1)</f>
        <v/>
      </c>
    </row>
    <row r="3570">
      <c r="A3570">
        <f>IF('KG1-6'!$B37="","",'KG1-6'!$B37)</f>
        <v/>
      </c>
      <c r="B3570">
        <f>IF(A3570="","",'KG1-6'!$C37)</f>
        <v/>
      </c>
      <c r="C3570">
        <f>IF(A3570="","",'KG1-6'!$B$2)</f>
        <v/>
      </c>
      <c r="D3570" s="126">
        <f t="array" ref="D3570">IF(A3570="","",IFERROR(SMALL(IF((('KG1-6'!$AD37:$IM37="غياب بدون عذر")+('KG1-6'!$AD37:$IM37="غياب بعذر"))*('KG1-6'!$AD$7:$IM$7="✓"),'KG1-6'!$AD$5:$IM$5),9),""))</f>
        <v/>
      </c>
      <c r="E3570">
        <f>IF(D3570="","",INDEX('KG1-6'!$AD37:$IM37,MATCH(D3570,'KG1-6'!$AD$5:$IM$5,0)))</f>
        <v/>
      </c>
      <c r="F3570">
        <f>IF(D3570="","",COUNTIFS('KG1-6'!$AD37:$IM37,"غياب بدون عذر",'KG1-6'!$AD$7:$IM$7,"✓",'KG1-6'!$AD$5:$IM$5,"&lt;="&amp;D3570))</f>
        <v/>
      </c>
      <c r="G3570">
        <f>G3569+IF(D3570="",0,1)</f>
        <v/>
      </c>
    </row>
    <row r="3571">
      <c r="A3571">
        <f>IF('KG1-6'!$B37="","",'KG1-6'!$B37)</f>
        <v/>
      </c>
      <c r="B3571">
        <f>IF(A3571="","",'KG1-6'!$C37)</f>
        <v/>
      </c>
      <c r="C3571">
        <f>IF(A3571="","",'KG1-6'!$B$2)</f>
        <v/>
      </c>
      <c r="D3571" s="126">
        <f t="array" ref="D3571">IF(A3571="","",IFERROR(SMALL(IF((('KG1-6'!$AD37:$IM37="غياب بدون عذر")+('KG1-6'!$AD37:$IM37="غياب بعذر"))*('KG1-6'!$AD$7:$IM$7="✓"),'KG1-6'!$AD$5:$IM$5),10),""))</f>
        <v/>
      </c>
      <c r="E3571">
        <f>IF(D3571="","",INDEX('KG1-6'!$AD37:$IM37,MATCH(D3571,'KG1-6'!$AD$5:$IM$5,0)))</f>
        <v/>
      </c>
      <c r="F3571">
        <f>IF(D3571="","",COUNTIFS('KG1-6'!$AD37:$IM37,"غياب بدون عذر",'KG1-6'!$AD$7:$IM$7,"✓",'KG1-6'!$AD$5:$IM$5,"&lt;="&amp;D3571))</f>
        <v/>
      </c>
      <c r="G3571">
        <f>G3570+IF(D3571="",0,1)</f>
        <v/>
      </c>
    </row>
    <row r="3572">
      <c r="A3572">
        <f>IF('KG1-6'!$B37="","",'KG1-6'!$B37)</f>
        <v/>
      </c>
      <c r="B3572">
        <f>IF(A3572="","",'KG1-6'!$C37)</f>
        <v/>
      </c>
      <c r="C3572">
        <f>IF(A3572="","",'KG1-6'!$B$2)</f>
        <v/>
      </c>
      <c r="D3572" s="126">
        <f t="array" ref="D3572">IF(A3572="","",IFERROR(SMALL(IF((('KG1-6'!$AD37:$IM37="غياب بدون عذر")+('KG1-6'!$AD37:$IM37="غياب بعذر"))*('KG1-6'!$AD$7:$IM$7="✓"),'KG1-6'!$AD$5:$IM$5),11),""))</f>
        <v/>
      </c>
      <c r="E3572">
        <f>IF(D3572="","",INDEX('KG1-6'!$AD37:$IM37,MATCH(D3572,'KG1-6'!$AD$5:$IM$5,0)))</f>
        <v/>
      </c>
      <c r="F3572">
        <f>IF(D3572="","",COUNTIFS('KG1-6'!$AD37:$IM37,"غياب بدون عذر",'KG1-6'!$AD$7:$IM$7,"✓",'KG1-6'!$AD$5:$IM$5,"&lt;="&amp;D3572))</f>
        <v/>
      </c>
      <c r="G3572">
        <f>G3571+IF(D3572="",0,1)</f>
        <v/>
      </c>
    </row>
    <row r="3573">
      <c r="A3573">
        <f>IF('KG1-6'!$B37="","",'KG1-6'!$B37)</f>
        <v/>
      </c>
      <c r="B3573">
        <f>IF(A3573="","",'KG1-6'!$C37)</f>
        <v/>
      </c>
      <c r="C3573">
        <f>IF(A3573="","",'KG1-6'!$B$2)</f>
        <v/>
      </c>
      <c r="D3573" s="126">
        <f t="array" ref="D3573">IF(A3573="","",IFERROR(SMALL(IF((('KG1-6'!$AD37:$IM37="غياب بدون عذر")+('KG1-6'!$AD37:$IM37="غياب بعذر"))*('KG1-6'!$AD$7:$IM$7="✓"),'KG1-6'!$AD$5:$IM$5),12),""))</f>
        <v/>
      </c>
      <c r="E3573">
        <f>IF(D3573="","",INDEX('KG1-6'!$AD37:$IM37,MATCH(D3573,'KG1-6'!$AD$5:$IM$5,0)))</f>
        <v/>
      </c>
      <c r="F3573">
        <f>IF(D3573="","",COUNTIFS('KG1-6'!$AD37:$IM37,"غياب بدون عذر",'KG1-6'!$AD$7:$IM$7,"✓",'KG1-6'!$AD$5:$IM$5,"&lt;="&amp;D3573))</f>
        <v/>
      </c>
      <c r="G3573">
        <f>G3572+IF(D3573="",0,1)</f>
        <v/>
      </c>
    </row>
    <row r="3574">
      <c r="A3574">
        <f>IF('KG1-6'!$B37="","",'KG1-6'!$B37)</f>
        <v/>
      </c>
      <c r="B3574">
        <f>IF(A3574="","",'KG1-6'!$C37)</f>
        <v/>
      </c>
      <c r="C3574">
        <f>IF(A3574="","",'KG1-6'!$B$2)</f>
        <v/>
      </c>
      <c r="D3574" s="126">
        <f t="array" ref="D3574">IF(A3574="","",IFERROR(SMALL(IF((('KG1-6'!$AD37:$IM37="غياب بدون عذر")+('KG1-6'!$AD37:$IM37="غياب بعذر"))*('KG1-6'!$AD$7:$IM$7="✓"),'KG1-6'!$AD$5:$IM$5),13),""))</f>
        <v/>
      </c>
      <c r="E3574">
        <f>IF(D3574="","",INDEX('KG1-6'!$AD37:$IM37,MATCH(D3574,'KG1-6'!$AD$5:$IM$5,0)))</f>
        <v/>
      </c>
      <c r="F3574">
        <f>IF(D3574="","",COUNTIFS('KG1-6'!$AD37:$IM37,"غياب بدون عذر",'KG1-6'!$AD$7:$IM$7,"✓",'KG1-6'!$AD$5:$IM$5,"&lt;="&amp;D3574))</f>
        <v/>
      </c>
      <c r="G3574">
        <f>G3573+IF(D3574="",0,1)</f>
        <v/>
      </c>
    </row>
    <row r="3575">
      <c r="A3575">
        <f>IF('KG1-6'!$B37="","",'KG1-6'!$B37)</f>
        <v/>
      </c>
      <c r="B3575">
        <f>IF(A3575="","",'KG1-6'!$C37)</f>
        <v/>
      </c>
      <c r="C3575">
        <f>IF(A3575="","",'KG1-6'!$B$2)</f>
        <v/>
      </c>
      <c r="D3575" s="126">
        <f t="array" ref="D3575">IF(A3575="","",IFERROR(SMALL(IF((('KG1-6'!$AD37:$IM37="غياب بدون عذر")+('KG1-6'!$AD37:$IM37="غياب بعذر"))*('KG1-6'!$AD$7:$IM$7="✓"),'KG1-6'!$AD$5:$IM$5),14),""))</f>
        <v/>
      </c>
      <c r="E3575">
        <f>IF(D3575="","",INDEX('KG1-6'!$AD37:$IM37,MATCH(D3575,'KG1-6'!$AD$5:$IM$5,0)))</f>
        <v/>
      </c>
      <c r="F3575">
        <f>IF(D3575="","",COUNTIFS('KG1-6'!$AD37:$IM37,"غياب بدون عذر",'KG1-6'!$AD$7:$IM$7,"✓",'KG1-6'!$AD$5:$IM$5,"&lt;="&amp;D3575))</f>
        <v/>
      </c>
      <c r="G3575">
        <f>G3574+IF(D3575="",0,1)</f>
        <v/>
      </c>
    </row>
    <row r="3576">
      <c r="A3576">
        <f>IF('KG1-6'!$B37="","",'KG1-6'!$B37)</f>
        <v/>
      </c>
      <c r="B3576">
        <f>IF(A3576="","",'KG1-6'!$C37)</f>
        <v/>
      </c>
      <c r="C3576">
        <f>IF(A3576="","",'KG1-6'!$B$2)</f>
        <v/>
      </c>
      <c r="D3576" s="126">
        <f t="array" ref="D3576">IF(A3576="","",IFERROR(SMALL(IF((('KG1-6'!$AD37:$IM37="غياب بدون عذر")+('KG1-6'!$AD37:$IM37="غياب بعذر"))*('KG1-6'!$AD$7:$IM$7="✓"),'KG1-6'!$AD$5:$IM$5),15),""))</f>
        <v/>
      </c>
      <c r="E3576">
        <f>IF(D3576="","",INDEX('KG1-6'!$AD37:$IM37,MATCH(D3576,'KG1-6'!$AD$5:$IM$5,0)))</f>
        <v/>
      </c>
      <c r="F3576">
        <f>IF(D3576="","",COUNTIFS('KG1-6'!$AD37:$IM37,"غياب بدون عذر",'KG1-6'!$AD$7:$IM$7,"✓",'KG1-6'!$AD$5:$IM$5,"&lt;="&amp;D3576))</f>
        <v/>
      </c>
      <c r="G3576">
        <f>G3575+IF(D3576="",0,1)</f>
        <v/>
      </c>
    </row>
    <row r="3577">
      <c r="A3577">
        <f>IF('KG1-6'!$B37="","",'KG1-6'!$B37)</f>
        <v/>
      </c>
      <c r="B3577">
        <f>IF(A3577="","",'KG1-6'!$C37)</f>
        <v/>
      </c>
      <c r="C3577">
        <f>IF(A3577="","",'KG1-6'!$B$2)</f>
        <v/>
      </c>
      <c r="D3577" s="126">
        <f t="array" ref="D3577">IF(A3577="","",IFERROR(SMALL(IF((('KG1-6'!$AD37:$IM37="غياب بدون عذر")+('KG1-6'!$AD37:$IM37="غياب بعذر"))*('KG1-6'!$AD$7:$IM$7="✓"),'KG1-6'!$AD$5:$IM$5),16),""))</f>
        <v/>
      </c>
      <c r="E3577">
        <f>IF(D3577="","",INDEX('KG1-6'!$AD37:$IM37,MATCH(D3577,'KG1-6'!$AD$5:$IM$5,0)))</f>
        <v/>
      </c>
      <c r="F3577">
        <f>IF(D3577="","",COUNTIFS('KG1-6'!$AD37:$IM37,"غياب بدون عذر",'KG1-6'!$AD$7:$IM$7,"✓",'KG1-6'!$AD$5:$IM$5,"&lt;="&amp;D3577))</f>
        <v/>
      </c>
      <c r="G3577">
        <f>G3576+IF(D3577="",0,1)</f>
        <v/>
      </c>
    </row>
    <row r="3578">
      <c r="A3578">
        <f>IF('KG1-6'!$B37="","",'KG1-6'!$B37)</f>
        <v/>
      </c>
      <c r="B3578">
        <f>IF(A3578="","",'KG1-6'!$C37)</f>
        <v/>
      </c>
      <c r="C3578">
        <f>IF(A3578="","",'KG1-6'!$B$2)</f>
        <v/>
      </c>
      <c r="D3578" s="126">
        <f t="array" ref="D3578">IF(A3578="","",IFERROR(SMALL(IF((('KG1-6'!$AD37:$IM37="غياب بدون عذر")+('KG1-6'!$AD37:$IM37="غياب بعذر"))*('KG1-6'!$AD$7:$IM$7="✓"),'KG1-6'!$AD$5:$IM$5),17),""))</f>
        <v/>
      </c>
      <c r="E3578">
        <f>IF(D3578="","",INDEX('KG1-6'!$AD37:$IM37,MATCH(D3578,'KG1-6'!$AD$5:$IM$5,0)))</f>
        <v/>
      </c>
      <c r="F3578">
        <f>IF(D3578="","",COUNTIFS('KG1-6'!$AD37:$IM37,"غياب بدون عذر",'KG1-6'!$AD$7:$IM$7,"✓",'KG1-6'!$AD$5:$IM$5,"&lt;="&amp;D3578))</f>
        <v/>
      </c>
      <c r="G3578">
        <f>G3577+IF(D3578="",0,1)</f>
        <v/>
      </c>
    </row>
    <row r="3579">
      <c r="A3579">
        <f>IF('KG1-6'!$B37="","",'KG1-6'!$B37)</f>
        <v/>
      </c>
      <c r="B3579">
        <f>IF(A3579="","",'KG1-6'!$C37)</f>
        <v/>
      </c>
      <c r="C3579">
        <f>IF(A3579="","",'KG1-6'!$B$2)</f>
        <v/>
      </c>
      <c r="D3579" s="126">
        <f t="array" ref="D3579">IF(A3579="","",IFERROR(SMALL(IF((('KG1-6'!$AD37:$IM37="غياب بدون عذر")+('KG1-6'!$AD37:$IM37="غياب بعذر"))*('KG1-6'!$AD$7:$IM$7="✓"),'KG1-6'!$AD$5:$IM$5),18),""))</f>
        <v/>
      </c>
      <c r="E3579">
        <f>IF(D3579="","",INDEX('KG1-6'!$AD37:$IM37,MATCH(D3579,'KG1-6'!$AD$5:$IM$5,0)))</f>
        <v/>
      </c>
      <c r="F3579">
        <f>IF(D3579="","",COUNTIFS('KG1-6'!$AD37:$IM37,"غياب بدون عذر",'KG1-6'!$AD$7:$IM$7,"✓",'KG1-6'!$AD$5:$IM$5,"&lt;="&amp;D3579))</f>
        <v/>
      </c>
      <c r="G3579">
        <f>G3578+IF(D3579="",0,1)</f>
        <v/>
      </c>
    </row>
    <row r="3580">
      <c r="A3580">
        <f>IF('KG1-6'!$B37="","",'KG1-6'!$B37)</f>
        <v/>
      </c>
      <c r="B3580">
        <f>IF(A3580="","",'KG1-6'!$C37)</f>
        <v/>
      </c>
      <c r="C3580">
        <f>IF(A3580="","",'KG1-6'!$B$2)</f>
        <v/>
      </c>
      <c r="D3580" s="126">
        <f t="array" ref="D3580">IF(A3580="","",IFERROR(SMALL(IF((('KG1-6'!$AD37:$IM37="غياب بدون عذر")+('KG1-6'!$AD37:$IM37="غياب بعذر"))*('KG1-6'!$AD$7:$IM$7="✓"),'KG1-6'!$AD$5:$IM$5),19),""))</f>
        <v/>
      </c>
      <c r="E3580">
        <f>IF(D3580="","",INDEX('KG1-6'!$AD37:$IM37,MATCH(D3580,'KG1-6'!$AD$5:$IM$5,0)))</f>
        <v/>
      </c>
      <c r="F3580">
        <f>IF(D3580="","",COUNTIFS('KG1-6'!$AD37:$IM37,"غياب بدون عذر",'KG1-6'!$AD$7:$IM$7,"✓",'KG1-6'!$AD$5:$IM$5,"&lt;="&amp;D3580))</f>
        <v/>
      </c>
      <c r="G3580">
        <f>G3579+IF(D3580="",0,1)</f>
        <v/>
      </c>
    </row>
    <row r="3581">
      <c r="A3581">
        <f>IF('KG1-6'!$B37="","",'KG1-6'!$B37)</f>
        <v/>
      </c>
      <c r="B3581">
        <f>IF(A3581="","",'KG1-6'!$C37)</f>
        <v/>
      </c>
      <c r="C3581">
        <f>IF(A3581="","",'KG1-6'!$B$2)</f>
        <v/>
      </c>
      <c r="D3581" s="126">
        <f t="array" ref="D3581">IF(A3581="","",IFERROR(SMALL(IF((('KG1-6'!$AD37:$IM37="غياب بدون عذر")+('KG1-6'!$AD37:$IM37="غياب بعذر"))*('KG1-6'!$AD$7:$IM$7="✓"),'KG1-6'!$AD$5:$IM$5),20),""))</f>
        <v/>
      </c>
      <c r="E3581">
        <f>IF(D3581="","",INDEX('KG1-6'!$AD37:$IM37,MATCH(D3581,'KG1-6'!$AD$5:$IM$5,0)))</f>
        <v/>
      </c>
      <c r="F3581">
        <f>IF(D3581="","",COUNTIFS('KG1-6'!$AD37:$IM37,"غياب بدون عذر",'KG1-6'!$AD$7:$IM$7,"✓",'KG1-6'!$AD$5:$IM$5,"&lt;="&amp;D3581))</f>
        <v/>
      </c>
      <c r="G3581">
        <f>G3580+IF(D3581="",0,1)</f>
        <v/>
      </c>
    </row>
    <row r="3582">
      <c r="A3582">
        <f>IF('KG1-6'!$B38="","",'KG1-6'!$B38)</f>
        <v/>
      </c>
      <c r="B3582">
        <f>IF(A3582="","",'KG1-6'!$C38)</f>
        <v/>
      </c>
      <c r="C3582">
        <f>IF(A3582="","",'KG1-6'!$B$2)</f>
        <v/>
      </c>
      <c r="D3582" s="126">
        <f t="array" ref="D3582">IF(A3582="","",IFERROR(SMALL(IF((('KG1-6'!$AD38:$IM38="غياب بدون عذر")+('KG1-6'!$AD38:$IM38="غياب بعذر"))*('KG1-6'!$AD$7:$IM$7="✓"),'KG1-6'!$AD$5:$IM$5),1),""))</f>
        <v/>
      </c>
      <c r="E3582">
        <f>IF(D3582="","",INDEX('KG1-6'!$AD38:$IM38,MATCH(D3582,'KG1-6'!$AD$5:$IM$5,0)))</f>
        <v/>
      </c>
      <c r="F3582">
        <f>IF(D3582="","",COUNTIFS('KG1-6'!$AD38:$IM38,"غياب بدون عذر",'KG1-6'!$AD$7:$IM$7,"✓",'KG1-6'!$AD$5:$IM$5,"&lt;="&amp;D3582))</f>
        <v/>
      </c>
      <c r="G3582">
        <f>G3581+IF(D3582="",0,1)</f>
        <v/>
      </c>
    </row>
    <row r="3583">
      <c r="A3583">
        <f>IF('KG1-6'!$B38="","",'KG1-6'!$B38)</f>
        <v/>
      </c>
      <c r="B3583">
        <f>IF(A3583="","",'KG1-6'!$C38)</f>
        <v/>
      </c>
      <c r="C3583">
        <f>IF(A3583="","",'KG1-6'!$B$2)</f>
        <v/>
      </c>
      <c r="D3583" s="126">
        <f t="array" ref="D3583">IF(A3583="","",IFERROR(SMALL(IF((('KG1-6'!$AD38:$IM38="غياب بدون عذر")+('KG1-6'!$AD38:$IM38="غياب بعذر"))*('KG1-6'!$AD$7:$IM$7="✓"),'KG1-6'!$AD$5:$IM$5),2),""))</f>
        <v/>
      </c>
      <c r="E3583">
        <f>IF(D3583="","",INDEX('KG1-6'!$AD38:$IM38,MATCH(D3583,'KG1-6'!$AD$5:$IM$5,0)))</f>
        <v/>
      </c>
      <c r="F3583">
        <f>IF(D3583="","",COUNTIFS('KG1-6'!$AD38:$IM38,"غياب بدون عذر",'KG1-6'!$AD$7:$IM$7,"✓",'KG1-6'!$AD$5:$IM$5,"&lt;="&amp;D3583))</f>
        <v/>
      </c>
      <c r="G3583">
        <f>G3582+IF(D3583="",0,1)</f>
        <v/>
      </c>
    </row>
    <row r="3584">
      <c r="A3584">
        <f>IF('KG1-6'!$B38="","",'KG1-6'!$B38)</f>
        <v/>
      </c>
      <c r="B3584">
        <f>IF(A3584="","",'KG1-6'!$C38)</f>
        <v/>
      </c>
      <c r="C3584">
        <f>IF(A3584="","",'KG1-6'!$B$2)</f>
        <v/>
      </c>
      <c r="D3584" s="126">
        <f t="array" ref="D3584">IF(A3584="","",IFERROR(SMALL(IF((('KG1-6'!$AD38:$IM38="غياب بدون عذر")+('KG1-6'!$AD38:$IM38="غياب بعذر"))*('KG1-6'!$AD$7:$IM$7="✓"),'KG1-6'!$AD$5:$IM$5),3),""))</f>
        <v/>
      </c>
      <c r="E3584">
        <f>IF(D3584="","",INDEX('KG1-6'!$AD38:$IM38,MATCH(D3584,'KG1-6'!$AD$5:$IM$5,0)))</f>
        <v/>
      </c>
      <c r="F3584">
        <f>IF(D3584="","",COUNTIFS('KG1-6'!$AD38:$IM38,"غياب بدون عذر",'KG1-6'!$AD$7:$IM$7,"✓",'KG1-6'!$AD$5:$IM$5,"&lt;="&amp;D3584))</f>
        <v/>
      </c>
      <c r="G3584">
        <f>G3583+IF(D3584="",0,1)</f>
        <v/>
      </c>
    </row>
    <row r="3585">
      <c r="A3585">
        <f>IF('KG1-6'!$B38="","",'KG1-6'!$B38)</f>
        <v/>
      </c>
      <c r="B3585">
        <f>IF(A3585="","",'KG1-6'!$C38)</f>
        <v/>
      </c>
      <c r="C3585">
        <f>IF(A3585="","",'KG1-6'!$B$2)</f>
        <v/>
      </c>
      <c r="D3585" s="126">
        <f t="array" ref="D3585">IF(A3585="","",IFERROR(SMALL(IF((('KG1-6'!$AD38:$IM38="غياب بدون عذر")+('KG1-6'!$AD38:$IM38="غياب بعذر"))*('KG1-6'!$AD$7:$IM$7="✓"),'KG1-6'!$AD$5:$IM$5),4),""))</f>
        <v/>
      </c>
      <c r="E3585">
        <f>IF(D3585="","",INDEX('KG1-6'!$AD38:$IM38,MATCH(D3585,'KG1-6'!$AD$5:$IM$5,0)))</f>
        <v/>
      </c>
      <c r="F3585">
        <f>IF(D3585="","",COUNTIFS('KG1-6'!$AD38:$IM38,"غياب بدون عذر",'KG1-6'!$AD$7:$IM$7,"✓",'KG1-6'!$AD$5:$IM$5,"&lt;="&amp;D3585))</f>
        <v/>
      </c>
      <c r="G3585">
        <f>G3584+IF(D3585="",0,1)</f>
        <v/>
      </c>
    </row>
    <row r="3586">
      <c r="A3586">
        <f>IF('KG1-6'!$B38="","",'KG1-6'!$B38)</f>
        <v/>
      </c>
      <c r="B3586">
        <f>IF(A3586="","",'KG1-6'!$C38)</f>
        <v/>
      </c>
      <c r="C3586">
        <f>IF(A3586="","",'KG1-6'!$B$2)</f>
        <v/>
      </c>
      <c r="D3586" s="126">
        <f t="array" ref="D3586">IF(A3586="","",IFERROR(SMALL(IF((('KG1-6'!$AD38:$IM38="غياب بدون عذر")+('KG1-6'!$AD38:$IM38="غياب بعذر"))*('KG1-6'!$AD$7:$IM$7="✓"),'KG1-6'!$AD$5:$IM$5),5),""))</f>
        <v/>
      </c>
      <c r="E3586">
        <f>IF(D3586="","",INDEX('KG1-6'!$AD38:$IM38,MATCH(D3586,'KG1-6'!$AD$5:$IM$5,0)))</f>
        <v/>
      </c>
      <c r="F3586">
        <f>IF(D3586="","",COUNTIFS('KG1-6'!$AD38:$IM38,"غياب بدون عذر",'KG1-6'!$AD$7:$IM$7,"✓",'KG1-6'!$AD$5:$IM$5,"&lt;="&amp;D3586))</f>
        <v/>
      </c>
      <c r="G3586">
        <f>G3585+IF(D3586="",0,1)</f>
        <v/>
      </c>
    </row>
    <row r="3587">
      <c r="A3587">
        <f>IF('KG1-6'!$B38="","",'KG1-6'!$B38)</f>
        <v/>
      </c>
      <c r="B3587">
        <f>IF(A3587="","",'KG1-6'!$C38)</f>
        <v/>
      </c>
      <c r="C3587">
        <f>IF(A3587="","",'KG1-6'!$B$2)</f>
        <v/>
      </c>
      <c r="D3587" s="126">
        <f t="array" ref="D3587">IF(A3587="","",IFERROR(SMALL(IF((('KG1-6'!$AD38:$IM38="غياب بدون عذر")+('KG1-6'!$AD38:$IM38="غياب بعذر"))*('KG1-6'!$AD$7:$IM$7="✓"),'KG1-6'!$AD$5:$IM$5),6),""))</f>
        <v/>
      </c>
      <c r="E3587">
        <f>IF(D3587="","",INDEX('KG1-6'!$AD38:$IM38,MATCH(D3587,'KG1-6'!$AD$5:$IM$5,0)))</f>
        <v/>
      </c>
      <c r="F3587">
        <f>IF(D3587="","",COUNTIFS('KG1-6'!$AD38:$IM38,"غياب بدون عذر",'KG1-6'!$AD$7:$IM$7,"✓",'KG1-6'!$AD$5:$IM$5,"&lt;="&amp;D3587))</f>
        <v/>
      </c>
      <c r="G3587">
        <f>G3586+IF(D3587="",0,1)</f>
        <v/>
      </c>
    </row>
    <row r="3588">
      <c r="A3588">
        <f>IF('KG1-6'!$B38="","",'KG1-6'!$B38)</f>
        <v/>
      </c>
      <c r="B3588">
        <f>IF(A3588="","",'KG1-6'!$C38)</f>
        <v/>
      </c>
      <c r="C3588">
        <f>IF(A3588="","",'KG1-6'!$B$2)</f>
        <v/>
      </c>
      <c r="D3588" s="126">
        <f t="array" ref="D3588">IF(A3588="","",IFERROR(SMALL(IF((('KG1-6'!$AD38:$IM38="غياب بدون عذر")+('KG1-6'!$AD38:$IM38="غياب بعذر"))*('KG1-6'!$AD$7:$IM$7="✓"),'KG1-6'!$AD$5:$IM$5),7),""))</f>
        <v/>
      </c>
      <c r="E3588">
        <f>IF(D3588="","",INDEX('KG1-6'!$AD38:$IM38,MATCH(D3588,'KG1-6'!$AD$5:$IM$5,0)))</f>
        <v/>
      </c>
      <c r="F3588">
        <f>IF(D3588="","",COUNTIFS('KG1-6'!$AD38:$IM38,"غياب بدون عذر",'KG1-6'!$AD$7:$IM$7,"✓",'KG1-6'!$AD$5:$IM$5,"&lt;="&amp;D3588))</f>
        <v/>
      </c>
      <c r="G3588">
        <f>G3587+IF(D3588="",0,1)</f>
        <v/>
      </c>
    </row>
    <row r="3589">
      <c r="A3589">
        <f>IF('KG1-6'!$B38="","",'KG1-6'!$B38)</f>
        <v/>
      </c>
      <c r="B3589">
        <f>IF(A3589="","",'KG1-6'!$C38)</f>
        <v/>
      </c>
      <c r="C3589">
        <f>IF(A3589="","",'KG1-6'!$B$2)</f>
        <v/>
      </c>
      <c r="D3589" s="126">
        <f t="array" ref="D3589">IF(A3589="","",IFERROR(SMALL(IF((('KG1-6'!$AD38:$IM38="غياب بدون عذر")+('KG1-6'!$AD38:$IM38="غياب بعذر"))*('KG1-6'!$AD$7:$IM$7="✓"),'KG1-6'!$AD$5:$IM$5),8),""))</f>
        <v/>
      </c>
      <c r="E3589">
        <f>IF(D3589="","",INDEX('KG1-6'!$AD38:$IM38,MATCH(D3589,'KG1-6'!$AD$5:$IM$5,0)))</f>
        <v/>
      </c>
      <c r="F3589">
        <f>IF(D3589="","",COUNTIFS('KG1-6'!$AD38:$IM38,"غياب بدون عذر",'KG1-6'!$AD$7:$IM$7,"✓",'KG1-6'!$AD$5:$IM$5,"&lt;="&amp;D3589))</f>
        <v/>
      </c>
      <c r="G3589">
        <f>G3588+IF(D3589="",0,1)</f>
        <v/>
      </c>
    </row>
    <row r="3590">
      <c r="A3590">
        <f>IF('KG1-6'!$B38="","",'KG1-6'!$B38)</f>
        <v/>
      </c>
      <c r="B3590">
        <f>IF(A3590="","",'KG1-6'!$C38)</f>
        <v/>
      </c>
      <c r="C3590">
        <f>IF(A3590="","",'KG1-6'!$B$2)</f>
        <v/>
      </c>
      <c r="D3590" s="126">
        <f t="array" ref="D3590">IF(A3590="","",IFERROR(SMALL(IF((('KG1-6'!$AD38:$IM38="غياب بدون عذر")+('KG1-6'!$AD38:$IM38="غياب بعذر"))*('KG1-6'!$AD$7:$IM$7="✓"),'KG1-6'!$AD$5:$IM$5),9),""))</f>
        <v/>
      </c>
      <c r="E3590">
        <f>IF(D3590="","",INDEX('KG1-6'!$AD38:$IM38,MATCH(D3590,'KG1-6'!$AD$5:$IM$5,0)))</f>
        <v/>
      </c>
      <c r="F3590">
        <f>IF(D3590="","",COUNTIFS('KG1-6'!$AD38:$IM38,"غياب بدون عذر",'KG1-6'!$AD$7:$IM$7,"✓",'KG1-6'!$AD$5:$IM$5,"&lt;="&amp;D3590))</f>
        <v/>
      </c>
      <c r="G3590">
        <f>G3589+IF(D3590="",0,1)</f>
        <v/>
      </c>
    </row>
    <row r="3591">
      <c r="A3591">
        <f>IF('KG1-6'!$B38="","",'KG1-6'!$B38)</f>
        <v/>
      </c>
      <c r="B3591">
        <f>IF(A3591="","",'KG1-6'!$C38)</f>
        <v/>
      </c>
      <c r="C3591">
        <f>IF(A3591="","",'KG1-6'!$B$2)</f>
        <v/>
      </c>
      <c r="D3591" s="126">
        <f t="array" ref="D3591">IF(A3591="","",IFERROR(SMALL(IF((('KG1-6'!$AD38:$IM38="غياب بدون عذر")+('KG1-6'!$AD38:$IM38="غياب بعذر"))*('KG1-6'!$AD$7:$IM$7="✓"),'KG1-6'!$AD$5:$IM$5),10),""))</f>
        <v/>
      </c>
      <c r="E3591">
        <f>IF(D3591="","",INDEX('KG1-6'!$AD38:$IM38,MATCH(D3591,'KG1-6'!$AD$5:$IM$5,0)))</f>
        <v/>
      </c>
      <c r="F3591">
        <f>IF(D3591="","",COUNTIFS('KG1-6'!$AD38:$IM38,"غياب بدون عذر",'KG1-6'!$AD$7:$IM$7,"✓",'KG1-6'!$AD$5:$IM$5,"&lt;="&amp;D3591))</f>
        <v/>
      </c>
      <c r="G3591">
        <f>G3590+IF(D3591="",0,1)</f>
        <v/>
      </c>
    </row>
    <row r="3592">
      <c r="A3592">
        <f>IF('KG1-6'!$B38="","",'KG1-6'!$B38)</f>
        <v/>
      </c>
      <c r="B3592">
        <f>IF(A3592="","",'KG1-6'!$C38)</f>
        <v/>
      </c>
      <c r="C3592">
        <f>IF(A3592="","",'KG1-6'!$B$2)</f>
        <v/>
      </c>
      <c r="D3592" s="126">
        <f t="array" ref="D3592">IF(A3592="","",IFERROR(SMALL(IF((('KG1-6'!$AD38:$IM38="غياب بدون عذر")+('KG1-6'!$AD38:$IM38="غياب بعذر"))*('KG1-6'!$AD$7:$IM$7="✓"),'KG1-6'!$AD$5:$IM$5),11),""))</f>
        <v/>
      </c>
      <c r="E3592">
        <f>IF(D3592="","",INDEX('KG1-6'!$AD38:$IM38,MATCH(D3592,'KG1-6'!$AD$5:$IM$5,0)))</f>
        <v/>
      </c>
      <c r="F3592">
        <f>IF(D3592="","",COUNTIFS('KG1-6'!$AD38:$IM38,"غياب بدون عذر",'KG1-6'!$AD$7:$IM$7,"✓",'KG1-6'!$AD$5:$IM$5,"&lt;="&amp;D3592))</f>
        <v/>
      </c>
      <c r="G3592">
        <f>G3591+IF(D3592="",0,1)</f>
        <v/>
      </c>
    </row>
    <row r="3593">
      <c r="A3593">
        <f>IF('KG1-6'!$B38="","",'KG1-6'!$B38)</f>
        <v/>
      </c>
      <c r="B3593">
        <f>IF(A3593="","",'KG1-6'!$C38)</f>
        <v/>
      </c>
      <c r="C3593">
        <f>IF(A3593="","",'KG1-6'!$B$2)</f>
        <v/>
      </c>
      <c r="D3593" s="126">
        <f t="array" ref="D3593">IF(A3593="","",IFERROR(SMALL(IF((('KG1-6'!$AD38:$IM38="غياب بدون عذر")+('KG1-6'!$AD38:$IM38="غياب بعذر"))*('KG1-6'!$AD$7:$IM$7="✓"),'KG1-6'!$AD$5:$IM$5),12),""))</f>
        <v/>
      </c>
      <c r="E3593">
        <f>IF(D3593="","",INDEX('KG1-6'!$AD38:$IM38,MATCH(D3593,'KG1-6'!$AD$5:$IM$5,0)))</f>
        <v/>
      </c>
      <c r="F3593">
        <f>IF(D3593="","",COUNTIFS('KG1-6'!$AD38:$IM38,"غياب بدون عذر",'KG1-6'!$AD$7:$IM$7,"✓",'KG1-6'!$AD$5:$IM$5,"&lt;="&amp;D3593))</f>
        <v/>
      </c>
      <c r="G3593">
        <f>G3592+IF(D3593="",0,1)</f>
        <v/>
      </c>
    </row>
    <row r="3594">
      <c r="A3594">
        <f>IF('KG1-6'!$B38="","",'KG1-6'!$B38)</f>
        <v/>
      </c>
      <c r="B3594">
        <f>IF(A3594="","",'KG1-6'!$C38)</f>
        <v/>
      </c>
      <c r="C3594">
        <f>IF(A3594="","",'KG1-6'!$B$2)</f>
        <v/>
      </c>
      <c r="D3594" s="126">
        <f t="array" ref="D3594">IF(A3594="","",IFERROR(SMALL(IF((('KG1-6'!$AD38:$IM38="غياب بدون عذر")+('KG1-6'!$AD38:$IM38="غياب بعذر"))*('KG1-6'!$AD$7:$IM$7="✓"),'KG1-6'!$AD$5:$IM$5),13),""))</f>
        <v/>
      </c>
      <c r="E3594">
        <f>IF(D3594="","",INDEX('KG1-6'!$AD38:$IM38,MATCH(D3594,'KG1-6'!$AD$5:$IM$5,0)))</f>
        <v/>
      </c>
      <c r="F3594">
        <f>IF(D3594="","",COUNTIFS('KG1-6'!$AD38:$IM38,"غياب بدون عذر",'KG1-6'!$AD$7:$IM$7,"✓",'KG1-6'!$AD$5:$IM$5,"&lt;="&amp;D3594))</f>
        <v/>
      </c>
      <c r="G3594">
        <f>G3593+IF(D3594="",0,1)</f>
        <v/>
      </c>
    </row>
    <row r="3595">
      <c r="A3595">
        <f>IF('KG1-6'!$B38="","",'KG1-6'!$B38)</f>
        <v/>
      </c>
      <c r="B3595">
        <f>IF(A3595="","",'KG1-6'!$C38)</f>
        <v/>
      </c>
      <c r="C3595">
        <f>IF(A3595="","",'KG1-6'!$B$2)</f>
        <v/>
      </c>
      <c r="D3595" s="126">
        <f t="array" ref="D3595">IF(A3595="","",IFERROR(SMALL(IF((('KG1-6'!$AD38:$IM38="غياب بدون عذر")+('KG1-6'!$AD38:$IM38="غياب بعذر"))*('KG1-6'!$AD$7:$IM$7="✓"),'KG1-6'!$AD$5:$IM$5),14),""))</f>
        <v/>
      </c>
      <c r="E3595">
        <f>IF(D3595="","",INDEX('KG1-6'!$AD38:$IM38,MATCH(D3595,'KG1-6'!$AD$5:$IM$5,0)))</f>
        <v/>
      </c>
      <c r="F3595">
        <f>IF(D3595="","",COUNTIFS('KG1-6'!$AD38:$IM38,"غياب بدون عذر",'KG1-6'!$AD$7:$IM$7,"✓",'KG1-6'!$AD$5:$IM$5,"&lt;="&amp;D3595))</f>
        <v/>
      </c>
      <c r="G3595">
        <f>G3594+IF(D3595="",0,1)</f>
        <v/>
      </c>
    </row>
    <row r="3596">
      <c r="A3596">
        <f>IF('KG1-6'!$B38="","",'KG1-6'!$B38)</f>
        <v/>
      </c>
      <c r="B3596">
        <f>IF(A3596="","",'KG1-6'!$C38)</f>
        <v/>
      </c>
      <c r="C3596">
        <f>IF(A3596="","",'KG1-6'!$B$2)</f>
        <v/>
      </c>
      <c r="D3596" s="126">
        <f t="array" ref="D3596">IF(A3596="","",IFERROR(SMALL(IF((('KG1-6'!$AD38:$IM38="غياب بدون عذر")+('KG1-6'!$AD38:$IM38="غياب بعذر"))*('KG1-6'!$AD$7:$IM$7="✓"),'KG1-6'!$AD$5:$IM$5),15),""))</f>
        <v/>
      </c>
      <c r="E3596">
        <f>IF(D3596="","",INDEX('KG1-6'!$AD38:$IM38,MATCH(D3596,'KG1-6'!$AD$5:$IM$5,0)))</f>
        <v/>
      </c>
      <c r="F3596">
        <f>IF(D3596="","",COUNTIFS('KG1-6'!$AD38:$IM38,"غياب بدون عذر",'KG1-6'!$AD$7:$IM$7,"✓",'KG1-6'!$AD$5:$IM$5,"&lt;="&amp;D3596))</f>
        <v/>
      </c>
      <c r="G3596">
        <f>G3595+IF(D3596="",0,1)</f>
        <v/>
      </c>
    </row>
    <row r="3597">
      <c r="A3597">
        <f>IF('KG1-6'!$B38="","",'KG1-6'!$B38)</f>
        <v/>
      </c>
      <c r="B3597">
        <f>IF(A3597="","",'KG1-6'!$C38)</f>
        <v/>
      </c>
      <c r="C3597">
        <f>IF(A3597="","",'KG1-6'!$B$2)</f>
        <v/>
      </c>
      <c r="D3597" s="126">
        <f t="array" ref="D3597">IF(A3597="","",IFERROR(SMALL(IF((('KG1-6'!$AD38:$IM38="غياب بدون عذر")+('KG1-6'!$AD38:$IM38="غياب بعذر"))*('KG1-6'!$AD$7:$IM$7="✓"),'KG1-6'!$AD$5:$IM$5),16),""))</f>
        <v/>
      </c>
      <c r="E3597">
        <f>IF(D3597="","",INDEX('KG1-6'!$AD38:$IM38,MATCH(D3597,'KG1-6'!$AD$5:$IM$5,0)))</f>
        <v/>
      </c>
      <c r="F3597">
        <f>IF(D3597="","",COUNTIFS('KG1-6'!$AD38:$IM38,"غياب بدون عذر",'KG1-6'!$AD$7:$IM$7,"✓",'KG1-6'!$AD$5:$IM$5,"&lt;="&amp;D3597))</f>
        <v/>
      </c>
      <c r="G3597">
        <f>G3596+IF(D3597="",0,1)</f>
        <v/>
      </c>
    </row>
    <row r="3598">
      <c r="A3598">
        <f>IF('KG1-6'!$B38="","",'KG1-6'!$B38)</f>
        <v/>
      </c>
      <c r="B3598">
        <f>IF(A3598="","",'KG1-6'!$C38)</f>
        <v/>
      </c>
      <c r="C3598">
        <f>IF(A3598="","",'KG1-6'!$B$2)</f>
        <v/>
      </c>
      <c r="D3598" s="126">
        <f t="array" ref="D3598">IF(A3598="","",IFERROR(SMALL(IF((('KG1-6'!$AD38:$IM38="غياب بدون عذر")+('KG1-6'!$AD38:$IM38="غياب بعذر"))*('KG1-6'!$AD$7:$IM$7="✓"),'KG1-6'!$AD$5:$IM$5),17),""))</f>
        <v/>
      </c>
      <c r="E3598">
        <f>IF(D3598="","",INDEX('KG1-6'!$AD38:$IM38,MATCH(D3598,'KG1-6'!$AD$5:$IM$5,0)))</f>
        <v/>
      </c>
      <c r="F3598">
        <f>IF(D3598="","",COUNTIFS('KG1-6'!$AD38:$IM38,"غياب بدون عذر",'KG1-6'!$AD$7:$IM$7,"✓",'KG1-6'!$AD$5:$IM$5,"&lt;="&amp;D3598))</f>
        <v/>
      </c>
      <c r="G3598">
        <f>G3597+IF(D3598="",0,1)</f>
        <v/>
      </c>
    </row>
    <row r="3599">
      <c r="A3599">
        <f>IF('KG1-6'!$B38="","",'KG1-6'!$B38)</f>
        <v/>
      </c>
      <c r="B3599">
        <f>IF(A3599="","",'KG1-6'!$C38)</f>
        <v/>
      </c>
      <c r="C3599">
        <f>IF(A3599="","",'KG1-6'!$B$2)</f>
        <v/>
      </c>
      <c r="D3599" s="126">
        <f t="array" ref="D3599">IF(A3599="","",IFERROR(SMALL(IF((('KG1-6'!$AD38:$IM38="غياب بدون عذر")+('KG1-6'!$AD38:$IM38="غياب بعذر"))*('KG1-6'!$AD$7:$IM$7="✓"),'KG1-6'!$AD$5:$IM$5),18),""))</f>
        <v/>
      </c>
      <c r="E3599">
        <f>IF(D3599="","",INDEX('KG1-6'!$AD38:$IM38,MATCH(D3599,'KG1-6'!$AD$5:$IM$5,0)))</f>
        <v/>
      </c>
      <c r="F3599">
        <f>IF(D3599="","",COUNTIFS('KG1-6'!$AD38:$IM38,"غياب بدون عذر",'KG1-6'!$AD$7:$IM$7,"✓",'KG1-6'!$AD$5:$IM$5,"&lt;="&amp;D3599))</f>
        <v/>
      </c>
      <c r="G3599">
        <f>G3598+IF(D3599="",0,1)</f>
        <v/>
      </c>
    </row>
    <row r="3600">
      <c r="A3600">
        <f>IF('KG1-6'!$B38="","",'KG1-6'!$B38)</f>
        <v/>
      </c>
      <c r="B3600">
        <f>IF(A3600="","",'KG1-6'!$C38)</f>
        <v/>
      </c>
      <c r="C3600">
        <f>IF(A3600="","",'KG1-6'!$B$2)</f>
        <v/>
      </c>
      <c r="D3600" s="126">
        <f t="array" ref="D3600">IF(A3600="","",IFERROR(SMALL(IF((('KG1-6'!$AD38:$IM38="غياب بدون عذر")+('KG1-6'!$AD38:$IM38="غياب بعذر"))*('KG1-6'!$AD$7:$IM$7="✓"),'KG1-6'!$AD$5:$IM$5),19),""))</f>
        <v/>
      </c>
      <c r="E3600">
        <f>IF(D3600="","",INDEX('KG1-6'!$AD38:$IM38,MATCH(D3600,'KG1-6'!$AD$5:$IM$5,0)))</f>
        <v/>
      </c>
      <c r="F3600">
        <f>IF(D3600="","",COUNTIFS('KG1-6'!$AD38:$IM38,"غياب بدون عذر",'KG1-6'!$AD$7:$IM$7,"✓",'KG1-6'!$AD$5:$IM$5,"&lt;="&amp;D3600))</f>
        <v/>
      </c>
      <c r="G3600">
        <f>G3599+IF(D3600="",0,1)</f>
        <v/>
      </c>
    </row>
    <row r="3601">
      <c r="A3601">
        <f>IF('KG1-6'!$B38="","",'KG1-6'!$B38)</f>
        <v/>
      </c>
      <c r="B3601">
        <f>IF(A3601="","",'KG1-6'!$C38)</f>
        <v/>
      </c>
      <c r="C3601">
        <f>IF(A3601="","",'KG1-6'!$B$2)</f>
        <v/>
      </c>
      <c r="D3601" s="126">
        <f t="array" ref="D3601">IF(A3601="","",IFERROR(SMALL(IF((('KG1-6'!$AD38:$IM38="غياب بدون عذر")+('KG1-6'!$AD38:$IM38="غياب بعذر"))*('KG1-6'!$AD$7:$IM$7="✓"),'KG1-6'!$AD$5:$IM$5),20),""))</f>
        <v/>
      </c>
      <c r="E3601">
        <f>IF(D3601="","",INDEX('KG1-6'!$AD38:$IM38,MATCH(D3601,'KG1-6'!$AD$5:$IM$5,0)))</f>
        <v/>
      </c>
      <c r="F3601">
        <f>IF(D3601="","",COUNTIFS('KG1-6'!$AD38:$IM38,"غياب بدون عذر",'KG1-6'!$AD$7:$IM$7,"✓",'KG1-6'!$AD$5:$IM$5,"&lt;="&amp;D3601))</f>
        <v/>
      </c>
      <c r="G3601">
        <f>G3600+IF(D3601="",0,1)</f>
        <v/>
      </c>
    </row>
    <row r="3602">
      <c r="A3602">
        <f>IF('KG1-7'!$B9="","",'KG1-7'!$B9)</f>
        <v/>
      </c>
      <c r="B3602">
        <f>IF(A3602="","",'KG1-7'!$C9)</f>
        <v/>
      </c>
      <c r="C3602">
        <f>IF(A3602="","",'KG1-7'!$B$2)</f>
        <v/>
      </c>
      <c r="D3602" s="126">
        <f t="array" ref="D3602">IF(A3602="","",IFERROR(SMALL(IF((('KG1-7'!$AD9:$IM9="غياب بدون عذر")+('KG1-7'!$AD9:$IM9="غياب بعذر"))*('KG1-7'!$AD$7:$IM$7="✓"),'KG1-7'!$AD$5:$IM$5),1),""))</f>
        <v/>
      </c>
      <c r="E3602">
        <f>IF(D3602="","",INDEX('KG1-7'!$AD9:$IM9,MATCH(D3602,'KG1-7'!$AD$5:$IM$5,0)))</f>
        <v/>
      </c>
      <c r="F3602">
        <f>IF(D3602="","",COUNTIFS('KG1-7'!$AD9:$IM9,"غياب بدون عذر",'KG1-7'!$AD$7:$IM$7,"✓",'KG1-7'!$AD$5:$IM$5,"&lt;="&amp;D3602))</f>
        <v/>
      </c>
      <c r="G3602">
        <f>G3601+IF(D3602="",0,1)</f>
        <v/>
      </c>
    </row>
    <row r="3603">
      <c r="A3603">
        <f>IF('KG1-7'!$B9="","",'KG1-7'!$B9)</f>
        <v/>
      </c>
      <c r="B3603">
        <f>IF(A3603="","",'KG1-7'!$C9)</f>
        <v/>
      </c>
      <c r="C3603">
        <f>IF(A3603="","",'KG1-7'!$B$2)</f>
        <v/>
      </c>
      <c r="D3603" s="126">
        <f t="array" ref="D3603">IF(A3603="","",IFERROR(SMALL(IF((('KG1-7'!$AD9:$IM9="غياب بدون عذر")+('KG1-7'!$AD9:$IM9="غياب بعذر"))*('KG1-7'!$AD$7:$IM$7="✓"),'KG1-7'!$AD$5:$IM$5),2),""))</f>
        <v/>
      </c>
      <c r="E3603">
        <f>IF(D3603="","",INDEX('KG1-7'!$AD9:$IM9,MATCH(D3603,'KG1-7'!$AD$5:$IM$5,0)))</f>
        <v/>
      </c>
      <c r="F3603">
        <f>IF(D3603="","",COUNTIFS('KG1-7'!$AD9:$IM9,"غياب بدون عذر",'KG1-7'!$AD$7:$IM$7,"✓",'KG1-7'!$AD$5:$IM$5,"&lt;="&amp;D3603))</f>
        <v/>
      </c>
      <c r="G3603">
        <f>G3602+IF(D3603="",0,1)</f>
        <v/>
      </c>
    </row>
    <row r="3604">
      <c r="A3604">
        <f>IF('KG1-7'!$B9="","",'KG1-7'!$B9)</f>
        <v/>
      </c>
      <c r="B3604">
        <f>IF(A3604="","",'KG1-7'!$C9)</f>
        <v/>
      </c>
      <c r="C3604">
        <f>IF(A3604="","",'KG1-7'!$B$2)</f>
        <v/>
      </c>
      <c r="D3604" s="126">
        <f t="array" ref="D3604">IF(A3604="","",IFERROR(SMALL(IF((('KG1-7'!$AD9:$IM9="غياب بدون عذر")+('KG1-7'!$AD9:$IM9="غياب بعذر"))*('KG1-7'!$AD$7:$IM$7="✓"),'KG1-7'!$AD$5:$IM$5),3),""))</f>
        <v/>
      </c>
      <c r="E3604">
        <f>IF(D3604="","",INDEX('KG1-7'!$AD9:$IM9,MATCH(D3604,'KG1-7'!$AD$5:$IM$5,0)))</f>
        <v/>
      </c>
      <c r="F3604">
        <f>IF(D3604="","",COUNTIFS('KG1-7'!$AD9:$IM9,"غياب بدون عذر",'KG1-7'!$AD$7:$IM$7,"✓",'KG1-7'!$AD$5:$IM$5,"&lt;="&amp;D3604))</f>
        <v/>
      </c>
      <c r="G3604">
        <f>G3603+IF(D3604="",0,1)</f>
        <v/>
      </c>
    </row>
    <row r="3605">
      <c r="A3605">
        <f>IF('KG1-7'!$B9="","",'KG1-7'!$B9)</f>
        <v/>
      </c>
      <c r="B3605">
        <f>IF(A3605="","",'KG1-7'!$C9)</f>
        <v/>
      </c>
      <c r="C3605">
        <f>IF(A3605="","",'KG1-7'!$B$2)</f>
        <v/>
      </c>
      <c r="D3605" s="126">
        <f t="array" ref="D3605">IF(A3605="","",IFERROR(SMALL(IF((('KG1-7'!$AD9:$IM9="غياب بدون عذر")+('KG1-7'!$AD9:$IM9="غياب بعذر"))*('KG1-7'!$AD$7:$IM$7="✓"),'KG1-7'!$AD$5:$IM$5),4),""))</f>
        <v/>
      </c>
      <c r="E3605">
        <f>IF(D3605="","",INDEX('KG1-7'!$AD9:$IM9,MATCH(D3605,'KG1-7'!$AD$5:$IM$5,0)))</f>
        <v/>
      </c>
      <c r="F3605">
        <f>IF(D3605="","",COUNTIFS('KG1-7'!$AD9:$IM9,"غياب بدون عذر",'KG1-7'!$AD$7:$IM$7,"✓",'KG1-7'!$AD$5:$IM$5,"&lt;="&amp;D3605))</f>
        <v/>
      </c>
      <c r="G3605">
        <f>G3604+IF(D3605="",0,1)</f>
        <v/>
      </c>
    </row>
    <row r="3606">
      <c r="A3606">
        <f>IF('KG1-7'!$B9="","",'KG1-7'!$B9)</f>
        <v/>
      </c>
      <c r="B3606">
        <f>IF(A3606="","",'KG1-7'!$C9)</f>
        <v/>
      </c>
      <c r="C3606">
        <f>IF(A3606="","",'KG1-7'!$B$2)</f>
        <v/>
      </c>
      <c r="D3606" s="126">
        <f t="array" ref="D3606">IF(A3606="","",IFERROR(SMALL(IF((('KG1-7'!$AD9:$IM9="غياب بدون عذر")+('KG1-7'!$AD9:$IM9="غياب بعذر"))*('KG1-7'!$AD$7:$IM$7="✓"),'KG1-7'!$AD$5:$IM$5),5),""))</f>
        <v/>
      </c>
      <c r="E3606">
        <f>IF(D3606="","",INDEX('KG1-7'!$AD9:$IM9,MATCH(D3606,'KG1-7'!$AD$5:$IM$5,0)))</f>
        <v/>
      </c>
      <c r="F3606">
        <f>IF(D3606="","",COUNTIFS('KG1-7'!$AD9:$IM9,"غياب بدون عذر",'KG1-7'!$AD$7:$IM$7,"✓",'KG1-7'!$AD$5:$IM$5,"&lt;="&amp;D3606))</f>
        <v/>
      </c>
      <c r="G3606">
        <f>G3605+IF(D3606="",0,1)</f>
        <v/>
      </c>
    </row>
    <row r="3607">
      <c r="A3607">
        <f>IF('KG1-7'!$B9="","",'KG1-7'!$B9)</f>
        <v/>
      </c>
      <c r="B3607">
        <f>IF(A3607="","",'KG1-7'!$C9)</f>
        <v/>
      </c>
      <c r="C3607">
        <f>IF(A3607="","",'KG1-7'!$B$2)</f>
        <v/>
      </c>
      <c r="D3607" s="126">
        <f t="array" ref="D3607">IF(A3607="","",IFERROR(SMALL(IF((('KG1-7'!$AD9:$IM9="غياب بدون عذر")+('KG1-7'!$AD9:$IM9="غياب بعذر"))*('KG1-7'!$AD$7:$IM$7="✓"),'KG1-7'!$AD$5:$IM$5),6),""))</f>
        <v/>
      </c>
      <c r="E3607">
        <f>IF(D3607="","",INDEX('KG1-7'!$AD9:$IM9,MATCH(D3607,'KG1-7'!$AD$5:$IM$5,0)))</f>
        <v/>
      </c>
      <c r="F3607">
        <f>IF(D3607="","",COUNTIFS('KG1-7'!$AD9:$IM9,"غياب بدون عذر",'KG1-7'!$AD$7:$IM$7,"✓",'KG1-7'!$AD$5:$IM$5,"&lt;="&amp;D3607))</f>
        <v/>
      </c>
      <c r="G3607">
        <f>G3606+IF(D3607="",0,1)</f>
        <v/>
      </c>
    </row>
    <row r="3608">
      <c r="A3608">
        <f>IF('KG1-7'!$B9="","",'KG1-7'!$B9)</f>
        <v/>
      </c>
      <c r="B3608">
        <f>IF(A3608="","",'KG1-7'!$C9)</f>
        <v/>
      </c>
      <c r="C3608">
        <f>IF(A3608="","",'KG1-7'!$B$2)</f>
        <v/>
      </c>
      <c r="D3608" s="126">
        <f t="array" ref="D3608">IF(A3608="","",IFERROR(SMALL(IF((('KG1-7'!$AD9:$IM9="غياب بدون عذر")+('KG1-7'!$AD9:$IM9="غياب بعذر"))*('KG1-7'!$AD$7:$IM$7="✓"),'KG1-7'!$AD$5:$IM$5),7),""))</f>
        <v/>
      </c>
      <c r="E3608">
        <f>IF(D3608="","",INDEX('KG1-7'!$AD9:$IM9,MATCH(D3608,'KG1-7'!$AD$5:$IM$5,0)))</f>
        <v/>
      </c>
      <c r="F3608">
        <f>IF(D3608="","",COUNTIFS('KG1-7'!$AD9:$IM9,"غياب بدون عذر",'KG1-7'!$AD$7:$IM$7,"✓",'KG1-7'!$AD$5:$IM$5,"&lt;="&amp;D3608))</f>
        <v/>
      </c>
      <c r="G3608">
        <f>G3607+IF(D3608="",0,1)</f>
        <v/>
      </c>
    </row>
    <row r="3609">
      <c r="A3609">
        <f>IF('KG1-7'!$B9="","",'KG1-7'!$B9)</f>
        <v/>
      </c>
      <c r="B3609">
        <f>IF(A3609="","",'KG1-7'!$C9)</f>
        <v/>
      </c>
      <c r="C3609">
        <f>IF(A3609="","",'KG1-7'!$B$2)</f>
        <v/>
      </c>
      <c r="D3609" s="126">
        <f t="array" ref="D3609">IF(A3609="","",IFERROR(SMALL(IF((('KG1-7'!$AD9:$IM9="غياب بدون عذر")+('KG1-7'!$AD9:$IM9="غياب بعذر"))*('KG1-7'!$AD$7:$IM$7="✓"),'KG1-7'!$AD$5:$IM$5),8),""))</f>
        <v/>
      </c>
      <c r="E3609">
        <f>IF(D3609="","",INDEX('KG1-7'!$AD9:$IM9,MATCH(D3609,'KG1-7'!$AD$5:$IM$5,0)))</f>
        <v/>
      </c>
      <c r="F3609">
        <f>IF(D3609="","",COUNTIFS('KG1-7'!$AD9:$IM9,"غياب بدون عذر",'KG1-7'!$AD$7:$IM$7,"✓",'KG1-7'!$AD$5:$IM$5,"&lt;="&amp;D3609))</f>
        <v/>
      </c>
      <c r="G3609">
        <f>G3608+IF(D3609="",0,1)</f>
        <v/>
      </c>
    </row>
    <row r="3610">
      <c r="A3610">
        <f>IF('KG1-7'!$B9="","",'KG1-7'!$B9)</f>
        <v/>
      </c>
      <c r="B3610">
        <f>IF(A3610="","",'KG1-7'!$C9)</f>
        <v/>
      </c>
      <c r="C3610">
        <f>IF(A3610="","",'KG1-7'!$B$2)</f>
        <v/>
      </c>
      <c r="D3610" s="126">
        <f t="array" ref="D3610">IF(A3610="","",IFERROR(SMALL(IF((('KG1-7'!$AD9:$IM9="غياب بدون عذر")+('KG1-7'!$AD9:$IM9="غياب بعذر"))*('KG1-7'!$AD$7:$IM$7="✓"),'KG1-7'!$AD$5:$IM$5),9),""))</f>
        <v/>
      </c>
      <c r="E3610">
        <f>IF(D3610="","",INDEX('KG1-7'!$AD9:$IM9,MATCH(D3610,'KG1-7'!$AD$5:$IM$5,0)))</f>
        <v/>
      </c>
      <c r="F3610">
        <f>IF(D3610="","",COUNTIFS('KG1-7'!$AD9:$IM9,"غياب بدون عذر",'KG1-7'!$AD$7:$IM$7,"✓",'KG1-7'!$AD$5:$IM$5,"&lt;="&amp;D3610))</f>
        <v/>
      </c>
      <c r="G3610">
        <f>G3609+IF(D3610="",0,1)</f>
        <v/>
      </c>
    </row>
    <row r="3611">
      <c r="A3611">
        <f>IF('KG1-7'!$B9="","",'KG1-7'!$B9)</f>
        <v/>
      </c>
      <c r="B3611">
        <f>IF(A3611="","",'KG1-7'!$C9)</f>
        <v/>
      </c>
      <c r="C3611">
        <f>IF(A3611="","",'KG1-7'!$B$2)</f>
        <v/>
      </c>
      <c r="D3611" s="126">
        <f t="array" ref="D3611">IF(A3611="","",IFERROR(SMALL(IF((('KG1-7'!$AD9:$IM9="غياب بدون عذر")+('KG1-7'!$AD9:$IM9="غياب بعذر"))*('KG1-7'!$AD$7:$IM$7="✓"),'KG1-7'!$AD$5:$IM$5),10),""))</f>
        <v/>
      </c>
      <c r="E3611">
        <f>IF(D3611="","",INDEX('KG1-7'!$AD9:$IM9,MATCH(D3611,'KG1-7'!$AD$5:$IM$5,0)))</f>
        <v/>
      </c>
      <c r="F3611">
        <f>IF(D3611="","",COUNTIFS('KG1-7'!$AD9:$IM9,"غياب بدون عذر",'KG1-7'!$AD$7:$IM$7,"✓",'KG1-7'!$AD$5:$IM$5,"&lt;="&amp;D3611))</f>
        <v/>
      </c>
      <c r="G3611">
        <f>G3610+IF(D3611="",0,1)</f>
        <v/>
      </c>
    </row>
    <row r="3612">
      <c r="A3612">
        <f>IF('KG1-7'!$B9="","",'KG1-7'!$B9)</f>
        <v/>
      </c>
      <c r="B3612">
        <f>IF(A3612="","",'KG1-7'!$C9)</f>
        <v/>
      </c>
      <c r="C3612">
        <f>IF(A3612="","",'KG1-7'!$B$2)</f>
        <v/>
      </c>
      <c r="D3612" s="126">
        <f t="array" ref="D3612">IF(A3612="","",IFERROR(SMALL(IF((('KG1-7'!$AD9:$IM9="غياب بدون عذر")+('KG1-7'!$AD9:$IM9="غياب بعذر"))*('KG1-7'!$AD$7:$IM$7="✓"),'KG1-7'!$AD$5:$IM$5),11),""))</f>
        <v/>
      </c>
      <c r="E3612">
        <f>IF(D3612="","",INDEX('KG1-7'!$AD9:$IM9,MATCH(D3612,'KG1-7'!$AD$5:$IM$5,0)))</f>
        <v/>
      </c>
      <c r="F3612">
        <f>IF(D3612="","",COUNTIFS('KG1-7'!$AD9:$IM9,"غياب بدون عذر",'KG1-7'!$AD$7:$IM$7,"✓",'KG1-7'!$AD$5:$IM$5,"&lt;="&amp;D3612))</f>
        <v/>
      </c>
      <c r="G3612">
        <f>G3611+IF(D3612="",0,1)</f>
        <v/>
      </c>
    </row>
    <row r="3613">
      <c r="A3613">
        <f>IF('KG1-7'!$B9="","",'KG1-7'!$B9)</f>
        <v/>
      </c>
      <c r="B3613">
        <f>IF(A3613="","",'KG1-7'!$C9)</f>
        <v/>
      </c>
      <c r="C3613">
        <f>IF(A3613="","",'KG1-7'!$B$2)</f>
        <v/>
      </c>
      <c r="D3613" s="126">
        <f t="array" ref="D3613">IF(A3613="","",IFERROR(SMALL(IF((('KG1-7'!$AD9:$IM9="غياب بدون عذر")+('KG1-7'!$AD9:$IM9="غياب بعذر"))*('KG1-7'!$AD$7:$IM$7="✓"),'KG1-7'!$AD$5:$IM$5),12),""))</f>
        <v/>
      </c>
      <c r="E3613">
        <f>IF(D3613="","",INDEX('KG1-7'!$AD9:$IM9,MATCH(D3613,'KG1-7'!$AD$5:$IM$5,0)))</f>
        <v/>
      </c>
      <c r="F3613">
        <f>IF(D3613="","",COUNTIFS('KG1-7'!$AD9:$IM9,"غياب بدون عذر",'KG1-7'!$AD$7:$IM$7,"✓",'KG1-7'!$AD$5:$IM$5,"&lt;="&amp;D3613))</f>
        <v/>
      </c>
      <c r="G3613">
        <f>G3612+IF(D3613="",0,1)</f>
        <v/>
      </c>
    </row>
    <row r="3614">
      <c r="A3614">
        <f>IF('KG1-7'!$B9="","",'KG1-7'!$B9)</f>
        <v/>
      </c>
      <c r="B3614">
        <f>IF(A3614="","",'KG1-7'!$C9)</f>
        <v/>
      </c>
      <c r="C3614">
        <f>IF(A3614="","",'KG1-7'!$B$2)</f>
        <v/>
      </c>
      <c r="D3614" s="126">
        <f t="array" ref="D3614">IF(A3614="","",IFERROR(SMALL(IF((('KG1-7'!$AD9:$IM9="غياب بدون عذر")+('KG1-7'!$AD9:$IM9="غياب بعذر"))*('KG1-7'!$AD$7:$IM$7="✓"),'KG1-7'!$AD$5:$IM$5),13),""))</f>
        <v/>
      </c>
      <c r="E3614">
        <f>IF(D3614="","",INDEX('KG1-7'!$AD9:$IM9,MATCH(D3614,'KG1-7'!$AD$5:$IM$5,0)))</f>
        <v/>
      </c>
      <c r="F3614">
        <f>IF(D3614="","",COUNTIFS('KG1-7'!$AD9:$IM9,"غياب بدون عذر",'KG1-7'!$AD$7:$IM$7,"✓",'KG1-7'!$AD$5:$IM$5,"&lt;="&amp;D3614))</f>
        <v/>
      </c>
      <c r="G3614">
        <f>G3613+IF(D3614="",0,1)</f>
        <v/>
      </c>
    </row>
    <row r="3615">
      <c r="A3615">
        <f>IF('KG1-7'!$B9="","",'KG1-7'!$B9)</f>
        <v/>
      </c>
      <c r="B3615">
        <f>IF(A3615="","",'KG1-7'!$C9)</f>
        <v/>
      </c>
      <c r="C3615">
        <f>IF(A3615="","",'KG1-7'!$B$2)</f>
        <v/>
      </c>
      <c r="D3615" s="126">
        <f t="array" ref="D3615">IF(A3615="","",IFERROR(SMALL(IF((('KG1-7'!$AD9:$IM9="غياب بدون عذر")+('KG1-7'!$AD9:$IM9="غياب بعذر"))*('KG1-7'!$AD$7:$IM$7="✓"),'KG1-7'!$AD$5:$IM$5),14),""))</f>
        <v/>
      </c>
      <c r="E3615">
        <f>IF(D3615="","",INDEX('KG1-7'!$AD9:$IM9,MATCH(D3615,'KG1-7'!$AD$5:$IM$5,0)))</f>
        <v/>
      </c>
      <c r="F3615">
        <f>IF(D3615="","",COUNTIFS('KG1-7'!$AD9:$IM9,"غياب بدون عذر",'KG1-7'!$AD$7:$IM$7,"✓",'KG1-7'!$AD$5:$IM$5,"&lt;="&amp;D3615))</f>
        <v/>
      </c>
      <c r="G3615">
        <f>G3614+IF(D3615="",0,1)</f>
        <v/>
      </c>
    </row>
    <row r="3616">
      <c r="A3616">
        <f>IF('KG1-7'!$B9="","",'KG1-7'!$B9)</f>
        <v/>
      </c>
      <c r="B3616">
        <f>IF(A3616="","",'KG1-7'!$C9)</f>
        <v/>
      </c>
      <c r="C3616">
        <f>IF(A3616="","",'KG1-7'!$B$2)</f>
        <v/>
      </c>
      <c r="D3616" s="126">
        <f t="array" ref="D3616">IF(A3616="","",IFERROR(SMALL(IF((('KG1-7'!$AD9:$IM9="غياب بدون عذر")+('KG1-7'!$AD9:$IM9="غياب بعذر"))*('KG1-7'!$AD$7:$IM$7="✓"),'KG1-7'!$AD$5:$IM$5),15),""))</f>
        <v/>
      </c>
      <c r="E3616">
        <f>IF(D3616="","",INDEX('KG1-7'!$AD9:$IM9,MATCH(D3616,'KG1-7'!$AD$5:$IM$5,0)))</f>
        <v/>
      </c>
      <c r="F3616">
        <f>IF(D3616="","",COUNTIFS('KG1-7'!$AD9:$IM9,"غياب بدون عذر",'KG1-7'!$AD$7:$IM$7,"✓",'KG1-7'!$AD$5:$IM$5,"&lt;="&amp;D3616))</f>
        <v/>
      </c>
      <c r="G3616">
        <f>G3615+IF(D3616="",0,1)</f>
        <v/>
      </c>
    </row>
    <row r="3617">
      <c r="A3617">
        <f>IF('KG1-7'!$B9="","",'KG1-7'!$B9)</f>
        <v/>
      </c>
      <c r="B3617">
        <f>IF(A3617="","",'KG1-7'!$C9)</f>
        <v/>
      </c>
      <c r="C3617">
        <f>IF(A3617="","",'KG1-7'!$B$2)</f>
        <v/>
      </c>
      <c r="D3617" s="126">
        <f t="array" ref="D3617">IF(A3617="","",IFERROR(SMALL(IF((('KG1-7'!$AD9:$IM9="غياب بدون عذر")+('KG1-7'!$AD9:$IM9="غياب بعذر"))*('KG1-7'!$AD$7:$IM$7="✓"),'KG1-7'!$AD$5:$IM$5),16),""))</f>
        <v/>
      </c>
      <c r="E3617">
        <f>IF(D3617="","",INDEX('KG1-7'!$AD9:$IM9,MATCH(D3617,'KG1-7'!$AD$5:$IM$5,0)))</f>
        <v/>
      </c>
      <c r="F3617">
        <f>IF(D3617="","",COUNTIFS('KG1-7'!$AD9:$IM9,"غياب بدون عذر",'KG1-7'!$AD$7:$IM$7,"✓",'KG1-7'!$AD$5:$IM$5,"&lt;="&amp;D3617))</f>
        <v/>
      </c>
      <c r="G3617">
        <f>G3616+IF(D3617="",0,1)</f>
        <v/>
      </c>
    </row>
    <row r="3618">
      <c r="A3618">
        <f>IF('KG1-7'!$B9="","",'KG1-7'!$B9)</f>
        <v/>
      </c>
      <c r="B3618">
        <f>IF(A3618="","",'KG1-7'!$C9)</f>
        <v/>
      </c>
      <c r="C3618">
        <f>IF(A3618="","",'KG1-7'!$B$2)</f>
        <v/>
      </c>
      <c r="D3618" s="126">
        <f t="array" ref="D3618">IF(A3618="","",IFERROR(SMALL(IF((('KG1-7'!$AD9:$IM9="غياب بدون عذر")+('KG1-7'!$AD9:$IM9="غياب بعذر"))*('KG1-7'!$AD$7:$IM$7="✓"),'KG1-7'!$AD$5:$IM$5),17),""))</f>
        <v/>
      </c>
      <c r="E3618">
        <f>IF(D3618="","",INDEX('KG1-7'!$AD9:$IM9,MATCH(D3618,'KG1-7'!$AD$5:$IM$5,0)))</f>
        <v/>
      </c>
      <c r="F3618">
        <f>IF(D3618="","",COUNTIFS('KG1-7'!$AD9:$IM9,"غياب بدون عذر",'KG1-7'!$AD$7:$IM$7,"✓",'KG1-7'!$AD$5:$IM$5,"&lt;="&amp;D3618))</f>
        <v/>
      </c>
      <c r="G3618">
        <f>G3617+IF(D3618="",0,1)</f>
        <v/>
      </c>
    </row>
    <row r="3619">
      <c r="A3619">
        <f>IF('KG1-7'!$B9="","",'KG1-7'!$B9)</f>
        <v/>
      </c>
      <c r="B3619">
        <f>IF(A3619="","",'KG1-7'!$C9)</f>
        <v/>
      </c>
      <c r="C3619">
        <f>IF(A3619="","",'KG1-7'!$B$2)</f>
        <v/>
      </c>
      <c r="D3619" s="126">
        <f t="array" ref="D3619">IF(A3619="","",IFERROR(SMALL(IF((('KG1-7'!$AD9:$IM9="غياب بدون عذر")+('KG1-7'!$AD9:$IM9="غياب بعذر"))*('KG1-7'!$AD$7:$IM$7="✓"),'KG1-7'!$AD$5:$IM$5),18),""))</f>
        <v/>
      </c>
      <c r="E3619">
        <f>IF(D3619="","",INDEX('KG1-7'!$AD9:$IM9,MATCH(D3619,'KG1-7'!$AD$5:$IM$5,0)))</f>
        <v/>
      </c>
      <c r="F3619">
        <f>IF(D3619="","",COUNTIFS('KG1-7'!$AD9:$IM9,"غياب بدون عذر",'KG1-7'!$AD$7:$IM$7,"✓",'KG1-7'!$AD$5:$IM$5,"&lt;="&amp;D3619))</f>
        <v/>
      </c>
      <c r="G3619">
        <f>G3618+IF(D3619="",0,1)</f>
        <v/>
      </c>
    </row>
    <row r="3620">
      <c r="A3620">
        <f>IF('KG1-7'!$B9="","",'KG1-7'!$B9)</f>
        <v/>
      </c>
      <c r="B3620">
        <f>IF(A3620="","",'KG1-7'!$C9)</f>
        <v/>
      </c>
      <c r="C3620">
        <f>IF(A3620="","",'KG1-7'!$B$2)</f>
        <v/>
      </c>
      <c r="D3620" s="126">
        <f t="array" ref="D3620">IF(A3620="","",IFERROR(SMALL(IF((('KG1-7'!$AD9:$IM9="غياب بدون عذر")+('KG1-7'!$AD9:$IM9="غياب بعذر"))*('KG1-7'!$AD$7:$IM$7="✓"),'KG1-7'!$AD$5:$IM$5),19),""))</f>
        <v/>
      </c>
      <c r="E3620">
        <f>IF(D3620="","",INDEX('KG1-7'!$AD9:$IM9,MATCH(D3620,'KG1-7'!$AD$5:$IM$5,0)))</f>
        <v/>
      </c>
      <c r="F3620">
        <f>IF(D3620="","",COUNTIFS('KG1-7'!$AD9:$IM9,"غياب بدون عذر",'KG1-7'!$AD$7:$IM$7,"✓",'KG1-7'!$AD$5:$IM$5,"&lt;="&amp;D3620))</f>
        <v/>
      </c>
      <c r="G3620">
        <f>G3619+IF(D3620="",0,1)</f>
        <v/>
      </c>
    </row>
    <row r="3621">
      <c r="A3621">
        <f>IF('KG1-7'!$B9="","",'KG1-7'!$B9)</f>
        <v/>
      </c>
      <c r="B3621">
        <f>IF(A3621="","",'KG1-7'!$C9)</f>
        <v/>
      </c>
      <c r="C3621">
        <f>IF(A3621="","",'KG1-7'!$B$2)</f>
        <v/>
      </c>
      <c r="D3621" s="126">
        <f t="array" ref="D3621">IF(A3621="","",IFERROR(SMALL(IF((('KG1-7'!$AD9:$IM9="غياب بدون عذر")+('KG1-7'!$AD9:$IM9="غياب بعذر"))*('KG1-7'!$AD$7:$IM$7="✓"),'KG1-7'!$AD$5:$IM$5),20),""))</f>
        <v/>
      </c>
      <c r="E3621">
        <f>IF(D3621="","",INDEX('KG1-7'!$AD9:$IM9,MATCH(D3621,'KG1-7'!$AD$5:$IM$5,0)))</f>
        <v/>
      </c>
      <c r="F3621">
        <f>IF(D3621="","",COUNTIFS('KG1-7'!$AD9:$IM9,"غياب بدون عذر",'KG1-7'!$AD$7:$IM$7,"✓",'KG1-7'!$AD$5:$IM$5,"&lt;="&amp;D3621))</f>
        <v/>
      </c>
      <c r="G3621">
        <f>G3620+IF(D3621="",0,1)</f>
        <v/>
      </c>
    </row>
    <row r="3622">
      <c r="A3622">
        <f>IF('KG1-7'!$B10="","",'KG1-7'!$B10)</f>
        <v/>
      </c>
      <c r="B3622">
        <f>IF(A3622="","",'KG1-7'!$C10)</f>
        <v/>
      </c>
      <c r="C3622">
        <f>IF(A3622="","",'KG1-7'!$B$2)</f>
        <v/>
      </c>
      <c r="D3622" s="126">
        <f t="array" ref="D3622">IF(A3622="","",IFERROR(SMALL(IF((('KG1-7'!$AD10:$IM10="غياب بدون عذر")+('KG1-7'!$AD10:$IM10="غياب بعذر"))*('KG1-7'!$AD$7:$IM$7="✓"),'KG1-7'!$AD$5:$IM$5),1),""))</f>
        <v/>
      </c>
      <c r="E3622">
        <f>IF(D3622="","",INDEX('KG1-7'!$AD10:$IM10,MATCH(D3622,'KG1-7'!$AD$5:$IM$5,0)))</f>
        <v/>
      </c>
      <c r="F3622">
        <f>IF(D3622="","",COUNTIFS('KG1-7'!$AD10:$IM10,"غياب بدون عذر",'KG1-7'!$AD$7:$IM$7,"✓",'KG1-7'!$AD$5:$IM$5,"&lt;="&amp;D3622))</f>
        <v/>
      </c>
      <c r="G3622">
        <f>G3621+IF(D3622="",0,1)</f>
        <v/>
      </c>
    </row>
    <row r="3623">
      <c r="A3623">
        <f>IF('KG1-7'!$B10="","",'KG1-7'!$B10)</f>
        <v/>
      </c>
      <c r="B3623">
        <f>IF(A3623="","",'KG1-7'!$C10)</f>
        <v/>
      </c>
      <c r="C3623">
        <f>IF(A3623="","",'KG1-7'!$B$2)</f>
        <v/>
      </c>
      <c r="D3623" s="126">
        <f t="array" ref="D3623">IF(A3623="","",IFERROR(SMALL(IF((('KG1-7'!$AD10:$IM10="غياب بدون عذر")+('KG1-7'!$AD10:$IM10="غياب بعذر"))*('KG1-7'!$AD$7:$IM$7="✓"),'KG1-7'!$AD$5:$IM$5),2),""))</f>
        <v/>
      </c>
      <c r="E3623">
        <f>IF(D3623="","",INDEX('KG1-7'!$AD10:$IM10,MATCH(D3623,'KG1-7'!$AD$5:$IM$5,0)))</f>
        <v/>
      </c>
      <c r="F3623">
        <f>IF(D3623="","",COUNTIFS('KG1-7'!$AD10:$IM10,"غياب بدون عذر",'KG1-7'!$AD$7:$IM$7,"✓",'KG1-7'!$AD$5:$IM$5,"&lt;="&amp;D3623))</f>
        <v/>
      </c>
      <c r="G3623">
        <f>G3622+IF(D3623="",0,1)</f>
        <v/>
      </c>
    </row>
    <row r="3624">
      <c r="A3624">
        <f>IF('KG1-7'!$B10="","",'KG1-7'!$B10)</f>
        <v/>
      </c>
      <c r="B3624">
        <f>IF(A3624="","",'KG1-7'!$C10)</f>
        <v/>
      </c>
      <c r="C3624">
        <f>IF(A3624="","",'KG1-7'!$B$2)</f>
        <v/>
      </c>
      <c r="D3624" s="126">
        <f t="array" ref="D3624">IF(A3624="","",IFERROR(SMALL(IF((('KG1-7'!$AD10:$IM10="غياب بدون عذر")+('KG1-7'!$AD10:$IM10="غياب بعذر"))*('KG1-7'!$AD$7:$IM$7="✓"),'KG1-7'!$AD$5:$IM$5),3),""))</f>
        <v/>
      </c>
      <c r="E3624">
        <f>IF(D3624="","",INDEX('KG1-7'!$AD10:$IM10,MATCH(D3624,'KG1-7'!$AD$5:$IM$5,0)))</f>
        <v/>
      </c>
      <c r="F3624">
        <f>IF(D3624="","",COUNTIFS('KG1-7'!$AD10:$IM10,"غياب بدون عذر",'KG1-7'!$AD$7:$IM$7,"✓",'KG1-7'!$AD$5:$IM$5,"&lt;="&amp;D3624))</f>
        <v/>
      </c>
      <c r="G3624">
        <f>G3623+IF(D3624="",0,1)</f>
        <v/>
      </c>
    </row>
    <row r="3625">
      <c r="A3625">
        <f>IF('KG1-7'!$B10="","",'KG1-7'!$B10)</f>
        <v/>
      </c>
      <c r="B3625">
        <f>IF(A3625="","",'KG1-7'!$C10)</f>
        <v/>
      </c>
      <c r="C3625">
        <f>IF(A3625="","",'KG1-7'!$B$2)</f>
        <v/>
      </c>
      <c r="D3625" s="126">
        <f t="array" ref="D3625">IF(A3625="","",IFERROR(SMALL(IF((('KG1-7'!$AD10:$IM10="غياب بدون عذر")+('KG1-7'!$AD10:$IM10="غياب بعذر"))*('KG1-7'!$AD$7:$IM$7="✓"),'KG1-7'!$AD$5:$IM$5),4),""))</f>
        <v/>
      </c>
      <c r="E3625">
        <f>IF(D3625="","",INDEX('KG1-7'!$AD10:$IM10,MATCH(D3625,'KG1-7'!$AD$5:$IM$5,0)))</f>
        <v/>
      </c>
      <c r="F3625">
        <f>IF(D3625="","",COUNTIFS('KG1-7'!$AD10:$IM10,"غياب بدون عذر",'KG1-7'!$AD$7:$IM$7,"✓",'KG1-7'!$AD$5:$IM$5,"&lt;="&amp;D3625))</f>
        <v/>
      </c>
      <c r="G3625">
        <f>G3624+IF(D3625="",0,1)</f>
        <v/>
      </c>
    </row>
    <row r="3626">
      <c r="A3626">
        <f>IF('KG1-7'!$B10="","",'KG1-7'!$B10)</f>
        <v/>
      </c>
      <c r="B3626">
        <f>IF(A3626="","",'KG1-7'!$C10)</f>
        <v/>
      </c>
      <c r="C3626">
        <f>IF(A3626="","",'KG1-7'!$B$2)</f>
        <v/>
      </c>
      <c r="D3626" s="126">
        <f t="array" ref="D3626">IF(A3626="","",IFERROR(SMALL(IF((('KG1-7'!$AD10:$IM10="غياب بدون عذر")+('KG1-7'!$AD10:$IM10="غياب بعذر"))*('KG1-7'!$AD$7:$IM$7="✓"),'KG1-7'!$AD$5:$IM$5),5),""))</f>
        <v/>
      </c>
      <c r="E3626">
        <f>IF(D3626="","",INDEX('KG1-7'!$AD10:$IM10,MATCH(D3626,'KG1-7'!$AD$5:$IM$5,0)))</f>
        <v/>
      </c>
      <c r="F3626">
        <f>IF(D3626="","",COUNTIFS('KG1-7'!$AD10:$IM10,"غياب بدون عذر",'KG1-7'!$AD$7:$IM$7,"✓",'KG1-7'!$AD$5:$IM$5,"&lt;="&amp;D3626))</f>
        <v/>
      </c>
      <c r="G3626">
        <f>G3625+IF(D3626="",0,1)</f>
        <v/>
      </c>
    </row>
    <row r="3627">
      <c r="A3627">
        <f>IF('KG1-7'!$B10="","",'KG1-7'!$B10)</f>
        <v/>
      </c>
      <c r="B3627">
        <f>IF(A3627="","",'KG1-7'!$C10)</f>
        <v/>
      </c>
      <c r="C3627">
        <f>IF(A3627="","",'KG1-7'!$B$2)</f>
        <v/>
      </c>
      <c r="D3627" s="126">
        <f t="array" ref="D3627">IF(A3627="","",IFERROR(SMALL(IF((('KG1-7'!$AD10:$IM10="غياب بدون عذر")+('KG1-7'!$AD10:$IM10="غياب بعذر"))*('KG1-7'!$AD$7:$IM$7="✓"),'KG1-7'!$AD$5:$IM$5),6),""))</f>
        <v/>
      </c>
      <c r="E3627">
        <f>IF(D3627="","",INDEX('KG1-7'!$AD10:$IM10,MATCH(D3627,'KG1-7'!$AD$5:$IM$5,0)))</f>
        <v/>
      </c>
      <c r="F3627">
        <f>IF(D3627="","",COUNTIFS('KG1-7'!$AD10:$IM10,"غياب بدون عذر",'KG1-7'!$AD$7:$IM$7,"✓",'KG1-7'!$AD$5:$IM$5,"&lt;="&amp;D3627))</f>
        <v/>
      </c>
      <c r="G3627">
        <f>G3626+IF(D3627="",0,1)</f>
        <v/>
      </c>
    </row>
    <row r="3628">
      <c r="A3628">
        <f>IF('KG1-7'!$B10="","",'KG1-7'!$B10)</f>
        <v/>
      </c>
      <c r="B3628">
        <f>IF(A3628="","",'KG1-7'!$C10)</f>
        <v/>
      </c>
      <c r="C3628">
        <f>IF(A3628="","",'KG1-7'!$B$2)</f>
        <v/>
      </c>
      <c r="D3628" s="126">
        <f t="array" ref="D3628">IF(A3628="","",IFERROR(SMALL(IF((('KG1-7'!$AD10:$IM10="غياب بدون عذر")+('KG1-7'!$AD10:$IM10="غياب بعذر"))*('KG1-7'!$AD$7:$IM$7="✓"),'KG1-7'!$AD$5:$IM$5),7),""))</f>
        <v/>
      </c>
      <c r="E3628">
        <f>IF(D3628="","",INDEX('KG1-7'!$AD10:$IM10,MATCH(D3628,'KG1-7'!$AD$5:$IM$5,0)))</f>
        <v/>
      </c>
      <c r="F3628">
        <f>IF(D3628="","",COUNTIFS('KG1-7'!$AD10:$IM10,"غياب بدون عذر",'KG1-7'!$AD$7:$IM$7,"✓",'KG1-7'!$AD$5:$IM$5,"&lt;="&amp;D3628))</f>
        <v/>
      </c>
      <c r="G3628">
        <f>G3627+IF(D3628="",0,1)</f>
        <v/>
      </c>
    </row>
    <row r="3629">
      <c r="A3629">
        <f>IF('KG1-7'!$B10="","",'KG1-7'!$B10)</f>
        <v/>
      </c>
      <c r="B3629">
        <f>IF(A3629="","",'KG1-7'!$C10)</f>
        <v/>
      </c>
      <c r="C3629">
        <f>IF(A3629="","",'KG1-7'!$B$2)</f>
        <v/>
      </c>
      <c r="D3629" s="126">
        <f t="array" ref="D3629">IF(A3629="","",IFERROR(SMALL(IF((('KG1-7'!$AD10:$IM10="غياب بدون عذر")+('KG1-7'!$AD10:$IM10="غياب بعذر"))*('KG1-7'!$AD$7:$IM$7="✓"),'KG1-7'!$AD$5:$IM$5),8),""))</f>
        <v/>
      </c>
      <c r="E3629">
        <f>IF(D3629="","",INDEX('KG1-7'!$AD10:$IM10,MATCH(D3629,'KG1-7'!$AD$5:$IM$5,0)))</f>
        <v/>
      </c>
      <c r="F3629">
        <f>IF(D3629="","",COUNTIFS('KG1-7'!$AD10:$IM10,"غياب بدون عذر",'KG1-7'!$AD$7:$IM$7,"✓",'KG1-7'!$AD$5:$IM$5,"&lt;="&amp;D3629))</f>
        <v/>
      </c>
      <c r="G3629">
        <f>G3628+IF(D3629="",0,1)</f>
        <v/>
      </c>
    </row>
    <row r="3630">
      <c r="A3630">
        <f>IF('KG1-7'!$B10="","",'KG1-7'!$B10)</f>
        <v/>
      </c>
      <c r="B3630">
        <f>IF(A3630="","",'KG1-7'!$C10)</f>
        <v/>
      </c>
      <c r="C3630">
        <f>IF(A3630="","",'KG1-7'!$B$2)</f>
        <v/>
      </c>
      <c r="D3630" s="126">
        <f t="array" ref="D3630">IF(A3630="","",IFERROR(SMALL(IF((('KG1-7'!$AD10:$IM10="غياب بدون عذر")+('KG1-7'!$AD10:$IM10="غياب بعذر"))*('KG1-7'!$AD$7:$IM$7="✓"),'KG1-7'!$AD$5:$IM$5),9),""))</f>
        <v/>
      </c>
      <c r="E3630">
        <f>IF(D3630="","",INDEX('KG1-7'!$AD10:$IM10,MATCH(D3630,'KG1-7'!$AD$5:$IM$5,0)))</f>
        <v/>
      </c>
      <c r="F3630">
        <f>IF(D3630="","",COUNTIFS('KG1-7'!$AD10:$IM10,"غياب بدون عذر",'KG1-7'!$AD$7:$IM$7,"✓",'KG1-7'!$AD$5:$IM$5,"&lt;="&amp;D3630))</f>
        <v/>
      </c>
      <c r="G3630">
        <f>G3629+IF(D3630="",0,1)</f>
        <v/>
      </c>
    </row>
    <row r="3631">
      <c r="A3631">
        <f>IF('KG1-7'!$B10="","",'KG1-7'!$B10)</f>
        <v/>
      </c>
      <c r="B3631">
        <f>IF(A3631="","",'KG1-7'!$C10)</f>
        <v/>
      </c>
      <c r="C3631">
        <f>IF(A3631="","",'KG1-7'!$B$2)</f>
        <v/>
      </c>
      <c r="D3631" s="126">
        <f t="array" ref="D3631">IF(A3631="","",IFERROR(SMALL(IF((('KG1-7'!$AD10:$IM10="غياب بدون عذر")+('KG1-7'!$AD10:$IM10="غياب بعذر"))*('KG1-7'!$AD$7:$IM$7="✓"),'KG1-7'!$AD$5:$IM$5),10),""))</f>
        <v/>
      </c>
      <c r="E3631">
        <f>IF(D3631="","",INDEX('KG1-7'!$AD10:$IM10,MATCH(D3631,'KG1-7'!$AD$5:$IM$5,0)))</f>
        <v/>
      </c>
      <c r="F3631">
        <f>IF(D3631="","",COUNTIFS('KG1-7'!$AD10:$IM10,"غياب بدون عذر",'KG1-7'!$AD$7:$IM$7,"✓",'KG1-7'!$AD$5:$IM$5,"&lt;="&amp;D3631))</f>
        <v/>
      </c>
      <c r="G3631">
        <f>G3630+IF(D3631="",0,1)</f>
        <v/>
      </c>
    </row>
    <row r="3632">
      <c r="A3632">
        <f>IF('KG1-7'!$B10="","",'KG1-7'!$B10)</f>
        <v/>
      </c>
      <c r="B3632">
        <f>IF(A3632="","",'KG1-7'!$C10)</f>
        <v/>
      </c>
      <c r="C3632">
        <f>IF(A3632="","",'KG1-7'!$B$2)</f>
        <v/>
      </c>
      <c r="D3632" s="126">
        <f t="array" ref="D3632">IF(A3632="","",IFERROR(SMALL(IF((('KG1-7'!$AD10:$IM10="غياب بدون عذر")+('KG1-7'!$AD10:$IM10="غياب بعذر"))*('KG1-7'!$AD$7:$IM$7="✓"),'KG1-7'!$AD$5:$IM$5),11),""))</f>
        <v/>
      </c>
      <c r="E3632">
        <f>IF(D3632="","",INDEX('KG1-7'!$AD10:$IM10,MATCH(D3632,'KG1-7'!$AD$5:$IM$5,0)))</f>
        <v/>
      </c>
      <c r="F3632">
        <f>IF(D3632="","",COUNTIFS('KG1-7'!$AD10:$IM10,"غياب بدون عذر",'KG1-7'!$AD$7:$IM$7,"✓",'KG1-7'!$AD$5:$IM$5,"&lt;="&amp;D3632))</f>
        <v/>
      </c>
      <c r="G3632">
        <f>G3631+IF(D3632="",0,1)</f>
        <v/>
      </c>
    </row>
    <row r="3633">
      <c r="A3633">
        <f>IF('KG1-7'!$B10="","",'KG1-7'!$B10)</f>
        <v/>
      </c>
      <c r="B3633">
        <f>IF(A3633="","",'KG1-7'!$C10)</f>
        <v/>
      </c>
      <c r="C3633">
        <f>IF(A3633="","",'KG1-7'!$B$2)</f>
        <v/>
      </c>
      <c r="D3633" s="126">
        <f t="array" ref="D3633">IF(A3633="","",IFERROR(SMALL(IF((('KG1-7'!$AD10:$IM10="غياب بدون عذر")+('KG1-7'!$AD10:$IM10="غياب بعذر"))*('KG1-7'!$AD$7:$IM$7="✓"),'KG1-7'!$AD$5:$IM$5),12),""))</f>
        <v/>
      </c>
      <c r="E3633">
        <f>IF(D3633="","",INDEX('KG1-7'!$AD10:$IM10,MATCH(D3633,'KG1-7'!$AD$5:$IM$5,0)))</f>
        <v/>
      </c>
      <c r="F3633">
        <f>IF(D3633="","",COUNTIFS('KG1-7'!$AD10:$IM10,"غياب بدون عذر",'KG1-7'!$AD$7:$IM$7,"✓",'KG1-7'!$AD$5:$IM$5,"&lt;="&amp;D3633))</f>
        <v/>
      </c>
      <c r="G3633">
        <f>G3632+IF(D3633="",0,1)</f>
        <v/>
      </c>
    </row>
    <row r="3634">
      <c r="A3634">
        <f>IF('KG1-7'!$B10="","",'KG1-7'!$B10)</f>
        <v/>
      </c>
      <c r="B3634">
        <f>IF(A3634="","",'KG1-7'!$C10)</f>
        <v/>
      </c>
      <c r="C3634">
        <f>IF(A3634="","",'KG1-7'!$B$2)</f>
        <v/>
      </c>
      <c r="D3634" s="126">
        <f t="array" ref="D3634">IF(A3634="","",IFERROR(SMALL(IF((('KG1-7'!$AD10:$IM10="غياب بدون عذر")+('KG1-7'!$AD10:$IM10="غياب بعذر"))*('KG1-7'!$AD$7:$IM$7="✓"),'KG1-7'!$AD$5:$IM$5),13),""))</f>
        <v/>
      </c>
      <c r="E3634">
        <f>IF(D3634="","",INDEX('KG1-7'!$AD10:$IM10,MATCH(D3634,'KG1-7'!$AD$5:$IM$5,0)))</f>
        <v/>
      </c>
      <c r="F3634">
        <f>IF(D3634="","",COUNTIFS('KG1-7'!$AD10:$IM10,"غياب بدون عذر",'KG1-7'!$AD$7:$IM$7,"✓",'KG1-7'!$AD$5:$IM$5,"&lt;="&amp;D3634))</f>
        <v/>
      </c>
      <c r="G3634">
        <f>G3633+IF(D3634="",0,1)</f>
        <v/>
      </c>
    </row>
    <row r="3635">
      <c r="A3635">
        <f>IF('KG1-7'!$B10="","",'KG1-7'!$B10)</f>
        <v/>
      </c>
      <c r="B3635">
        <f>IF(A3635="","",'KG1-7'!$C10)</f>
        <v/>
      </c>
      <c r="C3635">
        <f>IF(A3635="","",'KG1-7'!$B$2)</f>
        <v/>
      </c>
      <c r="D3635" s="126">
        <f t="array" ref="D3635">IF(A3635="","",IFERROR(SMALL(IF((('KG1-7'!$AD10:$IM10="غياب بدون عذر")+('KG1-7'!$AD10:$IM10="غياب بعذر"))*('KG1-7'!$AD$7:$IM$7="✓"),'KG1-7'!$AD$5:$IM$5),14),""))</f>
        <v/>
      </c>
      <c r="E3635">
        <f>IF(D3635="","",INDEX('KG1-7'!$AD10:$IM10,MATCH(D3635,'KG1-7'!$AD$5:$IM$5,0)))</f>
        <v/>
      </c>
      <c r="F3635">
        <f>IF(D3635="","",COUNTIFS('KG1-7'!$AD10:$IM10,"غياب بدون عذر",'KG1-7'!$AD$7:$IM$7,"✓",'KG1-7'!$AD$5:$IM$5,"&lt;="&amp;D3635))</f>
        <v/>
      </c>
      <c r="G3635">
        <f>G3634+IF(D3635="",0,1)</f>
        <v/>
      </c>
    </row>
    <row r="3636">
      <c r="A3636">
        <f>IF('KG1-7'!$B10="","",'KG1-7'!$B10)</f>
        <v/>
      </c>
      <c r="B3636">
        <f>IF(A3636="","",'KG1-7'!$C10)</f>
        <v/>
      </c>
      <c r="C3636">
        <f>IF(A3636="","",'KG1-7'!$B$2)</f>
        <v/>
      </c>
      <c r="D3636" s="126">
        <f t="array" ref="D3636">IF(A3636="","",IFERROR(SMALL(IF((('KG1-7'!$AD10:$IM10="غياب بدون عذر")+('KG1-7'!$AD10:$IM10="غياب بعذر"))*('KG1-7'!$AD$7:$IM$7="✓"),'KG1-7'!$AD$5:$IM$5),15),""))</f>
        <v/>
      </c>
      <c r="E3636">
        <f>IF(D3636="","",INDEX('KG1-7'!$AD10:$IM10,MATCH(D3636,'KG1-7'!$AD$5:$IM$5,0)))</f>
        <v/>
      </c>
      <c r="F3636">
        <f>IF(D3636="","",COUNTIFS('KG1-7'!$AD10:$IM10,"غياب بدون عذر",'KG1-7'!$AD$7:$IM$7,"✓",'KG1-7'!$AD$5:$IM$5,"&lt;="&amp;D3636))</f>
        <v/>
      </c>
      <c r="G3636">
        <f>G3635+IF(D3636="",0,1)</f>
        <v/>
      </c>
    </row>
    <row r="3637">
      <c r="A3637">
        <f>IF('KG1-7'!$B10="","",'KG1-7'!$B10)</f>
        <v/>
      </c>
      <c r="B3637">
        <f>IF(A3637="","",'KG1-7'!$C10)</f>
        <v/>
      </c>
      <c r="C3637">
        <f>IF(A3637="","",'KG1-7'!$B$2)</f>
        <v/>
      </c>
      <c r="D3637" s="126">
        <f t="array" ref="D3637">IF(A3637="","",IFERROR(SMALL(IF((('KG1-7'!$AD10:$IM10="غياب بدون عذر")+('KG1-7'!$AD10:$IM10="غياب بعذر"))*('KG1-7'!$AD$7:$IM$7="✓"),'KG1-7'!$AD$5:$IM$5),16),""))</f>
        <v/>
      </c>
      <c r="E3637">
        <f>IF(D3637="","",INDEX('KG1-7'!$AD10:$IM10,MATCH(D3637,'KG1-7'!$AD$5:$IM$5,0)))</f>
        <v/>
      </c>
      <c r="F3637">
        <f>IF(D3637="","",COUNTIFS('KG1-7'!$AD10:$IM10,"غياب بدون عذر",'KG1-7'!$AD$7:$IM$7,"✓",'KG1-7'!$AD$5:$IM$5,"&lt;="&amp;D3637))</f>
        <v/>
      </c>
      <c r="G3637">
        <f>G3636+IF(D3637="",0,1)</f>
        <v/>
      </c>
    </row>
    <row r="3638">
      <c r="A3638">
        <f>IF('KG1-7'!$B10="","",'KG1-7'!$B10)</f>
        <v/>
      </c>
      <c r="B3638">
        <f>IF(A3638="","",'KG1-7'!$C10)</f>
        <v/>
      </c>
      <c r="C3638">
        <f>IF(A3638="","",'KG1-7'!$B$2)</f>
        <v/>
      </c>
      <c r="D3638" s="126">
        <f t="array" ref="D3638">IF(A3638="","",IFERROR(SMALL(IF((('KG1-7'!$AD10:$IM10="غياب بدون عذر")+('KG1-7'!$AD10:$IM10="غياب بعذر"))*('KG1-7'!$AD$7:$IM$7="✓"),'KG1-7'!$AD$5:$IM$5),17),""))</f>
        <v/>
      </c>
      <c r="E3638">
        <f>IF(D3638="","",INDEX('KG1-7'!$AD10:$IM10,MATCH(D3638,'KG1-7'!$AD$5:$IM$5,0)))</f>
        <v/>
      </c>
      <c r="F3638">
        <f>IF(D3638="","",COUNTIFS('KG1-7'!$AD10:$IM10,"غياب بدون عذر",'KG1-7'!$AD$7:$IM$7,"✓",'KG1-7'!$AD$5:$IM$5,"&lt;="&amp;D3638))</f>
        <v/>
      </c>
      <c r="G3638">
        <f>G3637+IF(D3638="",0,1)</f>
        <v/>
      </c>
    </row>
    <row r="3639">
      <c r="A3639">
        <f>IF('KG1-7'!$B10="","",'KG1-7'!$B10)</f>
        <v/>
      </c>
      <c r="B3639">
        <f>IF(A3639="","",'KG1-7'!$C10)</f>
        <v/>
      </c>
      <c r="C3639">
        <f>IF(A3639="","",'KG1-7'!$B$2)</f>
        <v/>
      </c>
      <c r="D3639" s="126">
        <f t="array" ref="D3639">IF(A3639="","",IFERROR(SMALL(IF((('KG1-7'!$AD10:$IM10="غياب بدون عذر")+('KG1-7'!$AD10:$IM10="غياب بعذر"))*('KG1-7'!$AD$7:$IM$7="✓"),'KG1-7'!$AD$5:$IM$5),18),""))</f>
        <v/>
      </c>
      <c r="E3639">
        <f>IF(D3639="","",INDEX('KG1-7'!$AD10:$IM10,MATCH(D3639,'KG1-7'!$AD$5:$IM$5,0)))</f>
        <v/>
      </c>
      <c r="F3639">
        <f>IF(D3639="","",COUNTIFS('KG1-7'!$AD10:$IM10,"غياب بدون عذر",'KG1-7'!$AD$7:$IM$7,"✓",'KG1-7'!$AD$5:$IM$5,"&lt;="&amp;D3639))</f>
        <v/>
      </c>
      <c r="G3639">
        <f>G3638+IF(D3639="",0,1)</f>
        <v/>
      </c>
    </row>
    <row r="3640">
      <c r="A3640">
        <f>IF('KG1-7'!$B10="","",'KG1-7'!$B10)</f>
        <v/>
      </c>
      <c r="B3640">
        <f>IF(A3640="","",'KG1-7'!$C10)</f>
        <v/>
      </c>
      <c r="C3640">
        <f>IF(A3640="","",'KG1-7'!$B$2)</f>
        <v/>
      </c>
      <c r="D3640" s="126">
        <f t="array" ref="D3640">IF(A3640="","",IFERROR(SMALL(IF((('KG1-7'!$AD10:$IM10="غياب بدون عذر")+('KG1-7'!$AD10:$IM10="غياب بعذر"))*('KG1-7'!$AD$7:$IM$7="✓"),'KG1-7'!$AD$5:$IM$5),19),""))</f>
        <v/>
      </c>
      <c r="E3640">
        <f>IF(D3640="","",INDEX('KG1-7'!$AD10:$IM10,MATCH(D3640,'KG1-7'!$AD$5:$IM$5,0)))</f>
        <v/>
      </c>
      <c r="F3640">
        <f>IF(D3640="","",COUNTIFS('KG1-7'!$AD10:$IM10,"غياب بدون عذر",'KG1-7'!$AD$7:$IM$7,"✓",'KG1-7'!$AD$5:$IM$5,"&lt;="&amp;D3640))</f>
        <v/>
      </c>
      <c r="G3640">
        <f>G3639+IF(D3640="",0,1)</f>
        <v/>
      </c>
    </row>
    <row r="3641">
      <c r="A3641">
        <f>IF('KG1-7'!$B10="","",'KG1-7'!$B10)</f>
        <v/>
      </c>
      <c r="B3641">
        <f>IF(A3641="","",'KG1-7'!$C10)</f>
        <v/>
      </c>
      <c r="C3641">
        <f>IF(A3641="","",'KG1-7'!$B$2)</f>
        <v/>
      </c>
      <c r="D3641" s="126">
        <f t="array" ref="D3641">IF(A3641="","",IFERROR(SMALL(IF((('KG1-7'!$AD10:$IM10="غياب بدون عذر")+('KG1-7'!$AD10:$IM10="غياب بعذر"))*('KG1-7'!$AD$7:$IM$7="✓"),'KG1-7'!$AD$5:$IM$5),20),""))</f>
        <v/>
      </c>
      <c r="E3641">
        <f>IF(D3641="","",INDEX('KG1-7'!$AD10:$IM10,MATCH(D3641,'KG1-7'!$AD$5:$IM$5,0)))</f>
        <v/>
      </c>
      <c r="F3641">
        <f>IF(D3641="","",COUNTIFS('KG1-7'!$AD10:$IM10,"غياب بدون عذر",'KG1-7'!$AD$7:$IM$7,"✓",'KG1-7'!$AD$5:$IM$5,"&lt;="&amp;D3641))</f>
        <v/>
      </c>
      <c r="G3641">
        <f>G3640+IF(D3641="",0,1)</f>
        <v/>
      </c>
    </row>
    <row r="3642">
      <c r="A3642">
        <f>IF('KG1-7'!$B11="","",'KG1-7'!$B11)</f>
        <v/>
      </c>
      <c r="B3642">
        <f>IF(A3642="","",'KG1-7'!$C11)</f>
        <v/>
      </c>
      <c r="C3642">
        <f>IF(A3642="","",'KG1-7'!$B$2)</f>
        <v/>
      </c>
      <c r="D3642" s="126">
        <f t="array" ref="D3642">IF(A3642="","",IFERROR(SMALL(IF((('KG1-7'!$AD11:$IM11="غياب بدون عذر")+('KG1-7'!$AD11:$IM11="غياب بعذر"))*('KG1-7'!$AD$7:$IM$7="✓"),'KG1-7'!$AD$5:$IM$5),1),""))</f>
        <v/>
      </c>
      <c r="E3642">
        <f>IF(D3642="","",INDEX('KG1-7'!$AD11:$IM11,MATCH(D3642,'KG1-7'!$AD$5:$IM$5,0)))</f>
        <v/>
      </c>
      <c r="F3642">
        <f>IF(D3642="","",COUNTIFS('KG1-7'!$AD11:$IM11,"غياب بدون عذر",'KG1-7'!$AD$7:$IM$7,"✓",'KG1-7'!$AD$5:$IM$5,"&lt;="&amp;D3642))</f>
        <v/>
      </c>
      <c r="G3642">
        <f>G3641+IF(D3642="",0,1)</f>
        <v/>
      </c>
    </row>
    <row r="3643">
      <c r="A3643">
        <f>IF('KG1-7'!$B11="","",'KG1-7'!$B11)</f>
        <v/>
      </c>
      <c r="B3643">
        <f>IF(A3643="","",'KG1-7'!$C11)</f>
        <v/>
      </c>
      <c r="C3643">
        <f>IF(A3643="","",'KG1-7'!$B$2)</f>
        <v/>
      </c>
      <c r="D3643" s="126">
        <f t="array" ref="D3643">IF(A3643="","",IFERROR(SMALL(IF((('KG1-7'!$AD11:$IM11="غياب بدون عذر")+('KG1-7'!$AD11:$IM11="غياب بعذر"))*('KG1-7'!$AD$7:$IM$7="✓"),'KG1-7'!$AD$5:$IM$5),2),""))</f>
        <v/>
      </c>
      <c r="E3643">
        <f>IF(D3643="","",INDEX('KG1-7'!$AD11:$IM11,MATCH(D3643,'KG1-7'!$AD$5:$IM$5,0)))</f>
        <v/>
      </c>
      <c r="F3643">
        <f>IF(D3643="","",COUNTIFS('KG1-7'!$AD11:$IM11,"غياب بدون عذر",'KG1-7'!$AD$7:$IM$7,"✓",'KG1-7'!$AD$5:$IM$5,"&lt;="&amp;D3643))</f>
        <v/>
      </c>
      <c r="G3643">
        <f>G3642+IF(D3643="",0,1)</f>
        <v/>
      </c>
    </row>
    <row r="3644">
      <c r="A3644">
        <f>IF('KG1-7'!$B11="","",'KG1-7'!$B11)</f>
        <v/>
      </c>
      <c r="B3644">
        <f>IF(A3644="","",'KG1-7'!$C11)</f>
        <v/>
      </c>
      <c r="C3644">
        <f>IF(A3644="","",'KG1-7'!$B$2)</f>
        <v/>
      </c>
      <c r="D3644" s="126">
        <f t="array" ref="D3644">IF(A3644="","",IFERROR(SMALL(IF((('KG1-7'!$AD11:$IM11="غياب بدون عذر")+('KG1-7'!$AD11:$IM11="غياب بعذر"))*('KG1-7'!$AD$7:$IM$7="✓"),'KG1-7'!$AD$5:$IM$5),3),""))</f>
        <v/>
      </c>
      <c r="E3644">
        <f>IF(D3644="","",INDEX('KG1-7'!$AD11:$IM11,MATCH(D3644,'KG1-7'!$AD$5:$IM$5,0)))</f>
        <v/>
      </c>
      <c r="F3644">
        <f>IF(D3644="","",COUNTIFS('KG1-7'!$AD11:$IM11,"غياب بدون عذر",'KG1-7'!$AD$7:$IM$7,"✓",'KG1-7'!$AD$5:$IM$5,"&lt;="&amp;D3644))</f>
        <v/>
      </c>
      <c r="G3644">
        <f>G3643+IF(D3644="",0,1)</f>
        <v/>
      </c>
    </row>
    <row r="3645">
      <c r="A3645">
        <f>IF('KG1-7'!$B11="","",'KG1-7'!$B11)</f>
        <v/>
      </c>
      <c r="B3645">
        <f>IF(A3645="","",'KG1-7'!$C11)</f>
        <v/>
      </c>
      <c r="C3645">
        <f>IF(A3645="","",'KG1-7'!$B$2)</f>
        <v/>
      </c>
      <c r="D3645" s="126">
        <f t="array" ref="D3645">IF(A3645="","",IFERROR(SMALL(IF((('KG1-7'!$AD11:$IM11="غياب بدون عذر")+('KG1-7'!$AD11:$IM11="غياب بعذر"))*('KG1-7'!$AD$7:$IM$7="✓"),'KG1-7'!$AD$5:$IM$5),4),""))</f>
        <v/>
      </c>
      <c r="E3645">
        <f>IF(D3645="","",INDEX('KG1-7'!$AD11:$IM11,MATCH(D3645,'KG1-7'!$AD$5:$IM$5,0)))</f>
        <v/>
      </c>
      <c r="F3645">
        <f>IF(D3645="","",COUNTIFS('KG1-7'!$AD11:$IM11,"غياب بدون عذر",'KG1-7'!$AD$7:$IM$7,"✓",'KG1-7'!$AD$5:$IM$5,"&lt;="&amp;D3645))</f>
        <v/>
      </c>
      <c r="G3645">
        <f>G3644+IF(D3645="",0,1)</f>
        <v/>
      </c>
    </row>
    <row r="3646">
      <c r="A3646">
        <f>IF('KG1-7'!$B11="","",'KG1-7'!$B11)</f>
        <v/>
      </c>
      <c r="B3646">
        <f>IF(A3646="","",'KG1-7'!$C11)</f>
        <v/>
      </c>
      <c r="C3646">
        <f>IF(A3646="","",'KG1-7'!$B$2)</f>
        <v/>
      </c>
      <c r="D3646" s="126">
        <f t="array" ref="D3646">IF(A3646="","",IFERROR(SMALL(IF((('KG1-7'!$AD11:$IM11="غياب بدون عذر")+('KG1-7'!$AD11:$IM11="غياب بعذر"))*('KG1-7'!$AD$7:$IM$7="✓"),'KG1-7'!$AD$5:$IM$5),5),""))</f>
        <v/>
      </c>
      <c r="E3646">
        <f>IF(D3646="","",INDEX('KG1-7'!$AD11:$IM11,MATCH(D3646,'KG1-7'!$AD$5:$IM$5,0)))</f>
        <v/>
      </c>
      <c r="F3646">
        <f>IF(D3646="","",COUNTIFS('KG1-7'!$AD11:$IM11,"غياب بدون عذر",'KG1-7'!$AD$7:$IM$7,"✓",'KG1-7'!$AD$5:$IM$5,"&lt;="&amp;D3646))</f>
        <v/>
      </c>
      <c r="G3646">
        <f>G3645+IF(D3646="",0,1)</f>
        <v/>
      </c>
    </row>
    <row r="3647">
      <c r="A3647">
        <f>IF('KG1-7'!$B11="","",'KG1-7'!$B11)</f>
        <v/>
      </c>
      <c r="B3647">
        <f>IF(A3647="","",'KG1-7'!$C11)</f>
        <v/>
      </c>
      <c r="C3647">
        <f>IF(A3647="","",'KG1-7'!$B$2)</f>
        <v/>
      </c>
      <c r="D3647" s="126">
        <f t="array" ref="D3647">IF(A3647="","",IFERROR(SMALL(IF((('KG1-7'!$AD11:$IM11="غياب بدون عذر")+('KG1-7'!$AD11:$IM11="غياب بعذر"))*('KG1-7'!$AD$7:$IM$7="✓"),'KG1-7'!$AD$5:$IM$5),6),""))</f>
        <v/>
      </c>
      <c r="E3647">
        <f>IF(D3647="","",INDEX('KG1-7'!$AD11:$IM11,MATCH(D3647,'KG1-7'!$AD$5:$IM$5,0)))</f>
        <v/>
      </c>
      <c r="F3647">
        <f>IF(D3647="","",COUNTIFS('KG1-7'!$AD11:$IM11,"غياب بدون عذر",'KG1-7'!$AD$7:$IM$7,"✓",'KG1-7'!$AD$5:$IM$5,"&lt;="&amp;D3647))</f>
        <v/>
      </c>
      <c r="G3647">
        <f>G3646+IF(D3647="",0,1)</f>
        <v/>
      </c>
    </row>
    <row r="3648">
      <c r="A3648">
        <f>IF('KG1-7'!$B11="","",'KG1-7'!$B11)</f>
        <v/>
      </c>
      <c r="B3648">
        <f>IF(A3648="","",'KG1-7'!$C11)</f>
        <v/>
      </c>
      <c r="C3648">
        <f>IF(A3648="","",'KG1-7'!$B$2)</f>
        <v/>
      </c>
      <c r="D3648" s="126">
        <f t="array" ref="D3648">IF(A3648="","",IFERROR(SMALL(IF((('KG1-7'!$AD11:$IM11="غياب بدون عذر")+('KG1-7'!$AD11:$IM11="غياب بعذر"))*('KG1-7'!$AD$7:$IM$7="✓"),'KG1-7'!$AD$5:$IM$5),7),""))</f>
        <v/>
      </c>
      <c r="E3648">
        <f>IF(D3648="","",INDEX('KG1-7'!$AD11:$IM11,MATCH(D3648,'KG1-7'!$AD$5:$IM$5,0)))</f>
        <v/>
      </c>
      <c r="F3648">
        <f>IF(D3648="","",COUNTIFS('KG1-7'!$AD11:$IM11,"غياب بدون عذر",'KG1-7'!$AD$7:$IM$7,"✓",'KG1-7'!$AD$5:$IM$5,"&lt;="&amp;D3648))</f>
        <v/>
      </c>
      <c r="G3648">
        <f>G3647+IF(D3648="",0,1)</f>
        <v/>
      </c>
    </row>
    <row r="3649">
      <c r="A3649">
        <f>IF('KG1-7'!$B11="","",'KG1-7'!$B11)</f>
        <v/>
      </c>
      <c r="B3649">
        <f>IF(A3649="","",'KG1-7'!$C11)</f>
        <v/>
      </c>
      <c r="C3649">
        <f>IF(A3649="","",'KG1-7'!$B$2)</f>
        <v/>
      </c>
      <c r="D3649" s="126">
        <f t="array" ref="D3649">IF(A3649="","",IFERROR(SMALL(IF((('KG1-7'!$AD11:$IM11="غياب بدون عذر")+('KG1-7'!$AD11:$IM11="غياب بعذر"))*('KG1-7'!$AD$7:$IM$7="✓"),'KG1-7'!$AD$5:$IM$5),8),""))</f>
        <v/>
      </c>
      <c r="E3649">
        <f>IF(D3649="","",INDEX('KG1-7'!$AD11:$IM11,MATCH(D3649,'KG1-7'!$AD$5:$IM$5,0)))</f>
        <v/>
      </c>
      <c r="F3649">
        <f>IF(D3649="","",COUNTIFS('KG1-7'!$AD11:$IM11,"غياب بدون عذر",'KG1-7'!$AD$7:$IM$7,"✓",'KG1-7'!$AD$5:$IM$5,"&lt;="&amp;D3649))</f>
        <v/>
      </c>
      <c r="G3649">
        <f>G3648+IF(D3649="",0,1)</f>
        <v/>
      </c>
    </row>
    <row r="3650">
      <c r="A3650">
        <f>IF('KG1-7'!$B11="","",'KG1-7'!$B11)</f>
        <v/>
      </c>
      <c r="B3650">
        <f>IF(A3650="","",'KG1-7'!$C11)</f>
        <v/>
      </c>
      <c r="C3650">
        <f>IF(A3650="","",'KG1-7'!$B$2)</f>
        <v/>
      </c>
      <c r="D3650" s="126">
        <f t="array" ref="D3650">IF(A3650="","",IFERROR(SMALL(IF((('KG1-7'!$AD11:$IM11="غياب بدون عذر")+('KG1-7'!$AD11:$IM11="غياب بعذر"))*('KG1-7'!$AD$7:$IM$7="✓"),'KG1-7'!$AD$5:$IM$5),9),""))</f>
        <v/>
      </c>
      <c r="E3650">
        <f>IF(D3650="","",INDEX('KG1-7'!$AD11:$IM11,MATCH(D3650,'KG1-7'!$AD$5:$IM$5,0)))</f>
        <v/>
      </c>
      <c r="F3650">
        <f>IF(D3650="","",COUNTIFS('KG1-7'!$AD11:$IM11,"غياب بدون عذر",'KG1-7'!$AD$7:$IM$7,"✓",'KG1-7'!$AD$5:$IM$5,"&lt;="&amp;D3650))</f>
        <v/>
      </c>
      <c r="G3650">
        <f>G3649+IF(D3650="",0,1)</f>
        <v/>
      </c>
    </row>
    <row r="3651">
      <c r="A3651">
        <f>IF('KG1-7'!$B11="","",'KG1-7'!$B11)</f>
        <v/>
      </c>
      <c r="B3651">
        <f>IF(A3651="","",'KG1-7'!$C11)</f>
        <v/>
      </c>
      <c r="C3651">
        <f>IF(A3651="","",'KG1-7'!$B$2)</f>
        <v/>
      </c>
      <c r="D3651" s="126">
        <f t="array" ref="D3651">IF(A3651="","",IFERROR(SMALL(IF((('KG1-7'!$AD11:$IM11="غياب بدون عذر")+('KG1-7'!$AD11:$IM11="غياب بعذر"))*('KG1-7'!$AD$7:$IM$7="✓"),'KG1-7'!$AD$5:$IM$5),10),""))</f>
        <v/>
      </c>
      <c r="E3651">
        <f>IF(D3651="","",INDEX('KG1-7'!$AD11:$IM11,MATCH(D3651,'KG1-7'!$AD$5:$IM$5,0)))</f>
        <v/>
      </c>
      <c r="F3651">
        <f>IF(D3651="","",COUNTIFS('KG1-7'!$AD11:$IM11,"غياب بدون عذر",'KG1-7'!$AD$7:$IM$7,"✓",'KG1-7'!$AD$5:$IM$5,"&lt;="&amp;D3651))</f>
        <v/>
      </c>
      <c r="G3651">
        <f>G3650+IF(D3651="",0,1)</f>
        <v/>
      </c>
    </row>
    <row r="3652">
      <c r="A3652">
        <f>IF('KG1-7'!$B11="","",'KG1-7'!$B11)</f>
        <v/>
      </c>
      <c r="B3652">
        <f>IF(A3652="","",'KG1-7'!$C11)</f>
        <v/>
      </c>
      <c r="C3652">
        <f>IF(A3652="","",'KG1-7'!$B$2)</f>
        <v/>
      </c>
      <c r="D3652" s="126">
        <f t="array" ref="D3652">IF(A3652="","",IFERROR(SMALL(IF((('KG1-7'!$AD11:$IM11="غياب بدون عذر")+('KG1-7'!$AD11:$IM11="غياب بعذر"))*('KG1-7'!$AD$7:$IM$7="✓"),'KG1-7'!$AD$5:$IM$5),11),""))</f>
        <v/>
      </c>
      <c r="E3652">
        <f>IF(D3652="","",INDEX('KG1-7'!$AD11:$IM11,MATCH(D3652,'KG1-7'!$AD$5:$IM$5,0)))</f>
        <v/>
      </c>
      <c r="F3652">
        <f>IF(D3652="","",COUNTIFS('KG1-7'!$AD11:$IM11,"غياب بدون عذر",'KG1-7'!$AD$7:$IM$7,"✓",'KG1-7'!$AD$5:$IM$5,"&lt;="&amp;D3652))</f>
        <v/>
      </c>
      <c r="G3652">
        <f>G3651+IF(D3652="",0,1)</f>
        <v/>
      </c>
    </row>
    <row r="3653">
      <c r="A3653">
        <f>IF('KG1-7'!$B11="","",'KG1-7'!$B11)</f>
        <v/>
      </c>
      <c r="B3653">
        <f>IF(A3653="","",'KG1-7'!$C11)</f>
        <v/>
      </c>
      <c r="C3653">
        <f>IF(A3653="","",'KG1-7'!$B$2)</f>
        <v/>
      </c>
      <c r="D3653" s="126">
        <f t="array" ref="D3653">IF(A3653="","",IFERROR(SMALL(IF((('KG1-7'!$AD11:$IM11="غياب بدون عذر")+('KG1-7'!$AD11:$IM11="غياب بعذر"))*('KG1-7'!$AD$7:$IM$7="✓"),'KG1-7'!$AD$5:$IM$5),12),""))</f>
        <v/>
      </c>
      <c r="E3653">
        <f>IF(D3653="","",INDEX('KG1-7'!$AD11:$IM11,MATCH(D3653,'KG1-7'!$AD$5:$IM$5,0)))</f>
        <v/>
      </c>
      <c r="F3653">
        <f>IF(D3653="","",COUNTIFS('KG1-7'!$AD11:$IM11,"غياب بدون عذر",'KG1-7'!$AD$7:$IM$7,"✓",'KG1-7'!$AD$5:$IM$5,"&lt;="&amp;D3653))</f>
        <v/>
      </c>
      <c r="G3653">
        <f>G3652+IF(D3653="",0,1)</f>
        <v/>
      </c>
    </row>
    <row r="3654">
      <c r="A3654">
        <f>IF('KG1-7'!$B11="","",'KG1-7'!$B11)</f>
        <v/>
      </c>
      <c r="B3654">
        <f>IF(A3654="","",'KG1-7'!$C11)</f>
        <v/>
      </c>
      <c r="C3654">
        <f>IF(A3654="","",'KG1-7'!$B$2)</f>
        <v/>
      </c>
      <c r="D3654" s="126">
        <f t="array" ref="D3654">IF(A3654="","",IFERROR(SMALL(IF((('KG1-7'!$AD11:$IM11="غياب بدون عذر")+('KG1-7'!$AD11:$IM11="غياب بعذر"))*('KG1-7'!$AD$7:$IM$7="✓"),'KG1-7'!$AD$5:$IM$5),13),""))</f>
        <v/>
      </c>
      <c r="E3654">
        <f>IF(D3654="","",INDEX('KG1-7'!$AD11:$IM11,MATCH(D3654,'KG1-7'!$AD$5:$IM$5,0)))</f>
        <v/>
      </c>
      <c r="F3654">
        <f>IF(D3654="","",COUNTIFS('KG1-7'!$AD11:$IM11,"غياب بدون عذر",'KG1-7'!$AD$7:$IM$7,"✓",'KG1-7'!$AD$5:$IM$5,"&lt;="&amp;D3654))</f>
        <v/>
      </c>
      <c r="G3654">
        <f>G3653+IF(D3654="",0,1)</f>
        <v/>
      </c>
    </row>
    <row r="3655">
      <c r="A3655">
        <f>IF('KG1-7'!$B11="","",'KG1-7'!$B11)</f>
        <v/>
      </c>
      <c r="B3655">
        <f>IF(A3655="","",'KG1-7'!$C11)</f>
        <v/>
      </c>
      <c r="C3655">
        <f>IF(A3655="","",'KG1-7'!$B$2)</f>
        <v/>
      </c>
      <c r="D3655" s="126">
        <f t="array" ref="D3655">IF(A3655="","",IFERROR(SMALL(IF((('KG1-7'!$AD11:$IM11="غياب بدون عذر")+('KG1-7'!$AD11:$IM11="غياب بعذر"))*('KG1-7'!$AD$7:$IM$7="✓"),'KG1-7'!$AD$5:$IM$5),14),""))</f>
        <v/>
      </c>
      <c r="E3655">
        <f>IF(D3655="","",INDEX('KG1-7'!$AD11:$IM11,MATCH(D3655,'KG1-7'!$AD$5:$IM$5,0)))</f>
        <v/>
      </c>
      <c r="F3655">
        <f>IF(D3655="","",COUNTIFS('KG1-7'!$AD11:$IM11,"غياب بدون عذر",'KG1-7'!$AD$7:$IM$7,"✓",'KG1-7'!$AD$5:$IM$5,"&lt;="&amp;D3655))</f>
        <v/>
      </c>
      <c r="G3655">
        <f>G3654+IF(D3655="",0,1)</f>
        <v/>
      </c>
    </row>
    <row r="3656">
      <c r="A3656">
        <f>IF('KG1-7'!$B11="","",'KG1-7'!$B11)</f>
        <v/>
      </c>
      <c r="B3656">
        <f>IF(A3656="","",'KG1-7'!$C11)</f>
        <v/>
      </c>
      <c r="C3656">
        <f>IF(A3656="","",'KG1-7'!$B$2)</f>
        <v/>
      </c>
      <c r="D3656" s="126">
        <f t="array" ref="D3656">IF(A3656="","",IFERROR(SMALL(IF((('KG1-7'!$AD11:$IM11="غياب بدون عذر")+('KG1-7'!$AD11:$IM11="غياب بعذر"))*('KG1-7'!$AD$7:$IM$7="✓"),'KG1-7'!$AD$5:$IM$5),15),""))</f>
        <v/>
      </c>
      <c r="E3656">
        <f>IF(D3656="","",INDEX('KG1-7'!$AD11:$IM11,MATCH(D3656,'KG1-7'!$AD$5:$IM$5,0)))</f>
        <v/>
      </c>
      <c r="F3656">
        <f>IF(D3656="","",COUNTIFS('KG1-7'!$AD11:$IM11,"غياب بدون عذر",'KG1-7'!$AD$7:$IM$7,"✓",'KG1-7'!$AD$5:$IM$5,"&lt;="&amp;D3656))</f>
        <v/>
      </c>
      <c r="G3656">
        <f>G3655+IF(D3656="",0,1)</f>
        <v/>
      </c>
    </row>
    <row r="3657">
      <c r="A3657">
        <f>IF('KG1-7'!$B11="","",'KG1-7'!$B11)</f>
        <v/>
      </c>
      <c r="B3657">
        <f>IF(A3657="","",'KG1-7'!$C11)</f>
        <v/>
      </c>
      <c r="C3657">
        <f>IF(A3657="","",'KG1-7'!$B$2)</f>
        <v/>
      </c>
      <c r="D3657" s="126">
        <f t="array" ref="D3657">IF(A3657="","",IFERROR(SMALL(IF((('KG1-7'!$AD11:$IM11="غياب بدون عذر")+('KG1-7'!$AD11:$IM11="غياب بعذر"))*('KG1-7'!$AD$7:$IM$7="✓"),'KG1-7'!$AD$5:$IM$5),16),""))</f>
        <v/>
      </c>
      <c r="E3657">
        <f>IF(D3657="","",INDEX('KG1-7'!$AD11:$IM11,MATCH(D3657,'KG1-7'!$AD$5:$IM$5,0)))</f>
        <v/>
      </c>
      <c r="F3657">
        <f>IF(D3657="","",COUNTIFS('KG1-7'!$AD11:$IM11,"غياب بدون عذر",'KG1-7'!$AD$7:$IM$7,"✓",'KG1-7'!$AD$5:$IM$5,"&lt;="&amp;D3657))</f>
        <v/>
      </c>
      <c r="G3657">
        <f>G3656+IF(D3657="",0,1)</f>
        <v/>
      </c>
    </row>
    <row r="3658">
      <c r="A3658">
        <f>IF('KG1-7'!$B11="","",'KG1-7'!$B11)</f>
        <v/>
      </c>
      <c r="B3658">
        <f>IF(A3658="","",'KG1-7'!$C11)</f>
        <v/>
      </c>
      <c r="C3658">
        <f>IF(A3658="","",'KG1-7'!$B$2)</f>
        <v/>
      </c>
      <c r="D3658" s="126">
        <f t="array" ref="D3658">IF(A3658="","",IFERROR(SMALL(IF((('KG1-7'!$AD11:$IM11="غياب بدون عذر")+('KG1-7'!$AD11:$IM11="غياب بعذر"))*('KG1-7'!$AD$7:$IM$7="✓"),'KG1-7'!$AD$5:$IM$5),17),""))</f>
        <v/>
      </c>
      <c r="E3658">
        <f>IF(D3658="","",INDEX('KG1-7'!$AD11:$IM11,MATCH(D3658,'KG1-7'!$AD$5:$IM$5,0)))</f>
        <v/>
      </c>
      <c r="F3658">
        <f>IF(D3658="","",COUNTIFS('KG1-7'!$AD11:$IM11,"غياب بدون عذر",'KG1-7'!$AD$7:$IM$7,"✓",'KG1-7'!$AD$5:$IM$5,"&lt;="&amp;D3658))</f>
        <v/>
      </c>
      <c r="G3658">
        <f>G3657+IF(D3658="",0,1)</f>
        <v/>
      </c>
    </row>
    <row r="3659">
      <c r="A3659">
        <f>IF('KG1-7'!$B11="","",'KG1-7'!$B11)</f>
        <v/>
      </c>
      <c r="B3659">
        <f>IF(A3659="","",'KG1-7'!$C11)</f>
        <v/>
      </c>
      <c r="C3659">
        <f>IF(A3659="","",'KG1-7'!$B$2)</f>
        <v/>
      </c>
      <c r="D3659" s="126">
        <f t="array" ref="D3659">IF(A3659="","",IFERROR(SMALL(IF((('KG1-7'!$AD11:$IM11="غياب بدون عذر")+('KG1-7'!$AD11:$IM11="غياب بعذر"))*('KG1-7'!$AD$7:$IM$7="✓"),'KG1-7'!$AD$5:$IM$5),18),""))</f>
        <v/>
      </c>
      <c r="E3659">
        <f>IF(D3659="","",INDEX('KG1-7'!$AD11:$IM11,MATCH(D3659,'KG1-7'!$AD$5:$IM$5,0)))</f>
        <v/>
      </c>
      <c r="F3659">
        <f>IF(D3659="","",COUNTIFS('KG1-7'!$AD11:$IM11,"غياب بدون عذر",'KG1-7'!$AD$7:$IM$7,"✓",'KG1-7'!$AD$5:$IM$5,"&lt;="&amp;D3659))</f>
        <v/>
      </c>
      <c r="G3659">
        <f>G3658+IF(D3659="",0,1)</f>
        <v/>
      </c>
    </row>
    <row r="3660">
      <c r="A3660">
        <f>IF('KG1-7'!$B11="","",'KG1-7'!$B11)</f>
        <v/>
      </c>
      <c r="B3660">
        <f>IF(A3660="","",'KG1-7'!$C11)</f>
        <v/>
      </c>
      <c r="C3660">
        <f>IF(A3660="","",'KG1-7'!$B$2)</f>
        <v/>
      </c>
      <c r="D3660" s="126">
        <f t="array" ref="D3660">IF(A3660="","",IFERROR(SMALL(IF((('KG1-7'!$AD11:$IM11="غياب بدون عذر")+('KG1-7'!$AD11:$IM11="غياب بعذر"))*('KG1-7'!$AD$7:$IM$7="✓"),'KG1-7'!$AD$5:$IM$5),19),""))</f>
        <v/>
      </c>
      <c r="E3660">
        <f>IF(D3660="","",INDEX('KG1-7'!$AD11:$IM11,MATCH(D3660,'KG1-7'!$AD$5:$IM$5,0)))</f>
        <v/>
      </c>
      <c r="F3660">
        <f>IF(D3660="","",COUNTIFS('KG1-7'!$AD11:$IM11,"غياب بدون عذر",'KG1-7'!$AD$7:$IM$7,"✓",'KG1-7'!$AD$5:$IM$5,"&lt;="&amp;D3660))</f>
        <v/>
      </c>
      <c r="G3660">
        <f>G3659+IF(D3660="",0,1)</f>
        <v/>
      </c>
    </row>
    <row r="3661">
      <c r="A3661">
        <f>IF('KG1-7'!$B11="","",'KG1-7'!$B11)</f>
        <v/>
      </c>
      <c r="B3661">
        <f>IF(A3661="","",'KG1-7'!$C11)</f>
        <v/>
      </c>
      <c r="C3661">
        <f>IF(A3661="","",'KG1-7'!$B$2)</f>
        <v/>
      </c>
      <c r="D3661" s="126">
        <f t="array" ref="D3661">IF(A3661="","",IFERROR(SMALL(IF((('KG1-7'!$AD11:$IM11="غياب بدون عذر")+('KG1-7'!$AD11:$IM11="غياب بعذر"))*('KG1-7'!$AD$7:$IM$7="✓"),'KG1-7'!$AD$5:$IM$5),20),""))</f>
        <v/>
      </c>
      <c r="E3661">
        <f>IF(D3661="","",INDEX('KG1-7'!$AD11:$IM11,MATCH(D3661,'KG1-7'!$AD$5:$IM$5,0)))</f>
        <v/>
      </c>
      <c r="F3661">
        <f>IF(D3661="","",COUNTIFS('KG1-7'!$AD11:$IM11,"غياب بدون عذر",'KG1-7'!$AD$7:$IM$7,"✓",'KG1-7'!$AD$5:$IM$5,"&lt;="&amp;D3661))</f>
        <v/>
      </c>
      <c r="G3661">
        <f>G3660+IF(D3661="",0,1)</f>
        <v/>
      </c>
    </row>
    <row r="3662">
      <c r="A3662">
        <f>IF('KG1-7'!$B12="","",'KG1-7'!$B12)</f>
        <v/>
      </c>
      <c r="B3662">
        <f>IF(A3662="","",'KG1-7'!$C12)</f>
        <v/>
      </c>
      <c r="C3662">
        <f>IF(A3662="","",'KG1-7'!$B$2)</f>
        <v/>
      </c>
      <c r="D3662" s="126">
        <f t="array" ref="D3662">IF(A3662="","",IFERROR(SMALL(IF((('KG1-7'!$AD12:$IM12="غياب بدون عذر")+('KG1-7'!$AD12:$IM12="غياب بعذر"))*('KG1-7'!$AD$7:$IM$7="✓"),'KG1-7'!$AD$5:$IM$5),1),""))</f>
        <v/>
      </c>
      <c r="E3662">
        <f>IF(D3662="","",INDEX('KG1-7'!$AD12:$IM12,MATCH(D3662,'KG1-7'!$AD$5:$IM$5,0)))</f>
        <v/>
      </c>
      <c r="F3662">
        <f>IF(D3662="","",COUNTIFS('KG1-7'!$AD12:$IM12,"غياب بدون عذر",'KG1-7'!$AD$7:$IM$7,"✓",'KG1-7'!$AD$5:$IM$5,"&lt;="&amp;D3662))</f>
        <v/>
      </c>
      <c r="G3662">
        <f>G3661+IF(D3662="",0,1)</f>
        <v/>
      </c>
    </row>
    <row r="3663">
      <c r="A3663">
        <f>IF('KG1-7'!$B12="","",'KG1-7'!$B12)</f>
        <v/>
      </c>
      <c r="B3663">
        <f>IF(A3663="","",'KG1-7'!$C12)</f>
        <v/>
      </c>
      <c r="C3663">
        <f>IF(A3663="","",'KG1-7'!$B$2)</f>
        <v/>
      </c>
      <c r="D3663" s="126">
        <f t="array" ref="D3663">IF(A3663="","",IFERROR(SMALL(IF((('KG1-7'!$AD12:$IM12="غياب بدون عذر")+('KG1-7'!$AD12:$IM12="غياب بعذر"))*('KG1-7'!$AD$7:$IM$7="✓"),'KG1-7'!$AD$5:$IM$5),2),""))</f>
        <v/>
      </c>
      <c r="E3663">
        <f>IF(D3663="","",INDEX('KG1-7'!$AD12:$IM12,MATCH(D3663,'KG1-7'!$AD$5:$IM$5,0)))</f>
        <v/>
      </c>
      <c r="F3663">
        <f>IF(D3663="","",COUNTIFS('KG1-7'!$AD12:$IM12,"غياب بدون عذر",'KG1-7'!$AD$7:$IM$7,"✓",'KG1-7'!$AD$5:$IM$5,"&lt;="&amp;D3663))</f>
        <v/>
      </c>
      <c r="G3663">
        <f>G3662+IF(D3663="",0,1)</f>
        <v/>
      </c>
    </row>
    <row r="3664">
      <c r="A3664">
        <f>IF('KG1-7'!$B12="","",'KG1-7'!$B12)</f>
        <v/>
      </c>
      <c r="B3664">
        <f>IF(A3664="","",'KG1-7'!$C12)</f>
        <v/>
      </c>
      <c r="C3664">
        <f>IF(A3664="","",'KG1-7'!$B$2)</f>
        <v/>
      </c>
      <c r="D3664" s="126">
        <f t="array" ref="D3664">IF(A3664="","",IFERROR(SMALL(IF((('KG1-7'!$AD12:$IM12="غياب بدون عذر")+('KG1-7'!$AD12:$IM12="غياب بعذر"))*('KG1-7'!$AD$7:$IM$7="✓"),'KG1-7'!$AD$5:$IM$5),3),""))</f>
        <v/>
      </c>
      <c r="E3664">
        <f>IF(D3664="","",INDEX('KG1-7'!$AD12:$IM12,MATCH(D3664,'KG1-7'!$AD$5:$IM$5,0)))</f>
        <v/>
      </c>
      <c r="F3664">
        <f>IF(D3664="","",COUNTIFS('KG1-7'!$AD12:$IM12,"غياب بدون عذر",'KG1-7'!$AD$7:$IM$7,"✓",'KG1-7'!$AD$5:$IM$5,"&lt;="&amp;D3664))</f>
        <v/>
      </c>
      <c r="G3664">
        <f>G3663+IF(D3664="",0,1)</f>
        <v/>
      </c>
    </row>
    <row r="3665">
      <c r="A3665">
        <f>IF('KG1-7'!$B12="","",'KG1-7'!$B12)</f>
        <v/>
      </c>
      <c r="B3665">
        <f>IF(A3665="","",'KG1-7'!$C12)</f>
        <v/>
      </c>
      <c r="C3665">
        <f>IF(A3665="","",'KG1-7'!$B$2)</f>
        <v/>
      </c>
      <c r="D3665" s="126">
        <f t="array" ref="D3665">IF(A3665="","",IFERROR(SMALL(IF((('KG1-7'!$AD12:$IM12="غياب بدون عذر")+('KG1-7'!$AD12:$IM12="غياب بعذر"))*('KG1-7'!$AD$7:$IM$7="✓"),'KG1-7'!$AD$5:$IM$5),4),""))</f>
        <v/>
      </c>
      <c r="E3665">
        <f>IF(D3665="","",INDEX('KG1-7'!$AD12:$IM12,MATCH(D3665,'KG1-7'!$AD$5:$IM$5,0)))</f>
        <v/>
      </c>
      <c r="F3665">
        <f>IF(D3665="","",COUNTIFS('KG1-7'!$AD12:$IM12,"غياب بدون عذر",'KG1-7'!$AD$7:$IM$7,"✓",'KG1-7'!$AD$5:$IM$5,"&lt;="&amp;D3665))</f>
        <v/>
      </c>
      <c r="G3665">
        <f>G3664+IF(D3665="",0,1)</f>
        <v/>
      </c>
    </row>
    <row r="3666">
      <c r="A3666">
        <f>IF('KG1-7'!$B12="","",'KG1-7'!$B12)</f>
        <v/>
      </c>
      <c r="B3666">
        <f>IF(A3666="","",'KG1-7'!$C12)</f>
        <v/>
      </c>
      <c r="C3666">
        <f>IF(A3666="","",'KG1-7'!$B$2)</f>
        <v/>
      </c>
      <c r="D3666" s="126">
        <f t="array" ref="D3666">IF(A3666="","",IFERROR(SMALL(IF((('KG1-7'!$AD12:$IM12="غياب بدون عذر")+('KG1-7'!$AD12:$IM12="غياب بعذر"))*('KG1-7'!$AD$7:$IM$7="✓"),'KG1-7'!$AD$5:$IM$5),5),""))</f>
        <v/>
      </c>
      <c r="E3666">
        <f>IF(D3666="","",INDEX('KG1-7'!$AD12:$IM12,MATCH(D3666,'KG1-7'!$AD$5:$IM$5,0)))</f>
        <v/>
      </c>
      <c r="F3666">
        <f>IF(D3666="","",COUNTIFS('KG1-7'!$AD12:$IM12,"غياب بدون عذر",'KG1-7'!$AD$7:$IM$7,"✓",'KG1-7'!$AD$5:$IM$5,"&lt;="&amp;D3666))</f>
        <v/>
      </c>
      <c r="G3666">
        <f>G3665+IF(D3666="",0,1)</f>
        <v/>
      </c>
    </row>
    <row r="3667">
      <c r="A3667">
        <f>IF('KG1-7'!$B12="","",'KG1-7'!$B12)</f>
        <v/>
      </c>
      <c r="B3667">
        <f>IF(A3667="","",'KG1-7'!$C12)</f>
        <v/>
      </c>
      <c r="C3667">
        <f>IF(A3667="","",'KG1-7'!$B$2)</f>
        <v/>
      </c>
      <c r="D3667" s="126">
        <f t="array" ref="D3667">IF(A3667="","",IFERROR(SMALL(IF((('KG1-7'!$AD12:$IM12="غياب بدون عذر")+('KG1-7'!$AD12:$IM12="غياب بعذر"))*('KG1-7'!$AD$7:$IM$7="✓"),'KG1-7'!$AD$5:$IM$5),6),""))</f>
        <v/>
      </c>
      <c r="E3667">
        <f>IF(D3667="","",INDEX('KG1-7'!$AD12:$IM12,MATCH(D3667,'KG1-7'!$AD$5:$IM$5,0)))</f>
        <v/>
      </c>
      <c r="F3667">
        <f>IF(D3667="","",COUNTIFS('KG1-7'!$AD12:$IM12,"غياب بدون عذر",'KG1-7'!$AD$7:$IM$7,"✓",'KG1-7'!$AD$5:$IM$5,"&lt;="&amp;D3667))</f>
        <v/>
      </c>
      <c r="G3667">
        <f>G3666+IF(D3667="",0,1)</f>
        <v/>
      </c>
    </row>
    <row r="3668">
      <c r="A3668">
        <f>IF('KG1-7'!$B12="","",'KG1-7'!$B12)</f>
        <v/>
      </c>
      <c r="B3668">
        <f>IF(A3668="","",'KG1-7'!$C12)</f>
        <v/>
      </c>
      <c r="C3668">
        <f>IF(A3668="","",'KG1-7'!$B$2)</f>
        <v/>
      </c>
      <c r="D3668" s="126">
        <f t="array" ref="D3668">IF(A3668="","",IFERROR(SMALL(IF((('KG1-7'!$AD12:$IM12="غياب بدون عذر")+('KG1-7'!$AD12:$IM12="غياب بعذر"))*('KG1-7'!$AD$7:$IM$7="✓"),'KG1-7'!$AD$5:$IM$5),7),""))</f>
        <v/>
      </c>
      <c r="E3668">
        <f>IF(D3668="","",INDEX('KG1-7'!$AD12:$IM12,MATCH(D3668,'KG1-7'!$AD$5:$IM$5,0)))</f>
        <v/>
      </c>
      <c r="F3668">
        <f>IF(D3668="","",COUNTIFS('KG1-7'!$AD12:$IM12,"غياب بدون عذر",'KG1-7'!$AD$7:$IM$7,"✓",'KG1-7'!$AD$5:$IM$5,"&lt;="&amp;D3668))</f>
        <v/>
      </c>
      <c r="G3668">
        <f>G3667+IF(D3668="",0,1)</f>
        <v/>
      </c>
    </row>
    <row r="3669">
      <c r="A3669">
        <f>IF('KG1-7'!$B12="","",'KG1-7'!$B12)</f>
        <v/>
      </c>
      <c r="B3669">
        <f>IF(A3669="","",'KG1-7'!$C12)</f>
        <v/>
      </c>
      <c r="C3669">
        <f>IF(A3669="","",'KG1-7'!$B$2)</f>
        <v/>
      </c>
      <c r="D3669" s="126">
        <f t="array" ref="D3669">IF(A3669="","",IFERROR(SMALL(IF((('KG1-7'!$AD12:$IM12="غياب بدون عذر")+('KG1-7'!$AD12:$IM12="غياب بعذر"))*('KG1-7'!$AD$7:$IM$7="✓"),'KG1-7'!$AD$5:$IM$5),8),""))</f>
        <v/>
      </c>
      <c r="E3669">
        <f>IF(D3669="","",INDEX('KG1-7'!$AD12:$IM12,MATCH(D3669,'KG1-7'!$AD$5:$IM$5,0)))</f>
        <v/>
      </c>
      <c r="F3669">
        <f>IF(D3669="","",COUNTIFS('KG1-7'!$AD12:$IM12,"غياب بدون عذر",'KG1-7'!$AD$7:$IM$7,"✓",'KG1-7'!$AD$5:$IM$5,"&lt;="&amp;D3669))</f>
        <v/>
      </c>
      <c r="G3669">
        <f>G3668+IF(D3669="",0,1)</f>
        <v/>
      </c>
    </row>
    <row r="3670">
      <c r="A3670">
        <f>IF('KG1-7'!$B12="","",'KG1-7'!$B12)</f>
        <v/>
      </c>
      <c r="B3670">
        <f>IF(A3670="","",'KG1-7'!$C12)</f>
        <v/>
      </c>
      <c r="C3670">
        <f>IF(A3670="","",'KG1-7'!$B$2)</f>
        <v/>
      </c>
      <c r="D3670" s="126">
        <f t="array" ref="D3670">IF(A3670="","",IFERROR(SMALL(IF((('KG1-7'!$AD12:$IM12="غياب بدون عذر")+('KG1-7'!$AD12:$IM12="غياب بعذر"))*('KG1-7'!$AD$7:$IM$7="✓"),'KG1-7'!$AD$5:$IM$5),9),""))</f>
        <v/>
      </c>
      <c r="E3670">
        <f>IF(D3670="","",INDEX('KG1-7'!$AD12:$IM12,MATCH(D3670,'KG1-7'!$AD$5:$IM$5,0)))</f>
        <v/>
      </c>
      <c r="F3670">
        <f>IF(D3670="","",COUNTIFS('KG1-7'!$AD12:$IM12,"غياب بدون عذر",'KG1-7'!$AD$7:$IM$7,"✓",'KG1-7'!$AD$5:$IM$5,"&lt;="&amp;D3670))</f>
        <v/>
      </c>
      <c r="G3670">
        <f>G3669+IF(D3670="",0,1)</f>
        <v/>
      </c>
    </row>
    <row r="3671">
      <c r="A3671">
        <f>IF('KG1-7'!$B12="","",'KG1-7'!$B12)</f>
        <v/>
      </c>
      <c r="B3671">
        <f>IF(A3671="","",'KG1-7'!$C12)</f>
        <v/>
      </c>
      <c r="C3671">
        <f>IF(A3671="","",'KG1-7'!$B$2)</f>
        <v/>
      </c>
      <c r="D3671" s="126">
        <f t="array" ref="D3671">IF(A3671="","",IFERROR(SMALL(IF((('KG1-7'!$AD12:$IM12="غياب بدون عذر")+('KG1-7'!$AD12:$IM12="غياب بعذر"))*('KG1-7'!$AD$7:$IM$7="✓"),'KG1-7'!$AD$5:$IM$5),10),""))</f>
        <v/>
      </c>
      <c r="E3671">
        <f>IF(D3671="","",INDEX('KG1-7'!$AD12:$IM12,MATCH(D3671,'KG1-7'!$AD$5:$IM$5,0)))</f>
        <v/>
      </c>
      <c r="F3671">
        <f>IF(D3671="","",COUNTIFS('KG1-7'!$AD12:$IM12,"غياب بدون عذر",'KG1-7'!$AD$7:$IM$7,"✓",'KG1-7'!$AD$5:$IM$5,"&lt;="&amp;D3671))</f>
        <v/>
      </c>
      <c r="G3671">
        <f>G3670+IF(D3671="",0,1)</f>
        <v/>
      </c>
    </row>
    <row r="3672">
      <c r="A3672">
        <f>IF('KG1-7'!$B12="","",'KG1-7'!$B12)</f>
        <v/>
      </c>
      <c r="B3672">
        <f>IF(A3672="","",'KG1-7'!$C12)</f>
        <v/>
      </c>
      <c r="C3672">
        <f>IF(A3672="","",'KG1-7'!$B$2)</f>
        <v/>
      </c>
      <c r="D3672" s="126">
        <f t="array" ref="D3672">IF(A3672="","",IFERROR(SMALL(IF((('KG1-7'!$AD12:$IM12="غياب بدون عذر")+('KG1-7'!$AD12:$IM12="غياب بعذر"))*('KG1-7'!$AD$7:$IM$7="✓"),'KG1-7'!$AD$5:$IM$5),11),""))</f>
        <v/>
      </c>
      <c r="E3672">
        <f>IF(D3672="","",INDEX('KG1-7'!$AD12:$IM12,MATCH(D3672,'KG1-7'!$AD$5:$IM$5,0)))</f>
        <v/>
      </c>
      <c r="F3672">
        <f>IF(D3672="","",COUNTIFS('KG1-7'!$AD12:$IM12,"غياب بدون عذر",'KG1-7'!$AD$7:$IM$7,"✓",'KG1-7'!$AD$5:$IM$5,"&lt;="&amp;D3672))</f>
        <v/>
      </c>
      <c r="G3672">
        <f>G3671+IF(D3672="",0,1)</f>
        <v/>
      </c>
    </row>
    <row r="3673">
      <c r="A3673">
        <f>IF('KG1-7'!$B12="","",'KG1-7'!$B12)</f>
        <v/>
      </c>
      <c r="B3673">
        <f>IF(A3673="","",'KG1-7'!$C12)</f>
        <v/>
      </c>
      <c r="C3673">
        <f>IF(A3673="","",'KG1-7'!$B$2)</f>
        <v/>
      </c>
      <c r="D3673" s="126">
        <f t="array" ref="D3673">IF(A3673="","",IFERROR(SMALL(IF((('KG1-7'!$AD12:$IM12="غياب بدون عذر")+('KG1-7'!$AD12:$IM12="غياب بعذر"))*('KG1-7'!$AD$7:$IM$7="✓"),'KG1-7'!$AD$5:$IM$5),12),""))</f>
        <v/>
      </c>
      <c r="E3673">
        <f>IF(D3673="","",INDEX('KG1-7'!$AD12:$IM12,MATCH(D3673,'KG1-7'!$AD$5:$IM$5,0)))</f>
        <v/>
      </c>
      <c r="F3673">
        <f>IF(D3673="","",COUNTIFS('KG1-7'!$AD12:$IM12,"غياب بدون عذر",'KG1-7'!$AD$7:$IM$7,"✓",'KG1-7'!$AD$5:$IM$5,"&lt;="&amp;D3673))</f>
        <v/>
      </c>
      <c r="G3673">
        <f>G3672+IF(D3673="",0,1)</f>
        <v/>
      </c>
    </row>
    <row r="3674">
      <c r="A3674">
        <f>IF('KG1-7'!$B12="","",'KG1-7'!$B12)</f>
        <v/>
      </c>
      <c r="B3674">
        <f>IF(A3674="","",'KG1-7'!$C12)</f>
        <v/>
      </c>
      <c r="C3674">
        <f>IF(A3674="","",'KG1-7'!$B$2)</f>
        <v/>
      </c>
      <c r="D3674" s="126">
        <f t="array" ref="D3674">IF(A3674="","",IFERROR(SMALL(IF((('KG1-7'!$AD12:$IM12="غياب بدون عذر")+('KG1-7'!$AD12:$IM12="غياب بعذر"))*('KG1-7'!$AD$7:$IM$7="✓"),'KG1-7'!$AD$5:$IM$5),13),""))</f>
        <v/>
      </c>
      <c r="E3674">
        <f>IF(D3674="","",INDEX('KG1-7'!$AD12:$IM12,MATCH(D3674,'KG1-7'!$AD$5:$IM$5,0)))</f>
        <v/>
      </c>
      <c r="F3674">
        <f>IF(D3674="","",COUNTIFS('KG1-7'!$AD12:$IM12,"غياب بدون عذر",'KG1-7'!$AD$7:$IM$7,"✓",'KG1-7'!$AD$5:$IM$5,"&lt;="&amp;D3674))</f>
        <v/>
      </c>
      <c r="G3674">
        <f>G3673+IF(D3674="",0,1)</f>
        <v/>
      </c>
    </row>
    <row r="3675">
      <c r="A3675">
        <f>IF('KG1-7'!$B12="","",'KG1-7'!$B12)</f>
        <v/>
      </c>
      <c r="B3675">
        <f>IF(A3675="","",'KG1-7'!$C12)</f>
        <v/>
      </c>
      <c r="C3675">
        <f>IF(A3675="","",'KG1-7'!$B$2)</f>
        <v/>
      </c>
      <c r="D3675" s="126">
        <f t="array" ref="D3675">IF(A3675="","",IFERROR(SMALL(IF((('KG1-7'!$AD12:$IM12="غياب بدون عذر")+('KG1-7'!$AD12:$IM12="غياب بعذر"))*('KG1-7'!$AD$7:$IM$7="✓"),'KG1-7'!$AD$5:$IM$5),14),""))</f>
        <v/>
      </c>
      <c r="E3675">
        <f>IF(D3675="","",INDEX('KG1-7'!$AD12:$IM12,MATCH(D3675,'KG1-7'!$AD$5:$IM$5,0)))</f>
        <v/>
      </c>
      <c r="F3675">
        <f>IF(D3675="","",COUNTIFS('KG1-7'!$AD12:$IM12,"غياب بدون عذر",'KG1-7'!$AD$7:$IM$7,"✓",'KG1-7'!$AD$5:$IM$5,"&lt;="&amp;D3675))</f>
        <v/>
      </c>
      <c r="G3675">
        <f>G3674+IF(D3675="",0,1)</f>
        <v/>
      </c>
    </row>
    <row r="3676">
      <c r="A3676">
        <f>IF('KG1-7'!$B12="","",'KG1-7'!$B12)</f>
        <v/>
      </c>
      <c r="B3676">
        <f>IF(A3676="","",'KG1-7'!$C12)</f>
        <v/>
      </c>
      <c r="C3676">
        <f>IF(A3676="","",'KG1-7'!$B$2)</f>
        <v/>
      </c>
      <c r="D3676" s="126">
        <f t="array" ref="D3676">IF(A3676="","",IFERROR(SMALL(IF((('KG1-7'!$AD12:$IM12="غياب بدون عذر")+('KG1-7'!$AD12:$IM12="غياب بعذر"))*('KG1-7'!$AD$7:$IM$7="✓"),'KG1-7'!$AD$5:$IM$5),15),""))</f>
        <v/>
      </c>
      <c r="E3676">
        <f>IF(D3676="","",INDEX('KG1-7'!$AD12:$IM12,MATCH(D3676,'KG1-7'!$AD$5:$IM$5,0)))</f>
        <v/>
      </c>
      <c r="F3676">
        <f>IF(D3676="","",COUNTIFS('KG1-7'!$AD12:$IM12,"غياب بدون عذر",'KG1-7'!$AD$7:$IM$7,"✓",'KG1-7'!$AD$5:$IM$5,"&lt;="&amp;D3676))</f>
        <v/>
      </c>
      <c r="G3676">
        <f>G3675+IF(D3676="",0,1)</f>
        <v/>
      </c>
    </row>
    <row r="3677">
      <c r="A3677">
        <f>IF('KG1-7'!$B12="","",'KG1-7'!$B12)</f>
        <v/>
      </c>
      <c r="B3677">
        <f>IF(A3677="","",'KG1-7'!$C12)</f>
        <v/>
      </c>
      <c r="C3677">
        <f>IF(A3677="","",'KG1-7'!$B$2)</f>
        <v/>
      </c>
      <c r="D3677" s="126">
        <f t="array" ref="D3677">IF(A3677="","",IFERROR(SMALL(IF((('KG1-7'!$AD12:$IM12="غياب بدون عذر")+('KG1-7'!$AD12:$IM12="غياب بعذر"))*('KG1-7'!$AD$7:$IM$7="✓"),'KG1-7'!$AD$5:$IM$5),16),""))</f>
        <v/>
      </c>
      <c r="E3677">
        <f>IF(D3677="","",INDEX('KG1-7'!$AD12:$IM12,MATCH(D3677,'KG1-7'!$AD$5:$IM$5,0)))</f>
        <v/>
      </c>
      <c r="F3677">
        <f>IF(D3677="","",COUNTIFS('KG1-7'!$AD12:$IM12,"غياب بدون عذر",'KG1-7'!$AD$7:$IM$7,"✓",'KG1-7'!$AD$5:$IM$5,"&lt;="&amp;D3677))</f>
        <v/>
      </c>
      <c r="G3677">
        <f>G3676+IF(D3677="",0,1)</f>
        <v/>
      </c>
    </row>
    <row r="3678">
      <c r="A3678">
        <f>IF('KG1-7'!$B12="","",'KG1-7'!$B12)</f>
        <v/>
      </c>
      <c r="B3678">
        <f>IF(A3678="","",'KG1-7'!$C12)</f>
        <v/>
      </c>
      <c r="C3678">
        <f>IF(A3678="","",'KG1-7'!$B$2)</f>
        <v/>
      </c>
      <c r="D3678" s="126">
        <f t="array" ref="D3678">IF(A3678="","",IFERROR(SMALL(IF((('KG1-7'!$AD12:$IM12="غياب بدون عذر")+('KG1-7'!$AD12:$IM12="غياب بعذر"))*('KG1-7'!$AD$7:$IM$7="✓"),'KG1-7'!$AD$5:$IM$5),17),""))</f>
        <v/>
      </c>
      <c r="E3678">
        <f>IF(D3678="","",INDEX('KG1-7'!$AD12:$IM12,MATCH(D3678,'KG1-7'!$AD$5:$IM$5,0)))</f>
        <v/>
      </c>
      <c r="F3678">
        <f>IF(D3678="","",COUNTIFS('KG1-7'!$AD12:$IM12,"غياب بدون عذر",'KG1-7'!$AD$7:$IM$7,"✓",'KG1-7'!$AD$5:$IM$5,"&lt;="&amp;D3678))</f>
        <v/>
      </c>
      <c r="G3678">
        <f>G3677+IF(D3678="",0,1)</f>
        <v/>
      </c>
    </row>
    <row r="3679">
      <c r="A3679">
        <f>IF('KG1-7'!$B12="","",'KG1-7'!$B12)</f>
        <v/>
      </c>
      <c r="B3679">
        <f>IF(A3679="","",'KG1-7'!$C12)</f>
        <v/>
      </c>
      <c r="C3679">
        <f>IF(A3679="","",'KG1-7'!$B$2)</f>
        <v/>
      </c>
      <c r="D3679" s="126">
        <f t="array" ref="D3679">IF(A3679="","",IFERROR(SMALL(IF((('KG1-7'!$AD12:$IM12="غياب بدون عذر")+('KG1-7'!$AD12:$IM12="غياب بعذر"))*('KG1-7'!$AD$7:$IM$7="✓"),'KG1-7'!$AD$5:$IM$5),18),""))</f>
        <v/>
      </c>
      <c r="E3679">
        <f>IF(D3679="","",INDEX('KG1-7'!$AD12:$IM12,MATCH(D3679,'KG1-7'!$AD$5:$IM$5,0)))</f>
        <v/>
      </c>
      <c r="F3679">
        <f>IF(D3679="","",COUNTIFS('KG1-7'!$AD12:$IM12,"غياب بدون عذر",'KG1-7'!$AD$7:$IM$7,"✓",'KG1-7'!$AD$5:$IM$5,"&lt;="&amp;D3679))</f>
        <v/>
      </c>
      <c r="G3679">
        <f>G3678+IF(D3679="",0,1)</f>
        <v/>
      </c>
    </row>
    <row r="3680">
      <c r="A3680">
        <f>IF('KG1-7'!$B12="","",'KG1-7'!$B12)</f>
        <v/>
      </c>
      <c r="B3680">
        <f>IF(A3680="","",'KG1-7'!$C12)</f>
        <v/>
      </c>
      <c r="C3680">
        <f>IF(A3680="","",'KG1-7'!$B$2)</f>
        <v/>
      </c>
      <c r="D3680" s="126">
        <f t="array" ref="D3680">IF(A3680="","",IFERROR(SMALL(IF((('KG1-7'!$AD12:$IM12="غياب بدون عذر")+('KG1-7'!$AD12:$IM12="غياب بعذر"))*('KG1-7'!$AD$7:$IM$7="✓"),'KG1-7'!$AD$5:$IM$5),19),""))</f>
        <v/>
      </c>
      <c r="E3680">
        <f>IF(D3680="","",INDEX('KG1-7'!$AD12:$IM12,MATCH(D3680,'KG1-7'!$AD$5:$IM$5,0)))</f>
        <v/>
      </c>
      <c r="F3680">
        <f>IF(D3680="","",COUNTIFS('KG1-7'!$AD12:$IM12,"غياب بدون عذر",'KG1-7'!$AD$7:$IM$7,"✓",'KG1-7'!$AD$5:$IM$5,"&lt;="&amp;D3680))</f>
        <v/>
      </c>
      <c r="G3680">
        <f>G3679+IF(D3680="",0,1)</f>
        <v/>
      </c>
    </row>
    <row r="3681">
      <c r="A3681">
        <f>IF('KG1-7'!$B12="","",'KG1-7'!$B12)</f>
        <v/>
      </c>
      <c r="B3681">
        <f>IF(A3681="","",'KG1-7'!$C12)</f>
        <v/>
      </c>
      <c r="C3681">
        <f>IF(A3681="","",'KG1-7'!$B$2)</f>
        <v/>
      </c>
      <c r="D3681" s="126">
        <f t="array" ref="D3681">IF(A3681="","",IFERROR(SMALL(IF((('KG1-7'!$AD12:$IM12="غياب بدون عذر")+('KG1-7'!$AD12:$IM12="غياب بعذر"))*('KG1-7'!$AD$7:$IM$7="✓"),'KG1-7'!$AD$5:$IM$5),20),""))</f>
        <v/>
      </c>
      <c r="E3681">
        <f>IF(D3681="","",INDEX('KG1-7'!$AD12:$IM12,MATCH(D3681,'KG1-7'!$AD$5:$IM$5,0)))</f>
        <v/>
      </c>
      <c r="F3681">
        <f>IF(D3681="","",COUNTIFS('KG1-7'!$AD12:$IM12,"غياب بدون عذر",'KG1-7'!$AD$7:$IM$7,"✓",'KG1-7'!$AD$5:$IM$5,"&lt;="&amp;D3681))</f>
        <v/>
      </c>
      <c r="G3681">
        <f>G3680+IF(D3681="",0,1)</f>
        <v/>
      </c>
    </row>
    <row r="3682">
      <c r="A3682">
        <f>IF('KG1-7'!$B13="","",'KG1-7'!$B13)</f>
        <v/>
      </c>
      <c r="B3682">
        <f>IF(A3682="","",'KG1-7'!$C13)</f>
        <v/>
      </c>
      <c r="C3682">
        <f>IF(A3682="","",'KG1-7'!$B$2)</f>
        <v/>
      </c>
      <c r="D3682" s="126">
        <f t="array" ref="D3682">IF(A3682="","",IFERROR(SMALL(IF((('KG1-7'!$AD13:$IM13="غياب بدون عذر")+('KG1-7'!$AD13:$IM13="غياب بعذر"))*('KG1-7'!$AD$7:$IM$7="✓"),'KG1-7'!$AD$5:$IM$5),1),""))</f>
        <v/>
      </c>
      <c r="E3682">
        <f>IF(D3682="","",INDEX('KG1-7'!$AD13:$IM13,MATCH(D3682,'KG1-7'!$AD$5:$IM$5,0)))</f>
        <v/>
      </c>
      <c r="F3682">
        <f>IF(D3682="","",COUNTIFS('KG1-7'!$AD13:$IM13,"غياب بدون عذر",'KG1-7'!$AD$7:$IM$7,"✓",'KG1-7'!$AD$5:$IM$5,"&lt;="&amp;D3682))</f>
        <v/>
      </c>
      <c r="G3682">
        <f>G3681+IF(D3682="",0,1)</f>
        <v/>
      </c>
    </row>
    <row r="3683">
      <c r="A3683">
        <f>IF('KG1-7'!$B13="","",'KG1-7'!$B13)</f>
        <v/>
      </c>
      <c r="B3683">
        <f>IF(A3683="","",'KG1-7'!$C13)</f>
        <v/>
      </c>
      <c r="C3683">
        <f>IF(A3683="","",'KG1-7'!$B$2)</f>
        <v/>
      </c>
      <c r="D3683" s="126">
        <f t="array" ref="D3683">IF(A3683="","",IFERROR(SMALL(IF((('KG1-7'!$AD13:$IM13="غياب بدون عذر")+('KG1-7'!$AD13:$IM13="غياب بعذر"))*('KG1-7'!$AD$7:$IM$7="✓"),'KG1-7'!$AD$5:$IM$5),2),""))</f>
        <v/>
      </c>
      <c r="E3683">
        <f>IF(D3683="","",INDEX('KG1-7'!$AD13:$IM13,MATCH(D3683,'KG1-7'!$AD$5:$IM$5,0)))</f>
        <v/>
      </c>
      <c r="F3683">
        <f>IF(D3683="","",COUNTIFS('KG1-7'!$AD13:$IM13,"غياب بدون عذر",'KG1-7'!$AD$7:$IM$7,"✓",'KG1-7'!$AD$5:$IM$5,"&lt;="&amp;D3683))</f>
        <v/>
      </c>
      <c r="G3683">
        <f>G3682+IF(D3683="",0,1)</f>
        <v/>
      </c>
    </row>
    <row r="3684">
      <c r="A3684">
        <f>IF('KG1-7'!$B13="","",'KG1-7'!$B13)</f>
        <v/>
      </c>
      <c r="B3684">
        <f>IF(A3684="","",'KG1-7'!$C13)</f>
        <v/>
      </c>
      <c r="C3684">
        <f>IF(A3684="","",'KG1-7'!$B$2)</f>
        <v/>
      </c>
      <c r="D3684" s="126">
        <f t="array" ref="D3684">IF(A3684="","",IFERROR(SMALL(IF((('KG1-7'!$AD13:$IM13="غياب بدون عذر")+('KG1-7'!$AD13:$IM13="غياب بعذر"))*('KG1-7'!$AD$7:$IM$7="✓"),'KG1-7'!$AD$5:$IM$5),3),""))</f>
        <v/>
      </c>
      <c r="E3684">
        <f>IF(D3684="","",INDEX('KG1-7'!$AD13:$IM13,MATCH(D3684,'KG1-7'!$AD$5:$IM$5,0)))</f>
        <v/>
      </c>
      <c r="F3684">
        <f>IF(D3684="","",COUNTIFS('KG1-7'!$AD13:$IM13,"غياب بدون عذر",'KG1-7'!$AD$7:$IM$7,"✓",'KG1-7'!$AD$5:$IM$5,"&lt;="&amp;D3684))</f>
        <v/>
      </c>
      <c r="G3684">
        <f>G3683+IF(D3684="",0,1)</f>
        <v/>
      </c>
    </row>
    <row r="3685">
      <c r="A3685">
        <f>IF('KG1-7'!$B13="","",'KG1-7'!$B13)</f>
        <v/>
      </c>
      <c r="B3685">
        <f>IF(A3685="","",'KG1-7'!$C13)</f>
        <v/>
      </c>
      <c r="C3685">
        <f>IF(A3685="","",'KG1-7'!$B$2)</f>
        <v/>
      </c>
      <c r="D3685" s="126">
        <f t="array" ref="D3685">IF(A3685="","",IFERROR(SMALL(IF((('KG1-7'!$AD13:$IM13="غياب بدون عذر")+('KG1-7'!$AD13:$IM13="غياب بعذر"))*('KG1-7'!$AD$7:$IM$7="✓"),'KG1-7'!$AD$5:$IM$5),4),""))</f>
        <v/>
      </c>
      <c r="E3685">
        <f>IF(D3685="","",INDEX('KG1-7'!$AD13:$IM13,MATCH(D3685,'KG1-7'!$AD$5:$IM$5,0)))</f>
        <v/>
      </c>
      <c r="F3685">
        <f>IF(D3685="","",COUNTIFS('KG1-7'!$AD13:$IM13,"غياب بدون عذر",'KG1-7'!$AD$7:$IM$7,"✓",'KG1-7'!$AD$5:$IM$5,"&lt;="&amp;D3685))</f>
        <v/>
      </c>
      <c r="G3685">
        <f>G3684+IF(D3685="",0,1)</f>
        <v/>
      </c>
    </row>
    <row r="3686">
      <c r="A3686">
        <f>IF('KG1-7'!$B13="","",'KG1-7'!$B13)</f>
        <v/>
      </c>
      <c r="B3686">
        <f>IF(A3686="","",'KG1-7'!$C13)</f>
        <v/>
      </c>
      <c r="C3686">
        <f>IF(A3686="","",'KG1-7'!$B$2)</f>
        <v/>
      </c>
      <c r="D3686" s="126">
        <f t="array" ref="D3686">IF(A3686="","",IFERROR(SMALL(IF((('KG1-7'!$AD13:$IM13="غياب بدون عذر")+('KG1-7'!$AD13:$IM13="غياب بعذر"))*('KG1-7'!$AD$7:$IM$7="✓"),'KG1-7'!$AD$5:$IM$5),5),""))</f>
        <v/>
      </c>
      <c r="E3686">
        <f>IF(D3686="","",INDEX('KG1-7'!$AD13:$IM13,MATCH(D3686,'KG1-7'!$AD$5:$IM$5,0)))</f>
        <v/>
      </c>
      <c r="F3686">
        <f>IF(D3686="","",COUNTIFS('KG1-7'!$AD13:$IM13,"غياب بدون عذر",'KG1-7'!$AD$7:$IM$7,"✓",'KG1-7'!$AD$5:$IM$5,"&lt;="&amp;D3686))</f>
        <v/>
      </c>
      <c r="G3686">
        <f>G3685+IF(D3686="",0,1)</f>
        <v/>
      </c>
    </row>
    <row r="3687">
      <c r="A3687">
        <f>IF('KG1-7'!$B13="","",'KG1-7'!$B13)</f>
        <v/>
      </c>
      <c r="B3687">
        <f>IF(A3687="","",'KG1-7'!$C13)</f>
        <v/>
      </c>
      <c r="C3687">
        <f>IF(A3687="","",'KG1-7'!$B$2)</f>
        <v/>
      </c>
      <c r="D3687" s="126">
        <f t="array" ref="D3687">IF(A3687="","",IFERROR(SMALL(IF((('KG1-7'!$AD13:$IM13="غياب بدون عذر")+('KG1-7'!$AD13:$IM13="غياب بعذر"))*('KG1-7'!$AD$7:$IM$7="✓"),'KG1-7'!$AD$5:$IM$5),6),""))</f>
        <v/>
      </c>
      <c r="E3687">
        <f>IF(D3687="","",INDEX('KG1-7'!$AD13:$IM13,MATCH(D3687,'KG1-7'!$AD$5:$IM$5,0)))</f>
        <v/>
      </c>
      <c r="F3687">
        <f>IF(D3687="","",COUNTIFS('KG1-7'!$AD13:$IM13,"غياب بدون عذر",'KG1-7'!$AD$7:$IM$7,"✓",'KG1-7'!$AD$5:$IM$5,"&lt;="&amp;D3687))</f>
        <v/>
      </c>
      <c r="G3687">
        <f>G3686+IF(D3687="",0,1)</f>
        <v/>
      </c>
    </row>
    <row r="3688">
      <c r="A3688">
        <f>IF('KG1-7'!$B13="","",'KG1-7'!$B13)</f>
        <v/>
      </c>
      <c r="B3688">
        <f>IF(A3688="","",'KG1-7'!$C13)</f>
        <v/>
      </c>
      <c r="C3688">
        <f>IF(A3688="","",'KG1-7'!$B$2)</f>
        <v/>
      </c>
      <c r="D3688" s="126">
        <f t="array" ref="D3688">IF(A3688="","",IFERROR(SMALL(IF((('KG1-7'!$AD13:$IM13="غياب بدون عذر")+('KG1-7'!$AD13:$IM13="غياب بعذر"))*('KG1-7'!$AD$7:$IM$7="✓"),'KG1-7'!$AD$5:$IM$5),7),""))</f>
        <v/>
      </c>
      <c r="E3688">
        <f>IF(D3688="","",INDEX('KG1-7'!$AD13:$IM13,MATCH(D3688,'KG1-7'!$AD$5:$IM$5,0)))</f>
        <v/>
      </c>
      <c r="F3688">
        <f>IF(D3688="","",COUNTIFS('KG1-7'!$AD13:$IM13,"غياب بدون عذر",'KG1-7'!$AD$7:$IM$7,"✓",'KG1-7'!$AD$5:$IM$5,"&lt;="&amp;D3688))</f>
        <v/>
      </c>
      <c r="G3688">
        <f>G3687+IF(D3688="",0,1)</f>
        <v/>
      </c>
    </row>
    <row r="3689">
      <c r="A3689">
        <f>IF('KG1-7'!$B13="","",'KG1-7'!$B13)</f>
        <v/>
      </c>
      <c r="B3689">
        <f>IF(A3689="","",'KG1-7'!$C13)</f>
        <v/>
      </c>
      <c r="C3689">
        <f>IF(A3689="","",'KG1-7'!$B$2)</f>
        <v/>
      </c>
      <c r="D3689" s="126">
        <f t="array" ref="D3689">IF(A3689="","",IFERROR(SMALL(IF((('KG1-7'!$AD13:$IM13="غياب بدون عذر")+('KG1-7'!$AD13:$IM13="غياب بعذر"))*('KG1-7'!$AD$7:$IM$7="✓"),'KG1-7'!$AD$5:$IM$5),8),""))</f>
        <v/>
      </c>
      <c r="E3689">
        <f>IF(D3689="","",INDEX('KG1-7'!$AD13:$IM13,MATCH(D3689,'KG1-7'!$AD$5:$IM$5,0)))</f>
        <v/>
      </c>
      <c r="F3689">
        <f>IF(D3689="","",COUNTIFS('KG1-7'!$AD13:$IM13,"غياب بدون عذر",'KG1-7'!$AD$7:$IM$7,"✓",'KG1-7'!$AD$5:$IM$5,"&lt;="&amp;D3689))</f>
        <v/>
      </c>
      <c r="G3689">
        <f>G3688+IF(D3689="",0,1)</f>
        <v/>
      </c>
    </row>
    <row r="3690">
      <c r="A3690">
        <f>IF('KG1-7'!$B13="","",'KG1-7'!$B13)</f>
        <v/>
      </c>
      <c r="B3690">
        <f>IF(A3690="","",'KG1-7'!$C13)</f>
        <v/>
      </c>
      <c r="C3690">
        <f>IF(A3690="","",'KG1-7'!$B$2)</f>
        <v/>
      </c>
      <c r="D3690" s="126">
        <f t="array" ref="D3690">IF(A3690="","",IFERROR(SMALL(IF((('KG1-7'!$AD13:$IM13="غياب بدون عذر")+('KG1-7'!$AD13:$IM13="غياب بعذر"))*('KG1-7'!$AD$7:$IM$7="✓"),'KG1-7'!$AD$5:$IM$5),9),""))</f>
        <v/>
      </c>
      <c r="E3690">
        <f>IF(D3690="","",INDEX('KG1-7'!$AD13:$IM13,MATCH(D3690,'KG1-7'!$AD$5:$IM$5,0)))</f>
        <v/>
      </c>
      <c r="F3690">
        <f>IF(D3690="","",COUNTIFS('KG1-7'!$AD13:$IM13,"غياب بدون عذر",'KG1-7'!$AD$7:$IM$7,"✓",'KG1-7'!$AD$5:$IM$5,"&lt;="&amp;D3690))</f>
        <v/>
      </c>
      <c r="G3690">
        <f>G3689+IF(D3690="",0,1)</f>
        <v/>
      </c>
    </row>
    <row r="3691">
      <c r="A3691">
        <f>IF('KG1-7'!$B13="","",'KG1-7'!$B13)</f>
        <v/>
      </c>
      <c r="B3691">
        <f>IF(A3691="","",'KG1-7'!$C13)</f>
        <v/>
      </c>
      <c r="C3691">
        <f>IF(A3691="","",'KG1-7'!$B$2)</f>
        <v/>
      </c>
      <c r="D3691" s="126">
        <f t="array" ref="D3691">IF(A3691="","",IFERROR(SMALL(IF((('KG1-7'!$AD13:$IM13="غياب بدون عذر")+('KG1-7'!$AD13:$IM13="غياب بعذر"))*('KG1-7'!$AD$7:$IM$7="✓"),'KG1-7'!$AD$5:$IM$5),10),""))</f>
        <v/>
      </c>
      <c r="E3691">
        <f>IF(D3691="","",INDEX('KG1-7'!$AD13:$IM13,MATCH(D3691,'KG1-7'!$AD$5:$IM$5,0)))</f>
        <v/>
      </c>
      <c r="F3691">
        <f>IF(D3691="","",COUNTIFS('KG1-7'!$AD13:$IM13,"غياب بدون عذر",'KG1-7'!$AD$7:$IM$7,"✓",'KG1-7'!$AD$5:$IM$5,"&lt;="&amp;D3691))</f>
        <v/>
      </c>
      <c r="G3691">
        <f>G3690+IF(D3691="",0,1)</f>
        <v/>
      </c>
    </row>
    <row r="3692">
      <c r="A3692">
        <f>IF('KG1-7'!$B13="","",'KG1-7'!$B13)</f>
        <v/>
      </c>
      <c r="B3692">
        <f>IF(A3692="","",'KG1-7'!$C13)</f>
        <v/>
      </c>
      <c r="C3692">
        <f>IF(A3692="","",'KG1-7'!$B$2)</f>
        <v/>
      </c>
      <c r="D3692" s="126">
        <f t="array" ref="D3692">IF(A3692="","",IFERROR(SMALL(IF((('KG1-7'!$AD13:$IM13="غياب بدون عذر")+('KG1-7'!$AD13:$IM13="غياب بعذر"))*('KG1-7'!$AD$7:$IM$7="✓"),'KG1-7'!$AD$5:$IM$5),11),""))</f>
        <v/>
      </c>
      <c r="E3692">
        <f>IF(D3692="","",INDEX('KG1-7'!$AD13:$IM13,MATCH(D3692,'KG1-7'!$AD$5:$IM$5,0)))</f>
        <v/>
      </c>
      <c r="F3692">
        <f>IF(D3692="","",COUNTIFS('KG1-7'!$AD13:$IM13,"غياب بدون عذر",'KG1-7'!$AD$7:$IM$7,"✓",'KG1-7'!$AD$5:$IM$5,"&lt;="&amp;D3692))</f>
        <v/>
      </c>
      <c r="G3692">
        <f>G3691+IF(D3692="",0,1)</f>
        <v/>
      </c>
    </row>
    <row r="3693">
      <c r="A3693">
        <f>IF('KG1-7'!$B13="","",'KG1-7'!$B13)</f>
        <v/>
      </c>
      <c r="B3693">
        <f>IF(A3693="","",'KG1-7'!$C13)</f>
        <v/>
      </c>
      <c r="C3693">
        <f>IF(A3693="","",'KG1-7'!$B$2)</f>
        <v/>
      </c>
      <c r="D3693" s="126">
        <f t="array" ref="D3693">IF(A3693="","",IFERROR(SMALL(IF((('KG1-7'!$AD13:$IM13="غياب بدون عذر")+('KG1-7'!$AD13:$IM13="غياب بعذر"))*('KG1-7'!$AD$7:$IM$7="✓"),'KG1-7'!$AD$5:$IM$5),12),""))</f>
        <v/>
      </c>
      <c r="E3693">
        <f>IF(D3693="","",INDEX('KG1-7'!$AD13:$IM13,MATCH(D3693,'KG1-7'!$AD$5:$IM$5,0)))</f>
        <v/>
      </c>
      <c r="F3693">
        <f>IF(D3693="","",COUNTIFS('KG1-7'!$AD13:$IM13,"غياب بدون عذر",'KG1-7'!$AD$7:$IM$7,"✓",'KG1-7'!$AD$5:$IM$5,"&lt;="&amp;D3693))</f>
        <v/>
      </c>
      <c r="G3693">
        <f>G3692+IF(D3693="",0,1)</f>
        <v/>
      </c>
    </row>
    <row r="3694">
      <c r="A3694">
        <f>IF('KG1-7'!$B13="","",'KG1-7'!$B13)</f>
        <v/>
      </c>
      <c r="B3694">
        <f>IF(A3694="","",'KG1-7'!$C13)</f>
        <v/>
      </c>
      <c r="C3694">
        <f>IF(A3694="","",'KG1-7'!$B$2)</f>
        <v/>
      </c>
      <c r="D3694" s="126">
        <f t="array" ref="D3694">IF(A3694="","",IFERROR(SMALL(IF((('KG1-7'!$AD13:$IM13="غياب بدون عذر")+('KG1-7'!$AD13:$IM13="غياب بعذر"))*('KG1-7'!$AD$7:$IM$7="✓"),'KG1-7'!$AD$5:$IM$5),13),""))</f>
        <v/>
      </c>
      <c r="E3694">
        <f>IF(D3694="","",INDEX('KG1-7'!$AD13:$IM13,MATCH(D3694,'KG1-7'!$AD$5:$IM$5,0)))</f>
        <v/>
      </c>
      <c r="F3694">
        <f>IF(D3694="","",COUNTIFS('KG1-7'!$AD13:$IM13,"غياب بدون عذر",'KG1-7'!$AD$7:$IM$7,"✓",'KG1-7'!$AD$5:$IM$5,"&lt;="&amp;D3694))</f>
        <v/>
      </c>
      <c r="G3694">
        <f>G3693+IF(D3694="",0,1)</f>
        <v/>
      </c>
    </row>
    <row r="3695">
      <c r="A3695">
        <f>IF('KG1-7'!$B13="","",'KG1-7'!$B13)</f>
        <v/>
      </c>
      <c r="B3695">
        <f>IF(A3695="","",'KG1-7'!$C13)</f>
        <v/>
      </c>
      <c r="C3695">
        <f>IF(A3695="","",'KG1-7'!$B$2)</f>
        <v/>
      </c>
      <c r="D3695" s="126">
        <f t="array" ref="D3695">IF(A3695="","",IFERROR(SMALL(IF((('KG1-7'!$AD13:$IM13="غياب بدون عذر")+('KG1-7'!$AD13:$IM13="غياب بعذر"))*('KG1-7'!$AD$7:$IM$7="✓"),'KG1-7'!$AD$5:$IM$5),14),""))</f>
        <v/>
      </c>
      <c r="E3695">
        <f>IF(D3695="","",INDEX('KG1-7'!$AD13:$IM13,MATCH(D3695,'KG1-7'!$AD$5:$IM$5,0)))</f>
        <v/>
      </c>
      <c r="F3695">
        <f>IF(D3695="","",COUNTIFS('KG1-7'!$AD13:$IM13,"غياب بدون عذر",'KG1-7'!$AD$7:$IM$7,"✓",'KG1-7'!$AD$5:$IM$5,"&lt;="&amp;D3695))</f>
        <v/>
      </c>
      <c r="G3695">
        <f>G3694+IF(D3695="",0,1)</f>
        <v/>
      </c>
    </row>
    <row r="3696">
      <c r="A3696">
        <f>IF('KG1-7'!$B13="","",'KG1-7'!$B13)</f>
        <v/>
      </c>
      <c r="B3696">
        <f>IF(A3696="","",'KG1-7'!$C13)</f>
        <v/>
      </c>
      <c r="C3696">
        <f>IF(A3696="","",'KG1-7'!$B$2)</f>
        <v/>
      </c>
      <c r="D3696" s="126">
        <f t="array" ref="D3696">IF(A3696="","",IFERROR(SMALL(IF((('KG1-7'!$AD13:$IM13="غياب بدون عذر")+('KG1-7'!$AD13:$IM13="غياب بعذر"))*('KG1-7'!$AD$7:$IM$7="✓"),'KG1-7'!$AD$5:$IM$5),15),""))</f>
        <v/>
      </c>
      <c r="E3696">
        <f>IF(D3696="","",INDEX('KG1-7'!$AD13:$IM13,MATCH(D3696,'KG1-7'!$AD$5:$IM$5,0)))</f>
        <v/>
      </c>
      <c r="F3696">
        <f>IF(D3696="","",COUNTIFS('KG1-7'!$AD13:$IM13,"غياب بدون عذر",'KG1-7'!$AD$7:$IM$7,"✓",'KG1-7'!$AD$5:$IM$5,"&lt;="&amp;D3696))</f>
        <v/>
      </c>
      <c r="G3696">
        <f>G3695+IF(D3696="",0,1)</f>
        <v/>
      </c>
    </row>
    <row r="3697">
      <c r="A3697">
        <f>IF('KG1-7'!$B13="","",'KG1-7'!$B13)</f>
        <v/>
      </c>
      <c r="B3697">
        <f>IF(A3697="","",'KG1-7'!$C13)</f>
        <v/>
      </c>
      <c r="C3697">
        <f>IF(A3697="","",'KG1-7'!$B$2)</f>
        <v/>
      </c>
      <c r="D3697" s="126">
        <f t="array" ref="D3697">IF(A3697="","",IFERROR(SMALL(IF((('KG1-7'!$AD13:$IM13="غياب بدون عذر")+('KG1-7'!$AD13:$IM13="غياب بعذر"))*('KG1-7'!$AD$7:$IM$7="✓"),'KG1-7'!$AD$5:$IM$5),16),""))</f>
        <v/>
      </c>
      <c r="E3697">
        <f>IF(D3697="","",INDEX('KG1-7'!$AD13:$IM13,MATCH(D3697,'KG1-7'!$AD$5:$IM$5,0)))</f>
        <v/>
      </c>
      <c r="F3697">
        <f>IF(D3697="","",COUNTIFS('KG1-7'!$AD13:$IM13,"غياب بدون عذر",'KG1-7'!$AD$7:$IM$7,"✓",'KG1-7'!$AD$5:$IM$5,"&lt;="&amp;D3697))</f>
        <v/>
      </c>
      <c r="G3697">
        <f>G3696+IF(D3697="",0,1)</f>
        <v/>
      </c>
    </row>
    <row r="3698">
      <c r="A3698">
        <f>IF('KG1-7'!$B13="","",'KG1-7'!$B13)</f>
        <v/>
      </c>
      <c r="B3698">
        <f>IF(A3698="","",'KG1-7'!$C13)</f>
        <v/>
      </c>
      <c r="C3698">
        <f>IF(A3698="","",'KG1-7'!$B$2)</f>
        <v/>
      </c>
      <c r="D3698" s="126">
        <f t="array" ref="D3698">IF(A3698="","",IFERROR(SMALL(IF((('KG1-7'!$AD13:$IM13="غياب بدون عذر")+('KG1-7'!$AD13:$IM13="غياب بعذر"))*('KG1-7'!$AD$7:$IM$7="✓"),'KG1-7'!$AD$5:$IM$5),17),""))</f>
        <v/>
      </c>
      <c r="E3698">
        <f>IF(D3698="","",INDEX('KG1-7'!$AD13:$IM13,MATCH(D3698,'KG1-7'!$AD$5:$IM$5,0)))</f>
        <v/>
      </c>
      <c r="F3698">
        <f>IF(D3698="","",COUNTIFS('KG1-7'!$AD13:$IM13,"غياب بدون عذر",'KG1-7'!$AD$7:$IM$7,"✓",'KG1-7'!$AD$5:$IM$5,"&lt;="&amp;D3698))</f>
        <v/>
      </c>
      <c r="G3698">
        <f>G3697+IF(D3698="",0,1)</f>
        <v/>
      </c>
    </row>
    <row r="3699">
      <c r="A3699">
        <f>IF('KG1-7'!$B13="","",'KG1-7'!$B13)</f>
        <v/>
      </c>
      <c r="B3699">
        <f>IF(A3699="","",'KG1-7'!$C13)</f>
        <v/>
      </c>
      <c r="C3699">
        <f>IF(A3699="","",'KG1-7'!$B$2)</f>
        <v/>
      </c>
      <c r="D3699" s="126">
        <f t="array" ref="D3699">IF(A3699="","",IFERROR(SMALL(IF((('KG1-7'!$AD13:$IM13="غياب بدون عذر")+('KG1-7'!$AD13:$IM13="غياب بعذر"))*('KG1-7'!$AD$7:$IM$7="✓"),'KG1-7'!$AD$5:$IM$5),18),""))</f>
        <v/>
      </c>
      <c r="E3699">
        <f>IF(D3699="","",INDEX('KG1-7'!$AD13:$IM13,MATCH(D3699,'KG1-7'!$AD$5:$IM$5,0)))</f>
        <v/>
      </c>
      <c r="F3699">
        <f>IF(D3699="","",COUNTIFS('KG1-7'!$AD13:$IM13,"غياب بدون عذر",'KG1-7'!$AD$7:$IM$7,"✓",'KG1-7'!$AD$5:$IM$5,"&lt;="&amp;D3699))</f>
        <v/>
      </c>
      <c r="G3699">
        <f>G3698+IF(D3699="",0,1)</f>
        <v/>
      </c>
    </row>
    <row r="3700">
      <c r="A3700">
        <f>IF('KG1-7'!$B13="","",'KG1-7'!$B13)</f>
        <v/>
      </c>
      <c r="B3700">
        <f>IF(A3700="","",'KG1-7'!$C13)</f>
        <v/>
      </c>
      <c r="C3700">
        <f>IF(A3700="","",'KG1-7'!$B$2)</f>
        <v/>
      </c>
      <c r="D3700" s="126">
        <f t="array" ref="D3700">IF(A3700="","",IFERROR(SMALL(IF((('KG1-7'!$AD13:$IM13="غياب بدون عذر")+('KG1-7'!$AD13:$IM13="غياب بعذر"))*('KG1-7'!$AD$7:$IM$7="✓"),'KG1-7'!$AD$5:$IM$5),19),""))</f>
        <v/>
      </c>
      <c r="E3700">
        <f>IF(D3700="","",INDEX('KG1-7'!$AD13:$IM13,MATCH(D3700,'KG1-7'!$AD$5:$IM$5,0)))</f>
        <v/>
      </c>
      <c r="F3700">
        <f>IF(D3700="","",COUNTIFS('KG1-7'!$AD13:$IM13,"غياب بدون عذر",'KG1-7'!$AD$7:$IM$7,"✓",'KG1-7'!$AD$5:$IM$5,"&lt;="&amp;D3700))</f>
        <v/>
      </c>
      <c r="G3700">
        <f>G3699+IF(D3700="",0,1)</f>
        <v/>
      </c>
    </row>
    <row r="3701">
      <c r="A3701">
        <f>IF('KG1-7'!$B13="","",'KG1-7'!$B13)</f>
        <v/>
      </c>
      <c r="B3701">
        <f>IF(A3701="","",'KG1-7'!$C13)</f>
        <v/>
      </c>
      <c r="C3701">
        <f>IF(A3701="","",'KG1-7'!$B$2)</f>
        <v/>
      </c>
      <c r="D3701" s="126">
        <f t="array" ref="D3701">IF(A3701="","",IFERROR(SMALL(IF((('KG1-7'!$AD13:$IM13="غياب بدون عذر")+('KG1-7'!$AD13:$IM13="غياب بعذر"))*('KG1-7'!$AD$7:$IM$7="✓"),'KG1-7'!$AD$5:$IM$5),20),""))</f>
        <v/>
      </c>
      <c r="E3701">
        <f>IF(D3701="","",INDEX('KG1-7'!$AD13:$IM13,MATCH(D3701,'KG1-7'!$AD$5:$IM$5,0)))</f>
        <v/>
      </c>
      <c r="F3701">
        <f>IF(D3701="","",COUNTIFS('KG1-7'!$AD13:$IM13,"غياب بدون عذر",'KG1-7'!$AD$7:$IM$7,"✓",'KG1-7'!$AD$5:$IM$5,"&lt;="&amp;D3701))</f>
        <v/>
      </c>
      <c r="G3701">
        <f>G3700+IF(D3701="",0,1)</f>
        <v/>
      </c>
    </row>
    <row r="3702">
      <c r="A3702">
        <f>IF('KG1-7'!$B14="","",'KG1-7'!$B14)</f>
        <v/>
      </c>
      <c r="B3702">
        <f>IF(A3702="","",'KG1-7'!$C14)</f>
        <v/>
      </c>
      <c r="C3702">
        <f>IF(A3702="","",'KG1-7'!$B$2)</f>
        <v/>
      </c>
      <c r="D3702" s="126">
        <f t="array" ref="D3702">IF(A3702="","",IFERROR(SMALL(IF((('KG1-7'!$AD14:$IM14="غياب بدون عذر")+('KG1-7'!$AD14:$IM14="غياب بعذر"))*('KG1-7'!$AD$7:$IM$7="✓"),'KG1-7'!$AD$5:$IM$5),1),""))</f>
        <v/>
      </c>
      <c r="E3702">
        <f>IF(D3702="","",INDEX('KG1-7'!$AD14:$IM14,MATCH(D3702,'KG1-7'!$AD$5:$IM$5,0)))</f>
        <v/>
      </c>
      <c r="F3702">
        <f>IF(D3702="","",COUNTIFS('KG1-7'!$AD14:$IM14,"غياب بدون عذر",'KG1-7'!$AD$7:$IM$7,"✓",'KG1-7'!$AD$5:$IM$5,"&lt;="&amp;D3702))</f>
        <v/>
      </c>
      <c r="G3702">
        <f>G3701+IF(D3702="",0,1)</f>
        <v/>
      </c>
    </row>
    <row r="3703">
      <c r="A3703">
        <f>IF('KG1-7'!$B14="","",'KG1-7'!$B14)</f>
        <v/>
      </c>
      <c r="B3703">
        <f>IF(A3703="","",'KG1-7'!$C14)</f>
        <v/>
      </c>
      <c r="C3703">
        <f>IF(A3703="","",'KG1-7'!$B$2)</f>
        <v/>
      </c>
      <c r="D3703" s="126">
        <f t="array" ref="D3703">IF(A3703="","",IFERROR(SMALL(IF((('KG1-7'!$AD14:$IM14="غياب بدون عذر")+('KG1-7'!$AD14:$IM14="غياب بعذر"))*('KG1-7'!$AD$7:$IM$7="✓"),'KG1-7'!$AD$5:$IM$5),2),""))</f>
        <v/>
      </c>
      <c r="E3703">
        <f>IF(D3703="","",INDEX('KG1-7'!$AD14:$IM14,MATCH(D3703,'KG1-7'!$AD$5:$IM$5,0)))</f>
        <v/>
      </c>
      <c r="F3703">
        <f>IF(D3703="","",COUNTIFS('KG1-7'!$AD14:$IM14,"غياب بدون عذر",'KG1-7'!$AD$7:$IM$7,"✓",'KG1-7'!$AD$5:$IM$5,"&lt;="&amp;D3703))</f>
        <v/>
      </c>
      <c r="G3703">
        <f>G3702+IF(D3703="",0,1)</f>
        <v/>
      </c>
    </row>
    <row r="3704">
      <c r="A3704">
        <f>IF('KG1-7'!$B14="","",'KG1-7'!$B14)</f>
        <v/>
      </c>
      <c r="B3704">
        <f>IF(A3704="","",'KG1-7'!$C14)</f>
        <v/>
      </c>
      <c r="C3704">
        <f>IF(A3704="","",'KG1-7'!$B$2)</f>
        <v/>
      </c>
      <c r="D3704" s="126">
        <f t="array" ref="D3704">IF(A3704="","",IFERROR(SMALL(IF((('KG1-7'!$AD14:$IM14="غياب بدون عذر")+('KG1-7'!$AD14:$IM14="غياب بعذر"))*('KG1-7'!$AD$7:$IM$7="✓"),'KG1-7'!$AD$5:$IM$5),3),""))</f>
        <v/>
      </c>
      <c r="E3704">
        <f>IF(D3704="","",INDEX('KG1-7'!$AD14:$IM14,MATCH(D3704,'KG1-7'!$AD$5:$IM$5,0)))</f>
        <v/>
      </c>
      <c r="F3704">
        <f>IF(D3704="","",COUNTIFS('KG1-7'!$AD14:$IM14,"غياب بدون عذر",'KG1-7'!$AD$7:$IM$7,"✓",'KG1-7'!$AD$5:$IM$5,"&lt;="&amp;D3704))</f>
        <v/>
      </c>
      <c r="G3704">
        <f>G3703+IF(D3704="",0,1)</f>
        <v/>
      </c>
    </row>
    <row r="3705">
      <c r="A3705">
        <f>IF('KG1-7'!$B14="","",'KG1-7'!$B14)</f>
        <v/>
      </c>
      <c r="B3705">
        <f>IF(A3705="","",'KG1-7'!$C14)</f>
        <v/>
      </c>
      <c r="C3705">
        <f>IF(A3705="","",'KG1-7'!$B$2)</f>
        <v/>
      </c>
      <c r="D3705" s="126">
        <f t="array" ref="D3705">IF(A3705="","",IFERROR(SMALL(IF((('KG1-7'!$AD14:$IM14="غياب بدون عذر")+('KG1-7'!$AD14:$IM14="غياب بعذر"))*('KG1-7'!$AD$7:$IM$7="✓"),'KG1-7'!$AD$5:$IM$5),4),""))</f>
        <v/>
      </c>
      <c r="E3705">
        <f>IF(D3705="","",INDEX('KG1-7'!$AD14:$IM14,MATCH(D3705,'KG1-7'!$AD$5:$IM$5,0)))</f>
        <v/>
      </c>
      <c r="F3705">
        <f>IF(D3705="","",COUNTIFS('KG1-7'!$AD14:$IM14,"غياب بدون عذر",'KG1-7'!$AD$7:$IM$7,"✓",'KG1-7'!$AD$5:$IM$5,"&lt;="&amp;D3705))</f>
        <v/>
      </c>
      <c r="G3705">
        <f>G3704+IF(D3705="",0,1)</f>
        <v/>
      </c>
    </row>
    <row r="3706">
      <c r="A3706">
        <f>IF('KG1-7'!$B14="","",'KG1-7'!$B14)</f>
        <v/>
      </c>
      <c r="B3706">
        <f>IF(A3706="","",'KG1-7'!$C14)</f>
        <v/>
      </c>
      <c r="C3706">
        <f>IF(A3706="","",'KG1-7'!$B$2)</f>
        <v/>
      </c>
      <c r="D3706" s="126">
        <f t="array" ref="D3706">IF(A3706="","",IFERROR(SMALL(IF((('KG1-7'!$AD14:$IM14="غياب بدون عذر")+('KG1-7'!$AD14:$IM14="غياب بعذر"))*('KG1-7'!$AD$7:$IM$7="✓"),'KG1-7'!$AD$5:$IM$5),5),""))</f>
        <v/>
      </c>
      <c r="E3706">
        <f>IF(D3706="","",INDEX('KG1-7'!$AD14:$IM14,MATCH(D3706,'KG1-7'!$AD$5:$IM$5,0)))</f>
        <v/>
      </c>
      <c r="F3706">
        <f>IF(D3706="","",COUNTIFS('KG1-7'!$AD14:$IM14,"غياب بدون عذر",'KG1-7'!$AD$7:$IM$7,"✓",'KG1-7'!$AD$5:$IM$5,"&lt;="&amp;D3706))</f>
        <v/>
      </c>
      <c r="G3706">
        <f>G3705+IF(D3706="",0,1)</f>
        <v/>
      </c>
    </row>
    <row r="3707">
      <c r="A3707">
        <f>IF('KG1-7'!$B14="","",'KG1-7'!$B14)</f>
        <v/>
      </c>
      <c r="B3707">
        <f>IF(A3707="","",'KG1-7'!$C14)</f>
        <v/>
      </c>
      <c r="C3707">
        <f>IF(A3707="","",'KG1-7'!$B$2)</f>
        <v/>
      </c>
      <c r="D3707" s="126">
        <f t="array" ref="D3707">IF(A3707="","",IFERROR(SMALL(IF((('KG1-7'!$AD14:$IM14="غياب بدون عذر")+('KG1-7'!$AD14:$IM14="غياب بعذر"))*('KG1-7'!$AD$7:$IM$7="✓"),'KG1-7'!$AD$5:$IM$5),6),""))</f>
        <v/>
      </c>
      <c r="E3707">
        <f>IF(D3707="","",INDEX('KG1-7'!$AD14:$IM14,MATCH(D3707,'KG1-7'!$AD$5:$IM$5,0)))</f>
        <v/>
      </c>
      <c r="F3707">
        <f>IF(D3707="","",COUNTIFS('KG1-7'!$AD14:$IM14,"غياب بدون عذر",'KG1-7'!$AD$7:$IM$7,"✓",'KG1-7'!$AD$5:$IM$5,"&lt;="&amp;D3707))</f>
        <v/>
      </c>
      <c r="G3707">
        <f>G3706+IF(D3707="",0,1)</f>
        <v/>
      </c>
    </row>
    <row r="3708">
      <c r="A3708">
        <f>IF('KG1-7'!$B14="","",'KG1-7'!$B14)</f>
        <v/>
      </c>
      <c r="B3708">
        <f>IF(A3708="","",'KG1-7'!$C14)</f>
        <v/>
      </c>
      <c r="C3708">
        <f>IF(A3708="","",'KG1-7'!$B$2)</f>
        <v/>
      </c>
      <c r="D3708" s="126">
        <f t="array" ref="D3708">IF(A3708="","",IFERROR(SMALL(IF((('KG1-7'!$AD14:$IM14="غياب بدون عذر")+('KG1-7'!$AD14:$IM14="غياب بعذر"))*('KG1-7'!$AD$7:$IM$7="✓"),'KG1-7'!$AD$5:$IM$5),7),""))</f>
        <v/>
      </c>
      <c r="E3708">
        <f>IF(D3708="","",INDEX('KG1-7'!$AD14:$IM14,MATCH(D3708,'KG1-7'!$AD$5:$IM$5,0)))</f>
        <v/>
      </c>
      <c r="F3708">
        <f>IF(D3708="","",COUNTIFS('KG1-7'!$AD14:$IM14,"غياب بدون عذر",'KG1-7'!$AD$7:$IM$7,"✓",'KG1-7'!$AD$5:$IM$5,"&lt;="&amp;D3708))</f>
        <v/>
      </c>
      <c r="G3708">
        <f>G3707+IF(D3708="",0,1)</f>
        <v/>
      </c>
    </row>
    <row r="3709">
      <c r="A3709">
        <f>IF('KG1-7'!$B14="","",'KG1-7'!$B14)</f>
        <v/>
      </c>
      <c r="B3709">
        <f>IF(A3709="","",'KG1-7'!$C14)</f>
        <v/>
      </c>
      <c r="C3709">
        <f>IF(A3709="","",'KG1-7'!$B$2)</f>
        <v/>
      </c>
      <c r="D3709" s="126">
        <f t="array" ref="D3709">IF(A3709="","",IFERROR(SMALL(IF((('KG1-7'!$AD14:$IM14="غياب بدون عذر")+('KG1-7'!$AD14:$IM14="غياب بعذر"))*('KG1-7'!$AD$7:$IM$7="✓"),'KG1-7'!$AD$5:$IM$5),8),""))</f>
        <v/>
      </c>
      <c r="E3709">
        <f>IF(D3709="","",INDEX('KG1-7'!$AD14:$IM14,MATCH(D3709,'KG1-7'!$AD$5:$IM$5,0)))</f>
        <v/>
      </c>
      <c r="F3709">
        <f>IF(D3709="","",COUNTIFS('KG1-7'!$AD14:$IM14,"غياب بدون عذر",'KG1-7'!$AD$7:$IM$7,"✓",'KG1-7'!$AD$5:$IM$5,"&lt;="&amp;D3709))</f>
        <v/>
      </c>
      <c r="G3709">
        <f>G3708+IF(D3709="",0,1)</f>
        <v/>
      </c>
    </row>
    <row r="3710">
      <c r="A3710">
        <f>IF('KG1-7'!$B14="","",'KG1-7'!$B14)</f>
        <v/>
      </c>
      <c r="B3710">
        <f>IF(A3710="","",'KG1-7'!$C14)</f>
        <v/>
      </c>
      <c r="C3710">
        <f>IF(A3710="","",'KG1-7'!$B$2)</f>
        <v/>
      </c>
      <c r="D3710" s="126">
        <f t="array" ref="D3710">IF(A3710="","",IFERROR(SMALL(IF((('KG1-7'!$AD14:$IM14="غياب بدون عذر")+('KG1-7'!$AD14:$IM14="غياب بعذر"))*('KG1-7'!$AD$7:$IM$7="✓"),'KG1-7'!$AD$5:$IM$5),9),""))</f>
        <v/>
      </c>
      <c r="E3710">
        <f>IF(D3710="","",INDEX('KG1-7'!$AD14:$IM14,MATCH(D3710,'KG1-7'!$AD$5:$IM$5,0)))</f>
        <v/>
      </c>
      <c r="F3710">
        <f>IF(D3710="","",COUNTIFS('KG1-7'!$AD14:$IM14,"غياب بدون عذر",'KG1-7'!$AD$7:$IM$7,"✓",'KG1-7'!$AD$5:$IM$5,"&lt;="&amp;D3710))</f>
        <v/>
      </c>
      <c r="G3710">
        <f>G3709+IF(D3710="",0,1)</f>
        <v/>
      </c>
    </row>
    <row r="3711">
      <c r="A3711">
        <f>IF('KG1-7'!$B14="","",'KG1-7'!$B14)</f>
        <v/>
      </c>
      <c r="B3711">
        <f>IF(A3711="","",'KG1-7'!$C14)</f>
        <v/>
      </c>
      <c r="C3711">
        <f>IF(A3711="","",'KG1-7'!$B$2)</f>
        <v/>
      </c>
      <c r="D3711" s="126">
        <f t="array" ref="D3711">IF(A3711="","",IFERROR(SMALL(IF((('KG1-7'!$AD14:$IM14="غياب بدون عذر")+('KG1-7'!$AD14:$IM14="غياب بعذر"))*('KG1-7'!$AD$7:$IM$7="✓"),'KG1-7'!$AD$5:$IM$5),10),""))</f>
        <v/>
      </c>
      <c r="E3711">
        <f>IF(D3711="","",INDEX('KG1-7'!$AD14:$IM14,MATCH(D3711,'KG1-7'!$AD$5:$IM$5,0)))</f>
        <v/>
      </c>
      <c r="F3711">
        <f>IF(D3711="","",COUNTIFS('KG1-7'!$AD14:$IM14,"غياب بدون عذر",'KG1-7'!$AD$7:$IM$7,"✓",'KG1-7'!$AD$5:$IM$5,"&lt;="&amp;D3711))</f>
        <v/>
      </c>
      <c r="G3711">
        <f>G3710+IF(D3711="",0,1)</f>
        <v/>
      </c>
    </row>
    <row r="3712">
      <c r="A3712">
        <f>IF('KG1-7'!$B14="","",'KG1-7'!$B14)</f>
        <v/>
      </c>
      <c r="B3712">
        <f>IF(A3712="","",'KG1-7'!$C14)</f>
        <v/>
      </c>
      <c r="C3712">
        <f>IF(A3712="","",'KG1-7'!$B$2)</f>
        <v/>
      </c>
      <c r="D3712" s="126">
        <f t="array" ref="D3712">IF(A3712="","",IFERROR(SMALL(IF((('KG1-7'!$AD14:$IM14="غياب بدون عذر")+('KG1-7'!$AD14:$IM14="غياب بعذر"))*('KG1-7'!$AD$7:$IM$7="✓"),'KG1-7'!$AD$5:$IM$5),11),""))</f>
        <v/>
      </c>
      <c r="E3712">
        <f>IF(D3712="","",INDEX('KG1-7'!$AD14:$IM14,MATCH(D3712,'KG1-7'!$AD$5:$IM$5,0)))</f>
        <v/>
      </c>
      <c r="F3712">
        <f>IF(D3712="","",COUNTIFS('KG1-7'!$AD14:$IM14,"غياب بدون عذر",'KG1-7'!$AD$7:$IM$7,"✓",'KG1-7'!$AD$5:$IM$5,"&lt;="&amp;D3712))</f>
        <v/>
      </c>
      <c r="G3712">
        <f>G3711+IF(D3712="",0,1)</f>
        <v/>
      </c>
    </row>
    <row r="3713">
      <c r="A3713">
        <f>IF('KG1-7'!$B14="","",'KG1-7'!$B14)</f>
        <v/>
      </c>
      <c r="B3713">
        <f>IF(A3713="","",'KG1-7'!$C14)</f>
        <v/>
      </c>
      <c r="C3713">
        <f>IF(A3713="","",'KG1-7'!$B$2)</f>
        <v/>
      </c>
      <c r="D3713" s="126">
        <f t="array" ref="D3713">IF(A3713="","",IFERROR(SMALL(IF((('KG1-7'!$AD14:$IM14="غياب بدون عذر")+('KG1-7'!$AD14:$IM14="غياب بعذر"))*('KG1-7'!$AD$7:$IM$7="✓"),'KG1-7'!$AD$5:$IM$5),12),""))</f>
        <v/>
      </c>
      <c r="E3713">
        <f>IF(D3713="","",INDEX('KG1-7'!$AD14:$IM14,MATCH(D3713,'KG1-7'!$AD$5:$IM$5,0)))</f>
        <v/>
      </c>
      <c r="F3713">
        <f>IF(D3713="","",COUNTIFS('KG1-7'!$AD14:$IM14,"غياب بدون عذر",'KG1-7'!$AD$7:$IM$7,"✓",'KG1-7'!$AD$5:$IM$5,"&lt;="&amp;D3713))</f>
        <v/>
      </c>
      <c r="G3713">
        <f>G3712+IF(D3713="",0,1)</f>
        <v/>
      </c>
    </row>
    <row r="3714">
      <c r="A3714">
        <f>IF('KG1-7'!$B14="","",'KG1-7'!$B14)</f>
        <v/>
      </c>
      <c r="B3714">
        <f>IF(A3714="","",'KG1-7'!$C14)</f>
        <v/>
      </c>
      <c r="C3714">
        <f>IF(A3714="","",'KG1-7'!$B$2)</f>
        <v/>
      </c>
      <c r="D3714" s="126">
        <f t="array" ref="D3714">IF(A3714="","",IFERROR(SMALL(IF((('KG1-7'!$AD14:$IM14="غياب بدون عذر")+('KG1-7'!$AD14:$IM14="غياب بعذر"))*('KG1-7'!$AD$7:$IM$7="✓"),'KG1-7'!$AD$5:$IM$5),13),""))</f>
        <v/>
      </c>
      <c r="E3714">
        <f>IF(D3714="","",INDEX('KG1-7'!$AD14:$IM14,MATCH(D3714,'KG1-7'!$AD$5:$IM$5,0)))</f>
        <v/>
      </c>
      <c r="F3714">
        <f>IF(D3714="","",COUNTIFS('KG1-7'!$AD14:$IM14,"غياب بدون عذر",'KG1-7'!$AD$7:$IM$7,"✓",'KG1-7'!$AD$5:$IM$5,"&lt;="&amp;D3714))</f>
        <v/>
      </c>
      <c r="G3714">
        <f>G3713+IF(D3714="",0,1)</f>
        <v/>
      </c>
    </row>
    <row r="3715">
      <c r="A3715">
        <f>IF('KG1-7'!$B14="","",'KG1-7'!$B14)</f>
        <v/>
      </c>
      <c r="B3715">
        <f>IF(A3715="","",'KG1-7'!$C14)</f>
        <v/>
      </c>
      <c r="C3715">
        <f>IF(A3715="","",'KG1-7'!$B$2)</f>
        <v/>
      </c>
      <c r="D3715" s="126">
        <f t="array" ref="D3715">IF(A3715="","",IFERROR(SMALL(IF((('KG1-7'!$AD14:$IM14="غياب بدون عذر")+('KG1-7'!$AD14:$IM14="غياب بعذر"))*('KG1-7'!$AD$7:$IM$7="✓"),'KG1-7'!$AD$5:$IM$5),14),""))</f>
        <v/>
      </c>
      <c r="E3715">
        <f>IF(D3715="","",INDEX('KG1-7'!$AD14:$IM14,MATCH(D3715,'KG1-7'!$AD$5:$IM$5,0)))</f>
        <v/>
      </c>
      <c r="F3715">
        <f>IF(D3715="","",COUNTIFS('KG1-7'!$AD14:$IM14,"غياب بدون عذر",'KG1-7'!$AD$7:$IM$7,"✓",'KG1-7'!$AD$5:$IM$5,"&lt;="&amp;D3715))</f>
        <v/>
      </c>
      <c r="G3715">
        <f>G3714+IF(D3715="",0,1)</f>
        <v/>
      </c>
    </row>
    <row r="3716">
      <c r="A3716">
        <f>IF('KG1-7'!$B14="","",'KG1-7'!$B14)</f>
        <v/>
      </c>
      <c r="B3716">
        <f>IF(A3716="","",'KG1-7'!$C14)</f>
        <v/>
      </c>
      <c r="C3716">
        <f>IF(A3716="","",'KG1-7'!$B$2)</f>
        <v/>
      </c>
      <c r="D3716" s="126">
        <f t="array" ref="D3716">IF(A3716="","",IFERROR(SMALL(IF((('KG1-7'!$AD14:$IM14="غياب بدون عذر")+('KG1-7'!$AD14:$IM14="غياب بعذر"))*('KG1-7'!$AD$7:$IM$7="✓"),'KG1-7'!$AD$5:$IM$5),15),""))</f>
        <v/>
      </c>
      <c r="E3716">
        <f>IF(D3716="","",INDEX('KG1-7'!$AD14:$IM14,MATCH(D3716,'KG1-7'!$AD$5:$IM$5,0)))</f>
        <v/>
      </c>
      <c r="F3716">
        <f>IF(D3716="","",COUNTIFS('KG1-7'!$AD14:$IM14,"غياب بدون عذر",'KG1-7'!$AD$7:$IM$7,"✓",'KG1-7'!$AD$5:$IM$5,"&lt;="&amp;D3716))</f>
        <v/>
      </c>
      <c r="G3716">
        <f>G3715+IF(D3716="",0,1)</f>
        <v/>
      </c>
    </row>
    <row r="3717">
      <c r="A3717">
        <f>IF('KG1-7'!$B14="","",'KG1-7'!$B14)</f>
        <v/>
      </c>
      <c r="B3717">
        <f>IF(A3717="","",'KG1-7'!$C14)</f>
        <v/>
      </c>
      <c r="C3717">
        <f>IF(A3717="","",'KG1-7'!$B$2)</f>
        <v/>
      </c>
      <c r="D3717" s="126">
        <f t="array" ref="D3717">IF(A3717="","",IFERROR(SMALL(IF((('KG1-7'!$AD14:$IM14="غياب بدون عذر")+('KG1-7'!$AD14:$IM14="غياب بعذر"))*('KG1-7'!$AD$7:$IM$7="✓"),'KG1-7'!$AD$5:$IM$5),16),""))</f>
        <v/>
      </c>
      <c r="E3717">
        <f>IF(D3717="","",INDEX('KG1-7'!$AD14:$IM14,MATCH(D3717,'KG1-7'!$AD$5:$IM$5,0)))</f>
        <v/>
      </c>
      <c r="F3717">
        <f>IF(D3717="","",COUNTIFS('KG1-7'!$AD14:$IM14,"غياب بدون عذر",'KG1-7'!$AD$7:$IM$7,"✓",'KG1-7'!$AD$5:$IM$5,"&lt;="&amp;D3717))</f>
        <v/>
      </c>
      <c r="G3717">
        <f>G3716+IF(D3717="",0,1)</f>
        <v/>
      </c>
    </row>
    <row r="3718">
      <c r="A3718">
        <f>IF('KG1-7'!$B14="","",'KG1-7'!$B14)</f>
        <v/>
      </c>
      <c r="B3718">
        <f>IF(A3718="","",'KG1-7'!$C14)</f>
        <v/>
      </c>
      <c r="C3718">
        <f>IF(A3718="","",'KG1-7'!$B$2)</f>
        <v/>
      </c>
      <c r="D3718" s="126">
        <f t="array" ref="D3718">IF(A3718="","",IFERROR(SMALL(IF((('KG1-7'!$AD14:$IM14="غياب بدون عذر")+('KG1-7'!$AD14:$IM14="غياب بعذر"))*('KG1-7'!$AD$7:$IM$7="✓"),'KG1-7'!$AD$5:$IM$5),17),""))</f>
        <v/>
      </c>
      <c r="E3718">
        <f>IF(D3718="","",INDEX('KG1-7'!$AD14:$IM14,MATCH(D3718,'KG1-7'!$AD$5:$IM$5,0)))</f>
        <v/>
      </c>
      <c r="F3718">
        <f>IF(D3718="","",COUNTIFS('KG1-7'!$AD14:$IM14,"غياب بدون عذر",'KG1-7'!$AD$7:$IM$7,"✓",'KG1-7'!$AD$5:$IM$5,"&lt;="&amp;D3718))</f>
        <v/>
      </c>
      <c r="G3718">
        <f>G3717+IF(D3718="",0,1)</f>
        <v/>
      </c>
    </row>
    <row r="3719">
      <c r="A3719">
        <f>IF('KG1-7'!$B14="","",'KG1-7'!$B14)</f>
        <v/>
      </c>
      <c r="B3719">
        <f>IF(A3719="","",'KG1-7'!$C14)</f>
        <v/>
      </c>
      <c r="C3719">
        <f>IF(A3719="","",'KG1-7'!$B$2)</f>
        <v/>
      </c>
      <c r="D3719" s="126">
        <f t="array" ref="D3719">IF(A3719="","",IFERROR(SMALL(IF((('KG1-7'!$AD14:$IM14="غياب بدون عذر")+('KG1-7'!$AD14:$IM14="غياب بعذر"))*('KG1-7'!$AD$7:$IM$7="✓"),'KG1-7'!$AD$5:$IM$5),18),""))</f>
        <v/>
      </c>
      <c r="E3719">
        <f>IF(D3719="","",INDEX('KG1-7'!$AD14:$IM14,MATCH(D3719,'KG1-7'!$AD$5:$IM$5,0)))</f>
        <v/>
      </c>
      <c r="F3719">
        <f>IF(D3719="","",COUNTIFS('KG1-7'!$AD14:$IM14,"غياب بدون عذر",'KG1-7'!$AD$7:$IM$7,"✓",'KG1-7'!$AD$5:$IM$5,"&lt;="&amp;D3719))</f>
        <v/>
      </c>
      <c r="G3719">
        <f>G3718+IF(D3719="",0,1)</f>
        <v/>
      </c>
    </row>
    <row r="3720">
      <c r="A3720">
        <f>IF('KG1-7'!$B14="","",'KG1-7'!$B14)</f>
        <v/>
      </c>
      <c r="B3720">
        <f>IF(A3720="","",'KG1-7'!$C14)</f>
        <v/>
      </c>
      <c r="C3720">
        <f>IF(A3720="","",'KG1-7'!$B$2)</f>
        <v/>
      </c>
      <c r="D3720" s="126">
        <f t="array" ref="D3720">IF(A3720="","",IFERROR(SMALL(IF((('KG1-7'!$AD14:$IM14="غياب بدون عذر")+('KG1-7'!$AD14:$IM14="غياب بعذر"))*('KG1-7'!$AD$7:$IM$7="✓"),'KG1-7'!$AD$5:$IM$5),19),""))</f>
        <v/>
      </c>
      <c r="E3720">
        <f>IF(D3720="","",INDEX('KG1-7'!$AD14:$IM14,MATCH(D3720,'KG1-7'!$AD$5:$IM$5,0)))</f>
        <v/>
      </c>
      <c r="F3720">
        <f>IF(D3720="","",COUNTIFS('KG1-7'!$AD14:$IM14,"غياب بدون عذر",'KG1-7'!$AD$7:$IM$7,"✓",'KG1-7'!$AD$5:$IM$5,"&lt;="&amp;D3720))</f>
        <v/>
      </c>
      <c r="G3720">
        <f>G3719+IF(D3720="",0,1)</f>
        <v/>
      </c>
    </row>
    <row r="3721">
      <c r="A3721">
        <f>IF('KG1-7'!$B14="","",'KG1-7'!$B14)</f>
        <v/>
      </c>
      <c r="B3721">
        <f>IF(A3721="","",'KG1-7'!$C14)</f>
        <v/>
      </c>
      <c r="C3721">
        <f>IF(A3721="","",'KG1-7'!$B$2)</f>
        <v/>
      </c>
      <c r="D3721" s="126">
        <f t="array" ref="D3721">IF(A3721="","",IFERROR(SMALL(IF((('KG1-7'!$AD14:$IM14="غياب بدون عذر")+('KG1-7'!$AD14:$IM14="غياب بعذر"))*('KG1-7'!$AD$7:$IM$7="✓"),'KG1-7'!$AD$5:$IM$5),20),""))</f>
        <v/>
      </c>
      <c r="E3721">
        <f>IF(D3721="","",INDEX('KG1-7'!$AD14:$IM14,MATCH(D3721,'KG1-7'!$AD$5:$IM$5,0)))</f>
        <v/>
      </c>
      <c r="F3721">
        <f>IF(D3721="","",COUNTIFS('KG1-7'!$AD14:$IM14,"غياب بدون عذر",'KG1-7'!$AD$7:$IM$7,"✓",'KG1-7'!$AD$5:$IM$5,"&lt;="&amp;D3721))</f>
        <v/>
      </c>
      <c r="G3721">
        <f>G3720+IF(D3721="",0,1)</f>
        <v/>
      </c>
    </row>
    <row r="3722">
      <c r="A3722">
        <f>IF('KG1-7'!$B15="","",'KG1-7'!$B15)</f>
        <v/>
      </c>
      <c r="B3722">
        <f>IF(A3722="","",'KG1-7'!$C15)</f>
        <v/>
      </c>
      <c r="C3722">
        <f>IF(A3722="","",'KG1-7'!$B$2)</f>
        <v/>
      </c>
      <c r="D3722" s="126">
        <f t="array" ref="D3722">IF(A3722="","",IFERROR(SMALL(IF((('KG1-7'!$AD15:$IM15="غياب بدون عذر")+('KG1-7'!$AD15:$IM15="غياب بعذر"))*('KG1-7'!$AD$7:$IM$7="✓"),'KG1-7'!$AD$5:$IM$5),1),""))</f>
        <v/>
      </c>
      <c r="E3722">
        <f>IF(D3722="","",INDEX('KG1-7'!$AD15:$IM15,MATCH(D3722,'KG1-7'!$AD$5:$IM$5,0)))</f>
        <v/>
      </c>
      <c r="F3722">
        <f>IF(D3722="","",COUNTIFS('KG1-7'!$AD15:$IM15,"غياب بدون عذر",'KG1-7'!$AD$7:$IM$7,"✓",'KG1-7'!$AD$5:$IM$5,"&lt;="&amp;D3722))</f>
        <v/>
      </c>
      <c r="G3722">
        <f>G3721+IF(D3722="",0,1)</f>
        <v/>
      </c>
    </row>
    <row r="3723">
      <c r="A3723">
        <f>IF('KG1-7'!$B15="","",'KG1-7'!$B15)</f>
        <v/>
      </c>
      <c r="B3723">
        <f>IF(A3723="","",'KG1-7'!$C15)</f>
        <v/>
      </c>
      <c r="C3723">
        <f>IF(A3723="","",'KG1-7'!$B$2)</f>
        <v/>
      </c>
      <c r="D3723" s="126">
        <f t="array" ref="D3723">IF(A3723="","",IFERROR(SMALL(IF((('KG1-7'!$AD15:$IM15="غياب بدون عذر")+('KG1-7'!$AD15:$IM15="غياب بعذر"))*('KG1-7'!$AD$7:$IM$7="✓"),'KG1-7'!$AD$5:$IM$5),2),""))</f>
        <v/>
      </c>
      <c r="E3723">
        <f>IF(D3723="","",INDEX('KG1-7'!$AD15:$IM15,MATCH(D3723,'KG1-7'!$AD$5:$IM$5,0)))</f>
        <v/>
      </c>
      <c r="F3723">
        <f>IF(D3723="","",COUNTIFS('KG1-7'!$AD15:$IM15,"غياب بدون عذر",'KG1-7'!$AD$7:$IM$7,"✓",'KG1-7'!$AD$5:$IM$5,"&lt;="&amp;D3723))</f>
        <v/>
      </c>
      <c r="G3723">
        <f>G3722+IF(D3723="",0,1)</f>
        <v/>
      </c>
    </row>
    <row r="3724">
      <c r="A3724">
        <f>IF('KG1-7'!$B15="","",'KG1-7'!$B15)</f>
        <v/>
      </c>
      <c r="B3724">
        <f>IF(A3724="","",'KG1-7'!$C15)</f>
        <v/>
      </c>
      <c r="C3724">
        <f>IF(A3724="","",'KG1-7'!$B$2)</f>
        <v/>
      </c>
      <c r="D3724" s="126">
        <f t="array" ref="D3724">IF(A3724="","",IFERROR(SMALL(IF((('KG1-7'!$AD15:$IM15="غياب بدون عذر")+('KG1-7'!$AD15:$IM15="غياب بعذر"))*('KG1-7'!$AD$7:$IM$7="✓"),'KG1-7'!$AD$5:$IM$5),3),""))</f>
        <v/>
      </c>
      <c r="E3724">
        <f>IF(D3724="","",INDEX('KG1-7'!$AD15:$IM15,MATCH(D3724,'KG1-7'!$AD$5:$IM$5,0)))</f>
        <v/>
      </c>
      <c r="F3724">
        <f>IF(D3724="","",COUNTIFS('KG1-7'!$AD15:$IM15,"غياب بدون عذر",'KG1-7'!$AD$7:$IM$7,"✓",'KG1-7'!$AD$5:$IM$5,"&lt;="&amp;D3724))</f>
        <v/>
      </c>
      <c r="G3724">
        <f>G3723+IF(D3724="",0,1)</f>
        <v/>
      </c>
    </row>
    <row r="3725">
      <c r="A3725">
        <f>IF('KG1-7'!$B15="","",'KG1-7'!$B15)</f>
        <v/>
      </c>
      <c r="B3725">
        <f>IF(A3725="","",'KG1-7'!$C15)</f>
        <v/>
      </c>
      <c r="C3725">
        <f>IF(A3725="","",'KG1-7'!$B$2)</f>
        <v/>
      </c>
      <c r="D3725" s="126">
        <f t="array" ref="D3725">IF(A3725="","",IFERROR(SMALL(IF((('KG1-7'!$AD15:$IM15="غياب بدون عذر")+('KG1-7'!$AD15:$IM15="غياب بعذر"))*('KG1-7'!$AD$7:$IM$7="✓"),'KG1-7'!$AD$5:$IM$5),4),""))</f>
        <v/>
      </c>
      <c r="E3725">
        <f>IF(D3725="","",INDEX('KG1-7'!$AD15:$IM15,MATCH(D3725,'KG1-7'!$AD$5:$IM$5,0)))</f>
        <v/>
      </c>
      <c r="F3725">
        <f>IF(D3725="","",COUNTIFS('KG1-7'!$AD15:$IM15,"غياب بدون عذر",'KG1-7'!$AD$7:$IM$7,"✓",'KG1-7'!$AD$5:$IM$5,"&lt;="&amp;D3725))</f>
        <v/>
      </c>
      <c r="G3725">
        <f>G3724+IF(D3725="",0,1)</f>
        <v/>
      </c>
    </row>
    <row r="3726">
      <c r="A3726">
        <f>IF('KG1-7'!$B15="","",'KG1-7'!$B15)</f>
        <v/>
      </c>
      <c r="B3726">
        <f>IF(A3726="","",'KG1-7'!$C15)</f>
        <v/>
      </c>
      <c r="C3726">
        <f>IF(A3726="","",'KG1-7'!$B$2)</f>
        <v/>
      </c>
      <c r="D3726" s="126">
        <f t="array" ref="D3726">IF(A3726="","",IFERROR(SMALL(IF((('KG1-7'!$AD15:$IM15="غياب بدون عذر")+('KG1-7'!$AD15:$IM15="غياب بعذر"))*('KG1-7'!$AD$7:$IM$7="✓"),'KG1-7'!$AD$5:$IM$5),5),""))</f>
        <v/>
      </c>
      <c r="E3726">
        <f>IF(D3726="","",INDEX('KG1-7'!$AD15:$IM15,MATCH(D3726,'KG1-7'!$AD$5:$IM$5,0)))</f>
        <v/>
      </c>
      <c r="F3726">
        <f>IF(D3726="","",COUNTIFS('KG1-7'!$AD15:$IM15,"غياب بدون عذر",'KG1-7'!$AD$7:$IM$7,"✓",'KG1-7'!$AD$5:$IM$5,"&lt;="&amp;D3726))</f>
        <v/>
      </c>
      <c r="G3726">
        <f>G3725+IF(D3726="",0,1)</f>
        <v/>
      </c>
    </row>
    <row r="3727">
      <c r="A3727">
        <f>IF('KG1-7'!$B15="","",'KG1-7'!$B15)</f>
        <v/>
      </c>
      <c r="B3727">
        <f>IF(A3727="","",'KG1-7'!$C15)</f>
        <v/>
      </c>
      <c r="C3727">
        <f>IF(A3727="","",'KG1-7'!$B$2)</f>
        <v/>
      </c>
      <c r="D3727" s="126">
        <f t="array" ref="D3727">IF(A3727="","",IFERROR(SMALL(IF((('KG1-7'!$AD15:$IM15="غياب بدون عذر")+('KG1-7'!$AD15:$IM15="غياب بعذر"))*('KG1-7'!$AD$7:$IM$7="✓"),'KG1-7'!$AD$5:$IM$5),6),""))</f>
        <v/>
      </c>
      <c r="E3727">
        <f>IF(D3727="","",INDEX('KG1-7'!$AD15:$IM15,MATCH(D3727,'KG1-7'!$AD$5:$IM$5,0)))</f>
        <v/>
      </c>
      <c r="F3727">
        <f>IF(D3727="","",COUNTIFS('KG1-7'!$AD15:$IM15,"غياب بدون عذر",'KG1-7'!$AD$7:$IM$7,"✓",'KG1-7'!$AD$5:$IM$5,"&lt;="&amp;D3727))</f>
        <v/>
      </c>
      <c r="G3727">
        <f>G3726+IF(D3727="",0,1)</f>
        <v/>
      </c>
    </row>
    <row r="3728">
      <c r="A3728">
        <f>IF('KG1-7'!$B15="","",'KG1-7'!$B15)</f>
        <v/>
      </c>
      <c r="B3728">
        <f>IF(A3728="","",'KG1-7'!$C15)</f>
        <v/>
      </c>
      <c r="C3728">
        <f>IF(A3728="","",'KG1-7'!$B$2)</f>
        <v/>
      </c>
      <c r="D3728" s="126">
        <f t="array" ref="D3728">IF(A3728="","",IFERROR(SMALL(IF((('KG1-7'!$AD15:$IM15="غياب بدون عذر")+('KG1-7'!$AD15:$IM15="غياب بعذر"))*('KG1-7'!$AD$7:$IM$7="✓"),'KG1-7'!$AD$5:$IM$5),7),""))</f>
        <v/>
      </c>
      <c r="E3728">
        <f>IF(D3728="","",INDEX('KG1-7'!$AD15:$IM15,MATCH(D3728,'KG1-7'!$AD$5:$IM$5,0)))</f>
        <v/>
      </c>
      <c r="F3728">
        <f>IF(D3728="","",COUNTIFS('KG1-7'!$AD15:$IM15,"غياب بدون عذر",'KG1-7'!$AD$7:$IM$7,"✓",'KG1-7'!$AD$5:$IM$5,"&lt;="&amp;D3728))</f>
        <v/>
      </c>
      <c r="G3728">
        <f>G3727+IF(D3728="",0,1)</f>
        <v/>
      </c>
    </row>
    <row r="3729">
      <c r="A3729">
        <f>IF('KG1-7'!$B15="","",'KG1-7'!$B15)</f>
        <v/>
      </c>
      <c r="B3729">
        <f>IF(A3729="","",'KG1-7'!$C15)</f>
        <v/>
      </c>
      <c r="C3729">
        <f>IF(A3729="","",'KG1-7'!$B$2)</f>
        <v/>
      </c>
      <c r="D3729" s="126">
        <f t="array" ref="D3729">IF(A3729="","",IFERROR(SMALL(IF((('KG1-7'!$AD15:$IM15="غياب بدون عذر")+('KG1-7'!$AD15:$IM15="غياب بعذر"))*('KG1-7'!$AD$7:$IM$7="✓"),'KG1-7'!$AD$5:$IM$5),8),""))</f>
        <v/>
      </c>
      <c r="E3729">
        <f>IF(D3729="","",INDEX('KG1-7'!$AD15:$IM15,MATCH(D3729,'KG1-7'!$AD$5:$IM$5,0)))</f>
        <v/>
      </c>
      <c r="F3729">
        <f>IF(D3729="","",COUNTIFS('KG1-7'!$AD15:$IM15,"غياب بدون عذر",'KG1-7'!$AD$7:$IM$7,"✓",'KG1-7'!$AD$5:$IM$5,"&lt;="&amp;D3729))</f>
        <v/>
      </c>
      <c r="G3729">
        <f>G3728+IF(D3729="",0,1)</f>
        <v/>
      </c>
    </row>
    <row r="3730">
      <c r="A3730">
        <f>IF('KG1-7'!$B15="","",'KG1-7'!$B15)</f>
        <v/>
      </c>
      <c r="B3730">
        <f>IF(A3730="","",'KG1-7'!$C15)</f>
        <v/>
      </c>
      <c r="C3730">
        <f>IF(A3730="","",'KG1-7'!$B$2)</f>
        <v/>
      </c>
      <c r="D3730" s="126">
        <f t="array" ref="D3730">IF(A3730="","",IFERROR(SMALL(IF((('KG1-7'!$AD15:$IM15="غياب بدون عذر")+('KG1-7'!$AD15:$IM15="غياب بعذر"))*('KG1-7'!$AD$7:$IM$7="✓"),'KG1-7'!$AD$5:$IM$5),9),""))</f>
        <v/>
      </c>
      <c r="E3730">
        <f>IF(D3730="","",INDEX('KG1-7'!$AD15:$IM15,MATCH(D3730,'KG1-7'!$AD$5:$IM$5,0)))</f>
        <v/>
      </c>
      <c r="F3730">
        <f>IF(D3730="","",COUNTIFS('KG1-7'!$AD15:$IM15,"غياب بدون عذر",'KG1-7'!$AD$7:$IM$7,"✓",'KG1-7'!$AD$5:$IM$5,"&lt;="&amp;D3730))</f>
        <v/>
      </c>
      <c r="G3730">
        <f>G3729+IF(D3730="",0,1)</f>
        <v/>
      </c>
    </row>
    <row r="3731">
      <c r="A3731">
        <f>IF('KG1-7'!$B15="","",'KG1-7'!$B15)</f>
        <v/>
      </c>
      <c r="B3731">
        <f>IF(A3731="","",'KG1-7'!$C15)</f>
        <v/>
      </c>
      <c r="C3731">
        <f>IF(A3731="","",'KG1-7'!$B$2)</f>
        <v/>
      </c>
      <c r="D3731" s="126">
        <f t="array" ref="D3731">IF(A3731="","",IFERROR(SMALL(IF((('KG1-7'!$AD15:$IM15="غياب بدون عذر")+('KG1-7'!$AD15:$IM15="غياب بعذر"))*('KG1-7'!$AD$7:$IM$7="✓"),'KG1-7'!$AD$5:$IM$5),10),""))</f>
        <v/>
      </c>
      <c r="E3731">
        <f>IF(D3731="","",INDEX('KG1-7'!$AD15:$IM15,MATCH(D3731,'KG1-7'!$AD$5:$IM$5,0)))</f>
        <v/>
      </c>
      <c r="F3731">
        <f>IF(D3731="","",COUNTIFS('KG1-7'!$AD15:$IM15,"غياب بدون عذر",'KG1-7'!$AD$7:$IM$7,"✓",'KG1-7'!$AD$5:$IM$5,"&lt;="&amp;D3731))</f>
        <v/>
      </c>
      <c r="G3731">
        <f>G3730+IF(D3731="",0,1)</f>
        <v/>
      </c>
    </row>
    <row r="3732">
      <c r="A3732">
        <f>IF('KG1-7'!$B15="","",'KG1-7'!$B15)</f>
        <v/>
      </c>
      <c r="B3732">
        <f>IF(A3732="","",'KG1-7'!$C15)</f>
        <v/>
      </c>
      <c r="C3732">
        <f>IF(A3732="","",'KG1-7'!$B$2)</f>
        <v/>
      </c>
      <c r="D3732" s="126">
        <f t="array" ref="D3732">IF(A3732="","",IFERROR(SMALL(IF((('KG1-7'!$AD15:$IM15="غياب بدون عذر")+('KG1-7'!$AD15:$IM15="غياب بعذر"))*('KG1-7'!$AD$7:$IM$7="✓"),'KG1-7'!$AD$5:$IM$5),11),""))</f>
        <v/>
      </c>
      <c r="E3732">
        <f>IF(D3732="","",INDEX('KG1-7'!$AD15:$IM15,MATCH(D3732,'KG1-7'!$AD$5:$IM$5,0)))</f>
        <v/>
      </c>
      <c r="F3732">
        <f>IF(D3732="","",COUNTIFS('KG1-7'!$AD15:$IM15,"غياب بدون عذر",'KG1-7'!$AD$7:$IM$7,"✓",'KG1-7'!$AD$5:$IM$5,"&lt;="&amp;D3732))</f>
        <v/>
      </c>
      <c r="G3732">
        <f>G3731+IF(D3732="",0,1)</f>
        <v/>
      </c>
    </row>
    <row r="3733">
      <c r="A3733">
        <f>IF('KG1-7'!$B15="","",'KG1-7'!$B15)</f>
        <v/>
      </c>
      <c r="B3733">
        <f>IF(A3733="","",'KG1-7'!$C15)</f>
        <v/>
      </c>
      <c r="C3733">
        <f>IF(A3733="","",'KG1-7'!$B$2)</f>
        <v/>
      </c>
      <c r="D3733" s="126">
        <f t="array" ref="D3733">IF(A3733="","",IFERROR(SMALL(IF((('KG1-7'!$AD15:$IM15="غياب بدون عذر")+('KG1-7'!$AD15:$IM15="غياب بعذر"))*('KG1-7'!$AD$7:$IM$7="✓"),'KG1-7'!$AD$5:$IM$5),12),""))</f>
        <v/>
      </c>
      <c r="E3733">
        <f>IF(D3733="","",INDEX('KG1-7'!$AD15:$IM15,MATCH(D3733,'KG1-7'!$AD$5:$IM$5,0)))</f>
        <v/>
      </c>
      <c r="F3733">
        <f>IF(D3733="","",COUNTIFS('KG1-7'!$AD15:$IM15,"غياب بدون عذر",'KG1-7'!$AD$7:$IM$7,"✓",'KG1-7'!$AD$5:$IM$5,"&lt;="&amp;D3733))</f>
        <v/>
      </c>
      <c r="G3733">
        <f>G3732+IF(D3733="",0,1)</f>
        <v/>
      </c>
    </row>
    <row r="3734">
      <c r="A3734">
        <f>IF('KG1-7'!$B15="","",'KG1-7'!$B15)</f>
        <v/>
      </c>
      <c r="B3734">
        <f>IF(A3734="","",'KG1-7'!$C15)</f>
        <v/>
      </c>
      <c r="C3734">
        <f>IF(A3734="","",'KG1-7'!$B$2)</f>
        <v/>
      </c>
      <c r="D3734" s="126">
        <f t="array" ref="D3734">IF(A3734="","",IFERROR(SMALL(IF((('KG1-7'!$AD15:$IM15="غياب بدون عذر")+('KG1-7'!$AD15:$IM15="غياب بعذر"))*('KG1-7'!$AD$7:$IM$7="✓"),'KG1-7'!$AD$5:$IM$5),13),""))</f>
        <v/>
      </c>
      <c r="E3734">
        <f>IF(D3734="","",INDEX('KG1-7'!$AD15:$IM15,MATCH(D3734,'KG1-7'!$AD$5:$IM$5,0)))</f>
        <v/>
      </c>
      <c r="F3734">
        <f>IF(D3734="","",COUNTIFS('KG1-7'!$AD15:$IM15,"غياب بدون عذر",'KG1-7'!$AD$7:$IM$7,"✓",'KG1-7'!$AD$5:$IM$5,"&lt;="&amp;D3734))</f>
        <v/>
      </c>
      <c r="G3734">
        <f>G3733+IF(D3734="",0,1)</f>
        <v/>
      </c>
    </row>
    <row r="3735">
      <c r="A3735">
        <f>IF('KG1-7'!$B15="","",'KG1-7'!$B15)</f>
        <v/>
      </c>
      <c r="B3735">
        <f>IF(A3735="","",'KG1-7'!$C15)</f>
        <v/>
      </c>
      <c r="C3735">
        <f>IF(A3735="","",'KG1-7'!$B$2)</f>
        <v/>
      </c>
      <c r="D3735" s="126">
        <f t="array" ref="D3735">IF(A3735="","",IFERROR(SMALL(IF((('KG1-7'!$AD15:$IM15="غياب بدون عذر")+('KG1-7'!$AD15:$IM15="غياب بعذر"))*('KG1-7'!$AD$7:$IM$7="✓"),'KG1-7'!$AD$5:$IM$5),14),""))</f>
        <v/>
      </c>
      <c r="E3735">
        <f>IF(D3735="","",INDEX('KG1-7'!$AD15:$IM15,MATCH(D3735,'KG1-7'!$AD$5:$IM$5,0)))</f>
        <v/>
      </c>
      <c r="F3735">
        <f>IF(D3735="","",COUNTIFS('KG1-7'!$AD15:$IM15,"غياب بدون عذر",'KG1-7'!$AD$7:$IM$7,"✓",'KG1-7'!$AD$5:$IM$5,"&lt;="&amp;D3735))</f>
        <v/>
      </c>
      <c r="G3735">
        <f>G3734+IF(D3735="",0,1)</f>
        <v/>
      </c>
    </row>
    <row r="3736">
      <c r="A3736">
        <f>IF('KG1-7'!$B15="","",'KG1-7'!$B15)</f>
        <v/>
      </c>
      <c r="B3736">
        <f>IF(A3736="","",'KG1-7'!$C15)</f>
        <v/>
      </c>
      <c r="C3736">
        <f>IF(A3736="","",'KG1-7'!$B$2)</f>
        <v/>
      </c>
      <c r="D3736" s="126">
        <f t="array" ref="D3736">IF(A3736="","",IFERROR(SMALL(IF((('KG1-7'!$AD15:$IM15="غياب بدون عذر")+('KG1-7'!$AD15:$IM15="غياب بعذر"))*('KG1-7'!$AD$7:$IM$7="✓"),'KG1-7'!$AD$5:$IM$5),15),""))</f>
        <v/>
      </c>
      <c r="E3736">
        <f>IF(D3736="","",INDEX('KG1-7'!$AD15:$IM15,MATCH(D3736,'KG1-7'!$AD$5:$IM$5,0)))</f>
        <v/>
      </c>
      <c r="F3736">
        <f>IF(D3736="","",COUNTIFS('KG1-7'!$AD15:$IM15,"غياب بدون عذر",'KG1-7'!$AD$7:$IM$7,"✓",'KG1-7'!$AD$5:$IM$5,"&lt;="&amp;D3736))</f>
        <v/>
      </c>
      <c r="G3736">
        <f>G3735+IF(D3736="",0,1)</f>
        <v/>
      </c>
    </row>
    <row r="3737">
      <c r="A3737">
        <f>IF('KG1-7'!$B15="","",'KG1-7'!$B15)</f>
        <v/>
      </c>
      <c r="B3737">
        <f>IF(A3737="","",'KG1-7'!$C15)</f>
        <v/>
      </c>
      <c r="C3737">
        <f>IF(A3737="","",'KG1-7'!$B$2)</f>
        <v/>
      </c>
      <c r="D3737" s="126">
        <f t="array" ref="D3737">IF(A3737="","",IFERROR(SMALL(IF((('KG1-7'!$AD15:$IM15="غياب بدون عذر")+('KG1-7'!$AD15:$IM15="غياب بعذر"))*('KG1-7'!$AD$7:$IM$7="✓"),'KG1-7'!$AD$5:$IM$5),16),""))</f>
        <v/>
      </c>
      <c r="E3737">
        <f>IF(D3737="","",INDEX('KG1-7'!$AD15:$IM15,MATCH(D3737,'KG1-7'!$AD$5:$IM$5,0)))</f>
        <v/>
      </c>
      <c r="F3737">
        <f>IF(D3737="","",COUNTIFS('KG1-7'!$AD15:$IM15,"غياب بدون عذر",'KG1-7'!$AD$7:$IM$7,"✓",'KG1-7'!$AD$5:$IM$5,"&lt;="&amp;D3737))</f>
        <v/>
      </c>
      <c r="G3737">
        <f>G3736+IF(D3737="",0,1)</f>
        <v/>
      </c>
    </row>
    <row r="3738">
      <c r="A3738">
        <f>IF('KG1-7'!$B15="","",'KG1-7'!$B15)</f>
        <v/>
      </c>
      <c r="B3738">
        <f>IF(A3738="","",'KG1-7'!$C15)</f>
        <v/>
      </c>
      <c r="C3738">
        <f>IF(A3738="","",'KG1-7'!$B$2)</f>
        <v/>
      </c>
      <c r="D3738" s="126">
        <f t="array" ref="D3738">IF(A3738="","",IFERROR(SMALL(IF((('KG1-7'!$AD15:$IM15="غياب بدون عذر")+('KG1-7'!$AD15:$IM15="غياب بعذر"))*('KG1-7'!$AD$7:$IM$7="✓"),'KG1-7'!$AD$5:$IM$5),17),""))</f>
        <v/>
      </c>
      <c r="E3738">
        <f>IF(D3738="","",INDEX('KG1-7'!$AD15:$IM15,MATCH(D3738,'KG1-7'!$AD$5:$IM$5,0)))</f>
        <v/>
      </c>
      <c r="F3738">
        <f>IF(D3738="","",COUNTIFS('KG1-7'!$AD15:$IM15,"غياب بدون عذر",'KG1-7'!$AD$7:$IM$7,"✓",'KG1-7'!$AD$5:$IM$5,"&lt;="&amp;D3738))</f>
        <v/>
      </c>
      <c r="G3738">
        <f>G3737+IF(D3738="",0,1)</f>
        <v/>
      </c>
    </row>
    <row r="3739">
      <c r="A3739">
        <f>IF('KG1-7'!$B15="","",'KG1-7'!$B15)</f>
        <v/>
      </c>
      <c r="B3739">
        <f>IF(A3739="","",'KG1-7'!$C15)</f>
        <v/>
      </c>
      <c r="C3739">
        <f>IF(A3739="","",'KG1-7'!$B$2)</f>
        <v/>
      </c>
      <c r="D3739" s="126">
        <f t="array" ref="D3739">IF(A3739="","",IFERROR(SMALL(IF((('KG1-7'!$AD15:$IM15="غياب بدون عذر")+('KG1-7'!$AD15:$IM15="غياب بعذر"))*('KG1-7'!$AD$7:$IM$7="✓"),'KG1-7'!$AD$5:$IM$5),18),""))</f>
        <v/>
      </c>
      <c r="E3739">
        <f>IF(D3739="","",INDEX('KG1-7'!$AD15:$IM15,MATCH(D3739,'KG1-7'!$AD$5:$IM$5,0)))</f>
        <v/>
      </c>
      <c r="F3739">
        <f>IF(D3739="","",COUNTIFS('KG1-7'!$AD15:$IM15,"غياب بدون عذر",'KG1-7'!$AD$7:$IM$7,"✓",'KG1-7'!$AD$5:$IM$5,"&lt;="&amp;D3739))</f>
        <v/>
      </c>
      <c r="G3739">
        <f>G3738+IF(D3739="",0,1)</f>
        <v/>
      </c>
    </row>
    <row r="3740">
      <c r="A3740">
        <f>IF('KG1-7'!$B15="","",'KG1-7'!$B15)</f>
        <v/>
      </c>
      <c r="B3740">
        <f>IF(A3740="","",'KG1-7'!$C15)</f>
        <v/>
      </c>
      <c r="C3740">
        <f>IF(A3740="","",'KG1-7'!$B$2)</f>
        <v/>
      </c>
      <c r="D3740" s="126">
        <f t="array" ref="D3740">IF(A3740="","",IFERROR(SMALL(IF((('KG1-7'!$AD15:$IM15="غياب بدون عذر")+('KG1-7'!$AD15:$IM15="غياب بعذر"))*('KG1-7'!$AD$7:$IM$7="✓"),'KG1-7'!$AD$5:$IM$5),19),""))</f>
        <v/>
      </c>
      <c r="E3740">
        <f>IF(D3740="","",INDEX('KG1-7'!$AD15:$IM15,MATCH(D3740,'KG1-7'!$AD$5:$IM$5,0)))</f>
        <v/>
      </c>
      <c r="F3740">
        <f>IF(D3740="","",COUNTIFS('KG1-7'!$AD15:$IM15,"غياب بدون عذر",'KG1-7'!$AD$7:$IM$7,"✓",'KG1-7'!$AD$5:$IM$5,"&lt;="&amp;D3740))</f>
        <v/>
      </c>
      <c r="G3740">
        <f>G3739+IF(D3740="",0,1)</f>
        <v/>
      </c>
    </row>
    <row r="3741">
      <c r="A3741">
        <f>IF('KG1-7'!$B15="","",'KG1-7'!$B15)</f>
        <v/>
      </c>
      <c r="B3741">
        <f>IF(A3741="","",'KG1-7'!$C15)</f>
        <v/>
      </c>
      <c r="C3741">
        <f>IF(A3741="","",'KG1-7'!$B$2)</f>
        <v/>
      </c>
      <c r="D3741" s="126">
        <f t="array" ref="D3741">IF(A3741="","",IFERROR(SMALL(IF((('KG1-7'!$AD15:$IM15="غياب بدون عذر")+('KG1-7'!$AD15:$IM15="غياب بعذر"))*('KG1-7'!$AD$7:$IM$7="✓"),'KG1-7'!$AD$5:$IM$5),20),""))</f>
        <v/>
      </c>
      <c r="E3741">
        <f>IF(D3741="","",INDEX('KG1-7'!$AD15:$IM15,MATCH(D3741,'KG1-7'!$AD$5:$IM$5,0)))</f>
        <v/>
      </c>
      <c r="F3741">
        <f>IF(D3741="","",COUNTIFS('KG1-7'!$AD15:$IM15,"غياب بدون عذر",'KG1-7'!$AD$7:$IM$7,"✓",'KG1-7'!$AD$5:$IM$5,"&lt;="&amp;D3741))</f>
        <v/>
      </c>
      <c r="G3741">
        <f>G3740+IF(D3741="",0,1)</f>
        <v/>
      </c>
    </row>
    <row r="3742">
      <c r="A3742">
        <f>IF('KG1-7'!$B16="","",'KG1-7'!$B16)</f>
        <v/>
      </c>
      <c r="B3742">
        <f>IF(A3742="","",'KG1-7'!$C16)</f>
        <v/>
      </c>
      <c r="C3742">
        <f>IF(A3742="","",'KG1-7'!$B$2)</f>
        <v/>
      </c>
      <c r="D3742" s="126">
        <f t="array" ref="D3742">IF(A3742="","",IFERROR(SMALL(IF((('KG1-7'!$AD16:$IM16="غياب بدون عذر")+('KG1-7'!$AD16:$IM16="غياب بعذر"))*('KG1-7'!$AD$7:$IM$7="✓"),'KG1-7'!$AD$5:$IM$5),1),""))</f>
        <v/>
      </c>
      <c r="E3742">
        <f>IF(D3742="","",INDEX('KG1-7'!$AD16:$IM16,MATCH(D3742,'KG1-7'!$AD$5:$IM$5,0)))</f>
        <v/>
      </c>
      <c r="F3742">
        <f>IF(D3742="","",COUNTIFS('KG1-7'!$AD16:$IM16,"غياب بدون عذر",'KG1-7'!$AD$7:$IM$7,"✓",'KG1-7'!$AD$5:$IM$5,"&lt;="&amp;D3742))</f>
        <v/>
      </c>
      <c r="G3742">
        <f>G3741+IF(D3742="",0,1)</f>
        <v/>
      </c>
    </row>
    <row r="3743">
      <c r="A3743">
        <f>IF('KG1-7'!$B16="","",'KG1-7'!$B16)</f>
        <v/>
      </c>
      <c r="B3743">
        <f>IF(A3743="","",'KG1-7'!$C16)</f>
        <v/>
      </c>
      <c r="C3743">
        <f>IF(A3743="","",'KG1-7'!$B$2)</f>
        <v/>
      </c>
      <c r="D3743" s="126">
        <f t="array" ref="D3743">IF(A3743="","",IFERROR(SMALL(IF((('KG1-7'!$AD16:$IM16="غياب بدون عذر")+('KG1-7'!$AD16:$IM16="غياب بعذر"))*('KG1-7'!$AD$7:$IM$7="✓"),'KG1-7'!$AD$5:$IM$5),2),""))</f>
        <v/>
      </c>
      <c r="E3743">
        <f>IF(D3743="","",INDEX('KG1-7'!$AD16:$IM16,MATCH(D3743,'KG1-7'!$AD$5:$IM$5,0)))</f>
        <v/>
      </c>
      <c r="F3743">
        <f>IF(D3743="","",COUNTIFS('KG1-7'!$AD16:$IM16,"غياب بدون عذر",'KG1-7'!$AD$7:$IM$7,"✓",'KG1-7'!$AD$5:$IM$5,"&lt;="&amp;D3743))</f>
        <v/>
      </c>
      <c r="G3743">
        <f>G3742+IF(D3743="",0,1)</f>
        <v/>
      </c>
    </row>
    <row r="3744">
      <c r="A3744">
        <f>IF('KG1-7'!$B16="","",'KG1-7'!$B16)</f>
        <v/>
      </c>
      <c r="B3744">
        <f>IF(A3744="","",'KG1-7'!$C16)</f>
        <v/>
      </c>
      <c r="C3744">
        <f>IF(A3744="","",'KG1-7'!$B$2)</f>
        <v/>
      </c>
      <c r="D3744" s="126">
        <f t="array" ref="D3744">IF(A3744="","",IFERROR(SMALL(IF((('KG1-7'!$AD16:$IM16="غياب بدون عذر")+('KG1-7'!$AD16:$IM16="غياب بعذر"))*('KG1-7'!$AD$7:$IM$7="✓"),'KG1-7'!$AD$5:$IM$5),3),""))</f>
        <v/>
      </c>
      <c r="E3744">
        <f>IF(D3744="","",INDEX('KG1-7'!$AD16:$IM16,MATCH(D3744,'KG1-7'!$AD$5:$IM$5,0)))</f>
        <v/>
      </c>
      <c r="F3744">
        <f>IF(D3744="","",COUNTIFS('KG1-7'!$AD16:$IM16,"غياب بدون عذر",'KG1-7'!$AD$7:$IM$7,"✓",'KG1-7'!$AD$5:$IM$5,"&lt;="&amp;D3744))</f>
        <v/>
      </c>
      <c r="G3744">
        <f>G3743+IF(D3744="",0,1)</f>
        <v/>
      </c>
    </row>
    <row r="3745">
      <c r="A3745">
        <f>IF('KG1-7'!$B16="","",'KG1-7'!$B16)</f>
        <v/>
      </c>
      <c r="B3745">
        <f>IF(A3745="","",'KG1-7'!$C16)</f>
        <v/>
      </c>
      <c r="C3745">
        <f>IF(A3745="","",'KG1-7'!$B$2)</f>
        <v/>
      </c>
      <c r="D3745" s="126">
        <f t="array" ref="D3745">IF(A3745="","",IFERROR(SMALL(IF((('KG1-7'!$AD16:$IM16="غياب بدون عذر")+('KG1-7'!$AD16:$IM16="غياب بعذر"))*('KG1-7'!$AD$7:$IM$7="✓"),'KG1-7'!$AD$5:$IM$5),4),""))</f>
        <v/>
      </c>
      <c r="E3745">
        <f>IF(D3745="","",INDEX('KG1-7'!$AD16:$IM16,MATCH(D3745,'KG1-7'!$AD$5:$IM$5,0)))</f>
        <v/>
      </c>
      <c r="F3745">
        <f>IF(D3745="","",COUNTIFS('KG1-7'!$AD16:$IM16,"غياب بدون عذر",'KG1-7'!$AD$7:$IM$7,"✓",'KG1-7'!$AD$5:$IM$5,"&lt;="&amp;D3745))</f>
        <v/>
      </c>
      <c r="G3745">
        <f>G3744+IF(D3745="",0,1)</f>
        <v/>
      </c>
    </row>
    <row r="3746">
      <c r="A3746">
        <f>IF('KG1-7'!$B16="","",'KG1-7'!$B16)</f>
        <v/>
      </c>
      <c r="B3746">
        <f>IF(A3746="","",'KG1-7'!$C16)</f>
        <v/>
      </c>
      <c r="C3746">
        <f>IF(A3746="","",'KG1-7'!$B$2)</f>
        <v/>
      </c>
      <c r="D3746" s="126">
        <f t="array" ref="D3746">IF(A3746="","",IFERROR(SMALL(IF((('KG1-7'!$AD16:$IM16="غياب بدون عذر")+('KG1-7'!$AD16:$IM16="غياب بعذر"))*('KG1-7'!$AD$7:$IM$7="✓"),'KG1-7'!$AD$5:$IM$5),5),""))</f>
        <v/>
      </c>
      <c r="E3746">
        <f>IF(D3746="","",INDEX('KG1-7'!$AD16:$IM16,MATCH(D3746,'KG1-7'!$AD$5:$IM$5,0)))</f>
        <v/>
      </c>
      <c r="F3746">
        <f>IF(D3746="","",COUNTIFS('KG1-7'!$AD16:$IM16,"غياب بدون عذر",'KG1-7'!$AD$7:$IM$7,"✓",'KG1-7'!$AD$5:$IM$5,"&lt;="&amp;D3746))</f>
        <v/>
      </c>
      <c r="G3746">
        <f>G3745+IF(D3746="",0,1)</f>
        <v/>
      </c>
    </row>
    <row r="3747">
      <c r="A3747">
        <f>IF('KG1-7'!$B16="","",'KG1-7'!$B16)</f>
        <v/>
      </c>
      <c r="B3747">
        <f>IF(A3747="","",'KG1-7'!$C16)</f>
        <v/>
      </c>
      <c r="C3747">
        <f>IF(A3747="","",'KG1-7'!$B$2)</f>
        <v/>
      </c>
      <c r="D3747" s="126">
        <f t="array" ref="D3747">IF(A3747="","",IFERROR(SMALL(IF((('KG1-7'!$AD16:$IM16="غياب بدون عذر")+('KG1-7'!$AD16:$IM16="غياب بعذر"))*('KG1-7'!$AD$7:$IM$7="✓"),'KG1-7'!$AD$5:$IM$5),6),""))</f>
        <v/>
      </c>
      <c r="E3747">
        <f>IF(D3747="","",INDEX('KG1-7'!$AD16:$IM16,MATCH(D3747,'KG1-7'!$AD$5:$IM$5,0)))</f>
        <v/>
      </c>
      <c r="F3747">
        <f>IF(D3747="","",COUNTIFS('KG1-7'!$AD16:$IM16,"غياب بدون عذر",'KG1-7'!$AD$7:$IM$7,"✓",'KG1-7'!$AD$5:$IM$5,"&lt;="&amp;D3747))</f>
        <v/>
      </c>
      <c r="G3747">
        <f>G3746+IF(D3747="",0,1)</f>
        <v/>
      </c>
    </row>
    <row r="3748">
      <c r="A3748">
        <f>IF('KG1-7'!$B16="","",'KG1-7'!$B16)</f>
        <v/>
      </c>
      <c r="B3748">
        <f>IF(A3748="","",'KG1-7'!$C16)</f>
        <v/>
      </c>
      <c r="C3748">
        <f>IF(A3748="","",'KG1-7'!$B$2)</f>
        <v/>
      </c>
      <c r="D3748" s="126">
        <f t="array" ref="D3748">IF(A3748="","",IFERROR(SMALL(IF((('KG1-7'!$AD16:$IM16="غياب بدون عذر")+('KG1-7'!$AD16:$IM16="غياب بعذر"))*('KG1-7'!$AD$7:$IM$7="✓"),'KG1-7'!$AD$5:$IM$5),7),""))</f>
        <v/>
      </c>
      <c r="E3748">
        <f>IF(D3748="","",INDEX('KG1-7'!$AD16:$IM16,MATCH(D3748,'KG1-7'!$AD$5:$IM$5,0)))</f>
        <v/>
      </c>
      <c r="F3748">
        <f>IF(D3748="","",COUNTIFS('KG1-7'!$AD16:$IM16,"غياب بدون عذر",'KG1-7'!$AD$7:$IM$7,"✓",'KG1-7'!$AD$5:$IM$5,"&lt;="&amp;D3748))</f>
        <v/>
      </c>
      <c r="G3748">
        <f>G3747+IF(D3748="",0,1)</f>
        <v/>
      </c>
    </row>
    <row r="3749">
      <c r="A3749">
        <f>IF('KG1-7'!$B16="","",'KG1-7'!$B16)</f>
        <v/>
      </c>
      <c r="B3749">
        <f>IF(A3749="","",'KG1-7'!$C16)</f>
        <v/>
      </c>
      <c r="C3749">
        <f>IF(A3749="","",'KG1-7'!$B$2)</f>
        <v/>
      </c>
      <c r="D3749" s="126">
        <f t="array" ref="D3749">IF(A3749="","",IFERROR(SMALL(IF((('KG1-7'!$AD16:$IM16="غياب بدون عذر")+('KG1-7'!$AD16:$IM16="غياب بعذر"))*('KG1-7'!$AD$7:$IM$7="✓"),'KG1-7'!$AD$5:$IM$5),8),""))</f>
        <v/>
      </c>
      <c r="E3749">
        <f>IF(D3749="","",INDEX('KG1-7'!$AD16:$IM16,MATCH(D3749,'KG1-7'!$AD$5:$IM$5,0)))</f>
        <v/>
      </c>
      <c r="F3749">
        <f>IF(D3749="","",COUNTIFS('KG1-7'!$AD16:$IM16,"غياب بدون عذر",'KG1-7'!$AD$7:$IM$7,"✓",'KG1-7'!$AD$5:$IM$5,"&lt;="&amp;D3749))</f>
        <v/>
      </c>
      <c r="G3749">
        <f>G3748+IF(D3749="",0,1)</f>
        <v/>
      </c>
    </row>
    <row r="3750">
      <c r="A3750">
        <f>IF('KG1-7'!$B16="","",'KG1-7'!$B16)</f>
        <v/>
      </c>
      <c r="B3750">
        <f>IF(A3750="","",'KG1-7'!$C16)</f>
        <v/>
      </c>
      <c r="C3750">
        <f>IF(A3750="","",'KG1-7'!$B$2)</f>
        <v/>
      </c>
      <c r="D3750" s="126">
        <f t="array" ref="D3750">IF(A3750="","",IFERROR(SMALL(IF((('KG1-7'!$AD16:$IM16="غياب بدون عذر")+('KG1-7'!$AD16:$IM16="غياب بعذر"))*('KG1-7'!$AD$7:$IM$7="✓"),'KG1-7'!$AD$5:$IM$5),9),""))</f>
        <v/>
      </c>
      <c r="E3750">
        <f>IF(D3750="","",INDEX('KG1-7'!$AD16:$IM16,MATCH(D3750,'KG1-7'!$AD$5:$IM$5,0)))</f>
        <v/>
      </c>
      <c r="F3750">
        <f>IF(D3750="","",COUNTIFS('KG1-7'!$AD16:$IM16,"غياب بدون عذر",'KG1-7'!$AD$7:$IM$7,"✓",'KG1-7'!$AD$5:$IM$5,"&lt;="&amp;D3750))</f>
        <v/>
      </c>
      <c r="G3750">
        <f>G3749+IF(D3750="",0,1)</f>
        <v/>
      </c>
    </row>
    <row r="3751">
      <c r="A3751">
        <f>IF('KG1-7'!$B16="","",'KG1-7'!$B16)</f>
        <v/>
      </c>
      <c r="B3751">
        <f>IF(A3751="","",'KG1-7'!$C16)</f>
        <v/>
      </c>
      <c r="C3751">
        <f>IF(A3751="","",'KG1-7'!$B$2)</f>
        <v/>
      </c>
      <c r="D3751" s="126">
        <f t="array" ref="D3751">IF(A3751="","",IFERROR(SMALL(IF((('KG1-7'!$AD16:$IM16="غياب بدون عذر")+('KG1-7'!$AD16:$IM16="غياب بعذر"))*('KG1-7'!$AD$7:$IM$7="✓"),'KG1-7'!$AD$5:$IM$5),10),""))</f>
        <v/>
      </c>
      <c r="E3751">
        <f>IF(D3751="","",INDEX('KG1-7'!$AD16:$IM16,MATCH(D3751,'KG1-7'!$AD$5:$IM$5,0)))</f>
        <v/>
      </c>
      <c r="F3751">
        <f>IF(D3751="","",COUNTIFS('KG1-7'!$AD16:$IM16,"غياب بدون عذر",'KG1-7'!$AD$7:$IM$7,"✓",'KG1-7'!$AD$5:$IM$5,"&lt;="&amp;D3751))</f>
        <v/>
      </c>
      <c r="G3751">
        <f>G3750+IF(D3751="",0,1)</f>
        <v/>
      </c>
    </row>
    <row r="3752">
      <c r="A3752">
        <f>IF('KG1-7'!$B16="","",'KG1-7'!$B16)</f>
        <v/>
      </c>
      <c r="B3752">
        <f>IF(A3752="","",'KG1-7'!$C16)</f>
        <v/>
      </c>
      <c r="C3752">
        <f>IF(A3752="","",'KG1-7'!$B$2)</f>
        <v/>
      </c>
      <c r="D3752" s="126">
        <f t="array" ref="D3752">IF(A3752="","",IFERROR(SMALL(IF((('KG1-7'!$AD16:$IM16="غياب بدون عذر")+('KG1-7'!$AD16:$IM16="غياب بعذر"))*('KG1-7'!$AD$7:$IM$7="✓"),'KG1-7'!$AD$5:$IM$5),11),""))</f>
        <v/>
      </c>
      <c r="E3752">
        <f>IF(D3752="","",INDEX('KG1-7'!$AD16:$IM16,MATCH(D3752,'KG1-7'!$AD$5:$IM$5,0)))</f>
        <v/>
      </c>
      <c r="F3752">
        <f>IF(D3752="","",COUNTIFS('KG1-7'!$AD16:$IM16,"غياب بدون عذر",'KG1-7'!$AD$7:$IM$7,"✓",'KG1-7'!$AD$5:$IM$5,"&lt;="&amp;D3752))</f>
        <v/>
      </c>
      <c r="G3752">
        <f>G3751+IF(D3752="",0,1)</f>
        <v/>
      </c>
    </row>
    <row r="3753">
      <c r="A3753">
        <f>IF('KG1-7'!$B16="","",'KG1-7'!$B16)</f>
        <v/>
      </c>
      <c r="B3753">
        <f>IF(A3753="","",'KG1-7'!$C16)</f>
        <v/>
      </c>
      <c r="C3753">
        <f>IF(A3753="","",'KG1-7'!$B$2)</f>
        <v/>
      </c>
      <c r="D3753" s="126">
        <f t="array" ref="D3753">IF(A3753="","",IFERROR(SMALL(IF((('KG1-7'!$AD16:$IM16="غياب بدون عذر")+('KG1-7'!$AD16:$IM16="غياب بعذر"))*('KG1-7'!$AD$7:$IM$7="✓"),'KG1-7'!$AD$5:$IM$5),12),""))</f>
        <v/>
      </c>
      <c r="E3753">
        <f>IF(D3753="","",INDEX('KG1-7'!$AD16:$IM16,MATCH(D3753,'KG1-7'!$AD$5:$IM$5,0)))</f>
        <v/>
      </c>
      <c r="F3753">
        <f>IF(D3753="","",COUNTIFS('KG1-7'!$AD16:$IM16,"غياب بدون عذر",'KG1-7'!$AD$7:$IM$7,"✓",'KG1-7'!$AD$5:$IM$5,"&lt;="&amp;D3753))</f>
        <v/>
      </c>
      <c r="G3753">
        <f>G3752+IF(D3753="",0,1)</f>
        <v/>
      </c>
    </row>
    <row r="3754">
      <c r="A3754">
        <f>IF('KG1-7'!$B16="","",'KG1-7'!$B16)</f>
        <v/>
      </c>
      <c r="B3754">
        <f>IF(A3754="","",'KG1-7'!$C16)</f>
        <v/>
      </c>
      <c r="C3754">
        <f>IF(A3754="","",'KG1-7'!$B$2)</f>
        <v/>
      </c>
      <c r="D3754" s="126">
        <f t="array" ref="D3754">IF(A3754="","",IFERROR(SMALL(IF((('KG1-7'!$AD16:$IM16="غياب بدون عذر")+('KG1-7'!$AD16:$IM16="غياب بعذر"))*('KG1-7'!$AD$7:$IM$7="✓"),'KG1-7'!$AD$5:$IM$5),13),""))</f>
        <v/>
      </c>
      <c r="E3754">
        <f>IF(D3754="","",INDEX('KG1-7'!$AD16:$IM16,MATCH(D3754,'KG1-7'!$AD$5:$IM$5,0)))</f>
        <v/>
      </c>
      <c r="F3754">
        <f>IF(D3754="","",COUNTIFS('KG1-7'!$AD16:$IM16,"غياب بدون عذر",'KG1-7'!$AD$7:$IM$7,"✓",'KG1-7'!$AD$5:$IM$5,"&lt;="&amp;D3754))</f>
        <v/>
      </c>
      <c r="G3754">
        <f>G3753+IF(D3754="",0,1)</f>
        <v/>
      </c>
    </row>
    <row r="3755">
      <c r="A3755">
        <f>IF('KG1-7'!$B16="","",'KG1-7'!$B16)</f>
        <v/>
      </c>
      <c r="B3755">
        <f>IF(A3755="","",'KG1-7'!$C16)</f>
        <v/>
      </c>
      <c r="C3755">
        <f>IF(A3755="","",'KG1-7'!$B$2)</f>
        <v/>
      </c>
      <c r="D3755" s="126">
        <f t="array" ref="D3755">IF(A3755="","",IFERROR(SMALL(IF((('KG1-7'!$AD16:$IM16="غياب بدون عذر")+('KG1-7'!$AD16:$IM16="غياب بعذر"))*('KG1-7'!$AD$7:$IM$7="✓"),'KG1-7'!$AD$5:$IM$5),14),""))</f>
        <v/>
      </c>
      <c r="E3755">
        <f>IF(D3755="","",INDEX('KG1-7'!$AD16:$IM16,MATCH(D3755,'KG1-7'!$AD$5:$IM$5,0)))</f>
        <v/>
      </c>
      <c r="F3755">
        <f>IF(D3755="","",COUNTIFS('KG1-7'!$AD16:$IM16,"غياب بدون عذر",'KG1-7'!$AD$7:$IM$7,"✓",'KG1-7'!$AD$5:$IM$5,"&lt;="&amp;D3755))</f>
        <v/>
      </c>
      <c r="G3755">
        <f>G3754+IF(D3755="",0,1)</f>
        <v/>
      </c>
    </row>
    <row r="3756">
      <c r="A3756">
        <f>IF('KG1-7'!$B16="","",'KG1-7'!$B16)</f>
        <v/>
      </c>
      <c r="B3756">
        <f>IF(A3756="","",'KG1-7'!$C16)</f>
        <v/>
      </c>
      <c r="C3756">
        <f>IF(A3756="","",'KG1-7'!$B$2)</f>
        <v/>
      </c>
      <c r="D3756" s="126">
        <f t="array" ref="D3756">IF(A3756="","",IFERROR(SMALL(IF((('KG1-7'!$AD16:$IM16="غياب بدون عذر")+('KG1-7'!$AD16:$IM16="غياب بعذر"))*('KG1-7'!$AD$7:$IM$7="✓"),'KG1-7'!$AD$5:$IM$5),15),""))</f>
        <v/>
      </c>
      <c r="E3756">
        <f>IF(D3756="","",INDEX('KG1-7'!$AD16:$IM16,MATCH(D3756,'KG1-7'!$AD$5:$IM$5,0)))</f>
        <v/>
      </c>
      <c r="F3756">
        <f>IF(D3756="","",COUNTIFS('KG1-7'!$AD16:$IM16,"غياب بدون عذر",'KG1-7'!$AD$7:$IM$7,"✓",'KG1-7'!$AD$5:$IM$5,"&lt;="&amp;D3756))</f>
        <v/>
      </c>
      <c r="G3756">
        <f>G3755+IF(D3756="",0,1)</f>
        <v/>
      </c>
    </row>
    <row r="3757">
      <c r="A3757">
        <f>IF('KG1-7'!$B16="","",'KG1-7'!$B16)</f>
        <v/>
      </c>
      <c r="B3757">
        <f>IF(A3757="","",'KG1-7'!$C16)</f>
        <v/>
      </c>
      <c r="C3757">
        <f>IF(A3757="","",'KG1-7'!$B$2)</f>
        <v/>
      </c>
      <c r="D3757" s="126">
        <f t="array" ref="D3757">IF(A3757="","",IFERROR(SMALL(IF((('KG1-7'!$AD16:$IM16="غياب بدون عذر")+('KG1-7'!$AD16:$IM16="غياب بعذر"))*('KG1-7'!$AD$7:$IM$7="✓"),'KG1-7'!$AD$5:$IM$5),16),""))</f>
        <v/>
      </c>
      <c r="E3757">
        <f>IF(D3757="","",INDEX('KG1-7'!$AD16:$IM16,MATCH(D3757,'KG1-7'!$AD$5:$IM$5,0)))</f>
        <v/>
      </c>
      <c r="F3757">
        <f>IF(D3757="","",COUNTIFS('KG1-7'!$AD16:$IM16,"غياب بدون عذر",'KG1-7'!$AD$7:$IM$7,"✓",'KG1-7'!$AD$5:$IM$5,"&lt;="&amp;D3757))</f>
        <v/>
      </c>
      <c r="G3757">
        <f>G3756+IF(D3757="",0,1)</f>
        <v/>
      </c>
    </row>
    <row r="3758">
      <c r="A3758">
        <f>IF('KG1-7'!$B16="","",'KG1-7'!$B16)</f>
        <v/>
      </c>
      <c r="B3758">
        <f>IF(A3758="","",'KG1-7'!$C16)</f>
        <v/>
      </c>
      <c r="C3758">
        <f>IF(A3758="","",'KG1-7'!$B$2)</f>
        <v/>
      </c>
      <c r="D3758" s="126">
        <f t="array" ref="D3758">IF(A3758="","",IFERROR(SMALL(IF((('KG1-7'!$AD16:$IM16="غياب بدون عذر")+('KG1-7'!$AD16:$IM16="غياب بعذر"))*('KG1-7'!$AD$7:$IM$7="✓"),'KG1-7'!$AD$5:$IM$5),17),""))</f>
        <v/>
      </c>
      <c r="E3758">
        <f>IF(D3758="","",INDEX('KG1-7'!$AD16:$IM16,MATCH(D3758,'KG1-7'!$AD$5:$IM$5,0)))</f>
        <v/>
      </c>
      <c r="F3758">
        <f>IF(D3758="","",COUNTIFS('KG1-7'!$AD16:$IM16,"غياب بدون عذر",'KG1-7'!$AD$7:$IM$7,"✓",'KG1-7'!$AD$5:$IM$5,"&lt;="&amp;D3758))</f>
        <v/>
      </c>
      <c r="G3758">
        <f>G3757+IF(D3758="",0,1)</f>
        <v/>
      </c>
    </row>
    <row r="3759">
      <c r="A3759">
        <f>IF('KG1-7'!$B16="","",'KG1-7'!$B16)</f>
        <v/>
      </c>
      <c r="B3759">
        <f>IF(A3759="","",'KG1-7'!$C16)</f>
        <v/>
      </c>
      <c r="C3759">
        <f>IF(A3759="","",'KG1-7'!$B$2)</f>
        <v/>
      </c>
      <c r="D3759" s="126">
        <f t="array" ref="D3759">IF(A3759="","",IFERROR(SMALL(IF((('KG1-7'!$AD16:$IM16="غياب بدون عذر")+('KG1-7'!$AD16:$IM16="غياب بعذر"))*('KG1-7'!$AD$7:$IM$7="✓"),'KG1-7'!$AD$5:$IM$5),18),""))</f>
        <v/>
      </c>
      <c r="E3759">
        <f>IF(D3759="","",INDEX('KG1-7'!$AD16:$IM16,MATCH(D3759,'KG1-7'!$AD$5:$IM$5,0)))</f>
        <v/>
      </c>
      <c r="F3759">
        <f>IF(D3759="","",COUNTIFS('KG1-7'!$AD16:$IM16,"غياب بدون عذر",'KG1-7'!$AD$7:$IM$7,"✓",'KG1-7'!$AD$5:$IM$5,"&lt;="&amp;D3759))</f>
        <v/>
      </c>
      <c r="G3759">
        <f>G3758+IF(D3759="",0,1)</f>
        <v/>
      </c>
    </row>
    <row r="3760">
      <c r="A3760">
        <f>IF('KG1-7'!$B16="","",'KG1-7'!$B16)</f>
        <v/>
      </c>
      <c r="B3760">
        <f>IF(A3760="","",'KG1-7'!$C16)</f>
        <v/>
      </c>
      <c r="C3760">
        <f>IF(A3760="","",'KG1-7'!$B$2)</f>
        <v/>
      </c>
      <c r="D3760" s="126">
        <f t="array" ref="D3760">IF(A3760="","",IFERROR(SMALL(IF((('KG1-7'!$AD16:$IM16="غياب بدون عذر")+('KG1-7'!$AD16:$IM16="غياب بعذر"))*('KG1-7'!$AD$7:$IM$7="✓"),'KG1-7'!$AD$5:$IM$5),19),""))</f>
        <v/>
      </c>
      <c r="E3760">
        <f>IF(D3760="","",INDEX('KG1-7'!$AD16:$IM16,MATCH(D3760,'KG1-7'!$AD$5:$IM$5,0)))</f>
        <v/>
      </c>
      <c r="F3760">
        <f>IF(D3760="","",COUNTIFS('KG1-7'!$AD16:$IM16,"غياب بدون عذر",'KG1-7'!$AD$7:$IM$7,"✓",'KG1-7'!$AD$5:$IM$5,"&lt;="&amp;D3760))</f>
        <v/>
      </c>
      <c r="G3760">
        <f>G3759+IF(D3760="",0,1)</f>
        <v/>
      </c>
    </row>
    <row r="3761">
      <c r="A3761">
        <f>IF('KG1-7'!$B16="","",'KG1-7'!$B16)</f>
        <v/>
      </c>
      <c r="B3761">
        <f>IF(A3761="","",'KG1-7'!$C16)</f>
        <v/>
      </c>
      <c r="C3761">
        <f>IF(A3761="","",'KG1-7'!$B$2)</f>
        <v/>
      </c>
      <c r="D3761" s="126">
        <f t="array" ref="D3761">IF(A3761="","",IFERROR(SMALL(IF((('KG1-7'!$AD16:$IM16="غياب بدون عذر")+('KG1-7'!$AD16:$IM16="غياب بعذر"))*('KG1-7'!$AD$7:$IM$7="✓"),'KG1-7'!$AD$5:$IM$5),20),""))</f>
        <v/>
      </c>
      <c r="E3761">
        <f>IF(D3761="","",INDEX('KG1-7'!$AD16:$IM16,MATCH(D3761,'KG1-7'!$AD$5:$IM$5,0)))</f>
        <v/>
      </c>
      <c r="F3761">
        <f>IF(D3761="","",COUNTIFS('KG1-7'!$AD16:$IM16,"غياب بدون عذر",'KG1-7'!$AD$7:$IM$7,"✓",'KG1-7'!$AD$5:$IM$5,"&lt;="&amp;D3761))</f>
        <v/>
      </c>
      <c r="G3761">
        <f>G3760+IF(D3761="",0,1)</f>
        <v/>
      </c>
    </row>
    <row r="3762">
      <c r="A3762">
        <f>IF('KG1-7'!$B17="","",'KG1-7'!$B17)</f>
        <v/>
      </c>
      <c r="B3762">
        <f>IF(A3762="","",'KG1-7'!$C17)</f>
        <v/>
      </c>
      <c r="C3762">
        <f>IF(A3762="","",'KG1-7'!$B$2)</f>
        <v/>
      </c>
      <c r="D3762" s="126">
        <f t="array" ref="D3762">IF(A3762="","",IFERROR(SMALL(IF((('KG1-7'!$AD17:$IM17="غياب بدون عذر")+('KG1-7'!$AD17:$IM17="غياب بعذر"))*('KG1-7'!$AD$7:$IM$7="✓"),'KG1-7'!$AD$5:$IM$5),1),""))</f>
        <v/>
      </c>
      <c r="E3762">
        <f>IF(D3762="","",INDEX('KG1-7'!$AD17:$IM17,MATCH(D3762,'KG1-7'!$AD$5:$IM$5,0)))</f>
        <v/>
      </c>
      <c r="F3762">
        <f>IF(D3762="","",COUNTIFS('KG1-7'!$AD17:$IM17,"غياب بدون عذر",'KG1-7'!$AD$7:$IM$7,"✓",'KG1-7'!$AD$5:$IM$5,"&lt;="&amp;D3762))</f>
        <v/>
      </c>
      <c r="G3762">
        <f>G3761+IF(D3762="",0,1)</f>
        <v/>
      </c>
    </row>
    <row r="3763">
      <c r="A3763">
        <f>IF('KG1-7'!$B17="","",'KG1-7'!$B17)</f>
        <v/>
      </c>
      <c r="B3763">
        <f>IF(A3763="","",'KG1-7'!$C17)</f>
        <v/>
      </c>
      <c r="C3763">
        <f>IF(A3763="","",'KG1-7'!$B$2)</f>
        <v/>
      </c>
      <c r="D3763" s="126">
        <f t="array" ref="D3763">IF(A3763="","",IFERROR(SMALL(IF((('KG1-7'!$AD17:$IM17="غياب بدون عذر")+('KG1-7'!$AD17:$IM17="غياب بعذر"))*('KG1-7'!$AD$7:$IM$7="✓"),'KG1-7'!$AD$5:$IM$5),2),""))</f>
        <v/>
      </c>
      <c r="E3763">
        <f>IF(D3763="","",INDEX('KG1-7'!$AD17:$IM17,MATCH(D3763,'KG1-7'!$AD$5:$IM$5,0)))</f>
        <v/>
      </c>
      <c r="F3763">
        <f>IF(D3763="","",COUNTIFS('KG1-7'!$AD17:$IM17,"غياب بدون عذر",'KG1-7'!$AD$7:$IM$7,"✓",'KG1-7'!$AD$5:$IM$5,"&lt;="&amp;D3763))</f>
        <v/>
      </c>
      <c r="G3763">
        <f>G3762+IF(D3763="",0,1)</f>
        <v/>
      </c>
    </row>
    <row r="3764">
      <c r="A3764">
        <f>IF('KG1-7'!$B17="","",'KG1-7'!$B17)</f>
        <v/>
      </c>
      <c r="B3764">
        <f>IF(A3764="","",'KG1-7'!$C17)</f>
        <v/>
      </c>
      <c r="C3764">
        <f>IF(A3764="","",'KG1-7'!$B$2)</f>
        <v/>
      </c>
      <c r="D3764" s="126">
        <f t="array" ref="D3764">IF(A3764="","",IFERROR(SMALL(IF((('KG1-7'!$AD17:$IM17="غياب بدون عذر")+('KG1-7'!$AD17:$IM17="غياب بعذر"))*('KG1-7'!$AD$7:$IM$7="✓"),'KG1-7'!$AD$5:$IM$5),3),""))</f>
        <v/>
      </c>
      <c r="E3764">
        <f>IF(D3764="","",INDEX('KG1-7'!$AD17:$IM17,MATCH(D3764,'KG1-7'!$AD$5:$IM$5,0)))</f>
        <v/>
      </c>
      <c r="F3764">
        <f>IF(D3764="","",COUNTIFS('KG1-7'!$AD17:$IM17,"غياب بدون عذر",'KG1-7'!$AD$7:$IM$7,"✓",'KG1-7'!$AD$5:$IM$5,"&lt;="&amp;D3764))</f>
        <v/>
      </c>
      <c r="G3764">
        <f>G3763+IF(D3764="",0,1)</f>
        <v/>
      </c>
    </row>
    <row r="3765">
      <c r="A3765">
        <f>IF('KG1-7'!$B17="","",'KG1-7'!$B17)</f>
        <v/>
      </c>
      <c r="B3765">
        <f>IF(A3765="","",'KG1-7'!$C17)</f>
        <v/>
      </c>
      <c r="C3765">
        <f>IF(A3765="","",'KG1-7'!$B$2)</f>
        <v/>
      </c>
      <c r="D3765" s="126">
        <f t="array" ref="D3765">IF(A3765="","",IFERROR(SMALL(IF((('KG1-7'!$AD17:$IM17="غياب بدون عذر")+('KG1-7'!$AD17:$IM17="غياب بعذر"))*('KG1-7'!$AD$7:$IM$7="✓"),'KG1-7'!$AD$5:$IM$5),4),""))</f>
        <v/>
      </c>
      <c r="E3765">
        <f>IF(D3765="","",INDEX('KG1-7'!$AD17:$IM17,MATCH(D3765,'KG1-7'!$AD$5:$IM$5,0)))</f>
        <v/>
      </c>
      <c r="F3765">
        <f>IF(D3765="","",COUNTIFS('KG1-7'!$AD17:$IM17,"غياب بدون عذر",'KG1-7'!$AD$7:$IM$7,"✓",'KG1-7'!$AD$5:$IM$5,"&lt;="&amp;D3765))</f>
        <v/>
      </c>
      <c r="G3765">
        <f>G3764+IF(D3765="",0,1)</f>
        <v/>
      </c>
    </row>
    <row r="3766">
      <c r="A3766">
        <f>IF('KG1-7'!$B17="","",'KG1-7'!$B17)</f>
        <v/>
      </c>
      <c r="B3766">
        <f>IF(A3766="","",'KG1-7'!$C17)</f>
        <v/>
      </c>
      <c r="C3766">
        <f>IF(A3766="","",'KG1-7'!$B$2)</f>
        <v/>
      </c>
      <c r="D3766" s="126">
        <f t="array" ref="D3766">IF(A3766="","",IFERROR(SMALL(IF((('KG1-7'!$AD17:$IM17="غياب بدون عذر")+('KG1-7'!$AD17:$IM17="غياب بعذر"))*('KG1-7'!$AD$7:$IM$7="✓"),'KG1-7'!$AD$5:$IM$5),5),""))</f>
        <v/>
      </c>
      <c r="E3766">
        <f>IF(D3766="","",INDEX('KG1-7'!$AD17:$IM17,MATCH(D3766,'KG1-7'!$AD$5:$IM$5,0)))</f>
        <v/>
      </c>
      <c r="F3766">
        <f>IF(D3766="","",COUNTIFS('KG1-7'!$AD17:$IM17,"غياب بدون عذر",'KG1-7'!$AD$7:$IM$7,"✓",'KG1-7'!$AD$5:$IM$5,"&lt;="&amp;D3766))</f>
        <v/>
      </c>
      <c r="G3766">
        <f>G3765+IF(D3766="",0,1)</f>
        <v/>
      </c>
    </row>
    <row r="3767">
      <c r="A3767">
        <f>IF('KG1-7'!$B17="","",'KG1-7'!$B17)</f>
        <v/>
      </c>
      <c r="B3767">
        <f>IF(A3767="","",'KG1-7'!$C17)</f>
        <v/>
      </c>
      <c r="C3767">
        <f>IF(A3767="","",'KG1-7'!$B$2)</f>
        <v/>
      </c>
      <c r="D3767" s="126">
        <f t="array" ref="D3767">IF(A3767="","",IFERROR(SMALL(IF((('KG1-7'!$AD17:$IM17="غياب بدون عذر")+('KG1-7'!$AD17:$IM17="غياب بعذر"))*('KG1-7'!$AD$7:$IM$7="✓"),'KG1-7'!$AD$5:$IM$5),6),""))</f>
        <v/>
      </c>
      <c r="E3767">
        <f>IF(D3767="","",INDEX('KG1-7'!$AD17:$IM17,MATCH(D3767,'KG1-7'!$AD$5:$IM$5,0)))</f>
        <v/>
      </c>
      <c r="F3767">
        <f>IF(D3767="","",COUNTIFS('KG1-7'!$AD17:$IM17,"غياب بدون عذر",'KG1-7'!$AD$7:$IM$7,"✓",'KG1-7'!$AD$5:$IM$5,"&lt;="&amp;D3767))</f>
        <v/>
      </c>
      <c r="G3767">
        <f>G3766+IF(D3767="",0,1)</f>
        <v/>
      </c>
    </row>
    <row r="3768">
      <c r="A3768">
        <f>IF('KG1-7'!$B17="","",'KG1-7'!$B17)</f>
        <v/>
      </c>
      <c r="B3768">
        <f>IF(A3768="","",'KG1-7'!$C17)</f>
        <v/>
      </c>
      <c r="C3768">
        <f>IF(A3768="","",'KG1-7'!$B$2)</f>
        <v/>
      </c>
      <c r="D3768" s="126">
        <f t="array" ref="D3768">IF(A3768="","",IFERROR(SMALL(IF((('KG1-7'!$AD17:$IM17="غياب بدون عذر")+('KG1-7'!$AD17:$IM17="غياب بعذر"))*('KG1-7'!$AD$7:$IM$7="✓"),'KG1-7'!$AD$5:$IM$5),7),""))</f>
        <v/>
      </c>
      <c r="E3768">
        <f>IF(D3768="","",INDEX('KG1-7'!$AD17:$IM17,MATCH(D3768,'KG1-7'!$AD$5:$IM$5,0)))</f>
        <v/>
      </c>
      <c r="F3768">
        <f>IF(D3768="","",COUNTIFS('KG1-7'!$AD17:$IM17,"غياب بدون عذر",'KG1-7'!$AD$7:$IM$7,"✓",'KG1-7'!$AD$5:$IM$5,"&lt;="&amp;D3768))</f>
        <v/>
      </c>
      <c r="G3768">
        <f>G3767+IF(D3768="",0,1)</f>
        <v/>
      </c>
    </row>
    <row r="3769">
      <c r="A3769">
        <f>IF('KG1-7'!$B17="","",'KG1-7'!$B17)</f>
        <v/>
      </c>
      <c r="B3769">
        <f>IF(A3769="","",'KG1-7'!$C17)</f>
        <v/>
      </c>
      <c r="C3769">
        <f>IF(A3769="","",'KG1-7'!$B$2)</f>
        <v/>
      </c>
      <c r="D3769" s="126">
        <f t="array" ref="D3769">IF(A3769="","",IFERROR(SMALL(IF((('KG1-7'!$AD17:$IM17="غياب بدون عذر")+('KG1-7'!$AD17:$IM17="غياب بعذر"))*('KG1-7'!$AD$7:$IM$7="✓"),'KG1-7'!$AD$5:$IM$5),8),""))</f>
        <v/>
      </c>
      <c r="E3769">
        <f>IF(D3769="","",INDEX('KG1-7'!$AD17:$IM17,MATCH(D3769,'KG1-7'!$AD$5:$IM$5,0)))</f>
        <v/>
      </c>
      <c r="F3769">
        <f>IF(D3769="","",COUNTIFS('KG1-7'!$AD17:$IM17,"غياب بدون عذر",'KG1-7'!$AD$7:$IM$7,"✓",'KG1-7'!$AD$5:$IM$5,"&lt;="&amp;D3769))</f>
        <v/>
      </c>
      <c r="G3769">
        <f>G3768+IF(D3769="",0,1)</f>
        <v/>
      </c>
    </row>
    <row r="3770">
      <c r="A3770">
        <f>IF('KG1-7'!$B17="","",'KG1-7'!$B17)</f>
        <v/>
      </c>
      <c r="B3770">
        <f>IF(A3770="","",'KG1-7'!$C17)</f>
        <v/>
      </c>
      <c r="C3770">
        <f>IF(A3770="","",'KG1-7'!$B$2)</f>
        <v/>
      </c>
      <c r="D3770" s="126">
        <f t="array" ref="D3770">IF(A3770="","",IFERROR(SMALL(IF((('KG1-7'!$AD17:$IM17="غياب بدون عذر")+('KG1-7'!$AD17:$IM17="غياب بعذر"))*('KG1-7'!$AD$7:$IM$7="✓"),'KG1-7'!$AD$5:$IM$5),9),""))</f>
        <v/>
      </c>
      <c r="E3770">
        <f>IF(D3770="","",INDEX('KG1-7'!$AD17:$IM17,MATCH(D3770,'KG1-7'!$AD$5:$IM$5,0)))</f>
        <v/>
      </c>
      <c r="F3770">
        <f>IF(D3770="","",COUNTIFS('KG1-7'!$AD17:$IM17,"غياب بدون عذر",'KG1-7'!$AD$7:$IM$7,"✓",'KG1-7'!$AD$5:$IM$5,"&lt;="&amp;D3770))</f>
        <v/>
      </c>
      <c r="G3770">
        <f>G3769+IF(D3770="",0,1)</f>
        <v/>
      </c>
    </row>
    <row r="3771">
      <c r="A3771">
        <f>IF('KG1-7'!$B17="","",'KG1-7'!$B17)</f>
        <v/>
      </c>
      <c r="B3771">
        <f>IF(A3771="","",'KG1-7'!$C17)</f>
        <v/>
      </c>
      <c r="C3771">
        <f>IF(A3771="","",'KG1-7'!$B$2)</f>
        <v/>
      </c>
      <c r="D3771" s="126">
        <f t="array" ref="D3771">IF(A3771="","",IFERROR(SMALL(IF((('KG1-7'!$AD17:$IM17="غياب بدون عذر")+('KG1-7'!$AD17:$IM17="غياب بعذر"))*('KG1-7'!$AD$7:$IM$7="✓"),'KG1-7'!$AD$5:$IM$5),10),""))</f>
        <v/>
      </c>
      <c r="E3771">
        <f>IF(D3771="","",INDEX('KG1-7'!$AD17:$IM17,MATCH(D3771,'KG1-7'!$AD$5:$IM$5,0)))</f>
        <v/>
      </c>
      <c r="F3771">
        <f>IF(D3771="","",COUNTIFS('KG1-7'!$AD17:$IM17,"غياب بدون عذر",'KG1-7'!$AD$7:$IM$7,"✓",'KG1-7'!$AD$5:$IM$5,"&lt;="&amp;D3771))</f>
        <v/>
      </c>
      <c r="G3771">
        <f>G3770+IF(D3771="",0,1)</f>
        <v/>
      </c>
    </row>
    <row r="3772">
      <c r="A3772">
        <f>IF('KG1-7'!$B17="","",'KG1-7'!$B17)</f>
        <v/>
      </c>
      <c r="B3772">
        <f>IF(A3772="","",'KG1-7'!$C17)</f>
        <v/>
      </c>
      <c r="C3772">
        <f>IF(A3772="","",'KG1-7'!$B$2)</f>
        <v/>
      </c>
      <c r="D3772" s="126">
        <f t="array" ref="D3772">IF(A3772="","",IFERROR(SMALL(IF((('KG1-7'!$AD17:$IM17="غياب بدون عذر")+('KG1-7'!$AD17:$IM17="غياب بعذر"))*('KG1-7'!$AD$7:$IM$7="✓"),'KG1-7'!$AD$5:$IM$5),11),""))</f>
        <v/>
      </c>
      <c r="E3772">
        <f>IF(D3772="","",INDEX('KG1-7'!$AD17:$IM17,MATCH(D3772,'KG1-7'!$AD$5:$IM$5,0)))</f>
        <v/>
      </c>
      <c r="F3772">
        <f>IF(D3772="","",COUNTIFS('KG1-7'!$AD17:$IM17,"غياب بدون عذر",'KG1-7'!$AD$7:$IM$7,"✓",'KG1-7'!$AD$5:$IM$5,"&lt;="&amp;D3772))</f>
        <v/>
      </c>
      <c r="G3772">
        <f>G3771+IF(D3772="",0,1)</f>
        <v/>
      </c>
    </row>
    <row r="3773">
      <c r="A3773">
        <f>IF('KG1-7'!$B17="","",'KG1-7'!$B17)</f>
        <v/>
      </c>
      <c r="B3773">
        <f>IF(A3773="","",'KG1-7'!$C17)</f>
        <v/>
      </c>
      <c r="C3773">
        <f>IF(A3773="","",'KG1-7'!$B$2)</f>
        <v/>
      </c>
      <c r="D3773" s="126">
        <f t="array" ref="D3773">IF(A3773="","",IFERROR(SMALL(IF((('KG1-7'!$AD17:$IM17="غياب بدون عذر")+('KG1-7'!$AD17:$IM17="غياب بعذر"))*('KG1-7'!$AD$7:$IM$7="✓"),'KG1-7'!$AD$5:$IM$5),12),""))</f>
        <v/>
      </c>
      <c r="E3773">
        <f>IF(D3773="","",INDEX('KG1-7'!$AD17:$IM17,MATCH(D3773,'KG1-7'!$AD$5:$IM$5,0)))</f>
        <v/>
      </c>
      <c r="F3773">
        <f>IF(D3773="","",COUNTIFS('KG1-7'!$AD17:$IM17,"غياب بدون عذر",'KG1-7'!$AD$7:$IM$7,"✓",'KG1-7'!$AD$5:$IM$5,"&lt;="&amp;D3773))</f>
        <v/>
      </c>
      <c r="G3773">
        <f>G3772+IF(D3773="",0,1)</f>
        <v/>
      </c>
    </row>
    <row r="3774">
      <c r="A3774">
        <f>IF('KG1-7'!$B17="","",'KG1-7'!$B17)</f>
        <v/>
      </c>
      <c r="B3774">
        <f>IF(A3774="","",'KG1-7'!$C17)</f>
        <v/>
      </c>
      <c r="C3774">
        <f>IF(A3774="","",'KG1-7'!$B$2)</f>
        <v/>
      </c>
      <c r="D3774" s="126">
        <f t="array" ref="D3774">IF(A3774="","",IFERROR(SMALL(IF((('KG1-7'!$AD17:$IM17="غياب بدون عذر")+('KG1-7'!$AD17:$IM17="غياب بعذر"))*('KG1-7'!$AD$7:$IM$7="✓"),'KG1-7'!$AD$5:$IM$5),13),""))</f>
        <v/>
      </c>
      <c r="E3774">
        <f>IF(D3774="","",INDEX('KG1-7'!$AD17:$IM17,MATCH(D3774,'KG1-7'!$AD$5:$IM$5,0)))</f>
        <v/>
      </c>
      <c r="F3774">
        <f>IF(D3774="","",COUNTIFS('KG1-7'!$AD17:$IM17,"غياب بدون عذر",'KG1-7'!$AD$7:$IM$7,"✓",'KG1-7'!$AD$5:$IM$5,"&lt;="&amp;D3774))</f>
        <v/>
      </c>
      <c r="G3774">
        <f>G3773+IF(D3774="",0,1)</f>
        <v/>
      </c>
    </row>
    <row r="3775">
      <c r="A3775">
        <f>IF('KG1-7'!$B17="","",'KG1-7'!$B17)</f>
        <v/>
      </c>
      <c r="B3775">
        <f>IF(A3775="","",'KG1-7'!$C17)</f>
        <v/>
      </c>
      <c r="C3775">
        <f>IF(A3775="","",'KG1-7'!$B$2)</f>
        <v/>
      </c>
      <c r="D3775" s="126">
        <f t="array" ref="D3775">IF(A3775="","",IFERROR(SMALL(IF((('KG1-7'!$AD17:$IM17="غياب بدون عذر")+('KG1-7'!$AD17:$IM17="غياب بعذر"))*('KG1-7'!$AD$7:$IM$7="✓"),'KG1-7'!$AD$5:$IM$5),14),""))</f>
        <v/>
      </c>
      <c r="E3775">
        <f>IF(D3775="","",INDEX('KG1-7'!$AD17:$IM17,MATCH(D3775,'KG1-7'!$AD$5:$IM$5,0)))</f>
        <v/>
      </c>
      <c r="F3775">
        <f>IF(D3775="","",COUNTIFS('KG1-7'!$AD17:$IM17,"غياب بدون عذر",'KG1-7'!$AD$7:$IM$7,"✓",'KG1-7'!$AD$5:$IM$5,"&lt;="&amp;D3775))</f>
        <v/>
      </c>
      <c r="G3775">
        <f>G3774+IF(D3775="",0,1)</f>
        <v/>
      </c>
    </row>
    <row r="3776">
      <c r="A3776">
        <f>IF('KG1-7'!$B17="","",'KG1-7'!$B17)</f>
        <v/>
      </c>
      <c r="B3776">
        <f>IF(A3776="","",'KG1-7'!$C17)</f>
        <v/>
      </c>
      <c r="C3776">
        <f>IF(A3776="","",'KG1-7'!$B$2)</f>
        <v/>
      </c>
      <c r="D3776" s="126">
        <f t="array" ref="D3776">IF(A3776="","",IFERROR(SMALL(IF((('KG1-7'!$AD17:$IM17="غياب بدون عذر")+('KG1-7'!$AD17:$IM17="غياب بعذر"))*('KG1-7'!$AD$7:$IM$7="✓"),'KG1-7'!$AD$5:$IM$5),15),""))</f>
        <v/>
      </c>
      <c r="E3776">
        <f>IF(D3776="","",INDEX('KG1-7'!$AD17:$IM17,MATCH(D3776,'KG1-7'!$AD$5:$IM$5,0)))</f>
        <v/>
      </c>
      <c r="F3776">
        <f>IF(D3776="","",COUNTIFS('KG1-7'!$AD17:$IM17,"غياب بدون عذر",'KG1-7'!$AD$7:$IM$7,"✓",'KG1-7'!$AD$5:$IM$5,"&lt;="&amp;D3776))</f>
        <v/>
      </c>
      <c r="G3776">
        <f>G3775+IF(D3776="",0,1)</f>
        <v/>
      </c>
    </row>
    <row r="3777">
      <c r="A3777">
        <f>IF('KG1-7'!$B17="","",'KG1-7'!$B17)</f>
        <v/>
      </c>
      <c r="B3777">
        <f>IF(A3777="","",'KG1-7'!$C17)</f>
        <v/>
      </c>
      <c r="C3777">
        <f>IF(A3777="","",'KG1-7'!$B$2)</f>
        <v/>
      </c>
      <c r="D3777" s="126">
        <f t="array" ref="D3777">IF(A3777="","",IFERROR(SMALL(IF((('KG1-7'!$AD17:$IM17="غياب بدون عذر")+('KG1-7'!$AD17:$IM17="غياب بعذر"))*('KG1-7'!$AD$7:$IM$7="✓"),'KG1-7'!$AD$5:$IM$5),16),""))</f>
        <v/>
      </c>
      <c r="E3777">
        <f>IF(D3777="","",INDEX('KG1-7'!$AD17:$IM17,MATCH(D3777,'KG1-7'!$AD$5:$IM$5,0)))</f>
        <v/>
      </c>
      <c r="F3777">
        <f>IF(D3777="","",COUNTIFS('KG1-7'!$AD17:$IM17,"غياب بدون عذر",'KG1-7'!$AD$7:$IM$7,"✓",'KG1-7'!$AD$5:$IM$5,"&lt;="&amp;D3777))</f>
        <v/>
      </c>
      <c r="G3777">
        <f>G3776+IF(D3777="",0,1)</f>
        <v/>
      </c>
    </row>
    <row r="3778">
      <c r="A3778">
        <f>IF('KG1-7'!$B17="","",'KG1-7'!$B17)</f>
        <v/>
      </c>
      <c r="B3778">
        <f>IF(A3778="","",'KG1-7'!$C17)</f>
        <v/>
      </c>
      <c r="C3778">
        <f>IF(A3778="","",'KG1-7'!$B$2)</f>
        <v/>
      </c>
      <c r="D3778" s="126">
        <f t="array" ref="D3778">IF(A3778="","",IFERROR(SMALL(IF((('KG1-7'!$AD17:$IM17="غياب بدون عذر")+('KG1-7'!$AD17:$IM17="غياب بعذر"))*('KG1-7'!$AD$7:$IM$7="✓"),'KG1-7'!$AD$5:$IM$5),17),""))</f>
        <v/>
      </c>
      <c r="E3778">
        <f>IF(D3778="","",INDEX('KG1-7'!$AD17:$IM17,MATCH(D3778,'KG1-7'!$AD$5:$IM$5,0)))</f>
        <v/>
      </c>
      <c r="F3778">
        <f>IF(D3778="","",COUNTIFS('KG1-7'!$AD17:$IM17,"غياب بدون عذر",'KG1-7'!$AD$7:$IM$7,"✓",'KG1-7'!$AD$5:$IM$5,"&lt;="&amp;D3778))</f>
        <v/>
      </c>
      <c r="G3778">
        <f>G3777+IF(D3778="",0,1)</f>
        <v/>
      </c>
    </row>
    <row r="3779">
      <c r="A3779">
        <f>IF('KG1-7'!$B17="","",'KG1-7'!$B17)</f>
        <v/>
      </c>
      <c r="B3779">
        <f>IF(A3779="","",'KG1-7'!$C17)</f>
        <v/>
      </c>
      <c r="C3779">
        <f>IF(A3779="","",'KG1-7'!$B$2)</f>
        <v/>
      </c>
      <c r="D3779" s="126">
        <f t="array" ref="D3779">IF(A3779="","",IFERROR(SMALL(IF((('KG1-7'!$AD17:$IM17="غياب بدون عذر")+('KG1-7'!$AD17:$IM17="غياب بعذر"))*('KG1-7'!$AD$7:$IM$7="✓"),'KG1-7'!$AD$5:$IM$5),18),""))</f>
        <v/>
      </c>
      <c r="E3779">
        <f>IF(D3779="","",INDEX('KG1-7'!$AD17:$IM17,MATCH(D3779,'KG1-7'!$AD$5:$IM$5,0)))</f>
        <v/>
      </c>
      <c r="F3779">
        <f>IF(D3779="","",COUNTIFS('KG1-7'!$AD17:$IM17,"غياب بدون عذر",'KG1-7'!$AD$7:$IM$7,"✓",'KG1-7'!$AD$5:$IM$5,"&lt;="&amp;D3779))</f>
        <v/>
      </c>
      <c r="G3779">
        <f>G3778+IF(D3779="",0,1)</f>
        <v/>
      </c>
    </row>
    <row r="3780">
      <c r="A3780">
        <f>IF('KG1-7'!$B17="","",'KG1-7'!$B17)</f>
        <v/>
      </c>
      <c r="B3780">
        <f>IF(A3780="","",'KG1-7'!$C17)</f>
        <v/>
      </c>
      <c r="C3780">
        <f>IF(A3780="","",'KG1-7'!$B$2)</f>
        <v/>
      </c>
      <c r="D3780" s="126">
        <f t="array" ref="D3780">IF(A3780="","",IFERROR(SMALL(IF((('KG1-7'!$AD17:$IM17="غياب بدون عذر")+('KG1-7'!$AD17:$IM17="غياب بعذر"))*('KG1-7'!$AD$7:$IM$7="✓"),'KG1-7'!$AD$5:$IM$5),19),""))</f>
        <v/>
      </c>
      <c r="E3780">
        <f>IF(D3780="","",INDEX('KG1-7'!$AD17:$IM17,MATCH(D3780,'KG1-7'!$AD$5:$IM$5,0)))</f>
        <v/>
      </c>
      <c r="F3780">
        <f>IF(D3780="","",COUNTIFS('KG1-7'!$AD17:$IM17,"غياب بدون عذر",'KG1-7'!$AD$7:$IM$7,"✓",'KG1-7'!$AD$5:$IM$5,"&lt;="&amp;D3780))</f>
        <v/>
      </c>
      <c r="G3780">
        <f>G3779+IF(D3780="",0,1)</f>
        <v/>
      </c>
    </row>
    <row r="3781">
      <c r="A3781">
        <f>IF('KG1-7'!$B17="","",'KG1-7'!$B17)</f>
        <v/>
      </c>
      <c r="B3781">
        <f>IF(A3781="","",'KG1-7'!$C17)</f>
        <v/>
      </c>
      <c r="C3781">
        <f>IF(A3781="","",'KG1-7'!$B$2)</f>
        <v/>
      </c>
      <c r="D3781" s="126">
        <f t="array" ref="D3781">IF(A3781="","",IFERROR(SMALL(IF((('KG1-7'!$AD17:$IM17="غياب بدون عذر")+('KG1-7'!$AD17:$IM17="غياب بعذر"))*('KG1-7'!$AD$7:$IM$7="✓"),'KG1-7'!$AD$5:$IM$5),20),""))</f>
        <v/>
      </c>
      <c r="E3781">
        <f>IF(D3781="","",INDEX('KG1-7'!$AD17:$IM17,MATCH(D3781,'KG1-7'!$AD$5:$IM$5,0)))</f>
        <v/>
      </c>
      <c r="F3781">
        <f>IF(D3781="","",COUNTIFS('KG1-7'!$AD17:$IM17,"غياب بدون عذر",'KG1-7'!$AD$7:$IM$7,"✓",'KG1-7'!$AD$5:$IM$5,"&lt;="&amp;D3781))</f>
        <v/>
      </c>
      <c r="G3781">
        <f>G3780+IF(D3781="",0,1)</f>
        <v/>
      </c>
    </row>
    <row r="3782">
      <c r="A3782">
        <f>IF('KG1-7'!$B18="","",'KG1-7'!$B18)</f>
        <v/>
      </c>
      <c r="B3782">
        <f>IF(A3782="","",'KG1-7'!$C18)</f>
        <v/>
      </c>
      <c r="C3782">
        <f>IF(A3782="","",'KG1-7'!$B$2)</f>
        <v/>
      </c>
      <c r="D3782" s="126">
        <f t="array" ref="D3782">IF(A3782="","",IFERROR(SMALL(IF((('KG1-7'!$AD18:$IM18="غياب بدون عذر")+('KG1-7'!$AD18:$IM18="غياب بعذر"))*('KG1-7'!$AD$7:$IM$7="✓"),'KG1-7'!$AD$5:$IM$5),1),""))</f>
        <v/>
      </c>
      <c r="E3782">
        <f>IF(D3782="","",INDEX('KG1-7'!$AD18:$IM18,MATCH(D3782,'KG1-7'!$AD$5:$IM$5,0)))</f>
        <v/>
      </c>
      <c r="F3782">
        <f>IF(D3782="","",COUNTIFS('KG1-7'!$AD18:$IM18,"غياب بدون عذر",'KG1-7'!$AD$7:$IM$7,"✓",'KG1-7'!$AD$5:$IM$5,"&lt;="&amp;D3782))</f>
        <v/>
      </c>
      <c r="G3782">
        <f>G3781+IF(D3782="",0,1)</f>
        <v/>
      </c>
    </row>
    <row r="3783">
      <c r="A3783">
        <f>IF('KG1-7'!$B18="","",'KG1-7'!$B18)</f>
        <v/>
      </c>
      <c r="B3783">
        <f>IF(A3783="","",'KG1-7'!$C18)</f>
        <v/>
      </c>
      <c r="C3783">
        <f>IF(A3783="","",'KG1-7'!$B$2)</f>
        <v/>
      </c>
      <c r="D3783" s="126">
        <f t="array" ref="D3783">IF(A3783="","",IFERROR(SMALL(IF((('KG1-7'!$AD18:$IM18="غياب بدون عذر")+('KG1-7'!$AD18:$IM18="غياب بعذر"))*('KG1-7'!$AD$7:$IM$7="✓"),'KG1-7'!$AD$5:$IM$5),2),""))</f>
        <v/>
      </c>
      <c r="E3783">
        <f>IF(D3783="","",INDEX('KG1-7'!$AD18:$IM18,MATCH(D3783,'KG1-7'!$AD$5:$IM$5,0)))</f>
        <v/>
      </c>
      <c r="F3783">
        <f>IF(D3783="","",COUNTIFS('KG1-7'!$AD18:$IM18,"غياب بدون عذر",'KG1-7'!$AD$7:$IM$7,"✓",'KG1-7'!$AD$5:$IM$5,"&lt;="&amp;D3783))</f>
        <v/>
      </c>
      <c r="G3783">
        <f>G3782+IF(D3783="",0,1)</f>
        <v/>
      </c>
    </row>
    <row r="3784">
      <c r="A3784">
        <f>IF('KG1-7'!$B18="","",'KG1-7'!$B18)</f>
        <v/>
      </c>
      <c r="B3784">
        <f>IF(A3784="","",'KG1-7'!$C18)</f>
        <v/>
      </c>
      <c r="C3784">
        <f>IF(A3784="","",'KG1-7'!$B$2)</f>
        <v/>
      </c>
      <c r="D3784" s="126">
        <f t="array" ref="D3784">IF(A3784="","",IFERROR(SMALL(IF((('KG1-7'!$AD18:$IM18="غياب بدون عذر")+('KG1-7'!$AD18:$IM18="غياب بعذر"))*('KG1-7'!$AD$7:$IM$7="✓"),'KG1-7'!$AD$5:$IM$5),3),""))</f>
        <v/>
      </c>
      <c r="E3784">
        <f>IF(D3784="","",INDEX('KG1-7'!$AD18:$IM18,MATCH(D3784,'KG1-7'!$AD$5:$IM$5,0)))</f>
        <v/>
      </c>
      <c r="F3784">
        <f>IF(D3784="","",COUNTIFS('KG1-7'!$AD18:$IM18,"غياب بدون عذر",'KG1-7'!$AD$7:$IM$7,"✓",'KG1-7'!$AD$5:$IM$5,"&lt;="&amp;D3784))</f>
        <v/>
      </c>
      <c r="G3784">
        <f>G3783+IF(D3784="",0,1)</f>
        <v/>
      </c>
    </row>
    <row r="3785">
      <c r="A3785">
        <f>IF('KG1-7'!$B18="","",'KG1-7'!$B18)</f>
        <v/>
      </c>
      <c r="B3785">
        <f>IF(A3785="","",'KG1-7'!$C18)</f>
        <v/>
      </c>
      <c r="C3785">
        <f>IF(A3785="","",'KG1-7'!$B$2)</f>
        <v/>
      </c>
      <c r="D3785" s="126">
        <f t="array" ref="D3785">IF(A3785="","",IFERROR(SMALL(IF((('KG1-7'!$AD18:$IM18="غياب بدون عذر")+('KG1-7'!$AD18:$IM18="غياب بعذر"))*('KG1-7'!$AD$7:$IM$7="✓"),'KG1-7'!$AD$5:$IM$5),4),""))</f>
        <v/>
      </c>
      <c r="E3785">
        <f>IF(D3785="","",INDEX('KG1-7'!$AD18:$IM18,MATCH(D3785,'KG1-7'!$AD$5:$IM$5,0)))</f>
        <v/>
      </c>
      <c r="F3785">
        <f>IF(D3785="","",COUNTIFS('KG1-7'!$AD18:$IM18,"غياب بدون عذر",'KG1-7'!$AD$7:$IM$7,"✓",'KG1-7'!$AD$5:$IM$5,"&lt;="&amp;D3785))</f>
        <v/>
      </c>
      <c r="G3785">
        <f>G3784+IF(D3785="",0,1)</f>
        <v/>
      </c>
    </row>
    <row r="3786">
      <c r="A3786">
        <f>IF('KG1-7'!$B18="","",'KG1-7'!$B18)</f>
        <v/>
      </c>
      <c r="B3786">
        <f>IF(A3786="","",'KG1-7'!$C18)</f>
        <v/>
      </c>
      <c r="C3786">
        <f>IF(A3786="","",'KG1-7'!$B$2)</f>
        <v/>
      </c>
      <c r="D3786" s="126">
        <f t="array" ref="D3786">IF(A3786="","",IFERROR(SMALL(IF((('KG1-7'!$AD18:$IM18="غياب بدون عذر")+('KG1-7'!$AD18:$IM18="غياب بعذر"))*('KG1-7'!$AD$7:$IM$7="✓"),'KG1-7'!$AD$5:$IM$5),5),""))</f>
        <v/>
      </c>
      <c r="E3786">
        <f>IF(D3786="","",INDEX('KG1-7'!$AD18:$IM18,MATCH(D3786,'KG1-7'!$AD$5:$IM$5,0)))</f>
        <v/>
      </c>
      <c r="F3786">
        <f>IF(D3786="","",COUNTIFS('KG1-7'!$AD18:$IM18,"غياب بدون عذر",'KG1-7'!$AD$7:$IM$7,"✓",'KG1-7'!$AD$5:$IM$5,"&lt;="&amp;D3786))</f>
        <v/>
      </c>
      <c r="G3786">
        <f>G3785+IF(D3786="",0,1)</f>
        <v/>
      </c>
    </row>
    <row r="3787">
      <c r="A3787">
        <f>IF('KG1-7'!$B18="","",'KG1-7'!$B18)</f>
        <v/>
      </c>
      <c r="B3787">
        <f>IF(A3787="","",'KG1-7'!$C18)</f>
        <v/>
      </c>
      <c r="C3787">
        <f>IF(A3787="","",'KG1-7'!$B$2)</f>
        <v/>
      </c>
      <c r="D3787" s="126">
        <f t="array" ref="D3787">IF(A3787="","",IFERROR(SMALL(IF((('KG1-7'!$AD18:$IM18="غياب بدون عذر")+('KG1-7'!$AD18:$IM18="غياب بعذر"))*('KG1-7'!$AD$7:$IM$7="✓"),'KG1-7'!$AD$5:$IM$5),6),""))</f>
        <v/>
      </c>
      <c r="E3787">
        <f>IF(D3787="","",INDEX('KG1-7'!$AD18:$IM18,MATCH(D3787,'KG1-7'!$AD$5:$IM$5,0)))</f>
        <v/>
      </c>
      <c r="F3787">
        <f>IF(D3787="","",COUNTIFS('KG1-7'!$AD18:$IM18,"غياب بدون عذر",'KG1-7'!$AD$7:$IM$7,"✓",'KG1-7'!$AD$5:$IM$5,"&lt;="&amp;D3787))</f>
        <v/>
      </c>
      <c r="G3787">
        <f>G3786+IF(D3787="",0,1)</f>
        <v/>
      </c>
    </row>
    <row r="3788">
      <c r="A3788">
        <f>IF('KG1-7'!$B18="","",'KG1-7'!$B18)</f>
        <v/>
      </c>
      <c r="B3788">
        <f>IF(A3788="","",'KG1-7'!$C18)</f>
        <v/>
      </c>
      <c r="C3788">
        <f>IF(A3788="","",'KG1-7'!$B$2)</f>
        <v/>
      </c>
      <c r="D3788" s="126">
        <f t="array" ref="D3788">IF(A3788="","",IFERROR(SMALL(IF((('KG1-7'!$AD18:$IM18="غياب بدون عذر")+('KG1-7'!$AD18:$IM18="غياب بعذر"))*('KG1-7'!$AD$7:$IM$7="✓"),'KG1-7'!$AD$5:$IM$5),7),""))</f>
        <v/>
      </c>
      <c r="E3788">
        <f>IF(D3788="","",INDEX('KG1-7'!$AD18:$IM18,MATCH(D3788,'KG1-7'!$AD$5:$IM$5,0)))</f>
        <v/>
      </c>
      <c r="F3788">
        <f>IF(D3788="","",COUNTIFS('KG1-7'!$AD18:$IM18,"غياب بدون عذر",'KG1-7'!$AD$7:$IM$7,"✓",'KG1-7'!$AD$5:$IM$5,"&lt;="&amp;D3788))</f>
        <v/>
      </c>
      <c r="G3788">
        <f>G3787+IF(D3788="",0,1)</f>
        <v/>
      </c>
    </row>
    <row r="3789">
      <c r="A3789">
        <f>IF('KG1-7'!$B18="","",'KG1-7'!$B18)</f>
        <v/>
      </c>
      <c r="B3789">
        <f>IF(A3789="","",'KG1-7'!$C18)</f>
        <v/>
      </c>
      <c r="C3789">
        <f>IF(A3789="","",'KG1-7'!$B$2)</f>
        <v/>
      </c>
      <c r="D3789" s="126">
        <f t="array" ref="D3789">IF(A3789="","",IFERROR(SMALL(IF((('KG1-7'!$AD18:$IM18="غياب بدون عذر")+('KG1-7'!$AD18:$IM18="غياب بعذر"))*('KG1-7'!$AD$7:$IM$7="✓"),'KG1-7'!$AD$5:$IM$5),8),""))</f>
        <v/>
      </c>
      <c r="E3789">
        <f>IF(D3789="","",INDEX('KG1-7'!$AD18:$IM18,MATCH(D3789,'KG1-7'!$AD$5:$IM$5,0)))</f>
        <v/>
      </c>
      <c r="F3789">
        <f>IF(D3789="","",COUNTIFS('KG1-7'!$AD18:$IM18,"غياب بدون عذر",'KG1-7'!$AD$7:$IM$7,"✓",'KG1-7'!$AD$5:$IM$5,"&lt;="&amp;D3789))</f>
        <v/>
      </c>
      <c r="G3789">
        <f>G3788+IF(D3789="",0,1)</f>
        <v/>
      </c>
    </row>
    <row r="3790">
      <c r="A3790">
        <f>IF('KG1-7'!$B18="","",'KG1-7'!$B18)</f>
        <v/>
      </c>
      <c r="B3790">
        <f>IF(A3790="","",'KG1-7'!$C18)</f>
        <v/>
      </c>
      <c r="C3790">
        <f>IF(A3790="","",'KG1-7'!$B$2)</f>
        <v/>
      </c>
      <c r="D3790" s="126">
        <f t="array" ref="D3790">IF(A3790="","",IFERROR(SMALL(IF((('KG1-7'!$AD18:$IM18="غياب بدون عذر")+('KG1-7'!$AD18:$IM18="غياب بعذر"))*('KG1-7'!$AD$7:$IM$7="✓"),'KG1-7'!$AD$5:$IM$5),9),""))</f>
        <v/>
      </c>
      <c r="E3790">
        <f>IF(D3790="","",INDEX('KG1-7'!$AD18:$IM18,MATCH(D3790,'KG1-7'!$AD$5:$IM$5,0)))</f>
        <v/>
      </c>
      <c r="F3790">
        <f>IF(D3790="","",COUNTIFS('KG1-7'!$AD18:$IM18,"غياب بدون عذر",'KG1-7'!$AD$7:$IM$7,"✓",'KG1-7'!$AD$5:$IM$5,"&lt;="&amp;D3790))</f>
        <v/>
      </c>
      <c r="G3790">
        <f>G3789+IF(D3790="",0,1)</f>
        <v/>
      </c>
    </row>
    <row r="3791">
      <c r="A3791">
        <f>IF('KG1-7'!$B18="","",'KG1-7'!$B18)</f>
        <v/>
      </c>
      <c r="B3791">
        <f>IF(A3791="","",'KG1-7'!$C18)</f>
        <v/>
      </c>
      <c r="C3791">
        <f>IF(A3791="","",'KG1-7'!$B$2)</f>
        <v/>
      </c>
      <c r="D3791" s="126">
        <f t="array" ref="D3791">IF(A3791="","",IFERROR(SMALL(IF((('KG1-7'!$AD18:$IM18="غياب بدون عذر")+('KG1-7'!$AD18:$IM18="غياب بعذر"))*('KG1-7'!$AD$7:$IM$7="✓"),'KG1-7'!$AD$5:$IM$5),10),""))</f>
        <v/>
      </c>
      <c r="E3791">
        <f>IF(D3791="","",INDEX('KG1-7'!$AD18:$IM18,MATCH(D3791,'KG1-7'!$AD$5:$IM$5,0)))</f>
        <v/>
      </c>
      <c r="F3791">
        <f>IF(D3791="","",COUNTIFS('KG1-7'!$AD18:$IM18,"غياب بدون عذر",'KG1-7'!$AD$7:$IM$7,"✓",'KG1-7'!$AD$5:$IM$5,"&lt;="&amp;D3791))</f>
        <v/>
      </c>
      <c r="G3791">
        <f>G3790+IF(D3791="",0,1)</f>
        <v/>
      </c>
    </row>
    <row r="3792">
      <c r="A3792">
        <f>IF('KG1-7'!$B18="","",'KG1-7'!$B18)</f>
        <v/>
      </c>
      <c r="B3792">
        <f>IF(A3792="","",'KG1-7'!$C18)</f>
        <v/>
      </c>
      <c r="C3792">
        <f>IF(A3792="","",'KG1-7'!$B$2)</f>
        <v/>
      </c>
      <c r="D3792" s="126">
        <f t="array" ref="D3792">IF(A3792="","",IFERROR(SMALL(IF((('KG1-7'!$AD18:$IM18="غياب بدون عذر")+('KG1-7'!$AD18:$IM18="غياب بعذر"))*('KG1-7'!$AD$7:$IM$7="✓"),'KG1-7'!$AD$5:$IM$5),11),""))</f>
        <v/>
      </c>
      <c r="E3792">
        <f>IF(D3792="","",INDEX('KG1-7'!$AD18:$IM18,MATCH(D3792,'KG1-7'!$AD$5:$IM$5,0)))</f>
        <v/>
      </c>
      <c r="F3792">
        <f>IF(D3792="","",COUNTIFS('KG1-7'!$AD18:$IM18,"غياب بدون عذر",'KG1-7'!$AD$7:$IM$7,"✓",'KG1-7'!$AD$5:$IM$5,"&lt;="&amp;D3792))</f>
        <v/>
      </c>
      <c r="G3792">
        <f>G3791+IF(D3792="",0,1)</f>
        <v/>
      </c>
    </row>
    <row r="3793">
      <c r="A3793">
        <f>IF('KG1-7'!$B18="","",'KG1-7'!$B18)</f>
        <v/>
      </c>
      <c r="B3793">
        <f>IF(A3793="","",'KG1-7'!$C18)</f>
        <v/>
      </c>
      <c r="C3793">
        <f>IF(A3793="","",'KG1-7'!$B$2)</f>
        <v/>
      </c>
      <c r="D3793" s="126">
        <f t="array" ref="D3793">IF(A3793="","",IFERROR(SMALL(IF((('KG1-7'!$AD18:$IM18="غياب بدون عذر")+('KG1-7'!$AD18:$IM18="غياب بعذر"))*('KG1-7'!$AD$7:$IM$7="✓"),'KG1-7'!$AD$5:$IM$5),12),""))</f>
        <v/>
      </c>
      <c r="E3793">
        <f>IF(D3793="","",INDEX('KG1-7'!$AD18:$IM18,MATCH(D3793,'KG1-7'!$AD$5:$IM$5,0)))</f>
        <v/>
      </c>
      <c r="F3793">
        <f>IF(D3793="","",COUNTIFS('KG1-7'!$AD18:$IM18,"غياب بدون عذر",'KG1-7'!$AD$7:$IM$7,"✓",'KG1-7'!$AD$5:$IM$5,"&lt;="&amp;D3793))</f>
        <v/>
      </c>
      <c r="G3793">
        <f>G3792+IF(D3793="",0,1)</f>
        <v/>
      </c>
    </row>
    <row r="3794">
      <c r="A3794">
        <f>IF('KG1-7'!$B18="","",'KG1-7'!$B18)</f>
        <v/>
      </c>
      <c r="B3794">
        <f>IF(A3794="","",'KG1-7'!$C18)</f>
        <v/>
      </c>
      <c r="C3794">
        <f>IF(A3794="","",'KG1-7'!$B$2)</f>
        <v/>
      </c>
      <c r="D3794" s="126">
        <f t="array" ref="D3794">IF(A3794="","",IFERROR(SMALL(IF((('KG1-7'!$AD18:$IM18="غياب بدون عذر")+('KG1-7'!$AD18:$IM18="غياب بعذر"))*('KG1-7'!$AD$7:$IM$7="✓"),'KG1-7'!$AD$5:$IM$5),13),""))</f>
        <v/>
      </c>
      <c r="E3794">
        <f>IF(D3794="","",INDEX('KG1-7'!$AD18:$IM18,MATCH(D3794,'KG1-7'!$AD$5:$IM$5,0)))</f>
        <v/>
      </c>
      <c r="F3794">
        <f>IF(D3794="","",COUNTIFS('KG1-7'!$AD18:$IM18,"غياب بدون عذر",'KG1-7'!$AD$7:$IM$7,"✓",'KG1-7'!$AD$5:$IM$5,"&lt;="&amp;D3794))</f>
        <v/>
      </c>
      <c r="G3794">
        <f>G3793+IF(D3794="",0,1)</f>
        <v/>
      </c>
    </row>
    <row r="3795">
      <c r="A3795">
        <f>IF('KG1-7'!$B18="","",'KG1-7'!$B18)</f>
        <v/>
      </c>
      <c r="B3795">
        <f>IF(A3795="","",'KG1-7'!$C18)</f>
        <v/>
      </c>
      <c r="C3795">
        <f>IF(A3795="","",'KG1-7'!$B$2)</f>
        <v/>
      </c>
      <c r="D3795" s="126">
        <f t="array" ref="D3795">IF(A3795="","",IFERROR(SMALL(IF((('KG1-7'!$AD18:$IM18="غياب بدون عذر")+('KG1-7'!$AD18:$IM18="غياب بعذر"))*('KG1-7'!$AD$7:$IM$7="✓"),'KG1-7'!$AD$5:$IM$5),14),""))</f>
        <v/>
      </c>
      <c r="E3795">
        <f>IF(D3795="","",INDEX('KG1-7'!$AD18:$IM18,MATCH(D3795,'KG1-7'!$AD$5:$IM$5,0)))</f>
        <v/>
      </c>
      <c r="F3795">
        <f>IF(D3795="","",COUNTIFS('KG1-7'!$AD18:$IM18,"غياب بدون عذر",'KG1-7'!$AD$7:$IM$7,"✓",'KG1-7'!$AD$5:$IM$5,"&lt;="&amp;D3795))</f>
        <v/>
      </c>
      <c r="G3795">
        <f>G3794+IF(D3795="",0,1)</f>
        <v/>
      </c>
    </row>
    <row r="3796">
      <c r="A3796">
        <f>IF('KG1-7'!$B18="","",'KG1-7'!$B18)</f>
        <v/>
      </c>
      <c r="B3796">
        <f>IF(A3796="","",'KG1-7'!$C18)</f>
        <v/>
      </c>
      <c r="C3796">
        <f>IF(A3796="","",'KG1-7'!$B$2)</f>
        <v/>
      </c>
      <c r="D3796" s="126">
        <f t="array" ref="D3796">IF(A3796="","",IFERROR(SMALL(IF((('KG1-7'!$AD18:$IM18="غياب بدون عذر")+('KG1-7'!$AD18:$IM18="غياب بعذر"))*('KG1-7'!$AD$7:$IM$7="✓"),'KG1-7'!$AD$5:$IM$5),15),""))</f>
        <v/>
      </c>
      <c r="E3796">
        <f>IF(D3796="","",INDEX('KG1-7'!$AD18:$IM18,MATCH(D3796,'KG1-7'!$AD$5:$IM$5,0)))</f>
        <v/>
      </c>
      <c r="F3796">
        <f>IF(D3796="","",COUNTIFS('KG1-7'!$AD18:$IM18,"غياب بدون عذر",'KG1-7'!$AD$7:$IM$7,"✓",'KG1-7'!$AD$5:$IM$5,"&lt;="&amp;D3796))</f>
        <v/>
      </c>
      <c r="G3796">
        <f>G3795+IF(D3796="",0,1)</f>
        <v/>
      </c>
    </row>
    <row r="3797">
      <c r="A3797">
        <f>IF('KG1-7'!$B18="","",'KG1-7'!$B18)</f>
        <v/>
      </c>
      <c r="B3797">
        <f>IF(A3797="","",'KG1-7'!$C18)</f>
        <v/>
      </c>
      <c r="C3797">
        <f>IF(A3797="","",'KG1-7'!$B$2)</f>
        <v/>
      </c>
      <c r="D3797" s="126">
        <f t="array" ref="D3797">IF(A3797="","",IFERROR(SMALL(IF((('KG1-7'!$AD18:$IM18="غياب بدون عذر")+('KG1-7'!$AD18:$IM18="غياب بعذر"))*('KG1-7'!$AD$7:$IM$7="✓"),'KG1-7'!$AD$5:$IM$5),16),""))</f>
        <v/>
      </c>
      <c r="E3797">
        <f>IF(D3797="","",INDEX('KG1-7'!$AD18:$IM18,MATCH(D3797,'KG1-7'!$AD$5:$IM$5,0)))</f>
        <v/>
      </c>
      <c r="F3797">
        <f>IF(D3797="","",COUNTIFS('KG1-7'!$AD18:$IM18,"غياب بدون عذر",'KG1-7'!$AD$7:$IM$7,"✓",'KG1-7'!$AD$5:$IM$5,"&lt;="&amp;D3797))</f>
        <v/>
      </c>
      <c r="G3797">
        <f>G3796+IF(D3797="",0,1)</f>
        <v/>
      </c>
    </row>
    <row r="3798">
      <c r="A3798">
        <f>IF('KG1-7'!$B18="","",'KG1-7'!$B18)</f>
        <v/>
      </c>
      <c r="B3798">
        <f>IF(A3798="","",'KG1-7'!$C18)</f>
        <v/>
      </c>
      <c r="C3798">
        <f>IF(A3798="","",'KG1-7'!$B$2)</f>
        <v/>
      </c>
      <c r="D3798" s="126">
        <f t="array" ref="D3798">IF(A3798="","",IFERROR(SMALL(IF((('KG1-7'!$AD18:$IM18="غياب بدون عذر")+('KG1-7'!$AD18:$IM18="غياب بعذر"))*('KG1-7'!$AD$7:$IM$7="✓"),'KG1-7'!$AD$5:$IM$5),17),""))</f>
        <v/>
      </c>
      <c r="E3798">
        <f>IF(D3798="","",INDEX('KG1-7'!$AD18:$IM18,MATCH(D3798,'KG1-7'!$AD$5:$IM$5,0)))</f>
        <v/>
      </c>
      <c r="F3798">
        <f>IF(D3798="","",COUNTIFS('KG1-7'!$AD18:$IM18,"غياب بدون عذر",'KG1-7'!$AD$7:$IM$7,"✓",'KG1-7'!$AD$5:$IM$5,"&lt;="&amp;D3798))</f>
        <v/>
      </c>
      <c r="G3798">
        <f>G3797+IF(D3798="",0,1)</f>
        <v/>
      </c>
    </row>
    <row r="3799">
      <c r="A3799">
        <f>IF('KG1-7'!$B18="","",'KG1-7'!$B18)</f>
        <v/>
      </c>
      <c r="B3799">
        <f>IF(A3799="","",'KG1-7'!$C18)</f>
        <v/>
      </c>
      <c r="C3799">
        <f>IF(A3799="","",'KG1-7'!$B$2)</f>
        <v/>
      </c>
      <c r="D3799" s="126">
        <f t="array" ref="D3799">IF(A3799="","",IFERROR(SMALL(IF((('KG1-7'!$AD18:$IM18="غياب بدون عذر")+('KG1-7'!$AD18:$IM18="غياب بعذر"))*('KG1-7'!$AD$7:$IM$7="✓"),'KG1-7'!$AD$5:$IM$5),18),""))</f>
        <v/>
      </c>
      <c r="E3799">
        <f>IF(D3799="","",INDEX('KG1-7'!$AD18:$IM18,MATCH(D3799,'KG1-7'!$AD$5:$IM$5,0)))</f>
        <v/>
      </c>
      <c r="F3799">
        <f>IF(D3799="","",COUNTIFS('KG1-7'!$AD18:$IM18,"غياب بدون عذر",'KG1-7'!$AD$7:$IM$7,"✓",'KG1-7'!$AD$5:$IM$5,"&lt;="&amp;D3799))</f>
        <v/>
      </c>
      <c r="G3799">
        <f>G3798+IF(D3799="",0,1)</f>
        <v/>
      </c>
    </row>
    <row r="3800">
      <c r="A3800">
        <f>IF('KG1-7'!$B18="","",'KG1-7'!$B18)</f>
        <v/>
      </c>
      <c r="B3800">
        <f>IF(A3800="","",'KG1-7'!$C18)</f>
        <v/>
      </c>
      <c r="C3800">
        <f>IF(A3800="","",'KG1-7'!$B$2)</f>
        <v/>
      </c>
      <c r="D3800" s="126">
        <f t="array" ref="D3800">IF(A3800="","",IFERROR(SMALL(IF((('KG1-7'!$AD18:$IM18="غياب بدون عذر")+('KG1-7'!$AD18:$IM18="غياب بعذر"))*('KG1-7'!$AD$7:$IM$7="✓"),'KG1-7'!$AD$5:$IM$5),19),""))</f>
        <v/>
      </c>
      <c r="E3800">
        <f>IF(D3800="","",INDEX('KG1-7'!$AD18:$IM18,MATCH(D3800,'KG1-7'!$AD$5:$IM$5,0)))</f>
        <v/>
      </c>
      <c r="F3800">
        <f>IF(D3800="","",COUNTIFS('KG1-7'!$AD18:$IM18,"غياب بدون عذر",'KG1-7'!$AD$7:$IM$7,"✓",'KG1-7'!$AD$5:$IM$5,"&lt;="&amp;D3800))</f>
        <v/>
      </c>
      <c r="G3800">
        <f>G3799+IF(D3800="",0,1)</f>
        <v/>
      </c>
    </row>
    <row r="3801">
      <c r="A3801">
        <f>IF('KG1-7'!$B18="","",'KG1-7'!$B18)</f>
        <v/>
      </c>
      <c r="B3801">
        <f>IF(A3801="","",'KG1-7'!$C18)</f>
        <v/>
      </c>
      <c r="C3801">
        <f>IF(A3801="","",'KG1-7'!$B$2)</f>
        <v/>
      </c>
      <c r="D3801" s="126">
        <f t="array" ref="D3801">IF(A3801="","",IFERROR(SMALL(IF((('KG1-7'!$AD18:$IM18="غياب بدون عذر")+('KG1-7'!$AD18:$IM18="غياب بعذر"))*('KG1-7'!$AD$7:$IM$7="✓"),'KG1-7'!$AD$5:$IM$5),20),""))</f>
        <v/>
      </c>
      <c r="E3801">
        <f>IF(D3801="","",INDEX('KG1-7'!$AD18:$IM18,MATCH(D3801,'KG1-7'!$AD$5:$IM$5,0)))</f>
        <v/>
      </c>
      <c r="F3801">
        <f>IF(D3801="","",COUNTIFS('KG1-7'!$AD18:$IM18,"غياب بدون عذر",'KG1-7'!$AD$7:$IM$7,"✓",'KG1-7'!$AD$5:$IM$5,"&lt;="&amp;D3801))</f>
        <v/>
      </c>
      <c r="G3801">
        <f>G3800+IF(D3801="",0,1)</f>
        <v/>
      </c>
    </row>
    <row r="3802">
      <c r="A3802">
        <f>IF('KG1-7'!$B19="","",'KG1-7'!$B19)</f>
        <v/>
      </c>
      <c r="B3802">
        <f>IF(A3802="","",'KG1-7'!$C19)</f>
        <v/>
      </c>
      <c r="C3802">
        <f>IF(A3802="","",'KG1-7'!$B$2)</f>
        <v/>
      </c>
      <c r="D3802" s="126">
        <f t="array" ref="D3802">IF(A3802="","",IFERROR(SMALL(IF((('KG1-7'!$AD19:$IM19="غياب بدون عذر")+('KG1-7'!$AD19:$IM19="غياب بعذر"))*('KG1-7'!$AD$7:$IM$7="✓"),'KG1-7'!$AD$5:$IM$5),1),""))</f>
        <v/>
      </c>
      <c r="E3802">
        <f>IF(D3802="","",INDEX('KG1-7'!$AD19:$IM19,MATCH(D3802,'KG1-7'!$AD$5:$IM$5,0)))</f>
        <v/>
      </c>
      <c r="F3802">
        <f>IF(D3802="","",COUNTIFS('KG1-7'!$AD19:$IM19,"غياب بدون عذر",'KG1-7'!$AD$7:$IM$7,"✓",'KG1-7'!$AD$5:$IM$5,"&lt;="&amp;D3802))</f>
        <v/>
      </c>
      <c r="G3802">
        <f>G3801+IF(D3802="",0,1)</f>
        <v/>
      </c>
    </row>
    <row r="3803">
      <c r="A3803">
        <f>IF('KG1-7'!$B19="","",'KG1-7'!$B19)</f>
        <v/>
      </c>
      <c r="B3803">
        <f>IF(A3803="","",'KG1-7'!$C19)</f>
        <v/>
      </c>
      <c r="C3803">
        <f>IF(A3803="","",'KG1-7'!$B$2)</f>
        <v/>
      </c>
      <c r="D3803" s="126">
        <f t="array" ref="D3803">IF(A3803="","",IFERROR(SMALL(IF((('KG1-7'!$AD19:$IM19="غياب بدون عذر")+('KG1-7'!$AD19:$IM19="غياب بعذر"))*('KG1-7'!$AD$7:$IM$7="✓"),'KG1-7'!$AD$5:$IM$5),2),""))</f>
        <v/>
      </c>
      <c r="E3803">
        <f>IF(D3803="","",INDEX('KG1-7'!$AD19:$IM19,MATCH(D3803,'KG1-7'!$AD$5:$IM$5,0)))</f>
        <v/>
      </c>
      <c r="F3803">
        <f>IF(D3803="","",COUNTIFS('KG1-7'!$AD19:$IM19,"غياب بدون عذر",'KG1-7'!$AD$7:$IM$7,"✓",'KG1-7'!$AD$5:$IM$5,"&lt;="&amp;D3803))</f>
        <v/>
      </c>
      <c r="G3803">
        <f>G3802+IF(D3803="",0,1)</f>
        <v/>
      </c>
    </row>
    <row r="3804">
      <c r="A3804">
        <f>IF('KG1-7'!$B19="","",'KG1-7'!$B19)</f>
        <v/>
      </c>
      <c r="B3804">
        <f>IF(A3804="","",'KG1-7'!$C19)</f>
        <v/>
      </c>
      <c r="C3804">
        <f>IF(A3804="","",'KG1-7'!$B$2)</f>
        <v/>
      </c>
      <c r="D3804" s="126">
        <f t="array" ref="D3804">IF(A3804="","",IFERROR(SMALL(IF((('KG1-7'!$AD19:$IM19="غياب بدون عذر")+('KG1-7'!$AD19:$IM19="غياب بعذر"))*('KG1-7'!$AD$7:$IM$7="✓"),'KG1-7'!$AD$5:$IM$5),3),""))</f>
        <v/>
      </c>
      <c r="E3804">
        <f>IF(D3804="","",INDEX('KG1-7'!$AD19:$IM19,MATCH(D3804,'KG1-7'!$AD$5:$IM$5,0)))</f>
        <v/>
      </c>
      <c r="F3804">
        <f>IF(D3804="","",COUNTIFS('KG1-7'!$AD19:$IM19,"غياب بدون عذر",'KG1-7'!$AD$7:$IM$7,"✓",'KG1-7'!$AD$5:$IM$5,"&lt;="&amp;D3804))</f>
        <v/>
      </c>
      <c r="G3804">
        <f>G3803+IF(D3804="",0,1)</f>
        <v/>
      </c>
    </row>
    <row r="3805">
      <c r="A3805">
        <f>IF('KG1-7'!$B19="","",'KG1-7'!$B19)</f>
        <v/>
      </c>
      <c r="B3805">
        <f>IF(A3805="","",'KG1-7'!$C19)</f>
        <v/>
      </c>
      <c r="C3805">
        <f>IF(A3805="","",'KG1-7'!$B$2)</f>
        <v/>
      </c>
      <c r="D3805" s="126">
        <f t="array" ref="D3805">IF(A3805="","",IFERROR(SMALL(IF((('KG1-7'!$AD19:$IM19="غياب بدون عذر")+('KG1-7'!$AD19:$IM19="غياب بعذر"))*('KG1-7'!$AD$7:$IM$7="✓"),'KG1-7'!$AD$5:$IM$5),4),""))</f>
        <v/>
      </c>
      <c r="E3805">
        <f>IF(D3805="","",INDEX('KG1-7'!$AD19:$IM19,MATCH(D3805,'KG1-7'!$AD$5:$IM$5,0)))</f>
        <v/>
      </c>
      <c r="F3805">
        <f>IF(D3805="","",COUNTIFS('KG1-7'!$AD19:$IM19,"غياب بدون عذر",'KG1-7'!$AD$7:$IM$7,"✓",'KG1-7'!$AD$5:$IM$5,"&lt;="&amp;D3805))</f>
        <v/>
      </c>
      <c r="G3805">
        <f>G3804+IF(D3805="",0,1)</f>
        <v/>
      </c>
    </row>
    <row r="3806">
      <c r="A3806">
        <f>IF('KG1-7'!$B19="","",'KG1-7'!$B19)</f>
        <v/>
      </c>
      <c r="B3806">
        <f>IF(A3806="","",'KG1-7'!$C19)</f>
        <v/>
      </c>
      <c r="C3806">
        <f>IF(A3806="","",'KG1-7'!$B$2)</f>
        <v/>
      </c>
      <c r="D3806" s="126">
        <f t="array" ref="D3806">IF(A3806="","",IFERROR(SMALL(IF((('KG1-7'!$AD19:$IM19="غياب بدون عذر")+('KG1-7'!$AD19:$IM19="غياب بعذر"))*('KG1-7'!$AD$7:$IM$7="✓"),'KG1-7'!$AD$5:$IM$5),5),""))</f>
        <v/>
      </c>
      <c r="E3806">
        <f>IF(D3806="","",INDEX('KG1-7'!$AD19:$IM19,MATCH(D3806,'KG1-7'!$AD$5:$IM$5,0)))</f>
        <v/>
      </c>
      <c r="F3806">
        <f>IF(D3806="","",COUNTIFS('KG1-7'!$AD19:$IM19,"غياب بدون عذر",'KG1-7'!$AD$7:$IM$7,"✓",'KG1-7'!$AD$5:$IM$5,"&lt;="&amp;D3806))</f>
        <v/>
      </c>
      <c r="G3806">
        <f>G3805+IF(D3806="",0,1)</f>
        <v/>
      </c>
    </row>
    <row r="3807">
      <c r="A3807">
        <f>IF('KG1-7'!$B19="","",'KG1-7'!$B19)</f>
        <v/>
      </c>
      <c r="B3807">
        <f>IF(A3807="","",'KG1-7'!$C19)</f>
        <v/>
      </c>
      <c r="C3807">
        <f>IF(A3807="","",'KG1-7'!$B$2)</f>
        <v/>
      </c>
      <c r="D3807" s="126">
        <f t="array" ref="D3807">IF(A3807="","",IFERROR(SMALL(IF((('KG1-7'!$AD19:$IM19="غياب بدون عذر")+('KG1-7'!$AD19:$IM19="غياب بعذر"))*('KG1-7'!$AD$7:$IM$7="✓"),'KG1-7'!$AD$5:$IM$5),6),""))</f>
        <v/>
      </c>
      <c r="E3807">
        <f>IF(D3807="","",INDEX('KG1-7'!$AD19:$IM19,MATCH(D3807,'KG1-7'!$AD$5:$IM$5,0)))</f>
        <v/>
      </c>
      <c r="F3807">
        <f>IF(D3807="","",COUNTIFS('KG1-7'!$AD19:$IM19,"غياب بدون عذر",'KG1-7'!$AD$7:$IM$7,"✓",'KG1-7'!$AD$5:$IM$5,"&lt;="&amp;D3807))</f>
        <v/>
      </c>
      <c r="G3807">
        <f>G3806+IF(D3807="",0,1)</f>
        <v/>
      </c>
    </row>
    <row r="3808">
      <c r="A3808">
        <f>IF('KG1-7'!$B19="","",'KG1-7'!$B19)</f>
        <v/>
      </c>
      <c r="B3808">
        <f>IF(A3808="","",'KG1-7'!$C19)</f>
        <v/>
      </c>
      <c r="C3808">
        <f>IF(A3808="","",'KG1-7'!$B$2)</f>
        <v/>
      </c>
      <c r="D3808" s="126">
        <f t="array" ref="D3808">IF(A3808="","",IFERROR(SMALL(IF((('KG1-7'!$AD19:$IM19="غياب بدون عذر")+('KG1-7'!$AD19:$IM19="غياب بعذر"))*('KG1-7'!$AD$7:$IM$7="✓"),'KG1-7'!$AD$5:$IM$5),7),""))</f>
        <v/>
      </c>
      <c r="E3808">
        <f>IF(D3808="","",INDEX('KG1-7'!$AD19:$IM19,MATCH(D3808,'KG1-7'!$AD$5:$IM$5,0)))</f>
        <v/>
      </c>
      <c r="F3808">
        <f>IF(D3808="","",COUNTIFS('KG1-7'!$AD19:$IM19,"غياب بدون عذر",'KG1-7'!$AD$7:$IM$7,"✓",'KG1-7'!$AD$5:$IM$5,"&lt;="&amp;D3808))</f>
        <v/>
      </c>
      <c r="G3808">
        <f>G3807+IF(D3808="",0,1)</f>
        <v/>
      </c>
    </row>
    <row r="3809">
      <c r="A3809">
        <f>IF('KG1-7'!$B19="","",'KG1-7'!$B19)</f>
        <v/>
      </c>
      <c r="B3809">
        <f>IF(A3809="","",'KG1-7'!$C19)</f>
        <v/>
      </c>
      <c r="C3809">
        <f>IF(A3809="","",'KG1-7'!$B$2)</f>
        <v/>
      </c>
      <c r="D3809" s="126">
        <f t="array" ref="D3809">IF(A3809="","",IFERROR(SMALL(IF((('KG1-7'!$AD19:$IM19="غياب بدون عذر")+('KG1-7'!$AD19:$IM19="غياب بعذر"))*('KG1-7'!$AD$7:$IM$7="✓"),'KG1-7'!$AD$5:$IM$5),8),""))</f>
        <v/>
      </c>
      <c r="E3809">
        <f>IF(D3809="","",INDEX('KG1-7'!$AD19:$IM19,MATCH(D3809,'KG1-7'!$AD$5:$IM$5,0)))</f>
        <v/>
      </c>
      <c r="F3809">
        <f>IF(D3809="","",COUNTIFS('KG1-7'!$AD19:$IM19,"غياب بدون عذر",'KG1-7'!$AD$7:$IM$7,"✓",'KG1-7'!$AD$5:$IM$5,"&lt;="&amp;D3809))</f>
        <v/>
      </c>
      <c r="G3809">
        <f>G3808+IF(D3809="",0,1)</f>
        <v/>
      </c>
    </row>
    <row r="3810">
      <c r="A3810">
        <f>IF('KG1-7'!$B19="","",'KG1-7'!$B19)</f>
        <v/>
      </c>
      <c r="B3810">
        <f>IF(A3810="","",'KG1-7'!$C19)</f>
        <v/>
      </c>
      <c r="C3810">
        <f>IF(A3810="","",'KG1-7'!$B$2)</f>
        <v/>
      </c>
      <c r="D3810" s="126">
        <f t="array" ref="D3810">IF(A3810="","",IFERROR(SMALL(IF((('KG1-7'!$AD19:$IM19="غياب بدون عذر")+('KG1-7'!$AD19:$IM19="غياب بعذر"))*('KG1-7'!$AD$7:$IM$7="✓"),'KG1-7'!$AD$5:$IM$5),9),""))</f>
        <v/>
      </c>
      <c r="E3810">
        <f>IF(D3810="","",INDEX('KG1-7'!$AD19:$IM19,MATCH(D3810,'KG1-7'!$AD$5:$IM$5,0)))</f>
        <v/>
      </c>
      <c r="F3810">
        <f>IF(D3810="","",COUNTIFS('KG1-7'!$AD19:$IM19,"غياب بدون عذر",'KG1-7'!$AD$7:$IM$7,"✓",'KG1-7'!$AD$5:$IM$5,"&lt;="&amp;D3810))</f>
        <v/>
      </c>
      <c r="G3810">
        <f>G3809+IF(D3810="",0,1)</f>
        <v/>
      </c>
    </row>
    <row r="3811">
      <c r="A3811">
        <f>IF('KG1-7'!$B19="","",'KG1-7'!$B19)</f>
        <v/>
      </c>
      <c r="B3811">
        <f>IF(A3811="","",'KG1-7'!$C19)</f>
        <v/>
      </c>
      <c r="C3811">
        <f>IF(A3811="","",'KG1-7'!$B$2)</f>
        <v/>
      </c>
      <c r="D3811" s="126">
        <f t="array" ref="D3811">IF(A3811="","",IFERROR(SMALL(IF((('KG1-7'!$AD19:$IM19="غياب بدون عذر")+('KG1-7'!$AD19:$IM19="غياب بعذر"))*('KG1-7'!$AD$7:$IM$7="✓"),'KG1-7'!$AD$5:$IM$5),10),""))</f>
        <v/>
      </c>
      <c r="E3811">
        <f>IF(D3811="","",INDEX('KG1-7'!$AD19:$IM19,MATCH(D3811,'KG1-7'!$AD$5:$IM$5,0)))</f>
        <v/>
      </c>
      <c r="F3811">
        <f>IF(D3811="","",COUNTIFS('KG1-7'!$AD19:$IM19,"غياب بدون عذر",'KG1-7'!$AD$7:$IM$7,"✓",'KG1-7'!$AD$5:$IM$5,"&lt;="&amp;D3811))</f>
        <v/>
      </c>
      <c r="G3811">
        <f>G3810+IF(D3811="",0,1)</f>
        <v/>
      </c>
    </row>
    <row r="3812">
      <c r="A3812">
        <f>IF('KG1-7'!$B19="","",'KG1-7'!$B19)</f>
        <v/>
      </c>
      <c r="B3812">
        <f>IF(A3812="","",'KG1-7'!$C19)</f>
        <v/>
      </c>
      <c r="C3812">
        <f>IF(A3812="","",'KG1-7'!$B$2)</f>
        <v/>
      </c>
      <c r="D3812" s="126">
        <f t="array" ref="D3812">IF(A3812="","",IFERROR(SMALL(IF((('KG1-7'!$AD19:$IM19="غياب بدون عذر")+('KG1-7'!$AD19:$IM19="غياب بعذر"))*('KG1-7'!$AD$7:$IM$7="✓"),'KG1-7'!$AD$5:$IM$5),11),""))</f>
        <v/>
      </c>
      <c r="E3812">
        <f>IF(D3812="","",INDEX('KG1-7'!$AD19:$IM19,MATCH(D3812,'KG1-7'!$AD$5:$IM$5,0)))</f>
        <v/>
      </c>
      <c r="F3812">
        <f>IF(D3812="","",COUNTIFS('KG1-7'!$AD19:$IM19,"غياب بدون عذر",'KG1-7'!$AD$7:$IM$7,"✓",'KG1-7'!$AD$5:$IM$5,"&lt;="&amp;D3812))</f>
        <v/>
      </c>
      <c r="G3812">
        <f>G3811+IF(D3812="",0,1)</f>
        <v/>
      </c>
    </row>
    <row r="3813">
      <c r="A3813">
        <f>IF('KG1-7'!$B19="","",'KG1-7'!$B19)</f>
        <v/>
      </c>
      <c r="B3813">
        <f>IF(A3813="","",'KG1-7'!$C19)</f>
        <v/>
      </c>
      <c r="C3813">
        <f>IF(A3813="","",'KG1-7'!$B$2)</f>
        <v/>
      </c>
      <c r="D3813" s="126">
        <f t="array" ref="D3813">IF(A3813="","",IFERROR(SMALL(IF((('KG1-7'!$AD19:$IM19="غياب بدون عذر")+('KG1-7'!$AD19:$IM19="غياب بعذر"))*('KG1-7'!$AD$7:$IM$7="✓"),'KG1-7'!$AD$5:$IM$5),12),""))</f>
        <v/>
      </c>
      <c r="E3813">
        <f>IF(D3813="","",INDEX('KG1-7'!$AD19:$IM19,MATCH(D3813,'KG1-7'!$AD$5:$IM$5,0)))</f>
        <v/>
      </c>
      <c r="F3813">
        <f>IF(D3813="","",COUNTIFS('KG1-7'!$AD19:$IM19,"غياب بدون عذر",'KG1-7'!$AD$7:$IM$7,"✓",'KG1-7'!$AD$5:$IM$5,"&lt;="&amp;D3813))</f>
        <v/>
      </c>
      <c r="G3813">
        <f>G3812+IF(D3813="",0,1)</f>
        <v/>
      </c>
    </row>
    <row r="3814">
      <c r="A3814">
        <f>IF('KG1-7'!$B19="","",'KG1-7'!$B19)</f>
        <v/>
      </c>
      <c r="B3814">
        <f>IF(A3814="","",'KG1-7'!$C19)</f>
        <v/>
      </c>
      <c r="C3814">
        <f>IF(A3814="","",'KG1-7'!$B$2)</f>
        <v/>
      </c>
      <c r="D3814" s="126">
        <f t="array" ref="D3814">IF(A3814="","",IFERROR(SMALL(IF((('KG1-7'!$AD19:$IM19="غياب بدون عذر")+('KG1-7'!$AD19:$IM19="غياب بعذر"))*('KG1-7'!$AD$7:$IM$7="✓"),'KG1-7'!$AD$5:$IM$5),13),""))</f>
        <v/>
      </c>
      <c r="E3814">
        <f>IF(D3814="","",INDEX('KG1-7'!$AD19:$IM19,MATCH(D3814,'KG1-7'!$AD$5:$IM$5,0)))</f>
        <v/>
      </c>
      <c r="F3814">
        <f>IF(D3814="","",COUNTIFS('KG1-7'!$AD19:$IM19,"غياب بدون عذر",'KG1-7'!$AD$7:$IM$7,"✓",'KG1-7'!$AD$5:$IM$5,"&lt;="&amp;D3814))</f>
        <v/>
      </c>
      <c r="G3814">
        <f>G3813+IF(D3814="",0,1)</f>
        <v/>
      </c>
    </row>
    <row r="3815">
      <c r="A3815">
        <f>IF('KG1-7'!$B19="","",'KG1-7'!$B19)</f>
        <v/>
      </c>
      <c r="B3815">
        <f>IF(A3815="","",'KG1-7'!$C19)</f>
        <v/>
      </c>
      <c r="C3815">
        <f>IF(A3815="","",'KG1-7'!$B$2)</f>
        <v/>
      </c>
      <c r="D3815" s="126">
        <f t="array" ref="D3815">IF(A3815="","",IFERROR(SMALL(IF((('KG1-7'!$AD19:$IM19="غياب بدون عذر")+('KG1-7'!$AD19:$IM19="غياب بعذر"))*('KG1-7'!$AD$7:$IM$7="✓"),'KG1-7'!$AD$5:$IM$5),14),""))</f>
        <v/>
      </c>
      <c r="E3815">
        <f>IF(D3815="","",INDEX('KG1-7'!$AD19:$IM19,MATCH(D3815,'KG1-7'!$AD$5:$IM$5,0)))</f>
        <v/>
      </c>
      <c r="F3815">
        <f>IF(D3815="","",COUNTIFS('KG1-7'!$AD19:$IM19,"غياب بدون عذر",'KG1-7'!$AD$7:$IM$7,"✓",'KG1-7'!$AD$5:$IM$5,"&lt;="&amp;D3815))</f>
        <v/>
      </c>
      <c r="G3815">
        <f>G3814+IF(D3815="",0,1)</f>
        <v/>
      </c>
    </row>
    <row r="3816">
      <c r="A3816">
        <f>IF('KG1-7'!$B19="","",'KG1-7'!$B19)</f>
        <v/>
      </c>
      <c r="B3816">
        <f>IF(A3816="","",'KG1-7'!$C19)</f>
        <v/>
      </c>
      <c r="C3816">
        <f>IF(A3816="","",'KG1-7'!$B$2)</f>
        <v/>
      </c>
      <c r="D3816" s="126">
        <f t="array" ref="D3816">IF(A3816="","",IFERROR(SMALL(IF((('KG1-7'!$AD19:$IM19="غياب بدون عذر")+('KG1-7'!$AD19:$IM19="غياب بعذر"))*('KG1-7'!$AD$7:$IM$7="✓"),'KG1-7'!$AD$5:$IM$5),15),""))</f>
        <v/>
      </c>
      <c r="E3816">
        <f>IF(D3816="","",INDEX('KG1-7'!$AD19:$IM19,MATCH(D3816,'KG1-7'!$AD$5:$IM$5,0)))</f>
        <v/>
      </c>
      <c r="F3816">
        <f>IF(D3816="","",COUNTIFS('KG1-7'!$AD19:$IM19,"غياب بدون عذر",'KG1-7'!$AD$7:$IM$7,"✓",'KG1-7'!$AD$5:$IM$5,"&lt;="&amp;D3816))</f>
        <v/>
      </c>
      <c r="G3816">
        <f>G3815+IF(D3816="",0,1)</f>
        <v/>
      </c>
    </row>
    <row r="3817">
      <c r="A3817">
        <f>IF('KG1-7'!$B19="","",'KG1-7'!$B19)</f>
        <v/>
      </c>
      <c r="B3817">
        <f>IF(A3817="","",'KG1-7'!$C19)</f>
        <v/>
      </c>
      <c r="C3817">
        <f>IF(A3817="","",'KG1-7'!$B$2)</f>
        <v/>
      </c>
      <c r="D3817" s="126">
        <f t="array" ref="D3817">IF(A3817="","",IFERROR(SMALL(IF((('KG1-7'!$AD19:$IM19="غياب بدون عذر")+('KG1-7'!$AD19:$IM19="غياب بعذر"))*('KG1-7'!$AD$7:$IM$7="✓"),'KG1-7'!$AD$5:$IM$5),16),""))</f>
        <v/>
      </c>
      <c r="E3817">
        <f>IF(D3817="","",INDEX('KG1-7'!$AD19:$IM19,MATCH(D3817,'KG1-7'!$AD$5:$IM$5,0)))</f>
        <v/>
      </c>
      <c r="F3817">
        <f>IF(D3817="","",COUNTIFS('KG1-7'!$AD19:$IM19,"غياب بدون عذر",'KG1-7'!$AD$7:$IM$7,"✓",'KG1-7'!$AD$5:$IM$5,"&lt;="&amp;D3817))</f>
        <v/>
      </c>
      <c r="G3817">
        <f>G3816+IF(D3817="",0,1)</f>
        <v/>
      </c>
    </row>
    <row r="3818">
      <c r="A3818">
        <f>IF('KG1-7'!$B19="","",'KG1-7'!$B19)</f>
        <v/>
      </c>
      <c r="B3818">
        <f>IF(A3818="","",'KG1-7'!$C19)</f>
        <v/>
      </c>
      <c r="C3818">
        <f>IF(A3818="","",'KG1-7'!$B$2)</f>
        <v/>
      </c>
      <c r="D3818" s="126">
        <f t="array" ref="D3818">IF(A3818="","",IFERROR(SMALL(IF((('KG1-7'!$AD19:$IM19="غياب بدون عذر")+('KG1-7'!$AD19:$IM19="غياب بعذر"))*('KG1-7'!$AD$7:$IM$7="✓"),'KG1-7'!$AD$5:$IM$5),17),""))</f>
        <v/>
      </c>
      <c r="E3818">
        <f>IF(D3818="","",INDEX('KG1-7'!$AD19:$IM19,MATCH(D3818,'KG1-7'!$AD$5:$IM$5,0)))</f>
        <v/>
      </c>
      <c r="F3818">
        <f>IF(D3818="","",COUNTIFS('KG1-7'!$AD19:$IM19,"غياب بدون عذر",'KG1-7'!$AD$7:$IM$7,"✓",'KG1-7'!$AD$5:$IM$5,"&lt;="&amp;D3818))</f>
        <v/>
      </c>
      <c r="G3818">
        <f>G3817+IF(D3818="",0,1)</f>
        <v/>
      </c>
    </row>
    <row r="3819">
      <c r="A3819">
        <f>IF('KG1-7'!$B19="","",'KG1-7'!$B19)</f>
        <v/>
      </c>
      <c r="B3819">
        <f>IF(A3819="","",'KG1-7'!$C19)</f>
        <v/>
      </c>
      <c r="C3819">
        <f>IF(A3819="","",'KG1-7'!$B$2)</f>
        <v/>
      </c>
      <c r="D3819" s="126">
        <f t="array" ref="D3819">IF(A3819="","",IFERROR(SMALL(IF((('KG1-7'!$AD19:$IM19="غياب بدون عذر")+('KG1-7'!$AD19:$IM19="غياب بعذر"))*('KG1-7'!$AD$7:$IM$7="✓"),'KG1-7'!$AD$5:$IM$5),18),""))</f>
        <v/>
      </c>
      <c r="E3819">
        <f>IF(D3819="","",INDEX('KG1-7'!$AD19:$IM19,MATCH(D3819,'KG1-7'!$AD$5:$IM$5,0)))</f>
        <v/>
      </c>
      <c r="F3819">
        <f>IF(D3819="","",COUNTIFS('KG1-7'!$AD19:$IM19,"غياب بدون عذر",'KG1-7'!$AD$7:$IM$7,"✓",'KG1-7'!$AD$5:$IM$5,"&lt;="&amp;D3819))</f>
        <v/>
      </c>
      <c r="G3819">
        <f>G3818+IF(D3819="",0,1)</f>
        <v/>
      </c>
    </row>
    <row r="3820">
      <c r="A3820">
        <f>IF('KG1-7'!$B19="","",'KG1-7'!$B19)</f>
        <v/>
      </c>
      <c r="B3820">
        <f>IF(A3820="","",'KG1-7'!$C19)</f>
        <v/>
      </c>
      <c r="C3820">
        <f>IF(A3820="","",'KG1-7'!$B$2)</f>
        <v/>
      </c>
      <c r="D3820" s="126">
        <f t="array" ref="D3820">IF(A3820="","",IFERROR(SMALL(IF((('KG1-7'!$AD19:$IM19="غياب بدون عذر")+('KG1-7'!$AD19:$IM19="غياب بعذر"))*('KG1-7'!$AD$7:$IM$7="✓"),'KG1-7'!$AD$5:$IM$5),19),""))</f>
        <v/>
      </c>
      <c r="E3820">
        <f>IF(D3820="","",INDEX('KG1-7'!$AD19:$IM19,MATCH(D3820,'KG1-7'!$AD$5:$IM$5,0)))</f>
        <v/>
      </c>
      <c r="F3820">
        <f>IF(D3820="","",COUNTIFS('KG1-7'!$AD19:$IM19,"غياب بدون عذر",'KG1-7'!$AD$7:$IM$7,"✓",'KG1-7'!$AD$5:$IM$5,"&lt;="&amp;D3820))</f>
        <v/>
      </c>
      <c r="G3820">
        <f>G3819+IF(D3820="",0,1)</f>
        <v/>
      </c>
    </row>
    <row r="3821">
      <c r="A3821">
        <f>IF('KG1-7'!$B19="","",'KG1-7'!$B19)</f>
        <v/>
      </c>
      <c r="B3821">
        <f>IF(A3821="","",'KG1-7'!$C19)</f>
        <v/>
      </c>
      <c r="C3821">
        <f>IF(A3821="","",'KG1-7'!$B$2)</f>
        <v/>
      </c>
      <c r="D3821" s="126">
        <f t="array" ref="D3821">IF(A3821="","",IFERROR(SMALL(IF((('KG1-7'!$AD19:$IM19="غياب بدون عذر")+('KG1-7'!$AD19:$IM19="غياب بعذر"))*('KG1-7'!$AD$7:$IM$7="✓"),'KG1-7'!$AD$5:$IM$5),20),""))</f>
        <v/>
      </c>
      <c r="E3821">
        <f>IF(D3821="","",INDEX('KG1-7'!$AD19:$IM19,MATCH(D3821,'KG1-7'!$AD$5:$IM$5,0)))</f>
        <v/>
      </c>
      <c r="F3821">
        <f>IF(D3821="","",COUNTIFS('KG1-7'!$AD19:$IM19,"غياب بدون عذر",'KG1-7'!$AD$7:$IM$7,"✓",'KG1-7'!$AD$5:$IM$5,"&lt;="&amp;D3821))</f>
        <v/>
      </c>
      <c r="G3821">
        <f>G3820+IF(D3821="",0,1)</f>
        <v/>
      </c>
    </row>
    <row r="3822">
      <c r="A3822">
        <f>IF('KG1-7'!$B20="","",'KG1-7'!$B20)</f>
        <v/>
      </c>
      <c r="B3822">
        <f>IF(A3822="","",'KG1-7'!$C20)</f>
        <v/>
      </c>
      <c r="C3822">
        <f>IF(A3822="","",'KG1-7'!$B$2)</f>
        <v/>
      </c>
      <c r="D3822" s="126">
        <f t="array" ref="D3822">IF(A3822="","",IFERROR(SMALL(IF((('KG1-7'!$AD20:$IM20="غياب بدون عذر")+('KG1-7'!$AD20:$IM20="غياب بعذر"))*('KG1-7'!$AD$7:$IM$7="✓"),'KG1-7'!$AD$5:$IM$5),1),""))</f>
        <v/>
      </c>
      <c r="E3822">
        <f>IF(D3822="","",INDEX('KG1-7'!$AD20:$IM20,MATCH(D3822,'KG1-7'!$AD$5:$IM$5,0)))</f>
        <v/>
      </c>
      <c r="F3822">
        <f>IF(D3822="","",COUNTIFS('KG1-7'!$AD20:$IM20,"غياب بدون عذر",'KG1-7'!$AD$7:$IM$7,"✓",'KG1-7'!$AD$5:$IM$5,"&lt;="&amp;D3822))</f>
        <v/>
      </c>
      <c r="G3822">
        <f>G3821+IF(D3822="",0,1)</f>
        <v/>
      </c>
    </row>
    <row r="3823">
      <c r="A3823">
        <f>IF('KG1-7'!$B20="","",'KG1-7'!$B20)</f>
        <v/>
      </c>
      <c r="B3823">
        <f>IF(A3823="","",'KG1-7'!$C20)</f>
        <v/>
      </c>
      <c r="C3823">
        <f>IF(A3823="","",'KG1-7'!$B$2)</f>
        <v/>
      </c>
      <c r="D3823" s="126">
        <f t="array" ref="D3823">IF(A3823="","",IFERROR(SMALL(IF((('KG1-7'!$AD20:$IM20="غياب بدون عذر")+('KG1-7'!$AD20:$IM20="غياب بعذر"))*('KG1-7'!$AD$7:$IM$7="✓"),'KG1-7'!$AD$5:$IM$5),2),""))</f>
        <v/>
      </c>
      <c r="E3823">
        <f>IF(D3823="","",INDEX('KG1-7'!$AD20:$IM20,MATCH(D3823,'KG1-7'!$AD$5:$IM$5,0)))</f>
        <v/>
      </c>
      <c r="F3823">
        <f>IF(D3823="","",COUNTIFS('KG1-7'!$AD20:$IM20,"غياب بدون عذر",'KG1-7'!$AD$7:$IM$7,"✓",'KG1-7'!$AD$5:$IM$5,"&lt;="&amp;D3823))</f>
        <v/>
      </c>
      <c r="G3823">
        <f>G3822+IF(D3823="",0,1)</f>
        <v/>
      </c>
    </row>
    <row r="3824">
      <c r="A3824">
        <f>IF('KG1-7'!$B20="","",'KG1-7'!$B20)</f>
        <v/>
      </c>
      <c r="B3824">
        <f>IF(A3824="","",'KG1-7'!$C20)</f>
        <v/>
      </c>
      <c r="C3824">
        <f>IF(A3824="","",'KG1-7'!$B$2)</f>
        <v/>
      </c>
      <c r="D3824" s="126">
        <f t="array" ref="D3824">IF(A3824="","",IFERROR(SMALL(IF((('KG1-7'!$AD20:$IM20="غياب بدون عذر")+('KG1-7'!$AD20:$IM20="غياب بعذر"))*('KG1-7'!$AD$7:$IM$7="✓"),'KG1-7'!$AD$5:$IM$5),3),""))</f>
        <v/>
      </c>
      <c r="E3824">
        <f>IF(D3824="","",INDEX('KG1-7'!$AD20:$IM20,MATCH(D3824,'KG1-7'!$AD$5:$IM$5,0)))</f>
        <v/>
      </c>
      <c r="F3824">
        <f>IF(D3824="","",COUNTIFS('KG1-7'!$AD20:$IM20,"غياب بدون عذر",'KG1-7'!$AD$7:$IM$7,"✓",'KG1-7'!$AD$5:$IM$5,"&lt;="&amp;D3824))</f>
        <v/>
      </c>
      <c r="G3824">
        <f>G3823+IF(D3824="",0,1)</f>
        <v/>
      </c>
    </row>
    <row r="3825">
      <c r="A3825">
        <f>IF('KG1-7'!$B20="","",'KG1-7'!$B20)</f>
        <v/>
      </c>
      <c r="B3825">
        <f>IF(A3825="","",'KG1-7'!$C20)</f>
        <v/>
      </c>
      <c r="C3825">
        <f>IF(A3825="","",'KG1-7'!$B$2)</f>
        <v/>
      </c>
      <c r="D3825" s="126">
        <f t="array" ref="D3825">IF(A3825="","",IFERROR(SMALL(IF((('KG1-7'!$AD20:$IM20="غياب بدون عذر")+('KG1-7'!$AD20:$IM20="غياب بعذر"))*('KG1-7'!$AD$7:$IM$7="✓"),'KG1-7'!$AD$5:$IM$5),4),""))</f>
        <v/>
      </c>
      <c r="E3825">
        <f>IF(D3825="","",INDEX('KG1-7'!$AD20:$IM20,MATCH(D3825,'KG1-7'!$AD$5:$IM$5,0)))</f>
        <v/>
      </c>
      <c r="F3825">
        <f>IF(D3825="","",COUNTIFS('KG1-7'!$AD20:$IM20,"غياب بدون عذر",'KG1-7'!$AD$7:$IM$7,"✓",'KG1-7'!$AD$5:$IM$5,"&lt;="&amp;D3825))</f>
        <v/>
      </c>
      <c r="G3825">
        <f>G3824+IF(D3825="",0,1)</f>
        <v/>
      </c>
    </row>
    <row r="3826">
      <c r="A3826">
        <f>IF('KG1-7'!$B20="","",'KG1-7'!$B20)</f>
        <v/>
      </c>
      <c r="B3826">
        <f>IF(A3826="","",'KG1-7'!$C20)</f>
        <v/>
      </c>
      <c r="C3826">
        <f>IF(A3826="","",'KG1-7'!$B$2)</f>
        <v/>
      </c>
      <c r="D3826" s="126">
        <f t="array" ref="D3826">IF(A3826="","",IFERROR(SMALL(IF((('KG1-7'!$AD20:$IM20="غياب بدون عذر")+('KG1-7'!$AD20:$IM20="غياب بعذر"))*('KG1-7'!$AD$7:$IM$7="✓"),'KG1-7'!$AD$5:$IM$5),5),""))</f>
        <v/>
      </c>
      <c r="E3826">
        <f>IF(D3826="","",INDEX('KG1-7'!$AD20:$IM20,MATCH(D3826,'KG1-7'!$AD$5:$IM$5,0)))</f>
        <v/>
      </c>
      <c r="F3826">
        <f>IF(D3826="","",COUNTIFS('KG1-7'!$AD20:$IM20,"غياب بدون عذر",'KG1-7'!$AD$7:$IM$7,"✓",'KG1-7'!$AD$5:$IM$5,"&lt;="&amp;D3826))</f>
        <v/>
      </c>
      <c r="G3826">
        <f>G3825+IF(D3826="",0,1)</f>
        <v/>
      </c>
    </row>
    <row r="3827">
      <c r="A3827">
        <f>IF('KG1-7'!$B20="","",'KG1-7'!$B20)</f>
        <v/>
      </c>
      <c r="B3827">
        <f>IF(A3827="","",'KG1-7'!$C20)</f>
        <v/>
      </c>
      <c r="C3827">
        <f>IF(A3827="","",'KG1-7'!$B$2)</f>
        <v/>
      </c>
      <c r="D3827" s="126">
        <f t="array" ref="D3827">IF(A3827="","",IFERROR(SMALL(IF((('KG1-7'!$AD20:$IM20="غياب بدون عذر")+('KG1-7'!$AD20:$IM20="غياب بعذر"))*('KG1-7'!$AD$7:$IM$7="✓"),'KG1-7'!$AD$5:$IM$5),6),""))</f>
        <v/>
      </c>
      <c r="E3827">
        <f>IF(D3827="","",INDEX('KG1-7'!$AD20:$IM20,MATCH(D3827,'KG1-7'!$AD$5:$IM$5,0)))</f>
        <v/>
      </c>
      <c r="F3827">
        <f>IF(D3827="","",COUNTIFS('KG1-7'!$AD20:$IM20,"غياب بدون عذر",'KG1-7'!$AD$7:$IM$7,"✓",'KG1-7'!$AD$5:$IM$5,"&lt;="&amp;D3827))</f>
        <v/>
      </c>
      <c r="G3827">
        <f>G3826+IF(D3827="",0,1)</f>
        <v/>
      </c>
    </row>
    <row r="3828">
      <c r="A3828">
        <f>IF('KG1-7'!$B20="","",'KG1-7'!$B20)</f>
        <v/>
      </c>
      <c r="B3828">
        <f>IF(A3828="","",'KG1-7'!$C20)</f>
        <v/>
      </c>
      <c r="C3828">
        <f>IF(A3828="","",'KG1-7'!$B$2)</f>
        <v/>
      </c>
      <c r="D3828" s="126">
        <f t="array" ref="D3828">IF(A3828="","",IFERROR(SMALL(IF((('KG1-7'!$AD20:$IM20="غياب بدون عذر")+('KG1-7'!$AD20:$IM20="غياب بعذر"))*('KG1-7'!$AD$7:$IM$7="✓"),'KG1-7'!$AD$5:$IM$5),7),""))</f>
        <v/>
      </c>
      <c r="E3828">
        <f>IF(D3828="","",INDEX('KG1-7'!$AD20:$IM20,MATCH(D3828,'KG1-7'!$AD$5:$IM$5,0)))</f>
        <v/>
      </c>
      <c r="F3828">
        <f>IF(D3828="","",COUNTIFS('KG1-7'!$AD20:$IM20,"غياب بدون عذر",'KG1-7'!$AD$7:$IM$7,"✓",'KG1-7'!$AD$5:$IM$5,"&lt;="&amp;D3828))</f>
        <v/>
      </c>
      <c r="G3828">
        <f>G3827+IF(D3828="",0,1)</f>
        <v/>
      </c>
    </row>
    <row r="3829">
      <c r="A3829">
        <f>IF('KG1-7'!$B20="","",'KG1-7'!$B20)</f>
        <v/>
      </c>
      <c r="B3829">
        <f>IF(A3829="","",'KG1-7'!$C20)</f>
        <v/>
      </c>
      <c r="C3829">
        <f>IF(A3829="","",'KG1-7'!$B$2)</f>
        <v/>
      </c>
      <c r="D3829" s="126">
        <f t="array" ref="D3829">IF(A3829="","",IFERROR(SMALL(IF((('KG1-7'!$AD20:$IM20="غياب بدون عذر")+('KG1-7'!$AD20:$IM20="غياب بعذر"))*('KG1-7'!$AD$7:$IM$7="✓"),'KG1-7'!$AD$5:$IM$5),8),""))</f>
        <v/>
      </c>
      <c r="E3829">
        <f>IF(D3829="","",INDEX('KG1-7'!$AD20:$IM20,MATCH(D3829,'KG1-7'!$AD$5:$IM$5,0)))</f>
        <v/>
      </c>
      <c r="F3829">
        <f>IF(D3829="","",COUNTIFS('KG1-7'!$AD20:$IM20,"غياب بدون عذر",'KG1-7'!$AD$7:$IM$7,"✓",'KG1-7'!$AD$5:$IM$5,"&lt;="&amp;D3829))</f>
        <v/>
      </c>
      <c r="G3829">
        <f>G3828+IF(D3829="",0,1)</f>
        <v/>
      </c>
    </row>
    <row r="3830">
      <c r="A3830">
        <f>IF('KG1-7'!$B20="","",'KG1-7'!$B20)</f>
        <v/>
      </c>
      <c r="B3830">
        <f>IF(A3830="","",'KG1-7'!$C20)</f>
        <v/>
      </c>
      <c r="C3830">
        <f>IF(A3830="","",'KG1-7'!$B$2)</f>
        <v/>
      </c>
      <c r="D3830" s="126">
        <f t="array" ref="D3830">IF(A3830="","",IFERROR(SMALL(IF((('KG1-7'!$AD20:$IM20="غياب بدون عذر")+('KG1-7'!$AD20:$IM20="غياب بعذر"))*('KG1-7'!$AD$7:$IM$7="✓"),'KG1-7'!$AD$5:$IM$5),9),""))</f>
        <v/>
      </c>
      <c r="E3830">
        <f>IF(D3830="","",INDEX('KG1-7'!$AD20:$IM20,MATCH(D3830,'KG1-7'!$AD$5:$IM$5,0)))</f>
        <v/>
      </c>
      <c r="F3830">
        <f>IF(D3830="","",COUNTIFS('KG1-7'!$AD20:$IM20,"غياب بدون عذر",'KG1-7'!$AD$7:$IM$7,"✓",'KG1-7'!$AD$5:$IM$5,"&lt;="&amp;D3830))</f>
        <v/>
      </c>
      <c r="G3830">
        <f>G3829+IF(D3830="",0,1)</f>
        <v/>
      </c>
    </row>
    <row r="3831">
      <c r="A3831">
        <f>IF('KG1-7'!$B20="","",'KG1-7'!$B20)</f>
        <v/>
      </c>
      <c r="B3831">
        <f>IF(A3831="","",'KG1-7'!$C20)</f>
        <v/>
      </c>
      <c r="C3831">
        <f>IF(A3831="","",'KG1-7'!$B$2)</f>
        <v/>
      </c>
      <c r="D3831" s="126">
        <f t="array" ref="D3831">IF(A3831="","",IFERROR(SMALL(IF((('KG1-7'!$AD20:$IM20="غياب بدون عذر")+('KG1-7'!$AD20:$IM20="غياب بعذر"))*('KG1-7'!$AD$7:$IM$7="✓"),'KG1-7'!$AD$5:$IM$5),10),""))</f>
        <v/>
      </c>
      <c r="E3831">
        <f>IF(D3831="","",INDEX('KG1-7'!$AD20:$IM20,MATCH(D3831,'KG1-7'!$AD$5:$IM$5,0)))</f>
        <v/>
      </c>
      <c r="F3831">
        <f>IF(D3831="","",COUNTIFS('KG1-7'!$AD20:$IM20,"غياب بدون عذر",'KG1-7'!$AD$7:$IM$7,"✓",'KG1-7'!$AD$5:$IM$5,"&lt;="&amp;D3831))</f>
        <v/>
      </c>
      <c r="G3831">
        <f>G3830+IF(D3831="",0,1)</f>
        <v/>
      </c>
    </row>
    <row r="3832">
      <c r="A3832">
        <f>IF('KG1-7'!$B20="","",'KG1-7'!$B20)</f>
        <v/>
      </c>
      <c r="B3832">
        <f>IF(A3832="","",'KG1-7'!$C20)</f>
        <v/>
      </c>
      <c r="C3832">
        <f>IF(A3832="","",'KG1-7'!$B$2)</f>
        <v/>
      </c>
      <c r="D3832" s="126">
        <f t="array" ref="D3832">IF(A3832="","",IFERROR(SMALL(IF((('KG1-7'!$AD20:$IM20="غياب بدون عذر")+('KG1-7'!$AD20:$IM20="غياب بعذر"))*('KG1-7'!$AD$7:$IM$7="✓"),'KG1-7'!$AD$5:$IM$5),11),""))</f>
        <v/>
      </c>
      <c r="E3832">
        <f>IF(D3832="","",INDEX('KG1-7'!$AD20:$IM20,MATCH(D3832,'KG1-7'!$AD$5:$IM$5,0)))</f>
        <v/>
      </c>
      <c r="F3832">
        <f>IF(D3832="","",COUNTIFS('KG1-7'!$AD20:$IM20,"غياب بدون عذر",'KG1-7'!$AD$7:$IM$7,"✓",'KG1-7'!$AD$5:$IM$5,"&lt;="&amp;D3832))</f>
        <v/>
      </c>
      <c r="G3832">
        <f>G3831+IF(D3832="",0,1)</f>
        <v/>
      </c>
    </row>
    <row r="3833">
      <c r="A3833">
        <f>IF('KG1-7'!$B20="","",'KG1-7'!$B20)</f>
        <v/>
      </c>
      <c r="B3833">
        <f>IF(A3833="","",'KG1-7'!$C20)</f>
        <v/>
      </c>
      <c r="C3833">
        <f>IF(A3833="","",'KG1-7'!$B$2)</f>
        <v/>
      </c>
      <c r="D3833" s="126">
        <f t="array" ref="D3833">IF(A3833="","",IFERROR(SMALL(IF((('KG1-7'!$AD20:$IM20="غياب بدون عذر")+('KG1-7'!$AD20:$IM20="غياب بعذر"))*('KG1-7'!$AD$7:$IM$7="✓"),'KG1-7'!$AD$5:$IM$5),12),""))</f>
        <v/>
      </c>
      <c r="E3833">
        <f>IF(D3833="","",INDEX('KG1-7'!$AD20:$IM20,MATCH(D3833,'KG1-7'!$AD$5:$IM$5,0)))</f>
        <v/>
      </c>
      <c r="F3833">
        <f>IF(D3833="","",COUNTIFS('KG1-7'!$AD20:$IM20,"غياب بدون عذر",'KG1-7'!$AD$7:$IM$7,"✓",'KG1-7'!$AD$5:$IM$5,"&lt;="&amp;D3833))</f>
        <v/>
      </c>
      <c r="G3833">
        <f>G3832+IF(D3833="",0,1)</f>
        <v/>
      </c>
    </row>
    <row r="3834">
      <c r="A3834">
        <f>IF('KG1-7'!$B20="","",'KG1-7'!$B20)</f>
        <v/>
      </c>
      <c r="B3834">
        <f>IF(A3834="","",'KG1-7'!$C20)</f>
        <v/>
      </c>
      <c r="C3834">
        <f>IF(A3834="","",'KG1-7'!$B$2)</f>
        <v/>
      </c>
      <c r="D3834" s="126">
        <f t="array" ref="D3834">IF(A3834="","",IFERROR(SMALL(IF((('KG1-7'!$AD20:$IM20="غياب بدون عذر")+('KG1-7'!$AD20:$IM20="غياب بعذر"))*('KG1-7'!$AD$7:$IM$7="✓"),'KG1-7'!$AD$5:$IM$5),13),""))</f>
        <v/>
      </c>
      <c r="E3834">
        <f>IF(D3834="","",INDEX('KG1-7'!$AD20:$IM20,MATCH(D3834,'KG1-7'!$AD$5:$IM$5,0)))</f>
        <v/>
      </c>
      <c r="F3834">
        <f>IF(D3834="","",COUNTIFS('KG1-7'!$AD20:$IM20,"غياب بدون عذر",'KG1-7'!$AD$7:$IM$7,"✓",'KG1-7'!$AD$5:$IM$5,"&lt;="&amp;D3834))</f>
        <v/>
      </c>
      <c r="G3834">
        <f>G3833+IF(D3834="",0,1)</f>
        <v/>
      </c>
    </row>
    <row r="3835">
      <c r="A3835">
        <f>IF('KG1-7'!$B20="","",'KG1-7'!$B20)</f>
        <v/>
      </c>
      <c r="B3835">
        <f>IF(A3835="","",'KG1-7'!$C20)</f>
        <v/>
      </c>
      <c r="C3835">
        <f>IF(A3835="","",'KG1-7'!$B$2)</f>
        <v/>
      </c>
      <c r="D3835" s="126">
        <f t="array" ref="D3835">IF(A3835="","",IFERROR(SMALL(IF((('KG1-7'!$AD20:$IM20="غياب بدون عذر")+('KG1-7'!$AD20:$IM20="غياب بعذر"))*('KG1-7'!$AD$7:$IM$7="✓"),'KG1-7'!$AD$5:$IM$5),14),""))</f>
        <v/>
      </c>
      <c r="E3835">
        <f>IF(D3835="","",INDEX('KG1-7'!$AD20:$IM20,MATCH(D3835,'KG1-7'!$AD$5:$IM$5,0)))</f>
        <v/>
      </c>
      <c r="F3835">
        <f>IF(D3835="","",COUNTIFS('KG1-7'!$AD20:$IM20,"غياب بدون عذر",'KG1-7'!$AD$7:$IM$7,"✓",'KG1-7'!$AD$5:$IM$5,"&lt;="&amp;D3835))</f>
        <v/>
      </c>
      <c r="G3835">
        <f>G3834+IF(D3835="",0,1)</f>
        <v/>
      </c>
    </row>
    <row r="3836">
      <c r="A3836">
        <f>IF('KG1-7'!$B20="","",'KG1-7'!$B20)</f>
        <v/>
      </c>
      <c r="B3836">
        <f>IF(A3836="","",'KG1-7'!$C20)</f>
        <v/>
      </c>
      <c r="C3836">
        <f>IF(A3836="","",'KG1-7'!$B$2)</f>
        <v/>
      </c>
      <c r="D3836" s="126">
        <f t="array" ref="D3836">IF(A3836="","",IFERROR(SMALL(IF((('KG1-7'!$AD20:$IM20="غياب بدون عذر")+('KG1-7'!$AD20:$IM20="غياب بعذر"))*('KG1-7'!$AD$7:$IM$7="✓"),'KG1-7'!$AD$5:$IM$5),15),""))</f>
        <v/>
      </c>
      <c r="E3836">
        <f>IF(D3836="","",INDEX('KG1-7'!$AD20:$IM20,MATCH(D3836,'KG1-7'!$AD$5:$IM$5,0)))</f>
        <v/>
      </c>
      <c r="F3836">
        <f>IF(D3836="","",COUNTIFS('KG1-7'!$AD20:$IM20,"غياب بدون عذر",'KG1-7'!$AD$7:$IM$7,"✓",'KG1-7'!$AD$5:$IM$5,"&lt;="&amp;D3836))</f>
        <v/>
      </c>
      <c r="G3836">
        <f>G3835+IF(D3836="",0,1)</f>
        <v/>
      </c>
    </row>
    <row r="3837">
      <c r="A3837">
        <f>IF('KG1-7'!$B20="","",'KG1-7'!$B20)</f>
        <v/>
      </c>
      <c r="B3837">
        <f>IF(A3837="","",'KG1-7'!$C20)</f>
        <v/>
      </c>
      <c r="C3837">
        <f>IF(A3837="","",'KG1-7'!$B$2)</f>
        <v/>
      </c>
      <c r="D3837" s="126">
        <f t="array" ref="D3837">IF(A3837="","",IFERROR(SMALL(IF((('KG1-7'!$AD20:$IM20="غياب بدون عذر")+('KG1-7'!$AD20:$IM20="غياب بعذر"))*('KG1-7'!$AD$7:$IM$7="✓"),'KG1-7'!$AD$5:$IM$5),16),""))</f>
        <v/>
      </c>
      <c r="E3837">
        <f>IF(D3837="","",INDEX('KG1-7'!$AD20:$IM20,MATCH(D3837,'KG1-7'!$AD$5:$IM$5,0)))</f>
        <v/>
      </c>
      <c r="F3837">
        <f>IF(D3837="","",COUNTIFS('KG1-7'!$AD20:$IM20,"غياب بدون عذر",'KG1-7'!$AD$7:$IM$7,"✓",'KG1-7'!$AD$5:$IM$5,"&lt;="&amp;D3837))</f>
        <v/>
      </c>
      <c r="G3837">
        <f>G3836+IF(D3837="",0,1)</f>
        <v/>
      </c>
    </row>
    <row r="3838">
      <c r="A3838">
        <f>IF('KG1-7'!$B20="","",'KG1-7'!$B20)</f>
        <v/>
      </c>
      <c r="B3838">
        <f>IF(A3838="","",'KG1-7'!$C20)</f>
        <v/>
      </c>
      <c r="C3838">
        <f>IF(A3838="","",'KG1-7'!$B$2)</f>
        <v/>
      </c>
      <c r="D3838" s="126">
        <f t="array" ref="D3838">IF(A3838="","",IFERROR(SMALL(IF((('KG1-7'!$AD20:$IM20="غياب بدون عذر")+('KG1-7'!$AD20:$IM20="غياب بعذر"))*('KG1-7'!$AD$7:$IM$7="✓"),'KG1-7'!$AD$5:$IM$5),17),""))</f>
        <v/>
      </c>
      <c r="E3838">
        <f>IF(D3838="","",INDEX('KG1-7'!$AD20:$IM20,MATCH(D3838,'KG1-7'!$AD$5:$IM$5,0)))</f>
        <v/>
      </c>
      <c r="F3838">
        <f>IF(D3838="","",COUNTIFS('KG1-7'!$AD20:$IM20,"غياب بدون عذر",'KG1-7'!$AD$7:$IM$7,"✓",'KG1-7'!$AD$5:$IM$5,"&lt;="&amp;D3838))</f>
        <v/>
      </c>
      <c r="G3838">
        <f>G3837+IF(D3838="",0,1)</f>
        <v/>
      </c>
    </row>
    <row r="3839">
      <c r="A3839">
        <f>IF('KG1-7'!$B20="","",'KG1-7'!$B20)</f>
        <v/>
      </c>
      <c r="B3839">
        <f>IF(A3839="","",'KG1-7'!$C20)</f>
        <v/>
      </c>
      <c r="C3839">
        <f>IF(A3839="","",'KG1-7'!$B$2)</f>
        <v/>
      </c>
      <c r="D3839" s="126">
        <f t="array" ref="D3839">IF(A3839="","",IFERROR(SMALL(IF((('KG1-7'!$AD20:$IM20="غياب بدون عذر")+('KG1-7'!$AD20:$IM20="غياب بعذر"))*('KG1-7'!$AD$7:$IM$7="✓"),'KG1-7'!$AD$5:$IM$5),18),""))</f>
        <v/>
      </c>
      <c r="E3839">
        <f>IF(D3839="","",INDEX('KG1-7'!$AD20:$IM20,MATCH(D3839,'KG1-7'!$AD$5:$IM$5,0)))</f>
        <v/>
      </c>
      <c r="F3839">
        <f>IF(D3839="","",COUNTIFS('KG1-7'!$AD20:$IM20,"غياب بدون عذر",'KG1-7'!$AD$7:$IM$7,"✓",'KG1-7'!$AD$5:$IM$5,"&lt;="&amp;D3839))</f>
        <v/>
      </c>
      <c r="G3839">
        <f>G3838+IF(D3839="",0,1)</f>
        <v/>
      </c>
    </row>
    <row r="3840">
      <c r="A3840">
        <f>IF('KG1-7'!$B20="","",'KG1-7'!$B20)</f>
        <v/>
      </c>
      <c r="B3840">
        <f>IF(A3840="","",'KG1-7'!$C20)</f>
        <v/>
      </c>
      <c r="C3840">
        <f>IF(A3840="","",'KG1-7'!$B$2)</f>
        <v/>
      </c>
      <c r="D3840" s="126">
        <f t="array" ref="D3840">IF(A3840="","",IFERROR(SMALL(IF((('KG1-7'!$AD20:$IM20="غياب بدون عذر")+('KG1-7'!$AD20:$IM20="غياب بعذر"))*('KG1-7'!$AD$7:$IM$7="✓"),'KG1-7'!$AD$5:$IM$5),19),""))</f>
        <v/>
      </c>
      <c r="E3840">
        <f>IF(D3840="","",INDEX('KG1-7'!$AD20:$IM20,MATCH(D3840,'KG1-7'!$AD$5:$IM$5,0)))</f>
        <v/>
      </c>
      <c r="F3840">
        <f>IF(D3840="","",COUNTIFS('KG1-7'!$AD20:$IM20,"غياب بدون عذر",'KG1-7'!$AD$7:$IM$7,"✓",'KG1-7'!$AD$5:$IM$5,"&lt;="&amp;D3840))</f>
        <v/>
      </c>
      <c r="G3840">
        <f>G3839+IF(D3840="",0,1)</f>
        <v/>
      </c>
    </row>
    <row r="3841">
      <c r="A3841">
        <f>IF('KG1-7'!$B20="","",'KG1-7'!$B20)</f>
        <v/>
      </c>
      <c r="B3841">
        <f>IF(A3841="","",'KG1-7'!$C20)</f>
        <v/>
      </c>
      <c r="C3841">
        <f>IF(A3841="","",'KG1-7'!$B$2)</f>
        <v/>
      </c>
      <c r="D3841" s="126">
        <f t="array" ref="D3841">IF(A3841="","",IFERROR(SMALL(IF((('KG1-7'!$AD20:$IM20="غياب بدون عذر")+('KG1-7'!$AD20:$IM20="غياب بعذر"))*('KG1-7'!$AD$7:$IM$7="✓"),'KG1-7'!$AD$5:$IM$5),20),""))</f>
        <v/>
      </c>
      <c r="E3841">
        <f>IF(D3841="","",INDEX('KG1-7'!$AD20:$IM20,MATCH(D3841,'KG1-7'!$AD$5:$IM$5,0)))</f>
        <v/>
      </c>
      <c r="F3841">
        <f>IF(D3841="","",COUNTIFS('KG1-7'!$AD20:$IM20,"غياب بدون عذر",'KG1-7'!$AD$7:$IM$7,"✓",'KG1-7'!$AD$5:$IM$5,"&lt;="&amp;D3841))</f>
        <v/>
      </c>
      <c r="G3841">
        <f>G3840+IF(D3841="",0,1)</f>
        <v/>
      </c>
    </row>
    <row r="3842">
      <c r="A3842">
        <f>IF('KG1-7'!$B21="","",'KG1-7'!$B21)</f>
        <v/>
      </c>
      <c r="B3842">
        <f>IF(A3842="","",'KG1-7'!$C21)</f>
        <v/>
      </c>
      <c r="C3842">
        <f>IF(A3842="","",'KG1-7'!$B$2)</f>
        <v/>
      </c>
      <c r="D3842" s="126">
        <f t="array" ref="D3842">IF(A3842="","",IFERROR(SMALL(IF((('KG1-7'!$AD21:$IM21="غياب بدون عذر")+('KG1-7'!$AD21:$IM21="غياب بعذر"))*('KG1-7'!$AD$7:$IM$7="✓"),'KG1-7'!$AD$5:$IM$5),1),""))</f>
        <v/>
      </c>
      <c r="E3842">
        <f>IF(D3842="","",INDEX('KG1-7'!$AD21:$IM21,MATCH(D3842,'KG1-7'!$AD$5:$IM$5,0)))</f>
        <v/>
      </c>
      <c r="F3842">
        <f>IF(D3842="","",COUNTIFS('KG1-7'!$AD21:$IM21,"غياب بدون عذر",'KG1-7'!$AD$7:$IM$7,"✓",'KG1-7'!$AD$5:$IM$5,"&lt;="&amp;D3842))</f>
        <v/>
      </c>
      <c r="G3842">
        <f>G3841+IF(D3842="",0,1)</f>
        <v/>
      </c>
    </row>
    <row r="3843">
      <c r="A3843">
        <f>IF('KG1-7'!$B21="","",'KG1-7'!$B21)</f>
        <v/>
      </c>
      <c r="B3843">
        <f>IF(A3843="","",'KG1-7'!$C21)</f>
        <v/>
      </c>
      <c r="C3843">
        <f>IF(A3843="","",'KG1-7'!$B$2)</f>
        <v/>
      </c>
      <c r="D3843" s="126">
        <f t="array" ref="D3843">IF(A3843="","",IFERROR(SMALL(IF((('KG1-7'!$AD21:$IM21="غياب بدون عذر")+('KG1-7'!$AD21:$IM21="غياب بعذر"))*('KG1-7'!$AD$7:$IM$7="✓"),'KG1-7'!$AD$5:$IM$5),2),""))</f>
        <v/>
      </c>
      <c r="E3843">
        <f>IF(D3843="","",INDEX('KG1-7'!$AD21:$IM21,MATCH(D3843,'KG1-7'!$AD$5:$IM$5,0)))</f>
        <v/>
      </c>
      <c r="F3843">
        <f>IF(D3843="","",COUNTIFS('KG1-7'!$AD21:$IM21,"غياب بدون عذر",'KG1-7'!$AD$7:$IM$7,"✓",'KG1-7'!$AD$5:$IM$5,"&lt;="&amp;D3843))</f>
        <v/>
      </c>
      <c r="G3843">
        <f>G3842+IF(D3843="",0,1)</f>
        <v/>
      </c>
    </row>
    <row r="3844">
      <c r="A3844">
        <f>IF('KG1-7'!$B21="","",'KG1-7'!$B21)</f>
        <v/>
      </c>
      <c r="B3844">
        <f>IF(A3844="","",'KG1-7'!$C21)</f>
        <v/>
      </c>
      <c r="C3844">
        <f>IF(A3844="","",'KG1-7'!$B$2)</f>
        <v/>
      </c>
      <c r="D3844" s="126">
        <f t="array" ref="D3844">IF(A3844="","",IFERROR(SMALL(IF((('KG1-7'!$AD21:$IM21="غياب بدون عذر")+('KG1-7'!$AD21:$IM21="غياب بعذر"))*('KG1-7'!$AD$7:$IM$7="✓"),'KG1-7'!$AD$5:$IM$5),3),""))</f>
        <v/>
      </c>
      <c r="E3844">
        <f>IF(D3844="","",INDEX('KG1-7'!$AD21:$IM21,MATCH(D3844,'KG1-7'!$AD$5:$IM$5,0)))</f>
        <v/>
      </c>
      <c r="F3844">
        <f>IF(D3844="","",COUNTIFS('KG1-7'!$AD21:$IM21,"غياب بدون عذر",'KG1-7'!$AD$7:$IM$7,"✓",'KG1-7'!$AD$5:$IM$5,"&lt;="&amp;D3844))</f>
        <v/>
      </c>
      <c r="G3844">
        <f>G3843+IF(D3844="",0,1)</f>
        <v/>
      </c>
    </row>
    <row r="3845">
      <c r="A3845">
        <f>IF('KG1-7'!$B21="","",'KG1-7'!$B21)</f>
        <v/>
      </c>
      <c r="B3845">
        <f>IF(A3845="","",'KG1-7'!$C21)</f>
        <v/>
      </c>
      <c r="C3845">
        <f>IF(A3845="","",'KG1-7'!$B$2)</f>
        <v/>
      </c>
      <c r="D3845" s="126">
        <f t="array" ref="D3845">IF(A3845="","",IFERROR(SMALL(IF((('KG1-7'!$AD21:$IM21="غياب بدون عذر")+('KG1-7'!$AD21:$IM21="غياب بعذر"))*('KG1-7'!$AD$7:$IM$7="✓"),'KG1-7'!$AD$5:$IM$5),4),""))</f>
        <v/>
      </c>
      <c r="E3845">
        <f>IF(D3845="","",INDEX('KG1-7'!$AD21:$IM21,MATCH(D3845,'KG1-7'!$AD$5:$IM$5,0)))</f>
        <v/>
      </c>
      <c r="F3845">
        <f>IF(D3845="","",COUNTIFS('KG1-7'!$AD21:$IM21,"غياب بدون عذر",'KG1-7'!$AD$7:$IM$7,"✓",'KG1-7'!$AD$5:$IM$5,"&lt;="&amp;D3845))</f>
        <v/>
      </c>
      <c r="G3845">
        <f>G3844+IF(D3845="",0,1)</f>
        <v/>
      </c>
    </row>
    <row r="3846">
      <c r="A3846">
        <f>IF('KG1-7'!$B21="","",'KG1-7'!$B21)</f>
        <v/>
      </c>
      <c r="B3846">
        <f>IF(A3846="","",'KG1-7'!$C21)</f>
        <v/>
      </c>
      <c r="C3846">
        <f>IF(A3846="","",'KG1-7'!$B$2)</f>
        <v/>
      </c>
      <c r="D3846" s="126">
        <f t="array" ref="D3846">IF(A3846="","",IFERROR(SMALL(IF((('KG1-7'!$AD21:$IM21="غياب بدون عذر")+('KG1-7'!$AD21:$IM21="غياب بعذر"))*('KG1-7'!$AD$7:$IM$7="✓"),'KG1-7'!$AD$5:$IM$5),5),""))</f>
        <v/>
      </c>
      <c r="E3846">
        <f>IF(D3846="","",INDEX('KG1-7'!$AD21:$IM21,MATCH(D3846,'KG1-7'!$AD$5:$IM$5,0)))</f>
        <v/>
      </c>
      <c r="F3846">
        <f>IF(D3846="","",COUNTIFS('KG1-7'!$AD21:$IM21,"غياب بدون عذر",'KG1-7'!$AD$7:$IM$7,"✓",'KG1-7'!$AD$5:$IM$5,"&lt;="&amp;D3846))</f>
        <v/>
      </c>
      <c r="G3846">
        <f>G3845+IF(D3846="",0,1)</f>
        <v/>
      </c>
    </row>
    <row r="3847">
      <c r="A3847">
        <f>IF('KG1-7'!$B21="","",'KG1-7'!$B21)</f>
        <v/>
      </c>
      <c r="B3847">
        <f>IF(A3847="","",'KG1-7'!$C21)</f>
        <v/>
      </c>
      <c r="C3847">
        <f>IF(A3847="","",'KG1-7'!$B$2)</f>
        <v/>
      </c>
      <c r="D3847" s="126">
        <f t="array" ref="D3847">IF(A3847="","",IFERROR(SMALL(IF((('KG1-7'!$AD21:$IM21="غياب بدون عذر")+('KG1-7'!$AD21:$IM21="غياب بعذر"))*('KG1-7'!$AD$7:$IM$7="✓"),'KG1-7'!$AD$5:$IM$5),6),""))</f>
        <v/>
      </c>
      <c r="E3847">
        <f>IF(D3847="","",INDEX('KG1-7'!$AD21:$IM21,MATCH(D3847,'KG1-7'!$AD$5:$IM$5,0)))</f>
        <v/>
      </c>
      <c r="F3847">
        <f>IF(D3847="","",COUNTIFS('KG1-7'!$AD21:$IM21,"غياب بدون عذر",'KG1-7'!$AD$7:$IM$7,"✓",'KG1-7'!$AD$5:$IM$5,"&lt;="&amp;D3847))</f>
        <v/>
      </c>
      <c r="G3847">
        <f>G3846+IF(D3847="",0,1)</f>
        <v/>
      </c>
    </row>
    <row r="3848">
      <c r="A3848">
        <f>IF('KG1-7'!$B21="","",'KG1-7'!$B21)</f>
        <v/>
      </c>
      <c r="B3848">
        <f>IF(A3848="","",'KG1-7'!$C21)</f>
        <v/>
      </c>
      <c r="C3848">
        <f>IF(A3848="","",'KG1-7'!$B$2)</f>
        <v/>
      </c>
      <c r="D3848" s="126">
        <f t="array" ref="D3848">IF(A3848="","",IFERROR(SMALL(IF((('KG1-7'!$AD21:$IM21="غياب بدون عذر")+('KG1-7'!$AD21:$IM21="غياب بعذر"))*('KG1-7'!$AD$7:$IM$7="✓"),'KG1-7'!$AD$5:$IM$5),7),""))</f>
        <v/>
      </c>
      <c r="E3848">
        <f>IF(D3848="","",INDEX('KG1-7'!$AD21:$IM21,MATCH(D3848,'KG1-7'!$AD$5:$IM$5,0)))</f>
        <v/>
      </c>
      <c r="F3848">
        <f>IF(D3848="","",COUNTIFS('KG1-7'!$AD21:$IM21,"غياب بدون عذر",'KG1-7'!$AD$7:$IM$7,"✓",'KG1-7'!$AD$5:$IM$5,"&lt;="&amp;D3848))</f>
        <v/>
      </c>
      <c r="G3848">
        <f>G3847+IF(D3848="",0,1)</f>
        <v/>
      </c>
    </row>
    <row r="3849">
      <c r="A3849">
        <f>IF('KG1-7'!$B21="","",'KG1-7'!$B21)</f>
        <v/>
      </c>
      <c r="B3849">
        <f>IF(A3849="","",'KG1-7'!$C21)</f>
        <v/>
      </c>
      <c r="C3849">
        <f>IF(A3849="","",'KG1-7'!$B$2)</f>
        <v/>
      </c>
      <c r="D3849" s="126">
        <f t="array" ref="D3849">IF(A3849="","",IFERROR(SMALL(IF((('KG1-7'!$AD21:$IM21="غياب بدون عذر")+('KG1-7'!$AD21:$IM21="غياب بعذر"))*('KG1-7'!$AD$7:$IM$7="✓"),'KG1-7'!$AD$5:$IM$5),8),""))</f>
        <v/>
      </c>
      <c r="E3849">
        <f>IF(D3849="","",INDEX('KG1-7'!$AD21:$IM21,MATCH(D3849,'KG1-7'!$AD$5:$IM$5,0)))</f>
        <v/>
      </c>
      <c r="F3849">
        <f>IF(D3849="","",COUNTIFS('KG1-7'!$AD21:$IM21,"غياب بدون عذر",'KG1-7'!$AD$7:$IM$7,"✓",'KG1-7'!$AD$5:$IM$5,"&lt;="&amp;D3849))</f>
        <v/>
      </c>
      <c r="G3849">
        <f>G3848+IF(D3849="",0,1)</f>
        <v/>
      </c>
    </row>
    <row r="3850">
      <c r="A3850">
        <f>IF('KG1-7'!$B21="","",'KG1-7'!$B21)</f>
        <v/>
      </c>
      <c r="B3850">
        <f>IF(A3850="","",'KG1-7'!$C21)</f>
        <v/>
      </c>
      <c r="C3850">
        <f>IF(A3850="","",'KG1-7'!$B$2)</f>
        <v/>
      </c>
      <c r="D3850" s="126">
        <f t="array" ref="D3850">IF(A3850="","",IFERROR(SMALL(IF((('KG1-7'!$AD21:$IM21="غياب بدون عذر")+('KG1-7'!$AD21:$IM21="غياب بعذر"))*('KG1-7'!$AD$7:$IM$7="✓"),'KG1-7'!$AD$5:$IM$5),9),""))</f>
        <v/>
      </c>
      <c r="E3850">
        <f>IF(D3850="","",INDEX('KG1-7'!$AD21:$IM21,MATCH(D3850,'KG1-7'!$AD$5:$IM$5,0)))</f>
        <v/>
      </c>
      <c r="F3850">
        <f>IF(D3850="","",COUNTIFS('KG1-7'!$AD21:$IM21,"غياب بدون عذر",'KG1-7'!$AD$7:$IM$7,"✓",'KG1-7'!$AD$5:$IM$5,"&lt;="&amp;D3850))</f>
        <v/>
      </c>
      <c r="G3850">
        <f>G3849+IF(D3850="",0,1)</f>
        <v/>
      </c>
    </row>
    <row r="3851">
      <c r="A3851">
        <f>IF('KG1-7'!$B21="","",'KG1-7'!$B21)</f>
        <v/>
      </c>
      <c r="B3851">
        <f>IF(A3851="","",'KG1-7'!$C21)</f>
        <v/>
      </c>
      <c r="C3851">
        <f>IF(A3851="","",'KG1-7'!$B$2)</f>
        <v/>
      </c>
      <c r="D3851" s="126">
        <f t="array" ref="D3851">IF(A3851="","",IFERROR(SMALL(IF((('KG1-7'!$AD21:$IM21="غياب بدون عذر")+('KG1-7'!$AD21:$IM21="غياب بعذر"))*('KG1-7'!$AD$7:$IM$7="✓"),'KG1-7'!$AD$5:$IM$5),10),""))</f>
        <v/>
      </c>
      <c r="E3851">
        <f>IF(D3851="","",INDEX('KG1-7'!$AD21:$IM21,MATCH(D3851,'KG1-7'!$AD$5:$IM$5,0)))</f>
        <v/>
      </c>
      <c r="F3851">
        <f>IF(D3851="","",COUNTIFS('KG1-7'!$AD21:$IM21,"غياب بدون عذر",'KG1-7'!$AD$7:$IM$7,"✓",'KG1-7'!$AD$5:$IM$5,"&lt;="&amp;D3851))</f>
        <v/>
      </c>
      <c r="G3851">
        <f>G3850+IF(D3851="",0,1)</f>
        <v/>
      </c>
    </row>
    <row r="3852">
      <c r="A3852">
        <f>IF('KG1-7'!$B21="","",'KG1-7'!$B21)</f>
        <v/>
      </c>
      <c r="B3852">
        <f>IF(A3852="","",'KG1-7'!$C21)</f>
        <v/>
      </c>
      <c r="C3852">
        <f>IF(A3852="","",'KG1-7'!$B$2)</f>
        <v/>
      </c>
      <c r="D3852" s="126">
        <f t="array" ref="D3852">IF(A3852="","",IFERROR(SMALL(IF((('KG1-7'!$AD21:$IM21="غياب بدون عذر")+('KG1-7'!$AD21:$IM21="غياب بعذر"))*('KG1-7'!$AD$7:$IM$7="✓"),'KG1-7'!$AD$5:$IM$5),11),""))</f>
        <v/>
      </c>
      <c r="E3852">
        <f>IF(D3852="","",INDEX('KG1-7'!$AD21:$IM21,MATCH(D3852,'KG1-7'!$AD$5:$IM$5,0)))</f>
        <v/>
      </c>
      <c r="F3852">
        <f>IF(D3852="","",COUNTIFS('KG1-7'!$AD21:$IM21,"غياب بدون عذر",'KG1-7'!$AD$7:$IM$7,"✓",'KG1-7'!$AD$5:$IM$5,"&lt;="&amp;D3852))</f>
        <v/>
      </c>
      <c r="G3852">
        <f>G3851+IF(D3852="",0,1)</f>
        <v/>
      </c>
    </row>
    <row r="3853">
      <c r="A3853">
        <f>IF('KG1-7'!$B21="","",'KG1-7'!$B21)</f>
        <v/>
      </c>
      <c r="B3853">
        <f>IF(A3853="","",'KG1-7'!$C21)</f>
        <v/>
      </c>
      <c r="C3853">
        <f>IF(A3853="","",'KG1-7'!$B$2)</f>
        <v/>
      </c>
      <c r="D3853" s="126">
        <f t="array" ref="D3853">IF(A3853="","",IFERROR(SMALL(IF((('KG1-7'!$AD21:$IM21="غياب بدون عذر")+('KG1-7'!$AD21:$IM21="غياب بعذر"))*('KG1-7'!$AD$7:$IM$7="✓"),'KG1-7'!$AD$5:$IM$5),12),""))</f>
        <v/>
      </c>
      <c r="E3853">
        <f>IF(D3853="","",INDEX('KG1-7'!$AD21:$IM21,MATCH(D3853,'KG1-7'!$AD$5:$IM$5,0)))</f>
        <v/>
      </c>
      <c r="F3853">
        <f>IF(D3853="","",COUNTIFS('KG1-7'!$AD21:$IM21,"غياب بدون عذر",'KG1-7'!$AD$7:$IM$7,"✓",'KG1-7'!$AD$5:$IM$5,"&lt;="&amp;D3853))</f>
        <v/>
      </c>
      <c r="G3853">
        <f>G3852+IF(D3853="",0,1)</f>
        <v/>
      </c>
    </row>
    <row r="3854">
      <c r="A3854">
        <f>IF('KG1-7'!$B21="","",'KG1-7'!$B21)</f>
        <v/>
      </c>
      <c r="B3854">
        <f>IF(A3854="","",'KG1-7'!$C21)</f>
        <v/>
      </c>
      <c r="C3854">
        <f>IF(A3854="","",'KG1-7'!$B$2)</f>
        <v/>
      </c>
      <c r="D3854" s="126">
        <f t="array" ref="D3854">IF(A3854="","",IFERROR(SMALL(IF((('KG1-7'!$AD21:$IM21="غياب بدون عذر")+('KG1-7'!$AD21:$IM21="غياب بعذر"))*('KG1-7'!$AD$7:$IM$7="✓"),'KG1-7'!$AD$5:$IM$5),13),""))</f>
        <v/>
      </c>
      <c r="E3854">
        <f>IF(D3854="","",INDEX('KG1-7'!$AD21:$IM21,MATCH(D3854,'KG1-7'!$AD$5:$IM$5,0)))</f>
        <v/>
      </c>
      <c r="F3854">
        <f>IF(D3854="","",COUNTIFS('KG1-7'!$AD21:$IM21,"غياب بدون عذر",'KG1-7'!$AD$7:$IM$7,"✓",'KG1-7'!$AD$5:$IM$5,"&lt;="&amp;D3854))</f>
        <v/>
      </c>
      <c r="G3854">
        <f>G3853+IF(D3854="",0,1)</f>
        <v/>
      </c>
    </row>
    <row r="3855">
      <c r="A3855">
        <f>IF('KG1-7'!$B21="","",'KG1-7'!$B21)</f>
        <v/>
      </c>
      <c r="B3855">
        <f>IF(A3855="","",'KG1-7'!$C21)</f>
        <v/>
      </c>
      <c r="C3855">
        <f>IF(A3855="","",'KG1-7'!$B$2)</f>
        <v/>
      </c>
      <c r="D3855" s="126">
        <f t="array" ref="D3855">IF(A3855="","",IFERROR(SMALL(IF((('KG1-7'!$AD21:$IM21="غياب بدون عذر")+('KG1-7'!$AD21:$IM21="غياب بعذر"))*('KG1-7'!$AD$7:$IM$7="✓"),'KG1-7'!$AD$5:$IM$5),14),""))</f>
        <v/>
      </c>
      <c r="E3855">
        <f>IF(D3855="","",INDEX('KG1-7'!$AD21:$IM21,MATCH(D3855,'KG1-7'!$AD$5:$IM$5,0)))</f>
        <v/>
      </c>
      <c r="F3855">
        <f>IF(D3855="","",COUNTIFS('KG1-7'!$AD21:$IM21,"غياب بدون عذر",'KG1-7'!$AD$7:$IM$7,"✓",'KG1-7'!$AD$5:$IM$5,"&lt;="&amp;D3855))</f>
        <v/>
      </c>
      <c r="G3855">
        <f>G3854+IF(D3855="",0,1)</f>
        <v/>
      </c>
    </row>
    <row r="3856">
      <c r="A3856">
        <f>IF('KG1-7'!$B21="","",'KG1-7'!$B21)</f>
        <v/>
      </c>
      <c r="B3856">
        <f>IF(A3856="","",'KG1-7'!$C21)</f>
        <v/>
      </c>
      <c r="C3856">
        <f>IF(A3856="","",'KG1-7'!$B$2)</f>
        <v/>
      </c>
      <c r="D3856" s="126">
        <f t="array" ref="D3856">IF(A3856="","",IFERROR(SMALL(IF((('KG1-7'!$AD21:$IM21="غياب بدون عذر")+('KG1-7'!$AD21:$IM21="غياب بعذر"))*('KG1-7'!$AD$7:$IM$7="✓"),'KG1-7'!$AD$5:$IM$5),15),""))</f>
        <v/>
      </c>
      <c r="E3856">
        <f>IF(D3856="","",INDEX('KG1-7'!$AD21:$IM21,MATCH(D3856,'KG1-7'!$AD$5:$IM$5,0)))</f>
        <v/>
      </c>
      <c r="F3856">
        <f>IF(D3856="","",COUNTIFS('KG1-7'!$AD21:$IM21,"غياب بدون عذر",'KG1-7'!$AD$7:$IM$7,"✓",'KG1-7'!$AD$5:$IM$5,"&lt;="&amp;D3856))</f>
        <v/>
      </c>
      <c r="G3856">
        <f>G3855+IF(D3856="",0,1)</f>
        <v/>
      </c>
    </row>
    <row r="3857">
      <c r="A3857">
        <f>IF('KG1-7'!$B21="","",'KG1-7'!$B21)</f>
        <v/>
      </c>
      <c r="B3857">
        <f>IF(A3857="","",'KG1-7'!$C21)</f>
        <v/>
      </c>
      <c r="C3857">
        <f>IF(A3857="","",'KG1-7'!$B$2)</f>
        <v/>
      </c>
      <c r="D3857" s="126">
        <f t="array" ref="D3857">IF(A3857="","",IFERROR(SMALL(IF((('KG1-7'!$AD21:$IM21="غياب بدون عذر")+('KG1-7'!$AD21:$IM21="غياب بعذر"))*('KG1-7'!$AD$7:$IM$7="✓"),'KG1-7'!$AD$5:$IM$5),16),""))</f>
        <v/>
      </c>
      <c r="E3857">
        <f>IF(D3857="","",INDEX('KG1-7'!$AD21:$IM21,MATCH(D3857,'KG1-7'!$AD$5:$IM$5,0)))</f>
        <v/>
      </c>
      <c r="F3857">
        <f>IF(D3857="","",COUNTIFS('KG1-7'!$AD21:$IM21,"غياب بدون عذر",'KG1-7'!$AD$7:$IM$7,"✓",'KG1-7'!$AD$5:$IM$5,"&lt;="&amp;D3857))</f>
        <v/>
      </c>
      <c r="G3857">
        <f>G3856+IF(D3857="",0,1)</f>
        <v/>
      </c>
    </row>
    <row r="3858">
      <c r="A3858">
        <f>IF('KG1-7'!$B21="","",'KG1-7'!$B21)</f>
        <v/>
      </c>
      <c r="B3858">
        <f>IF(A3858="","",'KG1-7'!$C21)</f>
        <v/>
      </c>
      <c r="C3858">
        <f>IF(A3858="","",'KG1-7'!$B$2)</f>
        <v/>
      </c>
      <c r="D3858" s="126">
        <f t="array" ref="D3858">IF(A3858="","",IFERROR(SMALL(IF((('KG1-7'!$AD21:$IM21="غياب بدون عذر")+('KG1-7'!$AD21:$IM21="غياب بعذر"))*('KG1-7'!$AD$7:$IM$7="✓"),'KG1-7'!$AD$5:$IM$5),17),""))</f>
        <v/>
      </c>
      <c r="E3858">
        <f>IF(D3858="","",INDEX('KG1-7'!$AD21:$IM21,MATCH(D3858,'KG1-7'!$AD$5:$IM$5,0)))</f>
        <v/>
      </c>
      <c r="F3858">
        <f>IF(D3858="","",COUNTIFS('KG1-7'!$AD21:$IM21,"غياب بدون عذر",'KG1-7'!$AD$7:$IM$7,"✓",'KG1-7'!$AD$5:$IM$5,"&lt;="&amp;D3858))</f>
        <v/>
      </c>
      <c r="G3858">
        <f>G3857+IF(D3858="",0,1)</f>
        <v/>
      </c>
    </row>
    <row r="3859">
      <c r="A3859">
        <f>IF('KG1-7'!$B21="","",'KG1-7'!$B21)</f>
        <v/>
      </c>
      <c r="B3859">
        <f>IF(A3859="","",'KG1-7'!$C21)</f>
        <v/>
      </c>
      <c r="C3859">
        <f>IF(A3859="","",'KG1-7'!$B$2)</f>
        <v/>
      </c>
      <c r="D3859" s="126">
        <f t="array" ref="D3859">IF(A3859="","",IFERROR(SMALL(IF((('KG1-7'!$AD21:$IM21="غياب بدون عذر")+('KG1-7'!$AD21:$IM21="غياب بعذر"))*('KG1-7'!$AD$7:$IM$7="✓"),'KG1-7'!$AD$5:$IM$5),18),""))</f>
        <v/>
      </c>
      <c r="E3859">
        <f>IF(D3859="","",INDEX('KG1-7'!$AD21:$IM21,MATCH(D3859,'KG1-7'!$AD$5:$IM$5,0)))</f>
        <v/>
      </c>
      <c r="F3859">
        <f>IF(D3859="","",COUNTIFS('KG1-7'!$AD21:$IM21,"غياب بدون عذر",'KG1-7'!$AD$7:$IM$7,"✓",'KG1-7'!$AD$5:$IM$5,"&lt;="&amp;D3859))</f>
        <v/>
      </c>
      <c r="G3859">
        <f>G3858+IF(D3859="",0,1)</f>
        <v/>
      </c>
    </row>
    <row r="3860">
      <c r="A3860">
        <f>IF('KG1-7'!$B21="","",'KG1-7'!$B21)</f>
        <v/>
      </c>
      <c r="B3860">
        <f>IF(A3860="","",'KG1-7'!$C21)</f>
        <v/>
      </c>
      <c r="C3860">
        <f>IF(A3860="","",'KG1-7'!$B$2)</f>
        <v/>
      </c>
      <c r="D3860" s="126">
        <f t="array" ref="D3860">IF(A3860="","",IFERROR(SMALL(IF((('KG1-7'!$AD21:$IM21="غياب بدون عذر")+('KG1-7'!$AD21:$IM21="غياب بعذر"))*('KG1-7'!$AD$7:$IM$7="✓"),'KG1-7'!$AD$5:$IM$5),19),""))</f>
        <v/>
      </c>
      <c r="E3860">
        <f>IF(D3860="","",INDEX('KG1-7'!$AD21:$IM21,MATCH(D3860,'KG1-7'!$AD$5:$IM$5,0)))</f>
        <v/>
      </c>
      <c r="F3860">
        <f>IF(D3860="","",COUNTIFS('KG1-7'!$AD21:$IM21,"غياب بدون عذر",'KG1-7'!$AD$7:$IM$7,"✓",'KG1-7'!$AD$5:$IM$5,"&lt;="&amp;D3860))</f>
        <v/>
      </c>
      <c r="G3860">
        <f>G3859+IF(D3860="",0,1)</f>
        <v/>
      </c>
    </row>
    <row r="3861">
      <c r="A3861">
        <f>IF('KG1-7'!$B21="","",'KG1-7'!$B21)</f>
        <v/>
      </c>
      <c r="B3861">
        <f>IF(A3861="","",'KG1-7'!$C21)</f>
        <v/>
      </c>
      <c r="C3861">
        <f>IF(A3861="","",'KG1-7'!$B$2)</f>
        <v/>
      </c>
      <c r="D3861" s="126">
        <f t="array" ref="D3861">IF(A3861="","",IFERROR(SMALL(IF((('KG1-7'!$AD21:$IM21="غياب بدون عذر")+('KG1-7'!$AD21:$IM21="غياب بعذر"))*('KG1-7'!$AD$7:$IM$7="✓"),'KG1-7'!$AD$5:$IM$5),20),""))</f>
        <v/>
      </c>
      <c r="E3861">
        <f>IF(D3861="","",INDEX('KG1-7'!$AD21:$IM21,MATCH(D3861,'KG1-7'!$AD$5:$IM$5,0)))</f>
        <v/>
      </c>
      <c r="F3861">
        <f>IF(D3861="","",COUNTIFS('KG1-7'!$AD21:$IM21,"غياب بدون عذر",'KG1-7'!$AD$7:$IM$7,"✓",'KG1-7'!$AD$5:$IM$5,"&lt;="&amp;D3861))</f>
        <v/>
      </c>
      <c r="G3861">
        <f>G3860+IF(D3861="",0,1)</f>
        <v/>
      </c>
    </row>
    <row r="3862">
      <c r="A3862">
        <f>IF('KG1-7'!$B22="","",'KG1-7'!$B22)</f>
        <v/>
      </c>
      <c r="B3862">
        <f>IF(A3862="","",'KG1-7'!$C22)</f>
        <v/>
      </c>
      <c r="C3862">
        <f>IF(A3862="","",'KG1-7'!$B$2)</f>
        <v/>
      </c>
      <c r="D3862" s="126">
        <f t="array" ref="D3862">IF(A3862="","",IFERROR(SMALL(IF((('KG1-7'!$AD22:$IM22="غياب بدون عذر")+('KG1-7'!$AD22:$IM22="غياب بعذر"))*('KG1-7'!$AD$7:$IM$7="✓"),'KG1-7'!$AD$5:$IM$5),1),""))</f>
        <v/>
      </c>
      <c r="E3862">
        <f>IF(D3862="","",INDEX('KG1-7'!$AD22:$IM22,MATCH(D3862,'KG1-7'!$AD$5:$IM$5,0)))</f>
        <v/>
      </c>
      <c r="F3862">
        <f>IF(D3862="","",COUNTIFS('KG1-7'!$AD22:$IM22,"غياب بدون عذر",'KG1-7'!$AD$7:$IM$7,"✓",'KG1-7'!$AD$5:$IM$5,"&lt;="&amp;D3862))</f>
        <v/>
      </c>
      <c r="G3862">
        <f>G3861+IF(D3862="",0,1)</f>
        <v/>
      </c>
    </row>
    <row r="3863">
      <c r="A3863">
        <f>IF('KG1-7'!$B22="","",'KG1-7'!$B22)</f>
        <v/>
      </c>
      <c r="B3863">
        <f>IF(A3863="","",'KG1-7'!$C22)</f>
        <v/>
      </c>
      <c r="C3863">
        <f>IF(A3863="","",'KG1-7'!$B$2)</f>
        <v/>
      </c>
      <c r="D3863" s="126">
        <f t="array" ref="D3863">IF(A3863="","",IFERROR(SMALL(IF((('KG1-7'!$AD22:$IM22="غياب بدون عذر")+('KG1-7'!$AD22:$IM22="غياب بعذر"))*('KG1-7'!$AD$7:$IM$7="✓"),'KG1-7'!$AD$5:$IM$5),2),""))</f>
        <v/>
      </c>
      <c r="E3863">
        <f>IF(D3863="","",INDEX('KG1-7'!$AD22:$IM22,MATCH(D3863,'KG1-7'!$AD$5:$IM$5,0)))</f>
        <v/>
      </c>
      <c r="F3863">
        <f>IF(D3863="","",COUNTIFS('KG1-7'!$AD22:$IM22,"غياب بدون عذر",'KG1-7'!$AD$7:$IM$7,"✓",'KG1-7'!$AD$5:$IM$5,"&lt;="&amp;D3863))</f>
        <v/>
      </c>
      <c r="G3863">
        <f>G3862+IF(D3863="",0,1)</f>
        <v/>
      </c>
    </row>
    <row r="3864">
      <c r="A3864">
        <f>IF('KG1-7'!$B22="","",'KG1-7'!$B22)</f>
        <v/>
      </c>
      <c r="B3864">
        <f>IF(A3864="","",'KG1-7'!$C22)</f>
        <v/>
      </c>
      <c r="C3864">
        <f>IF(A3864="","",'KG1-7'!$B$2)</f>
        <v/>
      </c>
      <c r="D3864" s="126">
        <f t="array" ref="D3864">IF(A3864="","",IFERROR(SMALL(IF((('KG1-7'!$AD22:$IM22="غياب بدون عذر")+('KG1-7'!$AD22:$IM22="غياب بعذر"))*('KG1-7'!$AD$7:$IM$7="✓"),'KG1-7'!$AD$5:$IM$5),3),""))</f>
        <v/>
      </c>
      <c r="E3864">
        <f>IF(D3864="","",INDEX('KG1-7'!$AD22:$IM22,MATCH(D3864,'KG1-7'!$AD$5:$IM$5,0)))</f>
        <v/>
      </c>
      <c r="F3864">
        <f>IF(D3864="","",COUNTIFS('KG1-7'!$AD22:$IM22,"غياب بدون عذر",'KG1-7'!$AD$7:$IM$7,"✓",'KG1-7'!$AD$5:$IM$5,"&lt;="&amp;D3864))</f>
        <v/>
      </c>
      <c r="G3864">
        <f>G3863+IF(D3864="",0,1)</f>
        <v/>
      </c>
    </row>
    <row r="3865">
      <c r="A3865">
        <f>IF('KG1-7'!$B22="","",'KG1-7'!$B22)</f>
        <v/>
      </c>
      <c r="B3865">
        <f>IF(A3865="","",'KG1-7'!$C22)</f>
        <v/>
      </c>
      <c r="C3865">
        <f>IF(A3865="","",'KG1-7'!$B$2)</f>
        <v/>
      </c>
      <c r="D3865" s="126">
        <f t="array" ref="D3865">IF(A3865="","",IFERROR(SMALL(IF((('KG1-7'!$AD22:$IM22="غياب بدون عذر")+('KG1-7'!$AD22:$IM22="غياب بعذر"))*('KG1-7'!$AD$7:$IM$7="✓"),'KG1-7'!$AD$5:$IM$5),4),""))</f>
        <v/>
      </c>
      <c r="E3865">
        <f>IF(D3865="","",INDEX('KG1-7'!$AD22:$IM22,MATCH(D3865,'KG1-7'!$AD$5:$IM$5,0)))</f>
        <v/>
      </c>
      <c r="F3865">
        <f>IF(D3865="","",COUNTIFS('KG1-7'!$AD22:$IM22,"غياب بدون عذر",'KG1-7'!$AD$7:$IM$7,"✓",'KG1-7'!$AD$5:$IM$5,"&lt;="&amp;D3865))</f>
        <v/>
      </c>
      <c r="G3865">
        <f>G3864+IF(D3865="",0,1)</f>
        <v/>
      </c>
    </row>
    <row r="3866">
      <c r="A3866">
        <f>IF('KG1-7'!$B22="","",'KG1-7'!$B22)</f>
        <v/>
      </c>
      <c r="B3866">
        <f>IF(A3866="","",'KG1-7'!$C22)</f>
        <v/>
      </c>
      <c r="C3866">
        <f>IF(A3866="","",'KG1-7'!$B$2)</f>
        <v/>
      </c>
      <c r="D3866" s="126">
        <f t="array" ref="D3866">IF(A3866="","",IFERROR(SMALL(IF((('KG1-7'!$AD22:$IM22="غياب بدون عذر")+('KG1-7'!$AD22:$IM22="غياب بعذر"))*('KG1-7'!$AD$7:$IM$7="✓"),'KG1-7'!$AD$5:$IM$5),5),""))</f>
        <v/>
      </c>
      <c r="E3866">
        <f>IF(D3866="","",INDEX('KG1-7'!$AD22:$IM22,MATCH(D3866,'KG1-7'!$AD$5:$IM$5,0)))</f>
        <v/>
      </c>
      <c r="F3866">
        <f>IF(D3866="","",COUNTIFS('KG1-7'!$AD22:$IM22,"غياب بدون عذر",'KG1-7'!$AD$7:$IM$7,"✓",'KG1-7'!$AD$5:$IM$5,"&lt;="&amp;D3866))</f>
        <v/>
      </c>
      <c r="G3866">
        <f>G3865+IF(D3866="",0,1)</f>
        <v/>
      </c>
    </row>
    <row r="3867">
      <c r="A3867">
        <f>IF('KG1-7'!$B22="","",'KG1-7'!$B22)</f>
        <v/>
      </c>
      <c r="B3867">
        <f>IF(A3867="","",'KG1-7'!$C22)</f>
        <v/>
      </c>
      <c r="C3867">
        <f>IF(A3867="","",'KG1-7'!$B$2)</f>
        <v/>
      </c>
      <c r="D3867" s="126">
        <f t="array" ref="D3867">IF(A3867="","",IFERROR(SMALL(IF((('KG1-7'!$AD22:$IM22="غياب بدون عذر")+('KG1-7'!$AD22:$IM22="غياب بعذر"))*('KG1-7'!$AD$7:$IM$7="✓"),'KG1-7'!$AD$5:$IM$5),6),""))</f>
        <v/>
      </c>
      <c r="E3867">
        <f>IF(D3867="","",INDEX('KG1-7'!$AD22:$IM22,MATCH(D3867,'KG1-7'!$AD$5:$IM$5,0)))</f>
        <v/>
      </c>
      <c r="F3867">
        <f>IF(D3867="","",COUNTIFS('KG1-7'!$AD22:$IM22,"غياب بدون عذر",'KG1-7'!$AD$7:$IM$7,"✓",'KG1-7'!$AD$5:$IM$5,"&lt;="&amp;D3867))</f>
        <v/>
      </c>
      <c r="G3867">
        <f>G3866+IF(D3867="",0,1)</f>
        <v/>
      </c>
    </row>
    <row r="3868">
      <c r="A3868">
        <f>IF('KG1-7'!$B22="","",'KG1-7'!$B22)</f>
        <v/>
      </c>
      <c r="B3868">
        <f>IF(A3868="","",'KG1-7'!$C22)</f>
        <v/>
      </c>
      <c r="C3868">
        <f>IF(A3868="","",'KG1-7'!$B$2)</f>
        <v/>
      </c>
      <c r="D3868" s="126">
        <f t="array" ref="D3868">IF(A3868="","",IFERROR(SMALL(IF((('KG1-7'!$AD22:$IM22="غياب بدون عذر")+('KG1-7'!$AD22:$IM22="غياب بعذر"))*('KG1-7'!$AD$7:$IM$7="✓"),'KG1-7'!$AD$5:$IM$5),7),""))</f>
        <v/>
      </c>
      <c r="E3868">
        <f>IF(D3868="","",INDEX('KG1-7'!$AD22:$IM22,MATCH(D3868,'KG1-7'!$AD$5:$IM$5,0)))</f>
        <v/>
      </c>
      <c r="F3868">
        <f>IF(D3868="","",COUNTIFS('KG1-7'!$AD22:$IM22,"غياب بدون عذر",'KG1-7'!$AD$7:$IM$7,"✓",'KG1-7'!$AD$5:$IM$5,"&lt;="&amp;D3868))</f>
        <v/>
      </c>
      <c r="G3868">
        <f>G3867+IF(D3868="",0,1)</f>
        <v/>
      </c>
    </row>
    <row r="3869">
      <c r="A3869">
        <f>IF('KG1-7'!$B22="","",'KG1-7'!$B22)</f>
        <v/>
      </c>
      <c r="B3869">
        <f>IF(A3869="","",'KG1-7'!$C22)</f>
        <v/>
      </c>
      <c r="C3869">
        <f>IF(A3869="","",'KG1-7'!$B$2)</f>
        <v/>
      </c>
      <c r="D3869" s="126">
        <f t="array" ref="D3869">IF(A3869="","",IFERROR(SMALL(IF((('KG1-7'!$AD22:$IM22="غياب بدون عذر")+('KG1-7'!$AD22:$IM22="غياب بعذر"))*('KG1-7'!$AD$7:$IM$7="✓"),'KG1-7'!$AD$5:$IM$5),8),""))</f>
        <v/>
      </c>
      <c r="E3869">
        <f>IF(D3869="","",INDEX('KG1-7'!$AD22:$IM22,MATCH(D3869,'KG1-7'!$AD$5:$IM$5,0)))</f>
        <v/>
      </c>
      <c r="F3869">
        <f>IF(D3869="","",COUNTIFS('KG1-7'!$AD22:$IM22,"غياب بدون عذر",'KG1-7'!$AD$7:$IM$7,"✓",'KG1-7'!$AD$5:$IM$5,"&lt;="&amp;D3869))</f>
        <v/>
      </c>
      <c r="G3869">
        <f>G3868+IF(D3869="",0,1)</f>
        <v/>
      </c>
    </row>
    <row r="3870">
      <c r="A3870">
        <f>IF('KG1-7'!$B22="","",'KG1-7'!$B22)</f>
        <v/>
      </c>
      <c r="B3870">
        <f>IF(A3870="","",'KG1-7'!$C22)</f>
        <v/>
      </c>
      <c r="C3870">
        <f>IF(A3870="","",'KG1-7'!$B$2)</f>
        <v/>
      </c>
      <c r="D3870" s="126">
        <f t="array" ref="D3870">IF(A3870="","",IFERROR(SMALL(IF((('KG1-7'!$AD22:$IM22="غياب بدون عذر")+('KG1-7'!$AD22:$IM22="غياب بعذر"))*('KG1-7'!$AD$7:$IM$7="✓"),'KG1-7'!$AD$5:$IM$5),9),""))</f>
        <v/>
      </c>
      <c r="E3870">
        <f>IF(D3870="","",INDEX('KG1-7'!$AD22:$IM22,MATCH(D3870,'KG1-7'!$AD$5:$IM$5,0)))</f>
        <v/>
      </c>
      <c r="F3870">
        <f>IF(D3870="","",COUNTIFS('KG1-7'!$AD22:$IM22,"غياب بدون عذر",'KG1-7'!$AD$7:$IM$7,"✓",'KG1-7'!$AD$5:$IM$5,"&lt;="&amp;D3870))</f>
        <v/>
      </c>
      <c r="G3870">
        <f>G3869+IF(D3870="",0,1)</f>
        <v/>
      </c>
    </row>
    <row r="3871">
      <c r="A3871">
        <f>IF('KG1-7'!$B22="","",'KG1-7'!$B22)</f>
        <v/>
      </c>
      <c r="B3871">
        <f>IF(A3871="","",'KG1-7'!$C22)</f>
        <v/>
      </c>
      <c r="C3871">
        <f>IF(A3871="","",'KG1-7'!$B$2)</f>
        <v/>
      </c>
      <c r="D3871" s="126">
        <f t="array" ref="D3871">IF(A3871="","",IFERROR(SMALL(IF((('KG1-7'!$AD22:$IM22="غياب بدون عذر")+('KG1-7'!$AD22:$IM22="غياب بعذر"))*('KG1-7'!$AD$7:$IM$7="✓"),'KG1-7'!$AD$5:$IM$5),10),""))</f>
        <v/>
      </c>
      <c r="E3871">
        <f>IF(D3871="","",INDEX('KG1-7'!$AD22:$IM22,MATCH(D3871,'KG1-7'!$AD$5:$IM$5,0)))</f>
        <v/>
      </c>
      <c r="F3871">
        <f>IF(D3871="","",COUNTIFS('KG1-7'!$AD22:$IM22,"غياب بدون عذر",'KG1-7'!$AD$7:$IM$7,"✓",'KG1-7'!$AD$5:$IM$5,"&lt;="&amp;D3871))</f>
        <v/>
      </c>
      <c r="G3871">
        <f>G3870+IF(D3871="",0,1)</f>
        <v/>
      </c>
    </row>
    <row r="3872">
      <c r="A3872">
        <f>IF('KG1-7'!$B22="","",'KG1-7'!$B22)</f>
        <v/>
      </c>
      <c r="B3872">
        <f>IF(A3872="","",'KG1-7'!$C22)</f>
        <v/>
      </c>
      <c r="C3872">
        <f>IF(A3872="","",'KG1-7'!$B$2)</f>
        <v/>
      </c>
      <c r="D3872" s="126">
        <f t="array" ref="D3872">IF(A3872="","",IFERROR(SMALL(IF((('KG1-7'!$AD22:$IM22="غياب بدون عذر")+('KG1-7'!$AD22:$IM22="غياب بعذر"))*('KG1-7'!$AD$7:$IM$7="✓"),'KG1-7'!$AD$5:$IM$5),11),""))</f>
        <v/>
      </c>
      <c r="E3872">
        <f>IF(D3872="","",INDEX('KG1-7'!$AD22:$IM22,MATCH(D3872,'KG1-7'!$AD$5:$IM$5,0)))</f>
        <v/>
      </c>
      <c r="F3872">
        <f>IF(D3872="","",COUNTIFS('KG1-7'!$AD22:$IM22,"غياب بدون عذر",'KG1-7'!$AD$7:$IM$7,"✓",'KG1-7'!$AD$5:$IM$5,"&lt;="&amp;D3872))</f>
        <v/>
      </c>
      <c r="G3872">
        <f>G3871+IF(D3872="",0,1)</f>
        <v/>
      </c>
    </row>
    <row r="3873">
      <c r="A3873">
        <f>IF('KG1-7'!$B22="","",'KG1-7'!$B22)</f>
        <v/>
      </c>
      <c r="B3873">
        <f>IF(A3873="","",'KG1-7'!$C22)</f>
        <v/>
      </c>
      <c r="C3873">
        <f>IF(A3873="","",'KG1-7'!$B$2)</f>
        <v/>
      </c>
      <c r="D3873" s="126">
        <f t="array" ref="D3873">IF(A3873="","",IFERROR(SMALL(IF((('KG1-7'!$AD22:$IM22="غياب بدون عذر")+('KG1-7'!$AD22:$IM22="غياب بعذر"))*('KG1-7'!$AD$7:$IM$7="✓"),'KG1-7'!$AD$5:$IM$5),12),""))</f>
        <v/>
      </c>
      <c r="E3873">
        <f>IF(D3873="","",INDEX('KG1-7'!$AD22:$IM22,MATCH(D3873,'KG1-7'!$AD$5:$IM$5,0)))</f>
        <v/>
      </c>
      <c r="F3873">
        <f>IF(D3873="","",COUNTIFS('KG1-7'!$AD22:$IM22,"غياب بدون عذر",'KG1-7'!$AD$7:$IM$7,"✓",'KG1-7'!$AD$5:$IM$5,"&lt;="&amp;D3873))</f>
        <v/>
      </c>
      <c r="G3873">
        <f>G3872+IF(D3873="",0,1)</f>
        <v/>
      </c>
    </row>
    <row r="3874">
      <c r="A3874">
        <f>IF('KG1-7'!$B22="","",'KG1-7'!$B22)</f>
        <v/>
      </c>
      <c r="B3874">
        <f>IF(A3874="","",'KG1-7'!$C22)</f>
        <v/>
      </c>
      <c r="C3874">
        <f>IF(A3874="","",'KG1-7'!$B$2)</f>
        <v/>
      </c>
      <c r="D3874" s="126">
        <f t="array" ref="D3874">IF(A3874="","",IFERROR(SMALL(IF((('KG1-7'!$AD22:$IM22="غياب بدون عذر")+('KG1-7'!$AD22:$IM22="غياب بعذر"))*('KG1-7'!$AD$7:$IM$7="✓"),'KG1-7'!$AD$5:$IM$5),13),""))</f>
        <v/>
      </c>
      <c r="E3874">
        <f>IF(D3874="","",INDEX('KG1-7'!$AD22:$IM22,MATCH(D3874,'KG1-7'!$AD$5:$IM$5,0)))</f>
        <v/>
      </c>
      <c r="F3874">
        <f>IF(D3874="","",COUNTIFS('KG1-7'!$AD22:$IM22,"غياب بدون عذر",'KG1-7'!$AD$7:$IM$7,"✓",'KG1-7'!$AD$5:$IM$5,"&lt;="&amp;D3874))</f>
        <v/>
      </c>
      <c r="G3874">
        <f>G3873+IF(D3874="",0,1)</f>
        <v/>
      </c>
    </row>
    <row r="3875">
      <c r="A3875">
        <f>IF('KG1-7'!$B22="","",'KG1-7'!$B22)</f>
        <v/>
      </c>
      <c r="B3875">
        <f>IF(A3875="","",'KG1-7'!$C22)</f>
        <v/>
      </c>
      <c r="C3875">
        <f>IF(A3875="","",'KG1-7'!$B$2)</f>
        <v/>
      </c>
      <c r="D3875" s="126">
        <f t="array" ref="D3875">IF(A3875="","",IFERROR(SMALL(IF((('KG1-7'!$AD22:$IM22="غياب بدون عذر")+('KG1-7'!$AD22:$IM22="غياب بعذر"))*('KG1-7'!$AD$7:$IM$7="✓"),'KG1-7'!$AD$5:$IM$5),14),""))</f>
        <v/>
      </c>
      <c r="E3875">
        <f>IF(D3875="","",INDEX('KG1-7'!$AD22:$IM22,MATCH(D3875,'KG1-7'!$AD$5:$IM$5,0)))</f>
        <v/>
      </c>
      <c r="F3875">
        <f>IF(D3875="","",COUNTIFS('KG1-7'!$AD22:$IM22,"غياب بدون عذر",'KG1-7'!$AD$7:$IM$7,"✓",'KG1-7'!$AD$5:$IM$5,"&lt;="&amp;D3875))</f>
        <v/>
      </c>
      <c r="G3875">
        <f>G3874+IF(D3875="",0,1)</f>
        <v/>
      </c>
    </row>
    <row r="3876">
      <c r="A3876">
        <f>IF('KG1-7'!$B22="","",'KG1-7'!$B22)</f>
        <v/>
      </c>
      <c r="B3876">
        <f>IF(A3876="","",'KG1-7'!$C22)</f>
        <v/>
      </c>
      <c r="C3876">
        <f>IF(A3876="","",'KG1-7'!$B$2)</f>
        <v/>
      </c>
      <c r="D3876" s="126">
        <f t="array" ref="D3876">IF(A3876="","",IFERROR(SMALL(IF((('KG1-7'!$AD22:$IM22="غياب بدون عذر")+('KG1-7'!$AD22:$IM22="غياب بعذر"))*('KG1-7'!$AD$7:$IM$7="✓"),'KG1-7'!$AD$5:$IM$5),15),""))</f>
        <v/>
      </c>
      <c r="E3876">
        <f>IF(D3876="","",INDEX('KG1-7'!$AD22:$IM22,MATCH(D3876,'KG1-7'!$AD$5:$IM$5,0)))</f>
        <v/>
      </c>
      <c r="F3876">
        <f>IF(D3876="","",COUNTIFS('KG1-7'!$AD22:$IM22,"غياب بدون عذر",'KG1-7'!$AD$7:$IM$7,"✓",'KG1-7'!$AD$5:$IM$5,"&lt;="&amp;D3876))</f>
        <v/>
      </c>
      <c r="G3876">
        <f>G3875+IF(D3876="",0,1)</f>
        <v/>
      </c>
    </row>
    <row r="3877">
      <c r="A3877">
        <f>IF('KG1-7'!$B22="","",'KG1-7'!$B22)</f>
        <v/>
      </c>
      <c r="B3877">
        <f>IF(A3877="","",'KG1-7'!$C22)</f>
        <v/>
      </c>
      <c r="C3877">
        <f>IF(A3877="","",'KG1-7'!$B$2)</f>
        <v/>
      </c>
      <c r="D3877" s="126">
        <f t="array" ref="D3877">IF(A3877="","",IFERROR(SMALL(IF((('KG1-7'!$AD22:$IM22="غياب بدون عذر")+('KG1-7'!$AD22:$IM22="غياب بعذر"))*('KG1-7'!$AD$7:$IM$7="✓"),'KG1-7'!$AD$5:$IM$5),16),""))</f>
        <v/>
      </c>
      <c r="E3877">
        <f>IF(D3877="","",INDEX('KG1-7'!$AD22:$IM22,MATCH(D3877,'KG1-7'!$AD$5:$IM$5,0)))</f>
        <v/>
      </c>
      <c r="F3877">
        <f>IF(D3877="","",COUNTIFS('KG1-7'!$AD22:$IM22,"غياب بدون عذر",'KG1-7'!$AD$7:$IM$7,"✓",'KG1-7'!$AD$5:$IM$5,"&lt;="&amp;D3877))</f>
        <v/>
      </c>
      <c r="G3877">
        <f>G3876+IF(D3877="",0,1)</f>
        <v/>
      </c>
    </row>
    <row r="3878">
      <c r="A3878">
        <f>IF('KG1-7'!$B22="","",'KG1-7'!$B22)</f>
        <v/>
      </c>
      <c r="B3878">
        <f>IF(A3878="","",'KG1-7'!$C22)</f>
        <v/>
      </c>
      <c r="C3878">
        <f>IF(A3878="","",'KG1-7'!$B$2)</f>
        <v/>
      </c>
      <c r="D3878" s="126">
        <f t="array" ref="D3878">IF(A3878="","",IFERROR(SMALL(IF((('KG1-7'!$AD22:$IM22="غياب بدون عذر")+('KG1-7'!$AD22:$IM22="غياب بعذر"))*('KG1-7'!$AD$7:$IM$7="✓"),'KG1-7'!$AD$5:$IM$5),17),""))</f>
        <v/>
      </c>
      <c r="E3878">
        <f>IF(D3878="","",INDEX('KG1-7'!$AD22:$IM22,MATCH(D3878,'KG1-7'!$AD$5:$IM$5,0)))</f>
        <v/>
      </c>
      <c r="F3878">
        <f>IF(D3878="","",COUNTIFS('KG1-7'!$AD22:$IM22,"غياب بدون عذر",'KG1-7'!$AD$7:$IM$7,"✓",'KG1-7'!$AD$5:$IM$5,"&lt;="&amp;D3878))</f>
        <v/>
      </c>
      <c r="G3878">
        <f>G3877+IF(D3878="",0,1)</f>
        <v/>
      </c>
    </row>
    <row r="3879">
      <c r="A3879">
        <f>IF('KG1-7'!$B22="","",'KG1-7'!$B22)</f>
        <v/>
      </c>
      <c r="B3879">
        <f>IF(A3879="","",'KG1-7'!$C22)</f>
        <v/>
      </c>
      <c r="C3879">
        <f>IF(A3879="","",'KG1-7'!$B$2)</f>
        <v/>
      </c>
      <c r="D3879" s="126">
        <f t="array" ref="D3879">IF(A3879="","",IFERROR(SMALL(IF((('KG1-7'!$AD22:$IM22="غياب بدون عذر")+('KG1-7'!$AD22:$IM22="غياب بعذر"))*('KG1-7'!$AD$7:$IM$7="✓"),'KG1-7'!$AD$5:$IM$5),18),""))</f>
        <v/>
      </c>
      <c r="E3879">
        <f>IF(D3879="","",INDEX('KG1-7'!$AD22:$IM22,MATCH(D3879,'KG1-7'!$AD$5:$IM$5,0)))</f>
        <v/>
      </c>
      <c r="F3879">
        <f>IF(D3879="","",COUNTIFS('KG1-7'!$AD22:$IM22,"غياب بدون عذر",'KG1-7'!$AD$7:$IM$7,"✓",'KG1-7'!$AD$5:$IM$5,"&lt;="&amp;D3879))</f>
        <v/>
      </c>
      <c r="G3879">
        <f>G3878+IF(D3879="",0,1)</f>
        <v/>
      </c>
    </row>
    <row r="3880">
      <c r="A3880">
        <f>IF('KG1-7'!$B22="","",'KG1-7'!$B22)</f>
        <v/>
      </c>
      <c r="B3880">
        <f>IF(A3880="","",'KG1-7'!$C22)</f>
        <v/>
      </c>
      <c r="C3880">
        <f>IF(A3880="","",'KG1-7'!$B$2)</f>
        <v/>
      </c>
      <c r="D3880" s="126">
        <f t="array" ref="D3880">IF(A3880="","",IFERROR(SMALL(IF((('KG1-7'!$AD22:$IM22="غياب بدون عذر")+('KG1-7'!$AD22:$IM22="غياب بعذر"))*('KG1-7'!$AD$7:$IM$7="✓"),'KG1-7'!$AD$5:$IM$5),19),""))</f>
        <v/>
      </c>
      <c r="E3880">
        <f>IF(D3880="","",INDEX('KG1-7'!$AD22:$IM22,MATCH(D3880,'KG1-7'!$AD$5:$IM$5,0)))</f>
        <v/>
      </c>
      <c r="F3880">
        <f>IF(D3880="","",COUNTIFS('KG1-7'!$AD22:$IM22,"غياب بدون عذر",'KG1-7'!$AD$7:$IM$7,"✓",'KG1-7'!$AD$5:$IM$5,"&lt;="&amp;D3880))</f>
        <v/>
      </c>
      <c r="G3880">
        <f>G3879+IF(D3880="",0,1)</f>
        <v/>
      </c>
    </row>
    <row r="3881">
      <c r="A3881">
        <f>IF('KG1-7'!$B22="","",'KG1-7'!$B22)</f>
        <v/>
      </c>
      <c r="B3881">
        <f>IF(A3881="","",'KG1-7'!$C22)</f>
        <v/>
      </c>
      <c r="C3881">
        <f>IF(A3881="","",'KG1-7'!$B$2)</f>
        <v/>
      </c>
      <c r="D3881" s="126">
        <f t="array" ref="D3881">IF(A3881="","",IFERROR(SMALL(IF((('KG1-7'!$AD22:$IM22="غياب بدون عذر")+('KG1-7'!$AD22:$IM22="غياب بعذر"))*('KG1-7'!$AD$7:$IM$7="✓"),'KG1-7'!$AD$5:$IM$5),20),""))</f>
        <v/>
      </c>
      <c r="E3881">
        <f>IF(D3881="","",INDEX('KG1-7'!$AD22:$IM22,MATCH(D3881,'KG1-7'!$AD$5:$IM$5,0)))</f>
        <v/>
      </c>
      <c r="F3881">
        <f>IF(D3881="","",COUNTIFS('KG1-7'!$AD22:$IM22,"غياب بدون عذر",'KG1-7'!$AD$7:$IM$7,"✓",'KG1-7'!$AD$5:$IM$5,"&lt;="&amp;D3881))</f>
        <v/>
      </c>
      <c r="G3881">
        <f>G3880+IF(D3881="",0,1)</f>
        <v/>
      </c>
    </row>
    <row r="3882">
      <c r="A3882">
        <f>IF('KG1-7'!$B23="","",'KG1-7'!$B23)</f>
        <v/>
      </c>
      <c r="B3882">
        <f>IF(A3882="","",'KG1-7'!$C23)</f>
        <v/>
      </c>
      <c r="C3882">
        <f>IF(A3882="","",'KG1-7'!$B$2)</f>
        <v/>
      </c>
      <c r="D3882" s="126">
        <f t="array" ref="D3882">IF(A3882="","",IFERROR(SMALL(IF((('KG1-7'!$AD23:$IM23="غياب بدون عذر")+('KG1-7'!$AD23:$IM23="غياب بعذر"))*('KG1-7'!$AD$7:$IM$7="✓"),'KG1-7'!$AD$5:$IM$5),1),""))</f>
        <v/>
      </c>
      <c r="E3882">
        <f>IF(D3882="","",INDEX('KG1-7'!$AD23:$IM23,MATCH(D3882,'KG1-7'!$AD$5:$IM$5,0)))</f>
        <v/>
      </c>
      <c r="F3882">
        <f>IF(D3882="","",COUNTIFS('KG1-7'!$AD23:$IM23,"غياب بدون عذر",'KG1-7'!$AD$7:$IM$7,"✓",'KG1-7'!$AD$5:$IM$5,"&lt;="&amp;D3882))</f>
        <v/>
      </c>
      <c r="G3882">
        <f>G3881+IF(D3882="",0,1)</f>
        <v/>
      </c>
    </row>
    <row r="3883">
      <c r="A3883">
        <f>IF('KG1-7'!$B23="","",'KG1-7'!$B23)</f>
        <v/>
      </c>
      <c r="B3883">
        <f>IF(A3883="","",'KG1-7'!$C23)</f>
        <v/>
      </c>
      <c r="C3883">
        <f>IF(A3883="","",'KG1-7'!$B$2)</f>
        <v/>
      </c>
      <c r="D3883" s="126">
        <f t="array" ref="D3883">IF(A3883="","",IFERROR(SMALL(IF((('KG1-7'!$AD23:$IM23="غياب بدون عذر")+('KG1-7'!$AD23:$IM23="غياب بعذر"))*('KG1-7'!$AD$7:$IM$7="✓"),'KG1-7'!$AD$5:$IM$5),2),""))</f>
        <v/>
      </c>
      <c r="E3883">
        <f>IF(D3883="","",INDEX('KG1-7'!$AD23:$IM23,MATCH(D3883,'KG1-7'!$AD$5:$IM$5,0)))</f>
        <v/>
      </c>
      <c r="F3883">
        <f>IF(D3883="","",COUNTIFS('KG1-7'!$AD23:$IM23,"غياب بدون عذر",'KG1-7'!$AD$7:$IM$7,"✓",'KG1-7'!$AD$5:$IM$5,"&lt;="&amp;D3883))</f>
        <v/>
      </c>
      <c r="G3883">
        <f>G3882+IF(D3883="",0,1)</f>
        <v/>
      </c>
    </row>
    <row r="3884">
      <c r="A3884">
        <f>IF('KG1-7'!$B23="","",'KG1-7'!$B23)</f>
        <v/>
      </c>
      <c r="B3884">
        <f>IF(A3884="","",'KG1-7'!$C23)</f>
        <v/>
      </c>
      <c r="C3884">
        <f>IF(A3884="","",'KG1-7'!$B$2)</f>
        <v/>
      </c>
      <c r="D3884" s="126">
        <f t="array" ref="D3884">IF(A3884="","",IFERROR(SMALL(IF((('KG1-7'!$AD23:$IM23="غياب بدون عذر")+('KG1-7'!$AD23:$IM23="غياب بعذر"))*('KG1-7'!$AD$7:$IM$7="✓"),'KG1-7'!$AD$5:$IM$5),3),""))</f>
        <v/>
      </c>
      <c r="E3884">
        <f>IF(D3884="","",INDEX('KG1-7'!$AD23:$IM23,MATCH(D3884,'KG1-7'!$AD$5:$IM$5,0)))</f>
        <v/>
      </c>
      <c r="F3884">
        <f>IF(D3884="","",COUNTIFS('KG1-7'!$AD23:$IM23,"غياب بدون عذر",'KG1-7'!$AD$7:$IM$7,"✓",'KG1-7'!$AD$5:$IM$5,"&lt;="&amp;D3884))</f>
        <v/>
      </c>
      <c r="G3884">
        <f>G3883+IF(D3884="",0,1)</f>
        <v/>
      </c>
    </row>
    <row r="3885">
      <c r="A3885">
        <f>IF('KG1-7'!$B23="","",'KG1-7'!$B23)</f>
        <v/>
      </c>
      <c r="B3885">
        <f>IF(A3885="","",'KG1-7'!$C23)</f>
        <v/>
      </c>
      <c r="C3885">
        <f>IF(A3885="","",'KG1-7'!$B$2)</f>
        <v/>
      </c>
      <c r="D3885" s="126">
        <f t="array" ref="D3885">IF(A3885="","",IFERROR(SMALL(IF((('KG1-7'!$AD23:$IM23="غياب بدون عذر")+('KG1-7'!$AD23:$IM23="غياب بعذر"))*('KG1-7'!$AD$7:$IM$7="✓"),'KG1-7'!$AD$5:$IM$5),4),""))</f>
        <v/>
      </c>
      <c r="E3885">
        <f>IF(D3885="","",INDEX('KG1-7'!$AD23:$IM23,MATCH(D3885,'KG1-7'!$AD$5:$IM$5,0)))</f>
        <v/>
      </c>
      <c r="F3885">
        <f>IF(D3885="","",COUNTIFS('KG1-7'!$AD23:$IM23,"غياب بدون عذر",'KG1-7'!$AD$7:$IM$7,"✓",'KG1-7'!$AD$5:$IM$5,"&lt;="&amp;D3885))</f>
        <v/>
      </c>
      <c r="G3885">
        <f>G3884+IF(D3885="",0,1)</f>
        <v/>
      </c>
    </row>
    <row r="3886">
      <c r="A3886">
        <f>IF('KG1-7'!$B23="","",'KG1-7'!$B23)</f>
        <v/>
      </c>
      <c r="B3886">
        <f>IF(A3886="","",'KG1-7'!$C23)</f>
        <v/>
      </c>
      <c r="C3886">
        <f>IF(A3886="","",'KG1-7'!$B$2)</f>
        <v/>
      </c>
      <c r="D3886" s="126">
        <f t="array" ref="D3886">IF(A3886="","",IFERROR(SMALL(IF((('KG1-7'!$AD23:$IM23="غياب بدون عذر")+('KG1-7'!$AD23:$IM23="غياب بعذر"))*('KG1-7'!$AD$7:$IM$7="✓"),'KG1-7'!$AD$5:$IM$5),5),""))</f>
        <v/>
      </c>
      <c r="E3886">
        <f>IF(D3886="","",INDEX('KG1-7'!$AD23:$IM23,MATCH(D3886,'KG1-7'!$AD$5:$IM$5,0)))</f>
        <v/>
      </c>
      <c r="F3886">
        <f>IF(D3886="","",COUNTIFS('KG1-7'!$AD23:$IM23,"غياب بدون عذر",'KG1-7'!$AD$7:$IM$7,"✓",'KG1-7'!$AD$5:$IM$5,"&lt;="&amp;D3886))</f>
        <v/>
      </c>
      <c r="G3886">
        <f>G3885+IF(D3886="",0,1)</f>
        <v/>
      </c>
    </row>
    <row r="3887">
      <c r="A3887">
        <f>IF('KG1-7'!$B23="","",'KG1-7'!$B23)</f>
        <v/>
      </c>
      <c r="B3887">
        <f>IF(A3887="","",'KG1-7'!$C23)</f>
        <v/>
      </c>
      <c r="C3887">
        <f>IF(A3887="","",'KG1-7'!$B$2)</f>
        <v/>
      </c>
      <c r="D3887" s="126">
        <f t="array" ref="D3887">IF(A3887="","",IFERROR(SMALL(IF((('KG1-7'!$AD23:$IM23="غياب بدون عذر")+('KG1-7'!$AD23:$IM23="غياب بعذر"))*('KG1-7'!$AD$7:$IM$7="✓"),'KG1-7'!$AD$5:$IM$5),6),""))</f>
        <v/>
      </c>
      <c r="E3887">
        <f>IF(D3887="","",INDEX('KG1-7'!$AD23:$IM23,MATCH(D3887,'KG1-7'!$AD$5:$IM$5,0)))</f>
        <v/>
      </c>
      <c r="F3887">
        <f>IF(D3887="","",COUNTIFS('KG1-7'!$AD23:$IM23,"غياب بدون عذر",'KG1-7'!$AD$7:$IM$7,"✓",'KG1-7'!$AD$5:$IM$5,"&lt;="&amp;D3887))</f>
        <v/>
      </c>
      <c r="G3887">
        <f>G3886+IF(D3887="",0,1)</f>
        <v/>
      </c>
    </row>
    <row r="3888">
      <c r="A3888">
        <f>IF('KG1-7'!$B23="","",'KG1-7'!$B23)</f>
        <v/>
      </c>
      <c r="B3888">
        <f>IF(A3888="","",'KG1-7'!$C23)</f>
        <v/>
      </c>
      <c r="C3888">
        <f>IF(A3888="","",'KG1-7'!$B$2)</f>
        <v/>
      </c>
      <c r="D3888" s="126">
        <f t="array" ref="D3888">IF(A3888="","",IFERROR(SMALL(IF((('KG1-7'!$AD23:$IM23="غياب بدون عذر")+('KG1-7'!$AD23:$IM23="غياب بعذر"))*('KG1-7'!$AD$7:$IM$7="✓"),'KG1-7'!$AD$5:$IM$5),7),""))</f>
        <v/>
      </c>
      <c r="E3888">
        <f>IF(D3888="","",INDEX('KG1-7'!$AD23:$IM23,MATCH(D3888,'KG1-7'!$AD$5:$IM$5,0)))</f>
        <v/>
      </c>
      <c r="F3888">
        <f>IF(D3888="","",COUNTIFS('KG1-7'!$AD23:$IM23,"غياب بدون عذر",'KG1-7'!$AD$7:$IM$7,"✓",'KG1-7'!$AD$5:$IM$5,"&lt;="&amp;D3888))</f>
        <v/>
      </c>
      <c r="G3888">
        <f>G3887+IF(D3888="",0,1)</f>
        <v/>
      </c>
    </row>
    <row r="3889">
      <c r="A3889">
        <f>IF('KG1-7'!$B23="","",'KG1-7'!$B23)</f>
        <v/>
      </c>
      <c r="B3889">
        <f>IF(A3889="","",'KG1-7'!$C23)</f>
        <v/>
      </c>
      <c r="C3889">
        <f>IF(A3889="","",'KG1-7'!$B$2)</f>
        <v/>
      </c>
      <c r="D3889" s="126">
        <f t="array" ref="D3889">IF(A3889="","",IFERROR(SMALL(IF((('KG1-7'!$AD23:$IM23="غياب بدون عذر")+('KG1-7'!$AD23:$IM23="غياب بعذر"))*('KG1-7'!$AD$7:$IM$7="✓"),'KG1-7'!$AD$5:$IM$5),8),""))</f>
        <v/>
      </c>
      <c r="E3889">
        <f>IF(D3889="","",INDEX('KG1-7'!$AD23:$IM23,MATCH(D3889,'KG1-7'!$AD$5:$IM$5,0)))</f>
        <v/>
      </c>
      <c r="F3889">
        <f>IF(D3889="","",COUNTIFS('KG1-7'!$AD23:$IM23,"غياب بدون عذر",'KG1-7'!$AD$7:$IM$7,"✓",'KG1-7'!$AD$5:$IM$5,"&lt;="&amp;D3889))</f>
        <v/>
      </c>
      <c r="G3889">
        <f>G3888+IF(D3889="",0,1)</f>
        <v/>
      </c>
    </row>
    <row r="3890">
      <c r="A3890">
        <f>IF('KG1-7'!$B23="","",'KG1-7'!$B23)</f>
        <v/>
      </c>
      <c r="B3890">
        <f>IF(A3890="","",'KG1-7'!$C23)</f>
        <v/>
      </c>
      <c r="C3890">
        <f>IF(A3890="","",'KG1-7'!$B$2)</f>
        <v/>
      </c>
      <c r="D3890" s="126">
        <f t="array" ref="D3890">IF(A3890="","",IFERROR(SMALL(IF((('KG1-7'!$AD23:$IM23="غياب بدون عذر")+('KG1-7'!$AD23:$IM23="غياب بعذر"))*('KG1-7'!$AD$7:$IM$7="✓"),'KG1-7'!$AD$5:$IM$5),9),""))</f>
        <v/>
      </c>
      <c r="E3890">
        <f>IF(D3890="","",INDEX('KG1-7'!$AD23:$IM23,MATCH(D3890,'KG1-7'!$AD$5:$IM$5,0)))</f>
        <v/>
      </c>
      <c r="F3890">
        <f>IF(D3890="","",COUNTIFS('KG1-7'!$AD23:$IM23,"غياب بدون عذر",'KG1-7'!$AD$7:$IM$7,"✓",'KG1-7'!$AD$5:$IM$5,"&lt;="&amp;D3890))</f>
        <v/>
      </c>
      <c r="G3890">
        <f>G3889+IF(D3890="",0,1)</f>
        <v/>
      </c>
    </row>
    <row r="3891">
      <c r="A3891">
        <f>IF('KG1-7'!$B23="","",'KG1-7'!$B23)</f>
        <v/>
      </c>
      <c r="B3891">
        <f>IF(A3891="","",'KG1-7'!$C23)</f>
        <v/>
      </c>
      <c r="C3891">
        <f>IF(A3891="","",'KG1-7'!$B$2)</f>
        <v/>
      </c>
      <c r="D3891" s="126">
        <f t="array" ref="D3891">IF(A3891="","",IFERROR(SMALL(IF((('KG1-7'!$AD23:$IM23="غياب بدون عذر")+('KG1-7'!$AD23:$IM23="غياب بعذر"))*('KG1-7'!$AD$7:$IM$7="✓"),'KG1-7'!$AD$5:$IM$5),10),""))</f>
        <v/>
      </c>
      <c r="E3891">
        <f>IF(D3891="","",INDEX('KG1-7'!$AD23:$IM23,MATCH(D3891,'KG1-7'!$AD$5:$IM$5,0)))</f>
        <v/>
      </c>
      <c r="F3891">
        <f>IF(D3891="","",COUNTIFS('KG1-7'!$AD23:$IM23,"غياب بدون عذر",'KG1-7'!$AD$7:$IM$7,"✓",'KG1-7'!$AD$5:$IM$5,"&lt;="&amp;D3891))</f>
        <v/>
      </c>
      <c r="G3891">
        <f>G3890+IF(D3891="",0,1)</f>
        <v/>
      </c>
    </row>
    <row r="3892">
      <c r="A3892">
        <f>IF('KG1-7'!$B23="","",'KG1-7'!$B23)</f>
        <v/>
      </c>
      <c r="B3892">
        <f>IF(A3892="","",'KG1-7'!$C23)</f>
        <v/>
      </c>
      <c r="C3892">
        <f>IF(A3892="","",'KG1-7'!$B$2)</f>
        <v/>
      </c>
      <c r="D3892" s="126">
        <f t="array" ref="D3892">IF(A3892="","",IFERROR(SMALL(IF((('KG1-7'!$AD23:$IM23="غياب بدون عذر")+('KG1-7'!$AD23:$IM23="غياب بعذر"))*('KG1-7'!$AD$7:$IM$7="✓"),'KG1-7'!$AD$5:$IM$5),11),""))</f>
        <v/>
      </c>
      <c r="E3892">
        <f>IF(D3892="","",INDEX('KG1-7'!$AD23:$IM23,MATCH(D3892,'KG1-7'!$AD$5:$IM$5,0)))</f>
        <v/>
      </c>
      <c r="F3892">
        <f>IF(D3892="","",COUNTIFS('KG1-7'!$AD23:$IM23,"غياب بدون عذر",'KG1-7'!$AD$7:$IM$7,"✓",'KG1-7'!$AD$5:$IM$5,"&lt;="&amp;D3892))</f>
        <v/>
      </c>
      <c r="G3892">
        <f>G3891+IF(D3892="",0,1)</f>
        <v/>
      </c>
    </row>
    <row r="3893">
      <c r="A3893">
        <f>IF('KG1-7'!$B23="","",'KG1-7'!$B23)</f>
        <v/>
      </c>
      <c r="B3893">
        <f>IF(A3893="","",'KG1-7'!$C23)</f>
        <v/>
      </c>
      <c r="C3893">
        <f>IF(A3893="","",'KG1-7'!$B$2)</f>
        <v/>
      </c>
      <c r="D3893" s="126">
        <f t="array" ref="D3893">IF(A3893="","",IFERROR(SMALL(IF((('KG1-7'!$AD23:$IM23="غياب بدون عذر")+('KG1-7'!$AD23:$IM23="غياب بعذر"))*('KG1-7'!$AD$7:$IM$7="✓"),'KG1-7'!$AD$5:$IM$5),12),""))</f>
        <v/>
      </c>
      <c r="E3893">
        <f>IF(D3893="","",INDEX('KG1-7'!$AD23:$IM23,MATCH(D3893,'KG1-7'!$AD$5:$IM$5,0)))</f>
        <v/>
      </c>
      <c r="F3893">
        <f>IF(D3893="","",COUNTIFS('KG1-7'!$AD23:$IM23,"غياب بدون عذر",'KG1-7'!$AD$7:$IM$7,"✓",'KG1-7'!$AD$5:$IM$5,"&lt;="&amp;D3893))</f>
        <v/>
      </c>
      <c r="G3893">
        <f>G3892+IF(D3893="",0,1)</f>
        <v/>
      </c>
    </row>
    <row r="3894">
      <c r="A3894">
        <f>IF('KG1-7'!$B23="","",'KG1-7'!$B23)</f>
        <v/>
      </c>
      <c r="B3894">
        <f>IF(A3894="","",'KG1-7'!$C23)</f>
        <v/>
      </c>
      <c r="C3894">
        <f>IF(A3894="","",'KG1-7'!$B$2)</f>
        <v/>
      </c>
      <c r="D3894" s="126">
        <f t="array" ref="D3894">IF(A3894="","",IFERROR(SMALL(IF((('KG1-7'!$AD23:$IM23="غياب بدون عذر")+('KG1-7'!$AD23:$IM23="غياب بعذر"))*('KG1-7'!$AD$7:$IM$7="✓"),'KG1-7'!$AD$5:$IM$5),13),""))</f>
        <v/>
      </c>
      <c r="E3894">
        <f>IF(D3894="","",INDEX('KG1-7'!$AD23:$IM23,MATCH(D3894,'KG1-7'!$AD$5:$IM$5,0)))</f>
        <v/>
      </c>
      <c r="F3894">
        <f>IF(D3894="","",COUNTIFS('KG1-7'!$AD23:$IM23,"غياب بدون عذر",'KG1-7'!$AD$7:$IM$7,"✓",'KG1-7'!$AD$5:$IM$5,"&lt;="&amp;D3894))</f>
        <v/>
      </c>
      <c r="G3894">
        <f>G3893+IF(D3894="",0,1)</f>
        <v/>
      </c>
    </row>
    <row r="3895">
      <c r="A3895">
        <f>IF('KG1-7'!$B23="","",'KG1-7'!$B23)</f>
        <v/>
      </c>
      <c r="B3895">
        <f>IF(A3895="","",'KG1-7'!$C23)</f>
        <v/>
      </c>
      <c r="C3895">
        <f>IF(A3895="","",'KG1-7'!$B$2)</f>
        <v/>
      </c>
      <c r="D3895" s="126">
        <f t="array" ref="D3895">IF(A3895="","",IFERROR(SMALL(IF((('KG1-7'!$AD23:$IM23="غياب بدون عذر")+('KG1-7'!$AD23:$IM23="غياب بعذر"))*('KG1-7'!$AD$7:$IM$7="✓"),'KG1-7'!$AD$5:$IM$5),14),""))</f>
        <v/>
      </c>
      <c r="E3895">
        <f>IF(D3895="","",INDEX('KG1-7'!$AD23:$IM23,MATCH(D3895,'KG1-7'!$AD$5:$IM$5,0)))</f>
        <v/>
      </c>
      <c r="F3895">
        <f>IF(D3895="","",COUNTIFS('KG1-7'!$AD23:$IM23,"غياب بدون عذر",'KG1-7'!$AD$7:$IM$7,"✓",'KG1-7'!$AD$5:$IM$5,"&lt;="&amp;D3895))</f>
        <v/>
      </c>
      <c r="G3895">
        <f>G3894+IF(D3895="",0,1)</f>
        <v/>
      </c>
    </row>
    <row r="3896">
      <c r="A3896">
        <f>IF('KG1-7'!$B23="","",'KG1-7'!$B23)</f>
        <v/>
      </c>
      <c r="B3896">
        <f>IF(A3896="","",'KG1-7'!$C23)</f>
        <v/>
      </c>
      <c r="C3896">
        <f>IF(A3896="","",'KG1-7'!$B$2)</f>
        <v/>
      </c>
      <c r="D3896" s="126">
        <f t="array" ref="D3896">IF(A3896="","",IFERROR(SMALL(IF((('KG1-7'!$AD23:$IM23="غياب بدون عذر")+('KG1-7'!$AD23:$IM23="غياب بعذر"))*('KG1-7'!$AD$7:$IM$7="✓"),'KG1-7'!$AD$5:$IM$5),15),""))</f>
        <v/>
      </c>
      <c r="E3896">
        <f>IF(D3896="","",INDEX('KG1-7'!$AD23:$IM23,MATCH(D3896,'KG1-7'!$AD$5:$IM$5,0)))</f>
        <v/>
      </c>
      <c r="F3896">
        <f>IF(D3896="","",COUNTIFS('KG1-7'!$AD23:$IM23,"غياب بدون عذر",'KG1-7'!$AD$7:$IM$7,"✓",'KG1-7'!$AD$5:$IM$5,"&lt;="&amp;D3896))</f>
        <v/>
      </c>
      <c r="G3896">
        <f>G3895+IF(D3896="",0,1)</f>
        <v/>
      </c>
    </row>
    <row r="3897">
      <c r="A3897">
        <f>IF('KG1-7'!$B23="","",'KG1-7'!$B23)</f>
        <v/>
      </c>
      <c r="B3897">
        <f>IF(A3897="","",'KG1-7'!$C23)</f>
        <v/>
      </c>
      <c r="C3897">
        <f>IF(A3897="","",'KG1-7'!$B$2)</f>
        <v/>
      </c>
      <c r="D3897" s="126">
        <f t="array" ref="D3897">IF(A3897="","",IFERROR(SMALL(IF((('KG1-7'!$AD23:$IM23="غياب بدون عذر")+('KG1-7'!$AD23:$IM23="غياب بعذر"))*('KG1-7'!$AD$7:$IM$7="✓"),'KG1-7'!$AD$5:$IM$5),16),""))</f>
        <v/>
      </c>
      <c r="E3897">
        <f>IF(D3897="","",INDEX('KG1-7'!$AD23:$IM23,MATCH(D3897,'KG1-7'!$AD$5:$IM$5,0)))</f>
        <v/>
      </c>
      <c r="F3897">
        <f>IF(D3897="","",COUNTIFS('KG1-7'!$AD23:$IM23,"غياب بدون عذر",'KG1-7'!$AD$7:$IM$7,"✓",'KG1-7'!$AD$5:$IM$5,"&lt;="&amp;D3897))</f>
        <v/>
      </c>
      <c r="G3897">
        <f>G3896+IF(D3897="",0,1)</f>
        <v/>
      </c>
    </row>
    <row r="3898">
      <c r="A3898">
        <f>IF('KG1-7'!$B23="","",'KG1-7'!$B23)</f>
        <v/>
      </c>
      <c r="B3898">
        <f>IF(A3898="","",'KG1-7'!$C23)</f>
        <v/>
      </c>
      <c r="C3898">
        <f>IF(A3898="","",'KG1-7'!$B$2)</f>
        <v/>
      </c>
      <c r="D3898" s="126">
        <f t="array" ref="D3898">IF(A3898="","",IFERROR(SMALL(IF((('KG1-7'!$AD23:$IM23="غياب بدون عذر")+('KG1-7'!$AD23:$IM23="غياب بعذر"))*('KG1-7'!$AD$7:$IM$7="✓"),'KG1-7'!$AD$5:$IM$5),17),""))</f>
        <v/>
      </c>
      <c r="E3898">
        <f>IF(D3898="","",INDEX('KG1-7'!$AD23:$IM23,MATCH(D3898,'KG1-7'!$AD$5:$IM$5,0)))</f>
        <v/>
      </c>
      <c r="F3898">
        <f>IF(D3898="","",COUNTIFS('KG1-7'!$AD23:$IM23,"غياب بدون عذر",'KG1-7'!$AD$7:$IM$7,"✓",'KG1-7'!$AD$5:$IM$5,"&lt;="&amp;D3898))</f>
        <v/>
      </c>
      <c r="G3898">
        <f>G3897+IF(D3898="",0,1)</f>
        <v/>
      </c>
    </row>
    <row r="3899">
      <c r="A3899">
        <f>IF('KG1-7'!$B23="","",'KG1-7'!$B23)</f>
        <v/>
      </c>
      <c r="B3899">
        <f>IF(A3899="","",'KG1-7'!$C23)</f>
        <v/>
      </c>
      <c r="C3899">
        <f>IF(A3899="","",'KG1-7'!$B$2)</f>
        <v/>
      </c>
      <c r="D3899" s="126">
        <f t="array" ref="D3899">IF(A3899="","",IFERROR(SMALL(IF((('KG1-7'!$AD23:$IM23="غياب بدون عذر")+('KG1-7'!$AD23:$IM23="غياب بعذر"))*('KG1-7'!$AD$7:$IM$7="✓"),'KG1-7'!$AD$5:$IM$5),18),""))</f>
        <v/>
      </c>
      <c r="E3899">
        <f>IF(D3899="","",INDEX('KG1-7'!$AD23:$IM23,MATCH(D3899,'KG1-7'!$AD$5:$IM$5,0)))</f>
        <v/>
      </c>
      <c r="F3899">
        <f>IF(D3899="","",COUNTIFS('KG1-7'!$AD23:$IM23,"غياب بدون عذر",'KG1-7'!$AD$7:$IM$7,"✓",'KG1-7'!$AD$5:$IM$5,"&lt;="&amp;D3899))</f>
        <v/>
      </c>
      <c r="G3899">
        <f>G3898+IF(D3899="",0,1)</f>
        <v/>
      </c>
    </row>
    <row r="3900">
      <c r="A3900">
        <f>IF('KG1-7'!$B23="","",'KG1-7'!$B23)</f>
        <v/>
      </c>
      <c r="B3900">
        <f>IF(A3900="","",'KG1-7'!$C23)</f>
        <v/>
      </c>
      <c r="C3900">
        <f>IF(A3900="","",'KG1-7'!$B$2)</f>
        <v/>
      </c>
      <c r="D3900" s="126">
        <f t="array" ref="D3900">IF(A3900="","",IFERROR(SMALL(IF((('KG1-7'!$AD23:$IM23="غياب بدون عذر")+('KG1-7'!$AD23:$IM23="غياب بعذر"))*('KG1-7'!$AD$7:$IM$7="✓"),'KG1-7'!$AD$5:$IM$5),19),""))</f>
        <v/>
      </c>
      <c r="E3900">
        <f>IF(D3900="","",INDEX('KG1-7'!$AD23:$IM23,MATCH(D3900,'KG1-7'!$AD$5:$IM$5,0)))</f>
        <v/>
      </c>
      <c r="F3900">
        <f>IF(D3900="","",COUNTIFS('KG1-7'!$AD23:$IM23,"غياب بدون عذر",'KG1-7'!$AD$7:$IM$7,"✓",'KG1-7'!$AD$5:$IM$5,"&lt;="&amp;D3900))</f>
        <v/>
      </c>
      <c r="G3900">
        <f>G3899+IF(D3900="",0,1)</f>
        <v/>
      </c>
    </row>
    <row r="3901">
      <c r="A3901">
        <f>IF('KG1-7'!$B23="","",'KG1-7'!$B23)</f>
        <v/>
      </c>
      <c r="B3901">
        <f>IF(A3901="","",'KG1-7'!$C23)</f>
        <v/>
      </c>
      <c r="C3901">
        <f>IF(A3901="","",'KG1-7'!$B$2)</f>
        <v/>
      </c>
      <c r="D3901" s="126">
        <f t="array" ref="D3901">IF(A3901="","",IFERROR(SMALL(IF((('KG1-7'!$AD23:$IM23="غياب بدون عذر")+('KG1-7'!$AD23:$IM23="غياب بعذر"))*('KG1-7'!$AD$7:$IM$7="✓"),'KG1-7'!$AD$5:$IM$5),20),""))</f>
        <v/>
      </c>
      <c r="E3901">
        <f>IF(D3901="","",INDEX('KG1-7'!$AD23:$IM23,MATCH(D3901,'KG1-7'!$AD$5:$IM$5,0)))</f>
        <v/>
      </c>
      <c r="F3901">
        <f>IF(D3901="","",COUNTIFS('KG1-7'!$AD23:$IM23,"غياب بدون عذر",'KG1-7'!$AD$7:$IM$7,"✓",'KG1-7'!$AD$5:$IM$5,"&lt;="&amp;D3901))</f>
        <v/>
      </c>
      <c r="G3901">
        <f>G3900+IF(D3901="",0,1)</f>
        <v/>
      </c>
    </row>
    <row r="3902">
      <c r="A3902">
        <f>IF('KG1-7'!$B24="","",'KG1-7'!$B24)</f>
        <v/>
      </c>
      <c r="B3902">
        <f>IF(A3902="","",'KG1-7'!$C24)</f>
        <v/>
      </c>
      <c r="C3902">
        <f>IF(A3902="","",'KG1-7'!$B$2)</f>
        <v/>
      </c>
      <c r="D3902" s="126">
        <f t="array" ref="D3902">IF(A3902="","",IFERROR(SMALL(IF((('KG1-7'!$AD24:$IM24="غياب بدون عذر")+('KG1-7'!$AD24:$IM24="غياب بعذر"))*('KG1-7'!$AD$7:$IM$7="✓"),'KG1-7'!$AD$5:$IM$5),1),""))</f>
        <v/>
      </c>
      <c r="E3902">
        <f>IF(D3902="","",INDEX('KG1-7'!$AD24:$IM24,MATCH(D3902,'KG1-7'!$AD$5:$IM$5,0)))</f>
        <v/>
      </c>
      <c r="F3902">
        <f>IF(D3902="","",COUNTIFS('KG1-7'!$AD24:$IM24,"غياب بدون عذر",'KG1-7'!$AD$7:$IM$7,"✓",'KG1-7'!$AD$5:$IM$5,"&lt;="&amp;D3902))</f>
        <v/>
      </c>
      <c r="G3902">
        <f>G3901+IF(D3902="",0,1)</f>
        <v/>
      </c>
    </row>
    <row r="3903">
      <c r="A3903">
        <f>IF('KG1-7'!$B24="","",'KG1-7'!$B24)</f>
        <v/>
      </c>
      <c r="B3903">
        <f>IF(A3903="","",'KG1-7'!$C24)</f>
        <v/>
      </c>
      <c r="C3903">
        <f>IF(A3903="","",'KG1-7'!$B$2)</f>
        <v/>
      </c>
      <c r="D3903" s="126">
        <f t="array" ref="D3903">IF(A3903="","",IFERROR(SMALL(IF((('KG1-7'!$AD24:$IM24="غياب بدون عذر")+('KG1-7'!$AD24:$IM24="غياب بعذر"))*('KG1-7'!$AD$7:$IM$7="✓"),'KG1-7'!$AD$5:$IM$5),2),""))</f>
        <v/>
      </c>
      <c r="E3903">
        <f>IF(D3903="","",INDEX('KG1-7'!$AD24:$IM24,MATCH(D3903,'KG1-7'!$AD$5:$IM$5,0)))</f>
        <v/>
      </c>
      <c r="F3903">
        <f>IF(D3903="","",COUNTIFS('KG1-7'!$AD24:$IM24,"غياب بدون عذر",'KG1-7'!$AD$7:$IM$7,"✓",'KG1-7'!$AD$5:$IM$5,"&lt;="&amp;D3903))</f>
        <v/>
      </c>
      <c r="G3903">
        <f>G3902+IF(D3903="",0,1)</f>
        <v/>
      </c>
    </row>
    <row r="3904">
      <c r="A3904">
        <f>IF('KG1-7'!$B24="","",'KG1-7'!$B24)</f>
        <v/>
      </c>
      <c r="B3904">
        <f>IF(A3904="","",'KG1-7'!$C24)</f>
        <v/>
      </c>
      <c r="C3904">
        <f>IF(A3904="","",'KG1-7'!$B$2)</f>
        <v/>
      </c>
      <c r="D3904" s="126">
        <f t="array" ref="D3904">IF(A3904="","",IFERROR(SMALL(IF((('KG1-7'!$AD24:$IM24="غياب بدون عذر")+('KG1-7'!$AD24:$IM24="غياب بعذر"))*('KG1-7'!$AD$7:$IM$7="✓"),'KG1-7'!$AD$5:$IM$5),3),""))</f>
        <v/>
      </c>
      <c r="E3904">
        <f>IF(D3904="","",INDEX('KG1-7'!$AD24:$IM24,MATCH(D3904,'KG1-7'!$AD$5:$IM$5,0)))</f>
        <v/>
      </c>
      <c r="F3904">
        <f>IF(D3904="","",COUNTIFS('KG1-7'!$AD24:$IM24,"غياب بدون عذر",'KG1-7'!$AD$7:$IM$7,"✓",'KG1-7'!$AD$5:$IM$5,"&lt;="&amp;D3904))</f>
        <v/>
      </c>
      <c r="G3904">
        <f>G3903+IF(D3904="",0,1)</f>
        <v/>
      </c>
    </row>
    <row r="3905">
      <c r="A3905">
        <f>IF('KG1-7'!$B24="","",'KG1-7'!$B24)</f>
        <v/>
      </c>
      <c r="B3905">
        <f>IF(A3905="","",'KG1-7'!$C24)</f>
        <v/>
      </c>
      <c r="C3905">
        <f>IF(A3905="","",'KG1-7'!$B$2)</f>
        <v/>
      </c>
      <c r="D3905" s="126">
        <f t="array" ref="D3905">IF(A3905="","",IFERROR(SMALL(IF((('KG1-7'!$AD24:$IM24="غياب بدون عذر")+('KG1-7'!$AD24:$IM24="غياب بعذر"))*('KG1-7'!$AD$7:$IM$7="✓"),'KG1-7'!$AD$5:$IM$5),4),""))</f>
        <v/>
      </c>
      <c r="E3905">
        <f>IF(D3905="","",INDEX('KG1-7'!$AD24:$IM24,MATCH(D3905,'KG1-7'!$AD$5:$IM$5,0)))</f>
        <v/>
      </c>
      <c r="F3905">
        <f>IF(D3905="","",COUNTIFS('KG1-7'!$AD24:$IM24,"غياب بدون عذر",'KG1-7'!$AD$7:$IM$7,"✓",'KG1-7'!$AD$5:$IM$5,"&lt;="&amp;D3905))</f>
        <v/>
      </c>
      <c r="G3905">
        <f>G3904+IF(D3905="",0,1)</f>
        <v/>
      </c>
    </row>
    <row r="3906">
      <c r="A3906">
        <f>IF('KG1-7'!$B24="","",'KG1-7'!$B24)</f>
        <v/>
      </c>
      <c r="B3906">
        <f>IF(A3906="","",'KG1-7'!$C24)</f>
        <v/>
      </c>
      <c r="C3906">
        <f>IF(A3906="","",'KG1-7'!$B$2)</f>
        <v/>
      </c>
      <c r="D3906" s="126">
        <f t="array" ref="D3906">IF(A3906="","",IFERROR(SMALL(IF((('KG1-7'!$AD24:$IM24="غياب بدون عذر")+('KG1-7'!$AD24:$IM24="غياب بعذر"))*('KG1-7'!$AD$7:$IM$7="✓"),'KG1-7'!$AD$5:$IM$5),5),""))</f>
        <v/>
      </c>
      <c r="E3906">
        <f>IF(D3906="","",INDEX('KG1-7'!$AD24:$IM24,MATCH(D3906,'KG1-7'!$AD$5:$IM$5,0)))</f>
        <v/>
      </c>
      <c r="F3906">
        <f>IF(D3906="","",COUNTIFS('KG1-7'!$AD24:$IM24,"غياب بدون عذر",'KG1-7'!$AD$7:$IM$7,"✓",'KG1-7'!$AD$5:$IM$5,"&lt;="&amp;D3906))</f>
        <v/>
      </c>
      <c r="G3906">
        <f>G3905+IF(D3906="",0,1)</f>
        <v/>
      </c>
    </row>
    <row r="3907">
      <c r="A3907">
        <f>IF('KG1-7'!$B24="","",'KG1-7'!$B24)</f>
        <v/>
      </c>
      <c r="B3907">
        <f>IF(A3907="","",'KG1-7'!$C24)</f>
        <v/>
      </c>
      <c r="C3907">
        <f>IF(A3907="","",'KG1-7'!$B$2)</f>
        <v/>
      </c>
      <c r="D3907" s="126">
        <f t="array" ref="D3907">IF(A3907="","",IFERROR(SMALL(IF((('KG1-7'!$AD24:$IM24="غياب بدون عذر")+('KG1-7'!$AD24:$IM24="غياب بعذر"))*('KG1-7'!$AD$7:$IM$7="✓"),'KG1-7'!$AD$5:$IM$5),6),""))</f>
        <v/>
      </c>
      <c r="E3907">
        <f>IF(D3907="","",INDEX('KG1-7'!$AD24:$IM24,MATCH(D3907,'KG1-7'!$AD$5:$IM$5,0)))</f>
        <v/>
      </c>
      <c r="F3907">
        <f>IF(D3907="","",COUNTIFS('KG1-7'!$AD24:$IM24,"غياب بدون عذر",'KG1-7'!$AD$7:$IM$7,"✓",'KG1-7'!$AD$5:$IM$5,"&lt;="&amp;D3907))</f>
        <v/>
      </c>
      <c r="G3907">
        <f>G3906+IF(D3907="",0,1)</f>
        <v/>
      </c>
    </row>
    <row r="3908">
      <c r="A3908">
        <f>IF('KG1-7'!$B24="","",'KG1-7'!$B24)</f>
        <v/>
      </c>
      <c r="B3908">
        <f>IF(A3908="","",'KG1-7'!$C24)</f>
        <v/>
      </c>
      <c r="C3908">
        <f>IF(A3908="","",'KG1-7'!$B$2)</f>
        <v/>
      </c>
      <c r="D3908" s="126">
        <f t="array" ref="D3908">IF(A3908="","",IFERROR(SMALL(IF((('KG1-7'!$AD24:$IM24="غياب بدون عذر")+('KG1-7'!$AD24:$IM24="غياب بعذر"))*('KG1-7'!$AD$7:$IM$7="✓"),'KG1-7'!$AD$5:$IM$5),7),""))</f>
        <v/>
      </c>
      <c r="E3908">
        <f>IF(D3908="","",INDEX('KG1-7'!$AD24:$IM24,MATCH(D3908,'KG1-7'!$AD$5:$IM$5,0)))</f>
        <v/>
      </c>
      <c r="F3908">
        <f>IF(D3908="","",COUNTIFS('KG1-7'!$AD24:$IM24,"غياب بدون عذر",'KG1-7'!$AD$7:$IM$7,"✓",'KG1-7'!$AD$5:$IM$5,"&lt;="&amp;D3908))</f>
        <v/>
      </c>
      <c r="G3908">
        <f>G3907+IF(D3908="",0,1)</f>
        <v/>
      </c>
    </row>
    <row r="3909">
      <c r="A3909">
        <f>IF('KG1-7'!$B24="","",'KG1-7'!$B24)</f>
        <v/>
      </c>
      <c r="B3909">
        <f>IF(A3909="","",'KG1-7'!$C24)</f>
        <v/>
      </c>
      <c r="C3909">
        <f>IF(A3909="","",'KG1-7'!$B$2)</f>
        <v/>
      </c>
      <c r="D3909" s="126">
        <f t="array" ref="D3909">IF(A3909="","",IFERROR(SMALL(IF((('KG1-7'!$AD24:$IM24="غياب بدون عذر")+('KG1-7'!$AD24:$IM24="غياب بعذر"))*('KG1-7'!$AD$7:$IM$7="✓"),'KG1-7'!$AD$5:$IM$5),8),""))</f>
        <v/>
      </c>
      <c r="E3909">
        <f>IF(D3909="","",INDEX('KG1-7'!$AD24:$IM24,MATCH(D3909,'KG1-7'!$AD$5:$IM$5,0)))</f>
        <v/>
      </c>
      <c r="F3909">
        <f>IF(D3909="","",COUNTIFS('KG1-7'!$AD24:$IM24,"غياب بدون عذر",'KG1-7'!$AD$7:$IM$7,"✓",'KG1-7'!$AD$5:$IM$5,"&lt;="&amp;D3909))</f>
        <v/>
      </c>
      <c r="G3909">
        <f>G3908+IF(D3909="",0,1)</f>
        <v/>
      </c>
    </row>
    <row r="3910">
      <c r="A3910">
        <f>IF('KG1-7'!$B24="","",'KG1-7'!$B24)</f>
        <v/>
      </c>
      <c r="B3910">
        <f>IF(A3910="","",'KG1-7'!$C24)</f>
        <v/>
      </c>
      <c r="C3910">
        <f>IF(A3910="","",'KG1-7'!$B$2)</f>
        <v/>
      </c>
      <c r="D3910" s="126">
        <f t="array" ref="D3910">IF(A3910="","",IFERROR(SMALL(IF((('KG1-7'!$AD24:$IM24="غياب بدون عذر")+('KG1-7'!$AD24:$IM24="غياب بعذر"))*('KG1-7'!$AD$7:$IM$7="✓"),'KG1-7'!$AD$5:$IM$5),9),""))</f>
        <v/>
      </c>
      <c r="E3910">
        <f>IF(D3910="","",INDEX('KG1-7'!$AD24:$IM24,MATCH(D3910,'KG1-7'!$AD$5:$IM$5,0)))</f>
        <v/>
      </c>
      <c r="F3910">
        <f>IF(D3910="","",COUNTIFS('KG1-7'!$AD24:$IM24,"غياب بدون عذر",'KG1-7'!$AD$7:$IM$7,"✓",'KG1-7'!$AD$5:$IM$5,"&lt;="&amp;D3910))</f>
        <v/>
      </c>
      <c r="G3910">
        <f>G3909+IF(D3910="",0,1)</f>
        <v/>
      </c>
    </row>
    <row r="3911">
      <c r="A3911">
        <f>IF('KG1-7'!$B24="","",'KG1-7'!$B24)</f>
        <v/>
      </c>
      <c r="B3911">
        <f>IF(A3911="","",'KG1-7'!$C24)</f>
        <v/>
      </c>
      <c r="C3911">
        <f>IF(A3911="","",'KG1-7'!$B$2)</f>
        <v/>
      </c>
      <c r="D3911" s="126">
        <f t="array" ref="D3911">IF(A3911="","",IFERROR(SMALL(IF((('KG1-7'!$AD24:$IM24="غياب بدون عذر")+('KG1-7'!$AD24:$IM24="غياب بعذر"))*('KG1-7'!$AD$7:$IM$7="✓"),'KG1-7'!$AD$5:$IM$5),10),""))</f>
        <v/>
      </c>
      <c r="E3911">
        <f>IF(D3911="","",INDEX('KG1-7'!$AD24:$IM24,MATCH(D3911,'KG1-7'!$AD$5:$IM$5,0)))</f>
        <v/>
      </c>
      <c r="F3911">
        <f>IF(D3911="","",COUNTIFS('KG1-7'!$AD24:$IM24,"غياب بدون عذر",'KG1-7'!$AD$7:$IM$7,"✓",'KG1-7'!$AD$5:$IM$5,"&lt;="&amp;D3911))</f>
        <v/>
      </c>
      <c r="G3911">
        <f>G3910+IF(D3911="",0,1)</f>
        <v/>
      </c>
    </row>
    <row r="3912">
      <c r="A3912">
        <f>IF('KG1-7'!$B24="","",'KG1-7'!$B24)</f>
        <v/>
      </c>
      <c r="B3912">
        <f>IF(A3912="","",'KG1-7'!$C24)</f>
        <v/>
      </c>
      <c r="C3912">
        <f>IF(A3912="","",'KG1-7'!$B$2)</f>
        <v/>
      </c>
      <c r="D3912" s="126">
        <f t="array" ref="D3912">IF(A3912="","",IFERROR(SMALL(IF((('KG1-7'!$AD24:$IM24="غياب بدون عذر")+('KG1-7'!$AD24:$IM24="غياب بعذر"))*('KG1-7'!$AD$7:$IM$7="✓"),'KG1-7'!$AD$5:$IM$5),11),""))</f>
        <v/>
      </c>
      <c r="E3912">
        <f>IF(D3912="","",INDEX('KG1-7'!$AD24:$IM24,MATCH(D3912,'KG1-7'!$AD$5:$IM$5,0)))</f>
        <v/>
      </c>
      <c r="F3912">
        <f>IF(D3912="","",COUNTIFS('KG1-7'!$AD24:$IM24,"غياب بدون عذر",'KG1-7'!$AD$7:$IM$7,"✓",'KG1-7'!$AD$5:$IM$5,"&lt;="&amp;D3912))</f>
        <v/>
      </c>
      <c r="G3912">
        <f>G3911+IF(D3912="",0,1)</f>
        <v/>
      </c>
    </row>
    <row r="3913">
      <c r="A3913">
        <f>IF('KG1-7'!$B24="","",'KG1-7'!$B24)</f>
        <v/>
      </c>
      <c r="B3913">
        <f>IF(A3913="","",'KG1-7'!$C24)</f>
        <v/>
      </c>
      <c r="C3913">
        <f>IF(A3913="","",'KG1-7'!$B$2)</f>
        <v/>
      </c>
      <c r="D3913" s="126">
        <f t="array" ref="D3913">IF(A3913="","",IFERROR(SMALL(IF((('KG1-7'!$AD24:$IM24="غياب بدون عذر")+('KG1-7'!$AD24:$IM24="غياب بعذر"))*('KG1-7'!$AD$7:$IM$7="✓"),'KG1-7'!$AD$5:$IM$5),12),""))</f>
        <v/>
      </c>
      <c r="E3913">
        <f>IF(D3913="","",INDEX('KG1-7'!$AD24:$IM24,MATCH(D3913,'KG1-7'!$AD$5:$IM$5,0)))</f>
        <v/>
      </c>
      <c r="F3913">
        <f>IF(D3913="","",COUNTIFS('KG1-7'!$AD24:$IM24,"غياب بدون عذر",'KG1-7'!$AD$7:$IM$7,"✓",'KG1-7'!$AD$5:$IM$5,"&lt;="&amp;D3913))</f>
        <v/>
      </c>
      <c r="G3913">
        <f>G3912+IF(D3913="",0,1)</f>
        <v/>
      </c>
    </row>
    <row r="3914">
      <c r="A3914">
        <f>IF('KG1-7'!$B24="","",'KG1-7'!$B24)</f>
        <v/>
      </c>
      <c r="B3914">
        <f>IF(A3914="","",'KG1-7'!$C24)</f>
        <v/>
      </c>
      <c r="C3914">
        <f>IF(A3914="","",'KG1-7'!$B$2)</f>
        <v/>
      </c>
      <c r="D3914" s="126">
        <f t="array" ref="D3914">IF(A3914="","",IFERROR(SMALL(IF((('KG1-7'!$AD24:$IM24="غياب بدون عذر")+('KG1-7'!$AD24:$IM24="غياب بعذر"))*('KG1-7'!$AD$7:$IM$7="✓"),'KG1-7'!$AD$5:$IM$5),13),""))</f>
        <v/>
      </c>
      <c r="E3914">
        <f>IF(D3914="","",INDEX('KG1-7'!$AD24:$IM24,MATCH(D3914,'KG1-7'!$AD$5:$IM$5,0)))</f>
        <v/>
      </c>
      <c r="F3914">
        <f>IF(D3914="","",COUNTIFS('KG1-7'!$AD24:$IM24,"غياب بدون عذر",'KG1-7'!$AD$7:$IM$7,"✓",'KG1-7'!$AD$5:$IM$5,"&lt;="&amp;D3914))</f>
        <v/>
      </c>
      <c r="G3914">
        <f>G3913+IF(D3914="",0,1)</f>
        <v/>
      </c>
    </row>
    <row r="3915">
      <c r="A3915">
        <f>IF('KG1-7'!$B24="","",'KG1-7'!$B24)</f>
        <v/>
      </c>
      <c r="B3915">
        <f>IF(A3915="","",'KG1-7'!$C24)</f>
        <v/>
      </c>
      <c r="C3915">
        <f>IF(A3915="","",'KG1-7'!$B$2)</f>
        <v/>
      </c>
      <c r="D3915" s="126">
        <f t="array" ref="D3915">IF(A3915="","",IFERROR(SMALL(IF((('KG1-7'!$AD24:$IM24="غياب بدون عذر")+('KG1-7'!$AD24:$IM24="غياب بعذر"))*('KG1-7'!$AD$7:$IM$7="✓"),'KG1-7'!$AD$5:$IM$5),14),""))</f>
        <v/>
      </c>
      <c r="E3915">
        <f>IF(D3915="","",INDEX('KG1-7'!$AD24:$IM24,MATCH(D3915,'KG1-7'!$AD$5:$IM$5,0)))</f>
        <v/>
      </c>
      <c r="F3915">
        <f>IF(D3915="","",COUNTIFS('KG1-7'!$AD24:$IM24,"غياب بدون عذر",'KG1-7'!$AD$7:$IM$7,"✓",'KG1-7'!$AD$5:$IM$5,"&lt;="&amp;D3915))</f>
        <v/>
      </c>
      <c r="G3915">
        <f>G3914+IF(D3915="",0,1)</f>
        <v/>
      </c>
    </row>
    <row r="3916">
      <c r="A3916">
        <f>IF('KG1-7'!$B24="","",'KG1-7'!$B24)</f>
        <v/>
      </c>
      <c r="B3916">
        <f>IF(A3916="","",'KG1-7'!$C24)</f>
        <v/>
      </c>
      <c r="C3916">
        <f>IF(A3916="","",'KG1-7'!$B$2)</f>
        <v/>
      </c>
      <c r="D3916" s="126">
        <f t="array" ref="D3916">IF(A3916="","",IFERROR(SMALL(IF((('KG1-7'!$AD24:$IM24="غياب بدون عذر")+('KG1-7'!$AD24:$IM24="غياب بعذر"))*('KG1-7'!$AD$7:$IM$7="✓"),'KG1-7'!$AD$5:$IM$5),15),""))</f>
        <v/>
      </c>
      <c r="E3916">
        <f>IF(D3916="","",INDEX('KG1-7'!$AD24:$IM24,MATCH(D3916,'KG1-7'!$AD$5:$IM$5,0)))</f>
        <v/>
      </c>
      <c r="F3916">
        <f>IF(D3916="","",COUNTIFS('KG1-7'!$AD24:$IM24,"غياب بدون عذر",'KG1-7'!$AD$7:$IM$7,"✓",'KG1-7'!$AD$5:$IM$5,"&lt;="&amp;D3916))</f>
        <v/>
      </c>
      <c r="G3916">
        <f>G3915+IF(D3916="",0,1)</f>
        <v/>
      </c>
    </row>
    <row r="3917">
      <c r="A3917">
        <f>IF('KG1-7'!$B24="","",'KG1-7'!$B24)</f>
        <v/>
      </c>
      <c r="B3917">
        <f>IF(A3917="","",'KG1-7'!$C24)</f>
        <v/>
      </c>
      <c r="C3917">
        <f>IF(A3917="","",'KG1-7'!$B$2)</f>
        <v/>
      </c>
      <c r="D3917" s="126">
        <f t="array" ref="D3917">IF(A3917="","",IFERROR(SMALL(IF((('KG1-7'!$AD24:$IM24="غياب بدون عذر")+('KG1-7'!$AD24:$IM24="غياب بعذر"))*('KG1-7'!$AD$7:$IM$7="✓"),'KG1-7'!$AD$5:$IM$5),16),""))</f>
        <v/>
      </c>
      <c r="E3917">
        <f>IF(D3917="","",INDEX('KG1-7'!$AD24:$IM24,MATCH(D3917,'KG1-7'!$AD$5:$IM$5,0)))</f>
        <v/>
      </c>
      <c r="F3917">
        <f>IF(D3917="","",COUNTIFS('KG1-7'!$AD24:$IM24,"غياب بدون عذر",'KG1-7'!$AD$7:$IM$7,"✓",'KG1-7'!$AD$5:$IM$5,"&lt;="&amp;D3917))</f>
        <v/>
      </c>
      <c r="G3917">
        <f>G3916+IF(D3917="",0,1)</f>
        <v/>
      </c>
    </row>
    <row r="3918">
      <c r="A3918">
        <f>IF('KG1-7'!$B24="","",'KG1-7'!$B24)</f>
        <v/>
      </c>
      <c r="B3918">
        <f>IF(A3918="","",'KG1-7'!$C24)</f>
        <v/>
      </c>
      <c r="C3918">
        <f>IF(A3918="","",'KG1-7'!$B$2)</f>
        <v/>
      </c>
      <c r="D3918" s="126">
        <f t="array" ref="D3918">IF(A3918="","",IFERROR(SMALL(IF((('KG1-7'!$AD24:$IM24="غياب بدون عذر")+('KG1-7'!$AD24:$IM24="غياب بعذر"))*('KG1-7'!$AD$7:$IM$7="✓"),'KG1-7'!$AD$5:$IM$5),17),""))</f>
        <v/>
      </c>
      <c r="E3918">
        <f>IF(D3918="","",INDEX('KG1-7'!$AD24:$IM24,MATCH(D3918,'KG1-7'!$AD$5:$IM$5,0)))</f>
        <v/>
      </c>
      <c r="F3918">
        <f>IF(D3918="","",COUNTIFS('KG1-7'!$AD24:$IM24,"غياب بدون عذر",'KG1-7'!$AD$7:$IM$7,"✓",'KG1-7'!$AD$5:$IM$5,"&lt;="&amp;D3918))</f>
        <v/>
      </c>
      <c r="G3918">
        <f>G3917+IF(D3918="",0,1)</f>
        <v/>
      </c>
    </row>
    <row r="3919">
      <c r="A3919">
        <f>IF('KG1-7'!$B24="","",'KG1-7'!$B24)</f>
        <v/>
      </c>
      <c r="B3919">
        <f>IF(A3919="","",'KG1-7'!$C24)</f>
        <v/>
      </c>
      <c r="C3919">
        <f>IF(A3919="","",'KG1-7'!$B$2)</f>
        <v/>
      </c>
      <c r="D3919" s="126">
        <f t="array" ref="D3919">IF(A3919="","",IFERROR(SMALL(IF((('KG1-7'!$AD24:$IM24="غياب بدون عذر")+('KG1-7'!$AD24:$IM24="غياب بعذر"))*('KG1-7'!$AD$7:$IM$7="✓"),'KG1-7'!$AD$5:$IM$5),18),""))</f>
        <v/>
      </c>
      <c r="E3919">
        <f>IF(D3919="","",INDEX('KG1-7'!$AD24:$IM24,MATCH(D3919,'KG1-7'!$AD$5:$IM$5,0)))</f>
        <v/>
      </c>
      <c r="F3919">
        <f>IF(D3919="","",COUNTIFS('KG1-7'!$AD24:$IM24,"غياب بدون عذر",'KG1-7'!$AD$7:$IM$7,"✓",'KG1-7'!$AD$5:$IM$5,"&lt;="&amp;D3919))</f>
        <v/>
      </c>
      <c r="G3919">
        <f>G3918+IF(D3919="",0,1)</f>
        <v/>
      </c>
    </row>
    <row r="3920">
      <c r="A3920">
        <f>IF('KG1-7'!$B24="","",'KG1-7'!$B24)</f>
        <v/>
      </c>
      <c r="B3920">
        <f>IF(A3920="","",'KG1-7'!$C24)</f>
        <v/>
      </c>
      <c r="C3920">
        <f>IF(A3920="","",'KG1-7'!$B$2)</f>
        <v/>
      </c>
      <c r="D3920" s="126">
        <f t="array" ref="D3920">IF(A3920="","",IFERROR(SMALL(IF((('KG1-7'!$AD24:$IM24="غياب بدون عذر")+('KG1-7'!$AD24:$IM24="غياب بعذر"))*('KG1-7'!$AD$7:$IM$7="✓"),'KG1-7'!$AD$5:$IM$5),19),""))</f>
        <v/>
      </c>
      <c r="E3920">
        <f>IF(D3920="","",INDEX('KG1-7'!$AD24:$IM24,MATCH(D3920,'KG1-7'!$AD$5:$IM$5,0)))</f>
        <v/>
      </c>
      <c r="F3920">
        <f>IF(D3920="","",COUNTIFS('KG1-7'!$AD24:$IM24,"غياب بدون عذر",'KG1-7'!$AD$7:$IM$7,"✓",'KG1-7'!$AD$5:$IM$5,"&lt;="&amp;D3920))</f>
        <v/>
      </c>
      <c r="G3920">
        <f>G3919+IF(D3920="",0,1)</f>
        <v/>
      </c>
    </row>
    <row r="3921">
      <c r="A3921">
        <f>IF('KG1-7'!$B24="","",'KG1-7'!$B24)</f>
        <v/>
      </c>
      <c r="B3921">
        <f>IF(A3921="","",'KG1-7'!$C24)</f>
        <v/>
      </c>
      <c r="C3921">
        <f>IF(A3921="","",'KG1-7'!$B$2)</f>
        <v/>
      </c>
      <c r="D3921" s="126">
        <f t="array" ref="D3921">IF(A3921="","",IFERROR(SMALL(IF((('KG1-7'!$AD24:$IM24="غياب بدون عذر")+('KG1-7'!$AD24:$IM24="غياب بعذر"))*('KG1-7'!$AD$7:$IM$7="✓"),'KG1-7'!$AD$5:$IM$5),20),""))</f>
        <v/>
      </c>
      <c r="E3921">
        <f>IF(D3921="","",INDEX('KG1-7'!$AD24:$IM24,MATCH(D3921,'KG1-7'!$AD$5:$IM$5,0)))</f>
        <v/>
      </c>
      <c r="F3921">
        <f>IF(D3921="","",COUNTIFS('KG1-7'!$AD24:$IM24,"غياب بدون عذر",'KG1-7'!$AD$7:$IM$7,"✓",'KG1-7'!$AD$5:$IM$5,"&lt;="&amp;D3921))</f>
        <v/>
      </c>
      <c r="G3921">
        <f>G3920+IF(D3921="",0,1)</f>
        <v/>
      </c>
    </row>
    <row r="3922">
      <c r="A3922">
        <f>IF('KG1-7'!$B25="","",'KG1-7'!$B25)</f>
        <v/>
      </c>
      <c r="B3922">
        <f>IF(A3922="","",'KG1-7'!$C25)</f>
        <v/>
      </c>
      <c r="C3922">
        <f>IF(A3922="","",'KG1-7'!$B$2)</f>
        <v/>
      </c>
      <c r="D3922" s="126">
        <f t="array" ref="D3922">IF(A3922="","",IFERROR(SMALL(IF((('KG1-7'!$AD25:$IM25="غياب بدون عذر")+('KG1-7'!$AD25:$IM25="غياب بعذر"))*('KG1-7'!$AD$7:$IM$7="✓"),'KG1-7'!$AD$5:$IM$5),1),""))</f>
        <v/>
      </c>
      <c r="E3922">
        <f>IF(D3922="","",INDEX('KG1-7'!$AD25:$IM25,MATCH(D3922,'KG1-7'!$AD$5:$IM$5,0)))</f>
        <v/>
      </c>
      <c r="F3922">
        <f>IF(D3922="","",COUNTIFS('KG1-7'!$AD25:$IM25,"غياب بدون عذر",'KG1-7'!$AD$7:$IM$7,"✓",'KG1-7'!$AD$5:$IM$5,"&lt;="&amp;D3922))</f>
        <v/>
      </c>
      <c r="G3922">
        <f>G3921+IF(D3922="",0,1)</f>
        <v/>
      </c>
    </row>
    <row r="3923">
      <c r="A3923">
        <f>IF('KG1-7'!$B25="","",'KG1-7'!$B25)</f>
        <v/>
      </c>
      <c r="B3923">
        <f>IF(A3923="","",'KG1-7'!$C25)</f>
        <v/>
      </c>
      <c r="C3923">
        <f>IF(A3923="","",'KG1-7'!$B$2)</f>
        <v/>
      </c>
      <c r="D3923" s="126">
        <f t="array" ref="D3923">IF(A3923="","",IFERROR(SMALL(IF((('KG1-7'!$AD25:$IM25="غياب بدون عذر")+('KG1-7'!$AD25:$IM25="غياب بعذر"))*('KG1-7'!$AD$7:$IM$7="✓"),'KG1-7'!$AD$5:$IM$5),2),""))</f>
        <v/>
      </c>
      <c r="E3923">
        <f>IF(D3923="","",INDEX('KG1-7'!$AD25:$IM25,MATCH(D3923,'KG1-7'!$AD$5:$IM$5,0)))</f>
        <v/>
      </c>
      <c r="F3923">
        <f>IF(D3923="","",COUNTIFS('KG1-7'!$AD25:$IM25,"غياب بدون عذر",'KG1-7'!$AD$7:$IM$7,"✓",'KG1-7'!$AD$5:$IM$5,"&lt;="&amp;D3923))</f>
        <v/>
      </c>
      <c r="G3923">
        <f>G3922+IF(D3923="",0,1)</f>
        <v/>
      </c>
    </row>
    <row r="3924">
      <c r="A3924">
        <f>IF('KG1-7'!$B25="","",'KG1-7'!$B25)</f>
        <v/>
      </c>
      <c r="B3924">
        <f>IF(A3924="","",'KG1-7'!$C25)</f>
        <v/>
      </c>
      <c r="C3924">
        <f>IF(A3924="","",'KG1-7'!$B$2)</f>
        <v/>
      </c>
      <c r="D3924" s="126">
        <f t="array" ref="D3924">IF(A3924="","",IFERROR(SMALL(IF((('KG1-7'!$AD25:$IM25="غياب بدون عذر")+('KG1-7'!$AD25:$IM25="غياب بعذر"))*('KG1-7'!$AD$7:$IM$7="✓"),'KG1-7'!$AD$5:$IM$5),3),""))</f>
        <v/>
      </c>
      <c r="E3924">
        <f>IF(D3924="","",INDEX('KG1-7'!$AD25:$IM25,MATCH(D3924,'KG1-7'!$AD$5:$IM$5,0)))</f>
        <v/>
      </c>
      <c r="F3924">
        <f>IF(D3924="","",COUNTIFS('KG1-7'!$AD25:$IM25,"غياب بدون عذر",'KG1-7'!$AD$7:$IM$7,"✓",'KG1-7'!$AD$5:$IM$5,"&lt;="&amp;D3924))</f>
        <v/>
      </c>
      <c r="G3924">
        <f>G3923+IF(D3924="",0,1)</f>
        <v/>
      </c>
    </row>
    <row r="3925">
      <c r="A3925">
        <f>IF('KG1-7'!$B25="","",'KG1-7'!$B25)</f>
        <v/>
      </c>
      <c r="B3925">
        <f>IF(A3925="","",'KG1-7'!$C25)</f>
        <v/>
      </c>
      <c r="C3925">
        <f>IF(A3925="","",'KG1-7'!$B$2)</f>
        <v/>
      </c>
      <c r="D3925" s="126">
        <f t="array" ref="D3925">IF(A3925="","",IFERROR(SMALL(IF((('KG1-7'!$AD25:$IM25="غياب بدون عذر")+('KG1-7'!$AD25:$IM25="غياب بعذر"))*('KG1-7'!$AD$7:$IM$7="✓"),'KG1-7'!$AD$5:$IM$5),4),""))</f>
        <v/>
      </c>
      <c r="E3925">
        <f>IF(D3925="","",INDEX('KG1-7'!$AD25:$IM25,MATCH(D3925,'KG1-7'!$AD$5:$IM$5,0)))</f>
        <v/>
      </c>
      <c r="F3925">
        <f>IF(D3925="","",COUNTIFS('KG1-7'!$AD25:$IM25,"غياب بدون عذر",'KG1-7'!$AD$7:$IM$7,"✓",'KG1-7'!$AD$5:$IM$5,"&lt;="&amp;D3925))</f>
        <v/>
      </c>
      <c r="G3925">
        <f>G3924+IF(D3925="",0,1)</f>
        <v/>
      </c>
    </row>
    <row r="3926">
      <c r="A3926">
        <f>IF('KG1-7'!$B25="","",'KG1-7'!$B25)</f>
        <v/>
      </c>
      <c r="B3926">
        <f>IF(A3926="","",'KG1-7'!$C25)</f>
        <v/>
      </c>
      <c r="C3926">
        <f>IF(A3926="","",'KG1-7'!$B$2)</f>
        <v/>
      </c>
      <c r="D3926" s="126">
        <f t="array" ref="D3926">IF(A3926="","",IFERROR(SMALL(IF((('KG1-7'!$AD25:$IM25="غياب بدون عذر")+('KG1-7'!$AD25:$IM25="غياب بعذر"))*('KG1-7'!$AD$7:$IM$7="✓"),'KG1-7'!$AD$5:$IM$5),5),""))</f>
        <v/>
      </c>
      <c r="E3926">
        <f>IF(D3926="","",INDEX('KG1-7'!$AD25:$IM25,MATCH(D3926,'KG1-7'!$AD$5:$IM$5,0)))</f>
        <v/>
      </c>
      <c r="F3926">
        <f>IF(D3926="","",COUNTIFS('KG1-7'!$AD25:$IM25,"غياب بدون عذر",'KG1-7'!$AD$7:$IM$7,"✓",'KG1-7'!$AD$5:$IM$5,"&lt;="&amp;D3926))</f>
        <v/>
      </c>
      <c r="G3926">
        <f>G3925+IF(D3926="",0,1)</f>
        <v/>
      </c>
    </row>
    <row r="3927">
      <c r="A3927">
        <f>IF('KG1-7'!$B25="","",'KG1-7'!$B25)</f>
        <v/>
      </c>
      <c r="B3927">
        <f>IF(A3927="","",'KG1-7'!$C25)</f>
        <v/>
      </c>
      <c r="C3927">
        <f>IF(A3927="","",'KG1-7'!$B$2)</f>
        <v/>
      </c>
      <c r="D3927" s="126">
        <f t="array" ref="D3927">IF(A3927="","",IFERROR(SMALL(IF((('KG1-7'!$AD25:$IM25="غياب بدون عذر")+('KG1-7'!$AD25:$IM25="غياب بعذر"))*('KG1-7'!$AD$7:$IM$7="✓"),'KG1-7'!$AD$5:$IM$5),6),""))</f>
        <v/>
      </c>
      <c r="E3927">
        <f>IF(D3927="","",INDEX('KG1-7'!$AD25:$IM25,MATCH(D3927,'KG1-7'!$AD$5:$IM$5,0)))</f>
        <v/>
      </c>
      <c r="F3927">
        <f>IF(D3927="","",COUNTIFS('KG1-7'!$AD25:$IM25,"غياب بدون عذر",'KG1-7'!$AD$7:$IM$7,"✓",'KG1-7'!$AD$5:$IM$5,"&lt;="&amp;D3927))</f>
        <v/>
      </c>
      <c r="G3927">
        <f>G3926+IF(D3927="",0,1)</f>
        <v/>
      </c>
    </row>
    <row r="3928">
      <c r="A3928">
        <f>IF('KG1-7'!$B25="","",'KG1-7'!$B25)</f>
        <v/>
      </c>
      <c r="B3928">
        <f>IF(A3928="","",'KG1-7'!$C25)</f>
        <v/>
      </c>
      <c r="C3928">
        <f>IF(A3928="","",'KG1-7'!$B$2)</f>
        <v/>
      </c>
      <c r="D3928" s="126">
        <f t="array" ref="D3928">IF(A3928="","",IFERROR(SMALL(IF((('KG1-7'!$AD25:$IM25="غياب بدون عذر")+('KG1-7'!$AD25:$IM25="غياب بعذر"))*('KG1-7'!$AD$7:$IM$7="✓"),'KG1-7'!$AD$5:$IM$5),7),""))</f>
        <v/>
      </c>
      <c r="E3928">
        <f>IF(D3928="","",INDEX('KG1-7'!$AD25:$IM25,MATCH(D3928,'KG1-7'!$AD$5:$IM$5,0)))</f>
        <v/>
      </c>
      <c r="F3928">
        <f>IF(D3928="","",COUNTIFS('KG1-7'!$AD25:$IM25,"غياب بدون عذر",'KG1-7'!$AD$7:$IM$7,"✓",'KG1-7'!$AD$5:$IM$5,"&lt;="&amp;D3928))</f>
        <v/>
      </c>
      <c r="G3928">
        <f>G3927+IF(D3928="",0,1)</f>
        <v/>
      </c>
    </row>
    <row r="3929">
      <c r="A3929">
        <f>IF('KG1-7'!$B25="","",'KG1-7'!$B25)</f>
        <v/>
      </c>
      <c r="B3929">
        <f>IF(A3929="","",'KG1-7'!$C25)</f>
        <v/>
      </c>
      <c r="C3929">
        <f>IF(A3929="","",'KG1-7'!$B$2)</f>
        <v/>
      </c>
      <c r="D3929" s="126">
        <f t="array" ref="D3929">IF(A3929="","",IFERROR(SMALL(IF((('KG1-7'!$AD25:$IM25="غياب بدون عذر")+('KG1-7'!$AD25:$IM25="غياب بعذر"))*('KG1-7'!$AD$7:$IM$7="✓"),'KG1-7'!$AD$5:$IM$5),8),""))</f>
        <v/>
      </c>
      <c r="E3929">
        <f>IF(D3929="","",INDEX('KG1-7'!$AD25:$IM25,MATCH(D3929,'KG1-7'!$AD$5:$IM$5,0)))</f>
        <v/>
      </c>
      <c r="F3929">
        <f>IF(D3929="","",COUNTIFS('KG1-7'!$AD25:$IM25,"غياب بدون عذر",'KG1-7'!$AD$7:$IM$7,"✓",'KG1-7'!$AD$5:$IM$5,"&lt;="&amp;D3929))</f>
        <v/>
      </c>
      <c r="G3929">
        <f>G3928+IF(D3929="",0,1)</f>
        <v/>
      </c>
    </row>
    <row r="3930">
      <c r="A3930">
        <f>IF('KG1-7'!$B25="","",'KG1-7'!$B25)</f>
        <v/>
      </c>
      <c r="B3930">
        <f>IF(A3930="","",'KG1-7'!$C25)</f>
        <v/>
      </c>
      <c r="C3930">
        <f>IF(A3930="","",'KG1-7'!$B$2)</f>
        <v/>
      </c>
      <c r="D3930" s="126">
        <f t="array" ref="D3930">IF(A3930="","",IFERROR(SMALL(IF((('KG1-7'!$AD25:$IM25="غياب بدون عذر")+('KG1-7'!$AD25:$IM25="غياب بعذر"))*('KG1-7'!$AD$7:$IM$7="✓"),'KG1-7'!$AD$5:$IM$5),9),""))</f>
        <v/>
      </c>
      <c r="E3930">
        <f>IF(D3930="","",INDEX('KG1-7'!$AD25:$IM25,MATCH(D3930,'KG1-7'!$AD$5:$IM$5,0)))</f>
        <v/>
      </c>
      <c r="F3930">
        <f>IF(D3930="","",COUNTIFS('KG1-7'!$AD25:$IM25,"غياب بدون عذر",'KG1-7'!$AD$7:$IM$7,"✓",'KG1-7'!$AD$5:$IM$5,"&lt;="&amp;D3930))</f>
        <v/>
      </c>
      <c r="G3930">
        <f>G3929+IF(D3930="",0,1)</f>
        <v/>
      </c>
    </row>
    <row r="3931">
      <c r="A3931">
        <f>IF('KG1-7'!$B25="","",'KG1-7'!$B25)</f>
        <v/>
      </c>
      <c r="B3931">
        <f>IF(A3931="","",'KG1-7'!$C25)</f>
        <v/>
      </c>
      <c r="C3931">
        <f>IF(A3931="","",'KG1-7'!$B$2)</f>
        <v/>
      </c>
      <c r="D3931" s="126">
        <f t="array" ref="D3931">IF(A3931="","",IFERROR(SMALL(IF((('KG1-7'!$AD25:$IM25="غياب بدون عذر")+('KG1-7'!$AD25:$IM25="غياب بعذر"))*('KG1-7'!$AD$7:$IM$7="✓"),'KG1-7'!$AD$5:$IM$5),10),""))</f>
        <v/>
      </c>
      <c r="E3931">
        <f>IF(D3931="","",INDEX('KG1-7'!$AD25:$IM25,MATCH(D3931,'KG1-7'!$AD$5:$IM$5,0)))</f>
        <v/>
      </c>
      <c r="F3931">
        <f>IF(D3931="","",COUNTIFS('KG1-7'!$AD25:$IM25,"غياب بدون عذر",'KG1-7'!$AD$7:$IM$7,"✓",'KG1-7'!$AD$5:$IM$5,"&lt;="&amp;D3931))</f>
        <v/>
      </c>
      <c r="G3931">
        <f>G3930+IF(D3931="",0,1)</f>
        <v/>
      </c>
    </row>
    <row r="3932">
      <c r="A3932">
        <f>IF('KG1-7'!$B25="","",'KG1-7'!$B25)</f>
        <v/>
      </c>
      <c r="B3932">
        <f>IF(A3932="","",'KG1-7'!$C25)</f>
        <v/>
      </c>
      <c r="C3932">
        <f>IF(A3932="","",'KG1-7'!$B$2)</f>
        <v/>
      </c>
      <c r="D3932" s="126">
        <f t="array" ref="D3932">IF(A3932="","",IFERROR(SMALL(IF((('KG1-7'!$AD25:$IM25="غياب بدون عذر")+('KG1-7'!$AD25:$IM25="غياب بعذر"))*('KG1-7'!$AD$7:$IM$7="✓"),'KG1-7'!$AD$5:$IM$5),11),""))</f>
        <v/>
      </c>
      <c r="E3932">
        <f>IF(D3932="","",INDEX('KG1-7'!$AD25:$IM25,MATCH(D3932,'KG1-7'!$AD$5:$IM$5,0)))</f>
        <v/>
      </c>
      <c r="F3932">
        <f>IF(D3932="","",COUNTIFS('KG1-7'!$AD25:$IM25,"غياب بدون عذر",'KG1-7'!$AD$7:$IM$7,"✓",'KG1-7'!$AD$5:$IM$5,"&lt;="&amp;D3932))</f>
        <v/>
      </c>
      <c r="G3932">
        <f>G3931+IF(D3932="",0,1)</f>
        <v/>
      </c>
    </row>
    <row r="3933">
      <c r="A3933">
        <f>IF('KG1-7'!$B25="","",'KG1-7'!$B25)</f>
        <v/>
      </c>
      <c r="B3933">
        <f>IF(A3933="","",'KG1-7'!$C25)</f>
        <v/>
      </c>
      <c r="C3933">
        <f>IF(A3933="","",'KG1-7'!$B$2)</f>
        <v/>
      </c>
      <c r="D3933" s="126">
        <f t="array" ref="D3933">IF(A3933="","",IFERROR(SMALL(IF((('KG1-7'!$AD25:$IM25="غياب بدون عذر")+('KG1-7'!$AD25:$IM25="غياب بعذر"))*('KG1-7'!$AD$7:$IM$7="✓"),'KG1-7'!$AD$5:$IM$5),12),""))</f>
        <v/>
      </c>
      <c r="E3933">
        <f>IF(D3933="","",INDEX('KG1-7'!$AD25:$IM25,MATCH(D3933,'KG1-7'!$AD$5:$IM$5,0)))</f>
        <v/>
      </c>
      <c r="F3933">
        <f>IF(D3933="","",COUNTIFS('KG1-7'!$AD25:$IM25,"غياب بدون عذر",'KG1-7'!$AD$7:$IM$7,"✓",'KG1-7'!$AD$5:$IM$5,"&lt;="&amp;D3933))</f>
        <v/>
      </c>
      <c r="G3933">
        <f>G3932+IF(D3933="",0,1)</f>
        <v/>
      </c>
    </row>
    <row r="3934">
      <c r="A3934">
        <f>IF('KG1-7'!$B25="","",'KG1-7'!$B25)</f>
        <v/>
      </c>
      <c r="B3934">
        <f>IF(A3934="","",'KG1-7'!$C25)</f>
        <v/>
      </c>
      <c r="C3934">
        <f>IF(A3934="","",'KG1-7'!$B$2)</f>
        <v/>
      </c>
      <c r="D3934" s="126">
        <f t="array" ref="D3934">IF(A3934="","",IFERROR(SMALL(IF((('KG1-7'!$AD25:$IM25="غياب بدون عذر")+('KG1-7'!$AD25:$IM25="غياب بعذر"))*('KG1-7'!$AD$7:$IM$7="✓"),'KG1-7'!$AD$5:$IM$5),13),""))</f>
        <v/>
      </c>
      <c r="E3934">
        <f>IF(D3934="","",INDEX('KG1-7'!$AD25:$IM25,MATCH(D3934,'KG1-7'!$AD$5:$IM$5,0)))</f>
        <v/>
      </c>
      <c r="F3934">
        <f>IF(D3934="","",COUNTIFS('KG1-7'!$AD25:$IM25,"غياب بدون عذر",'KG1-7'!$AD$7:$IM$7,"✓",'KG1-7'!$AD$5:$IM$5,"&lt;="&amp;D3934))</f>
        <v/>
      </c>
      <c r="G3934">
        <f>G3933+IF(D3934="",0,1)</f>
        <v/>
      </c>
    </row>
    <row r="3935">
      <c r="A3935">
        <f>IF('KG1-7'!$B25="","",'KG1-7'!$B25)</f>
        <v/>
      </c>
      <c r="B3935">
        <f>IF(A3935="","",'KG1-7'!$C25)</f>
        <v/>
      </c>
      <c r="C3935">
        <f>IF(A3935="","",'KG1-7'!$B$2)</f>
        <v/>
      </c>
      <c r="D3935" s="126">
        <f t="array" ref="D3935">IF(A3935="","",IFERROR(SMALL(IF((('KG1-7'!$AD25:$IM25="غياب بدون عذر")+('KG1-7'!$AD25:$IM25="غياب بعذر"))*('KG1-7'!$AD$7:$IM$7="✓"),'KG1-7'!$AD$5:$IM$5),14),""))</f>
        <v/>
      </c>
      <c r="E3935">
        <f>IF(D3935="","",INDEX('KG1-7'!$AD25:$IM25,MATCH(D3935,'KG1-7'!$AD$5:$IM$5,0)))</f>
        <v/>
      </c>
      <c r="F3935">
        <f>IF(D3935="","",COUNTIFS('KG1-7'!$AD25:$IM25,"غياب بدون عذر",'KG1-7'!$AD$7:$IM$7,"✓",'KG1-7'!$AD$5:$IM$5,"&lt;="&amp;D3935))</f>
        <v/>
      </c>
      <c r="G3935">
        <f>G3934+IF(D3935="",0,1)</f>
        <v/>
      </c>
    </row>
    <row r="3936">
      <c r="A3936">
        <f>IF('KG1-7'!$B25="","",'KG1-7'!$B25)</f>
        <v/>
      </c>
      <c r="B3936">
        <f>IF(A3936="","",'KG1-7'!$C25)</f>
        <v/>
      </c>
      <c r="C3936">
        <f>IF(A3936="","",'KG1-7'!$B$2)</f>
        <v/>
      </c>
      <c r="D3936" s="126">
        <f t="array" ref="D3936">IF(A3936="","",IFERROR(SMALL(IF((('KG1-7'!$AD25:$IM25="غياب بدون عذر")+('KG1-7'!$AD25:$IM25="غياب بعذر"))*('KG1-7'!$AD$7:$IM$7="✓"),'KG1-7'!$AD$5:$IM$5),15),""))</f>
        <v/>
      </c>
      <c r="E3936">
        <f>IF(D3936="","",INDEX('KG1-7'!$AD25:$IM25,MATCH(D3936,'KG1-7'!$AD$5:$IM$5,0)))</f>
        <v/>
      </c>
      <c r="F3936">
        <f>IF(D3936="","",COUNTIFS('KG1-7'!$AD25:$IM25,"غياب بدون عذر",'KG1-7'!$AD$7:$IM$7,"✓",'KG1-7'!$AD$5:$IM$5,"&lt;="&amp;D3936))</f>
        <v/>
      </c>
      <c r="G3936">
        <f>G3935+IF(D3936="",0,1)</f>
        <v/>
      </c>
    </row>
    <row r="3937">
      <c r="A3937">
        <f>IF('KG1-7'!$B25="","",'KG1-7'!$B25)</f>
        <v/>
      </c>
      <c r="B3937">
        <f>IF(A3937="","",'KG1-7'!$C25)</f>
        <v/>
      </c>
      <c r="C3937">
        <f>IF(A3937="","",'KG1-7'!$B$2)</f>
        <v/>
      </c>
      <c r="D3937" s="126">
        <f t="array" ref="D3937">IF(A3937="","",IFERROR(SMALL(IF((('KG1-7'!$AD25:$IM25="غياب بدون عذر")+('KG1-7'!$AD25:$IM25="غياب بعذر"))*('KG1-7'!$AD$7:$IM$7="✓"),'KG1-7'!$AD$5:$IM$5),16),""))</f>
        <v/>
      </c>
      <c r="E3937">
        <f>IF(D3937="","",INDEX('KG1-7'!$AD25:$IM25,MATCH(D3937,'KG1-7'!$AD$5:$IM$5,0)))</f>
        <v/>
      </c>
      <c r="F3937">
        <f>IF(D3937="","",COUNTIFS('KG1-7'!$AD25:$IM25,"غياب بدون عذر",'KG1-7'!$AD$7:$IM$7,"✓",'KG1-7'!$AD$5:$IM$5,"&lt;="&amp;D3937))</f>
        <v/>
      </c>
      <c r="G3937">
        <f>G3936+IF(D3937="",0,1)</f>
        <v/>
      </c>
    </row>
    <row r="3938">
      <c r="A3938">
        <f>IF('KG1-7'!$B25="","",'KG1-7'!$B25)</f>
        <v/>
      </c>
      <c r="B3938">
        <f>IF(A3938="","",'KG1-7'!$C25)</f>
        <v/>
      </c>
      <c r="C3938">
        <f>IF(A3938="","",'KG1-7'!$B$2)</f>
        <v/>
      </c>
      <c r="D3938" s="126">
        <f t="array" ref="D3938">IF(A3938="","",IFERROR(SMALL(IF((('KG1-7'!$AD25:$IM25="غياب بدون عذر")+('KG1-7'!$AD25:$IM25="غياب بعذر"))*('KG1-7'!$AD$7:$IM$7="✓"),'KG1-7'!$AD$5:$IM$5),17),""))</f>
        <v/>
      </c>
      <c r="E3938">
        <f>IF(D3938="","",INDEX('KG1-7'!$AD25:$IM25,MATCH(D3938,'KG1-7'!$AD$5:$IM$5,0)))</f>
        <v/>
      </c>
      <c r="F3938">
        <f>IF(D3938="","",COUNTIFS('KG1-7'!$AD25:$IM25,"غياب بدون عذر",'KG1-7'!$AD$7:$IM$7,"✓",'KG1-7'!$AD$5:$IM$5,"&lt;="&amp;D3938))</f>
        <v/>
      </c>
      <c r="G3938">
        <f>G3937+IF(D3938="",0,1)</f>
        <v/>
      </c>
    </row>
    <row r="3939">
      <c r="A3939">
        <f>IF('KG1-7'!$B25="","",'KG1-7'!$B25)</f>
        <v/>
      </c>
      <c r="B3939">
        <f>IF(A3939="","",'KG1-7'!$C25)</f>
        <v/>
      </c>
      <c r="C3939">
        <f>IF(A3939="","",'KG1-7'!$B$2)</f>
        <v/>
      </c>
      <c r="D3939" s="126">
        <f t="array" ref="D3939">IF(A3939="","",IFERROR(SMALL(IF((('KG1-7'!$AD25:$IM25="غياب بدون عذر")+('KG1-7'!$AD25:$IM25="غياب بعذر"))*('KG1-7'!$AD$7:$IM$7="✓"),'KG1-7'!$AD$5:$IM$5),18),""))</f>
        <v/>
      </c>
      <c r="E3939">
        <f>IF(D3939="","",INDEX('KG1-7'!$AD25:$IM25,MATCH(D3939,'KG1-7'!$AD$5:$IM$5,0)))</f>
        <v/>
      </c>
      <c r="F3939">
        <f>IF(D3939="","",COUNTIFS('KG1-7'!$AD25:$IM25,"غياب بدون عذر",'KG1-7'!$AD$7:$IM$7,"✓",'KG1-7'!$AD$5:$IM$5,"&lt;="&amp;D3939))</f>
        <v/>
      </c>
      <c r="G3939">
        <f>G3938+IF(D3939="",0,1)</f>
        <v/>
      </c>
    </row>
    <row r="3940">
      <c r="A3940">
        <f>IF('KG1-7'!$B25="","",'KG1-7'!$B25)</f>
        <v/>
      </c>
      <c r="B3940">
        <f>IF(A3940="","",'KG1-7'!$C25)</f>
        <v/>
      </c>
      <c r="C3940">
        <f>IF(A3940="","",'KG1-7'!$B$2)</f>
        <v/>
      </c>
      <c r="D3940" s="126">
        <f t="array" ref="D3940">IF(A3940="","",IFERROR(SMALL(IF((('KG1-7'!$AD25:$IM25="غياب بدون عذر")+('KG1-7'!$AD25:$IM25="غياب بعذر"))*('KG1-7'!$AD$7:$IM$7="✓"),'KG1-7'!$AD$5:$IM$5),19),""))</f>
        <v/>
      </c>
      <c r="E3940">
        <f>IF(D3940="","",INDEX('KG1-7'!$AD25:$IM25,MATCH(D3940,'KG1-7'!$AD$5:$IM$5,0)))</f>
        <v/>
      </c>
      <c r="F3940">
        <f>IF(D3940="","",COUNTIFS('KG1-7'!$AD25:$IM25,"غياب بدون عذر",'KG1-7'!$AD$7:$IM$7,"✓",'KG1-7'!$AD$5:$IM$5,"&lt;="&amp;D3940))</f>
        <v/>
      </c>
      <c r="G3940">
        <f>G3939+IF(D3940="",0,1)</f>
        <v/>
      </c>
    </row>
    <row r="3941">
      <c r="A3941">
        <f>IF('KG1-7'!$B25="","",'KG1-7'!$B25)</f>
        <v/>
      </c>
      <c r="B3941">
        <f>IF(A3941="","",'KG1-7'!$C25)</f>
        <v/>
      </c>
      <c r="C3941">
        <f>IF(A3941="","",'KG1-7'!$B$2)</f>
        <v/>
      </c>
      <c r="D3941" s="126">
        <f t="array" ref="D3941">IF(A3941="","",IFERROR(SMALL(IF((('KG1-7'!$AD25:$IM25="غياب بدون عذر")+('KG1-7'!$AD25:$IM25="غياب بعذر"))*('KG1-7'!$AD$7:$IM$7="✓"),'KG1-7'!$AD$5:$IM$5),20),""))</f>
        <v/>
      </c>
      <c r="E3941">
        <f>IF(D3941="","",INDEX('KG1-7'!$AD25:$IM25,MATCH(D3941,'KG1-7'!$AD$5:$IM$5,0)))</f>
        <v/>
      </c>
      <c r="F3941">
        <f>IF(D3941="","",COUNTIFS('KG1-7'!$AD25:$IM25,"غياب بدون عذر",'KG1-7'!$AD$7:$IM$7,"✓",'KG1-7'!$AD$5:$IM$5,"&lt;="&amp;D3941))</f>
        <v/>
      </c>
      <c r="G3941">
        <f>G3940+IF(D3941="",0,1)</f>
        <v/>
      </c>
    </row>
    <row r="3942">
      <c r="A3942">
        <f>IF('KG1-7'!$B26="","",'KG1-7'!$B26)</f>
        <v/>
      </c>
      <c r="B3942">
        <f>IF(A3942="","",'KG1-7'!$C26)</f>
        <v/>
      </c>
      <c r="C3942">
        <f>IF(A3942="","",'KG1-7'!$B$2)</f>
        <v/>
      </c>
      <c r="D3942" s="126">
        <f t="array" ref="D3942">IF(A3942="","",IFERROR(SMALL(IF((('KG1-7'!$AD26:$IM26="غياب بدون عذر")+('KG1-7'!$AD26:$IM26="غياب بعذر"))*('KG1-7'!$AD$7:$IM$7="✓"),'KG1-7'!$AD$5:$IM$5),1),""))</f>
        <v/>
      </c>
      <c r="E3942">
        <f>IF(D3942="","",INDEX('KG1-7'!$AD26:$IM26,MATCH(D3942,'KG1-7'!$AD$5:$IM$5,0)))</f>
        <v/>
      </c>
      <c r="F3942">
        <f>IF(D3942="","",COUNTIFS('KG1-7'!$AD26:$IM26,"غياب بدون عذر",'KG1-7'!$AD$7:$IM$7,"✓",'KG1-7'!$AD$5:$IM$5,"&lt;="&amp;D3942))</f>
        <v/>
      </c>
      <c r="G3942">
        <f>G3941+IF(D3942="",0,1)</f>
        <v/>
      </c>
    </row>
    <row r="3943">
      <c r="A3943">
        <f>IF('KG1-7'!$B26="","",'KG1-7'!$B26)</f>
        <v/>
      </c>
      <c r="B3943">
        <f>IF(A3943="","",'KG1-7'!$C26)</f>
        <v/>
      </c>
      <c r="C3943">
        <f>IF(A3943="","",'KG1-7'!$B$2)</f>
        <v/>
      </c>
      <c r="D3943" s="126">
        <f t="array" ref="D3943">IF(A3943="","",IFERROR(SMALL(IF((('KG1-7'!$AD26:$IM26="غياب بدون عذر")+('KG1-7'!$AD26:$IM26="غياب بعذر"))*('KG1-7'!$AD$7:$IM$7="✓"),'KG1-7'!$AD$5:$IM$5),2),""))</f>
        <v/>
      </c>
      <c r="E3943">
        <f>IF(D3943="","",INDEX('KG1-7'!$AD26:$IM26,MATCH(D3943,'KG1-7'!$AD$5:$IM$5,0)))</f>
        <v/>
      </c>
      <c r="F3943">
        <f>IF(D3943="","",COUNTIFS('KG1-7'!$AD26:$IM26,"غياب بدون عذر",'KG1-7'!$AD$7:$IM$7,"✓",'KG1-7'!$AD$5:$IM$5,"&lt;="&amp;D3943))</f>
        <v/>
      </c>
      <c r="G3943">
        <f>G3942+IF(D3943="",0,1)</f>
        <v/>
      </c>
    </row>
    <row r="3944">
      <c r="A3944">
        <f>IF('KG1-7'!$B26="","",'KG1-7'!$B26)</f>
        <v/>
      </c>
      <c r="B3944">
        <f>IF(A3944="","",'KG1-7'!$C26)</f>
        <v/>
      </c>
      <c r="C3944">
        <f>IF(A3944="","",'KG1-7'!$B$2)</f>
        <v/>
      </c>
      <c r="D3944" s="126">
        <f t="array" ref="D3944">IF(A3944="","",IFERROR(SMALL(IF((('KG1-7'!$AD26:$IM26="غياب بدون عذر")+('KG1-7'!$AD26:$IM26="غياب بعذر"))*('KG1-7'!$AD$7:$IM$7="✓"),'KG1-7'!$AD$5:$IM$5),3),""))</f>
        <v/>
      </c>
      <c r="E3944">
        <f>IF(D3944="","",INDEX('KG1-7'!$AD26:$IM26,MATCH(D3944,'KG1-7'!$AD$5:$IM$5,0)))</f>
        <v/>
      </c>
      <c r="F3944">
        <f>IF(D3944="","",COUNTIFS('KG1-7'!$AD26:$IM26,"غياب بدون عذر",'KG1-7'!$AD$7:$IM$7,"✓",'KG1-7'!$AD$5:$IM$5,"&lt;="&amp;D3944))</f>
        <v/>
      </c>
      <c r="G3944">
        <f>G3943+IF(D3944="",0,1)</f>
        <v/>
      </c>
    </row>
    <row r="3945">
      <c r="A3945">
        <f>IF('KG1-7'!$B26="","",'KG1-7'!$B26)</f>
        <v/>
      </c>
      <c r="B3945">
        <f>IF(A3945="","",'KG1-7'!$C26)</f>
        <v/>
      </c>
      <c r="C3945">
        <f>IF(A3945="","",'KG1-7'!$B$2)</f>
        <v/>
      </c>
      <c r="D3945" s="126">
        <f t="array" ref="D3945">IF(A3945="","",IFERROR(SMALL(IF((('KG1-7'!$AD26:$IM26="غياب بدون عذر")+('KG1-7'!$AD26:$IM26="غياب بعذر"))*('KG1-7'!$AD$7:$IM$7="✓"),'KG1-7'!$AD$5:$IM$5),4),""))</f>
        <v/>
      </c>
      <c r="E3945">
        <f>IF(D3945="","",INDEX('KG1-7'!$AD26:$IM26,MATCH(D3945,'KG1-7'!$AD$5:$IM$5,0)))</f>
        <v/>
      </c>
      <c r="F3945">
        <f>IF(D3945="","",COUNTIFS('KG1-7'!$AD26:$IM26,"غياب بدون عذر",'KG1-7'!$AD$7:$IM$7,"✓",'KG1-7'!$AD$5:$IM$5,"&lt;="&amp;D3945))</f>
        <v/>
      </c>
      <c r="G3945">
        <f>G3944+IF(D3945="",0,1)</f>
        <v/>
      </c>
    </row>
    <row r="3946">
      <c r="A3946">
        <f>IF('KG1-7'!$B26="","",'KG1-7'!$B26)</f>
        <v/>
      </c>
      <c r="B3946">
        <f>IF(A3946="","",'KG1-7'!$C26)</f>
        <v/>
      </c>
      <c r="C3946">
        <f>IF(A3946="","",'KG1-7'!$B$2)</f>
        <v/>
      </c>
      <c r="D3946" s="126">
        <f t="array" ref="D3946">IF(A3946="","",IFERROR(SMALL(IF((('KG1-7'!$AD26:$IM26="غياب بدون عذر")+('KG1-7'!$AD26:$IM26="غياب بعذر"))*('KG1-7'!$AD$7:$IM$7="✓"),'KG1-7'!$AD$5:$IM$5),5),""))</f>
        <v/>
      </c>
      <c r="E3946">
        <f>IF(D3946="","",INDEX('KG1-7'!$AD26:$IM26,MATCH(D3946,'KG1-7'!$AD$5:$IM$5,0)))</f>
        <v/>
      </c>
      <c r="F3946">
        <f>IF(D3946="","",COUNTIFS('KG1-7'!$AD26:$IM26,"غياب بدون عذر",'KG1-7'!$AD$7:$IM$7,"✓",'KG1-7'!$AD$5:$IM$5,"&lt;="&amp;D3946))</f>
        <v/>
      </c>
      <c r="G3946">
        <f>G3945+IF(D3946="",0,1)</f>
        <v/>
      </c>
    </row>
    <row r="3947">
      <c r="A3947">
        <f>IF('KG1-7'!$B26="","",'KG1-7'!$B26)</f>
        <v/>
      </c>
      <c r="B3947">
        <f>IF(A3947="","",'KG1-7'!$C26)</f>
        <v/>
      </c>
      <c r="C3947">
        <f>IF(A3947="","",'KG1-7'!$B$2)</f>
        <v/>
      </c>
      <c r="D3947" s="126">
        <f t="array" ref="D3947">IF(A3947="","",IFERROR(SMALL(IF((('KG1-7'!$AD26:$IM26="غياب بدون عذر")+('KG1-7'!$AD26:$IM26="غياب بعذر"))*('KG1-7'!$AD$7:$IM$7="✓"),'KG1-7'!$AD$5:$IM$5),6),""))</f>
        <v/>
      </c>
      <c r="E3947">
        <f>IF(D3947="","",INDEX('KG1-7'!$AD26:$IM26,MATCH(D3947,'KG1-7'!$AD$5:$IM$5,0)))</f>
        <v/>
      </c>
      <c r="F3947">
        <f>IF(D3947="","",COUNTIFS('KG1-7'!$AD26:$IM26,"غياب بدون عذر",'KG1-7'!$AD$7:$IM$7,"✓",'KG1-7'!$AD$5:$IM$5,"&lt;="&amp;D3947))</f>
        <v/>
      </c>
      <c r="G3947">
        <f>G3946+IF(D3947="",0,1)</f>
        <v/>
      </c>
    </row>
    <row r="3948">
      <c r="A3948">
        <f>IF('KG1-7'!$B26="","",'KG1-7'!$B26)</f>
        <v/>
      </c>
      <c r="B3948">
        <f>IF(A3948="","",'KG1-7'!$C26)</f>
        <v/>
      </c>
      <c r="C3948">
        <f>IF(A3948="","",'KG1-7'!$B$2)</f>
        <v/>
      </c>
      <c r="D3948" s="126">
        <f t="array" ref="D3948">IF(A3948="","",IFERROR(SMALL(IF((('KG1-7'!$AD26:$IM26="غياب بدون عذر")+('KG1-7'!$AD26:$IM26="غياب بعذر"))*('KG1-7'!$AD$7:$IM$7="✓"),'KG1-7'!$AD$5:$IM$5),7),""))</f>
        <v/>
      </c>
      <c r="E3948">
        <f>IF(D3948="","",INDEX('KG1-7'!$AD26:$IM26,MATCH(D3948,'KG1-7'!$AD$5:$IM$5,0)))</f>
        <v/>
      </c>
      <c r="F3948">
        <f>IF(D3948="","",COUNTIFS('KG1-7'!$AD26:$IM26,"غياب بدون عذر",'KG1-7'!$AD$7:$IM$7,"✓",'KG1-7'!$AD$5:$IM$5,"&lt;="&amp;D3948))</f>
        <v/>
      </c>
      <c r="G3948">
        <f>G3947+IF(D3948="",0,1)</f>
        <v/>
      </c>
    </row>
    <row r="3949">
      <c r="A3949">
        <f>IF('KG1-7'!$B26="","",'KG1-7'!$B26)</f>
        <v/>
      </c>
      <c r="B3949">
        <f>IF(A3949="","",'KG1-7'!$C26)</f>
        <v/>
      </c>
      <c r="C3949">
        <f>IF(A3949="","",'KG1-7'!$B$2)</f>
        <v/>
      </c>
      <c r="D3949" s="126">
        <f t="array" ref="D3949">IF(A3949="","",IFERROR(SMALL(IF((('KG1-7'!$AD26:$IM26="غياب بدون عذر")+('KG1-7'!$AD26:$IM26="غياب بعذر"))*('KG1-7'!$AD$7:$IM$7="✓"),'KG1-7'!$AD$5:$IM$5),8),""))</f>
        <v/>
      </c>
      <c r="E3949">
        <f>IF(D3949="","",INDEX('KG1-7'!$AD26:$IM26,MATCH(D3949,'KG1-7'!$AD$5:$IM$5,0)))</f>
        <v/>
      </c>
      <c r="F3949">
        <f>IF(D3949="","",COUNTIFS('KG1-7'!$AD26:$IM26,"غياب بدون عذر",'KG1-7'!$AD$7:$IM$7,"✓",'KG1-7'!$AD$5:$IM$5,"&lt;="&amp;D3949))</f>
        <v/>
      </c>
      <c r="G3949">
        <f>G3948+IF(D3949="",0,1)</f>
        <v/>
      </c>
    </row>
    <row r="3950">
      <c r="A3950">
        <f>IF('KG1-7'!$B26="","",'KG1-7'!$B26)</f>
        <v/>
      </c>
      <c r="B3950">
        <f>IF(A3950="","",'KG1-7'!$C26)</f>
        <v/>
      </c>
      <c r="C3950">
        <f>IF(A3950="","",'KG1-7'!$B$2)</f>
        <v/>
      </c>
      <c r="D3950" s="126">
        <f t="array" ref="D3950">IF(A3950="","",IFERROR(SMALL(IF((('KG1-7'!$AD26:$IM26="غياب بدون عذر")+('KG1-7'!$AD26:$IM26="غياب بعذر"))*('KG1-7'!$AD$7:$IM$7="✓"),'KG1-7'!$AD$5:$IM$5),9),""))</f>
        <v/>
      </c>
      <c r="E3950">
        <f>IF(D3950="","",INDEX('KG1-7'!$AD26:$IM26,MATCH(D3950,'KG1-7'!$AD$5:$IM$5,0)))</f>
        <v/>
      </c>
      <c r="F3950">
        <f>IF(D3950="","",COUNTIFS('KG1-7'!$AD26:$IM26,"غياب بدون عذر",'KG1-7'!$AD$7:$IM$7,"✓",'KG1-7'!$AD$5:$IM$5,"&lt;="&amp;D3950))</f>
        <v/>
      </c>
      <c r="G3950">
        <f>G3949+IF(D3950="",0,1)</f>
        <v/>
      </c>
    </row>
    <row r="3951">
      <c r="A3951">
        <f>IF('KG1-7'!$B26="","",'KG1-7'!$B26)</f>
        <v/>
      </c>
      <c r="B3951">
        <f>IF(A3951="","",'KG1-7'!$C26)</f>
        <v/>
      </c>
      <c r="C3951">
        <f>IF(A3951="","",'KG1-7'!$B$2)</f>
        <v/>
      </c>
      <c r="D3951" s="126">
        <f t="array" ref="D3951">IF(A3951="","",IFERROR(SMALL(IF((('KG1-7'!$AD26:$IM26="غياب بدون عذر")+('KG1-7'!$AD26:$IM26="غياب بعذر"))*('KG1-7'!$AD$7:$IM$7="✓"),'KG1-7'!$AD$5:$IM$5),10),""))</f>
        <v/>
      </c>
      <c r="E3951">
        <f>IF(D3951="","",INDEX('KG1-7'!$AD26:$IM26,MATCH(D3951,'KG1-7'!$AD$5:$IM$5,0)))</f>
        <v/>
      </c>
      <c r="F3951">
        <f>IF(D3951="","",COUNTIFS('KG1-7'!$AD26:$IM26,"غياب بدون عذر",'KG1-7'!$AD$7:$IM$7,"✓",'KG1-7'!$AD$5:$IM$5,"&lt;="&amp;D3951))</f>
        <v/>
      </c>
      <c r="G3951">
        <f>G3950+IF(D3951="",0,1)</f>
        <v/>
      </c>
    </row>
    <row r="3952">
      <c r="A3952">
        <f>IF('KG1-7'!$B26="","",'KG1-7'!$B26)</f>
        <v/>
      </c>
      <c r="B3952">
        <f>IF(A3952="","",'KG1-7'!$C26)</f>
        <v/>
      </c>
      <c r="C3952">
        <f>IF(A3952="","",'KG1-7'!$B$2)</f>
        <v/>
      </c>
      <c r="D3952" s="126">
        <f t="array" ref="D3952">IF(A3952="","",IFERROR(SMALL(IF((('KG1-7'!$AD26:$IM26="غياب بدون عذر")+('KG1-7'!$AD26:$IM26="غياب بعذر"))*('KG1-7'!$AD$7:$IM$7="✓"),'KG1-7'!$AD$5:$IM$5),11),""))</f>
        <v/>
      </c>
      <c r="E3952">
        <f>IF(D3952="","",INDEX('KG1-7'!$AD26:$IM26,MATCH(D3952,'KG1-7'!$AD$5:$IM$5,0)))</f>
        <v/>
      </c>
      <c r="F3952">
        <f>IF(D3952="","",COUNTIFS('KG1-7'!$AD26:$IM26,"غياب بدون عذر",'KG1-7'!$AD$7:$IM$7,"✓",'KG1-7'!$AD$5:$IM$5,"&lt;="&amp;D3952))</f>
        <v/>
      </c>
      <c r="G3952">
        <f>G3951+IF(D3952="",0,1)</f>
        <v/>
      </c>
    </row>
    <row r="3953">
      <c r="A3953">
        <f>IF('KG1-7'!$B26="","",'KG1-7'!$B26)</f>
        <v/>
      </c>
      <c r="B3953">
        <f>IF(A3953="","",'KG1-7'!$C26)</f>
        <v/>
      </c>
      <c r="C3953">
        <f>IF(A3953="","",'KG1-7'!$B$2)</f>
        <v/>
      </c>
      <c r="D3953" s="126">
        <f t="array" ref="D3953">IF(A3953="","",IFERROR(SMALL(IF((('KG1-7'!$AD26:$IM26="غياب بدون عذر")+('KG1-7'!$AD26:$IM26="غياب بعذر"))*('KG1-7'!$AD$7:$IM$7="✓"),'KG1-7'!$AD$5:$IM$5),12),""))</f>
        <v/>
      </c>
      <c r="E3953">
        <f>IF(D3953="","",INDEX('KG1-7'!$AD26:$IM26,MATCH(D3953,'KG1-7'!$AD$5:$IM$5,0)))</f>
        <v/>
      </c>
      <c r="F3953">
        <f>IF(D3953="","",COUNTIFS('KG1-7'!$AD26:$IM26,"غياب بدون عذر",'KG1-7'!$AD$7:$IM$7,"✓",'KG1-7'!$AD$5:$IM$5,"&lt;="&amp;D3953))</f>
        <v/>
      </c>
      <c r="G3953">
        <f>G3952+IF(D3953="",0,1)</f>
        <v/>
      </c>
    </row>
    <row r="3954">
      <c r="A3954">
        <f>IF('KG1-7'!$B26="","",'KG1-7'!$B26)</f>
        <v/>
      </c>
      <c r="B3954">
        <f>IF(A3954="","",'KG1-7'!$C26)</f>
        <v/>
      </c>
      <c r="C3954">
        <f>IF(A3954="","",'KG1-7'!$B$2)</f>
        <v/>
      </c>
      <c r="D3954" s="126">
        <f t="array" ref="D3954">IF(A3954="","",IFERROR(SMALL(IF((('KG1-7'!$AD26:$IM26="غياب بدون عذر")+('KG1-7'!$AD26:$IM26="غياب بعذر"))*('KG1-7'!$AD$7:$IM$7="✓"),'KG1-7'!$AD$5:$IM$5),13),""))</f>
        <v/>
      </c>
      <c r="E3954">
        <f>IF(D3954="","",INDEX('KG1-7'!$AD26:$IM26,MATCH(D3954,'KG1-7'!$AD$5:$IM$5,0)))</f>
        <v/>
      </c>
      <c r="F3954">
        <f>IF(D3954="","",COUNTIFS('KG1-7'!$AD26:$IM26,"غياب بدون عذر",'KG1-7'!$AD$7:$IM$7,"✓",'KG1-7'!$AD$5:$IM$5,"&lt;="&amp;D3954))</f>
        <v/>
      </c>
      <c r="G3954">
        <f>G3953+IF(D3954="",0,1)</f>
        <v/>
      </c>
    </row>
    <row r="3955">
      <c r="A3955">
        <f>IF('KG1-7'!$B26="","",'KG1-7'!$B26)</f>
        <v/>
      </c>
      <c r="B3955">
        <f>IF(A3955="","",'KG1-7'!$C26)</f>
        <v/>
      </c>
      <c r="C3955">
        <f>IF(A3955="","",'KG1-7'!$B$2)</f>
        <v/>
      </c>
      <c r="D3955" s="126">
        <f t="array" ref="D3955">IF(A3955="","",IFERROR(SMALL(IF((('KG1-7'!$AD26:$IM26="غياب بدون عذر")+('KG1-7'!$AD26:$IM26="غياب بعذر"))*('KG1-7'!$AD$7:$IM$7="✓"),'KG1-7'!$AD$5:$IM$5),14),""))</f>
        <v/>
      </c>
      <c r="E3955">
        <f>IF(D3955="","",INDEX('KG1-7'!$AD26:$IM26,MATCH(D3955,'KG1-7'!$AD$5:$IM$5,0)))</f>
        <v/>
      </c>
      <c r="F3955">
        <f>IF(D3955="","",COUNTIFS('KG1-7'!$AD26:$IM26,"غياب بدون عذر",'KG1-7'!$AD$7:$IM$7,"✓",'KG1-7'!$AD$5:$IM$5,"&lt;="&amp;D3955))</f>
        <v/>
      </c>
      <c r="G3955">
        <f>G3954+IF(D3955="",0,1)</f>
        <v/>
      </c>
    </row>
    <row r="3956">
      <c r="A3956">
        <f>IF('KG1-7'!$B26="","",'KG1-7'!$B26)</f>
        <v/>
      </c>
      <c r="B3956">
        <f>IF(A3956="","",'KG1-7'!$C26)</f>
        <v/>
      </c>
      <c r="C3956">
        <f>IF(A3956="","",'KG1-7'!$B$2)</f>
        <v/>
      </c>
      <c r="D3956" s="126">
        <f t="array" ref="D3956">IF(A3956="","",IFERROR(SMALL(IF((('KG1-7'!$AD26:$IM26="غياب بدون عذر")+('KG1-7'!$AD26:$IM26="غياب بعذر"))*('KG1-7'!$AD$7:$IM$7="✓"),'KG1-7'!$AD$5:$IM$5),15),""))</f>
        <v/>
      </c>
      <c r="E3956">
        <f>IF(D3956="","",INDEX('KG1-7'!$AD26:$IM26,MATCH(D3956,'KG1-7'!$AD$5:$IM$5,0)))</f>
        <v/>
      </c>
      <c r="F3956">
        <f>IF(D3956="","",COUNTIFS('KG1-7'!$AD26:$IM26,"غياب بدون عذر",'KG1-7'!$AD$7:$IM$7,"✓",'KG1-7'!$AD$5:$IM$5,"&lt;="&amp;D3956))</f>
        <v/>
      </c>
      <c r="G3956">
        <f>G3955+IF(D3956="",0,1)</f>
        <v/>
      </c>
    </row>
    <row r="3957">
      <c r="A3957">
        <f>IF('KG1-7'!$B26="","",'KG1-7'!$B26)</f>
        <v/>
      </c>
      <c r="B3957">
        <f>IF(A3957="","",'KG1-7'!$C26)</f>
        <v/>
      </c>
      <c r="C3957">
        <f>IF(A3957="","",'KG1-7'!$B$2)</f>
        <v/>
      </c>
      <c r="D3957" s="126">
        <f t="array" ref="D3957">IF(A3957="","",IFERROR(SMALL(IF((('KG1-7'!$AD26:$IM26="غياب بدون عذر")+('KG1-7'!$AD26:$IM26="غياب بعذر"))*('KG1-7'!$AD$7:$IM$7="✓"),'KG1-7'!$AD$5:$IM$5),16),""))</f>
        <v/>
      </c>
      <c r="E3957">
        <f>IF(D3957="","",INDEX('KG1-7'!$AD26:$IM26,MATCH(D3957,'KG1-7'!$AD$5:$IM$5,0)))</f>
        <v/>
      </c>
      <c r="F3957">
        <f>IF(D3957="","",COUNTIFS('KG1-7'!$AD26:$IM26,"غياب بدون عذر",'KG1-7'!$AD$7:$IM$7,"✓",'KG1-7'!$AD$5:$IM$5,"&lt;="&amp;D3957))</f>
        <v/>
      </c>
      <c r="G3957">
        <f>G3956+IF(D3957="",0,1)</f>
        <v/>
      </c>
    </row>
    <row r="3958">
      <c r="A3958">
        <f>IF('KG1-7'!$B26="","",'KG1-7'!$B26)</f>
        <v/>
      </c>
      <c r="B3958">
        <f>IF(A3958="","",'KG1-7'!$C26)</f>
        <v/>
      </c>
      <c r="C3958">
        <f>IF(A3958="","",'KG1-7'!$B$2)</f>
        <v/>
      </c>
      <c r="D3958" s="126">
        <f t="array" ref="D3958">IF(A3958="","",IFERROR(SMALL(IF((('KG1-7'!$AD26:$IM26="غياب بدون عذر")+('KG1-7'!$AD26:$IM26="غياب بعذر"))*('KG1-7'!$AD$7:$IM$7="✓"),'KG1-7'!$AD$5:$IM$5),17),""))</f>
        <v/>
      </c>
      <c r="E3958">
        <f>IF(D3958="","",INDEX('KG1-7'!$AD26:$IM26,MATCH(D3958,'KG1-7'!$AD$5:$IM$5,0)))</f>
        <v/>
      </c>
      <c r="F3958">
        <f>IF(D3958="","",COUNTIFS('KG1-7'!$AD26:$IM26,"غياب بدون عذر",'KG1-7'!$AD$7:$IM$7,"✓",'KG1-7'!$AD$5:$IM$5,"&lt;="&amp;D3958))</f>
        <v/>
      </c>
      <c r="G3958">
        <f>G3957+IF(D3958="",0,1)</f>
        <v/>
      </c>
    </row>
    <row r="3959">
      <c r="A3959">
        <f>IF('KG1-7'!$B26="","",'KG1-7'!$B26)</f>
        <v/>
      </c>
      <c r="B3959">
        <f>IF(A3959="","",'KG1-7'!$C26)</f>
        <v/>
      </c>
      <c r="C3959">
        <f>IF(A3959="","",'KG1-7'!$B$2)</f>
        <v/>
      </c>
      <c r="D3959" s="126">
        <f t="array" ref="D3959">IF(A3959="","",IFERROR(SMALL(IF((('KG1-7'!$AD26:$IM26="غياب بدون عذر")+('KG1-7'!$AD26:$IM26="غياب بعذر"))*('KG1-7'!$AD$7:$IM$7="✓"),'KG1-7'!$AD$5:$IM$5),18),""))</f>
        <v/>
      </c>
      <c r="E3959">
        <f>IF(D3959="","",INDEX('KG1-7'!$AD26:$IM26,MATCH(D3959,'KG1-7'!$AD$5:$IM$5,0)))</f>
        <v/>
      </c>
      <c r="F3959">
        <f>IF(D3959="","",COUNTIFS('KG1-7'!$AD26:$IM26,"غياب بدون عذر",'KG1-7'!$AD$7:$IM$7,"✓",'KG1-7'!$AD$5:$IM$5,"&lt;="&amp;D3959))</f>
        <v/>
      </c>
      <c r="G3959">
        <f>G3958+IF(D3959="",0,1)</f>
        <v/>
      </c>
    </row>
    <row r="3960">
      <c r="A3960">
        <f>IF('KG1-7'!$B26="","",'KG1-7'!$B26)</f>
        <v/>
      </c>
      <c r="B3960">
        <f>IF(A3960="","",'KG1-7'!$C26)</f>
        <v/>
      </c>
      <c r="C3960">
        <f>IF(A3960="","",'KG1-7'!$B$2)</f>
        <v/>
      </c>
      <c r="D3960" s="126">
        <f t="array" ref="D3960">IF(A3960="","",IFERROR(SMALL(IF((('KG1-7'!$AD26:$IM26="غياب بدون عذر")+('KG1-7'!$AD26:$IM26="غياب بعذر"))*('KG1-7'!$AD$7:$IM$7="✓"),'KG1-7'!$AD$5:$IM$5),19),""))</f>
        <v/>
      </c>
      <c r="E3960">
        <f>IF(D3960="","",INDEX('KG1-7'!$AD26:$IM26,MATCH(D3960,'KG1-7'!$AD$5:$IM$5,0)))</f>
        <v/>
      </c>
      <c r="F3960">
        <f>IF(D3960="","",COUNTIFS('KG1-7'!$AD26:$IM26,"غياب بدون عذر",'KG1-7'!$AD$7:$IM$7,"✓",'KG1-7'!$AD$5:$IM$5,"&lt;="&amp;D3960))</f>
        <v/>
      </c>
      <c r="G3960">
        <f>G3959+IF(D3960="",0,1)</f>
        <v/>
      </c>
    </row>
    <row r="3961">
      <c r="A3961">
        <f>IF('KG1-7'!$B26="","",'KG1-7'!$B26)</f>
        <v/>
      </c>
      <c r="B3961">
        <f>IF(A3961="","",'KG1-7'!$C26)</f>
        <v/>
      </c>
      <c r="C3961">
        <f>IF(A3961="","",'KG1-7'!$B$2)</f>
        <v/>
      </c>
      <c r="D3961" s="126">
        <f t="array" ref="D3961">IF(A3961="","",IFERROR(SMALL(IF((('KG1-7'!$AD26:$IM26="غياب بدون عذر")+('KG1-7'!$AD26:$IM26="غياب بعذر"))*('KG1-7'!$AD$7:$IM$7="✓"),'KG1-7'!$AD$5:$IM$5),20),""))</f>
        <v/>
      </c>
      <c r="E3961">
        <f>IF(D3961="","",INDEX('KG1-7'!$AD26:$IM26,MATCH(D3961,'KG1-7'!$AD$5:$IM$5,0)))</f>
        <v/>
      </c>
      <c r="F3961">
        <f>IF(D3961="","",COUNTIFS('KG1-7'!$AD26:$IM26,"غياب بدون عذر",'KG1-7'!$AD$7:$IM$7,"✓",'KG1-7'!$AD$5:$IM$5,"&lt;="&amp;D3961))</f>
        <v/>
      </c>
      <c r="G3961">
        <f>G3960+IF(D3961="",0,1)</f>
        <v/>
      </c>
    </row>
    <row r="3962">
      <c r="A3962">
        <f>IF('KG1-7'!$B27="","",'KG1-7'!$B27)</f>
        <v/>
      </c>
      <c r="B3962">
        <f>IF(A3962="","",'KG1-7'!$C27)</f>
        <v/>
      </c>
      <c r="C3962">
        <f>IF(A3962="","",'KG1-7'!$B$2)</f>
        <v/>
      </c>
      <c r="D3962" s="126">
        <f t="array" ref="D3962">IF(A3962="","",IFERROR(SMALL(IF((('KG1-7'!$AD27:$IM27="غياب بدون عذر")+('KG1-7'!$AD27:$IM27="غياب بعذر"))*('KG1-7'!$AD$7:$IM$7="✓"),'KG1-7'!$AD$5:$IM$5),1),""))</f>
        <v/>
      </c>
      <c r="E3962">
        <f>IF(D3962="","",INDEX('KG1-7'!$AD27:$IM27,MATCH(D3962,'KG1-7'!$AD$5:$IM$5,0)))</f>
        <v/>
      </c>
      <c r="F3962">
        <f>IF(D3962="","",COUNTIFS('KG1-7'!$AD27:$IM27,"غياب بدون عذر",'KG1-7'!$AD$7:$IM$7,"✓",'KG1-7'!$AD$5:$IM$5,"&lt;="&amp;D3962))</f>
        <v/>
      </c>
      <c r="G3962">
        <f>G3961+IF(D3962="",0,1)</f>
        <v/>
      </c>
    </row>
    <row r="3963">
      <c r="A3963">
        <f>IF('KG1-7'!$B27="","",'KG1-7'!$B27)</f>
        <v/>
      </c>
      <c r="B3963">
        <f>IF(A3963="","",'KG1-7'!$C27)</f>
        <v/>
      </c>
      <c r="C3963">
        <f>IF(A3963="","",'KG1-7'!$B$2)</f>
        <v/>
      </c>
      <c r="D3963" s="126">
        <f t="array" ref="D3963">IF(A3963="","",IFERROR(SMALL(IF((('KG1-7'!$AD27:$IM27="غياب بدون عذر")+('KG1-7'!$AD27:$IM27="غياب بعذر"))*('KG1-7'!$AD$7:$IM$7="✓"),'KG1-7'!$AD$5:$IM$5),2),""))</f>
        <v/>
      </c>
      <c r="E3963">
        <f>IF(D3963="","",INDEX('KG1-7'!$AD27:$IM27,MATCH(D3963,'KG1-7'!$AD$5:$IM$5,0)))</f>
        <v/>
      </c>
      <c r="F3963">
        <f>IF(D3963="","",COUNTIFS('KG1-7'!$AD27:$IM27,"غياب بدون عذر",'KG1-7'!$AD$7:$IM$7,"✓",'KG1-7'!$AD$5:$IM$5,"&lt;="&amp;D3963))</f>
        <v/>
      </c>
      <c r="G3963">
        <f>G3962+IF(D3963="",0,1)</f>
        <v/>
      </c>
    </row>
    <row r="3964">
      <c r="A3964">
        <f>IF('KG1-7'!$B27="","",'KG1-7'!$B27)</f>
        <v/>
      </c>
      <c r="B3964">
        <f>IF(A3964="","",'KG1-7'!$C27)</f>
        <v/>
      </c>
      <c r="C3964">
        <f>IF(A3964="","",'KG1-7'!$B$2)</f>
        <v/>
      </c>
      <c r="D3964" s="126">
        <f t="array" ref="D3964">IF(A3964="","",IFERROR(SMALL(IF((('KG1-7'!$AD27:$IM27="غياب بدون عذر")+('KG1-7'!$AD27:$IM27="غياب بعذر"))*('KG1-7'!$AD$7:$IM$7="✓"),'KG1-7'!$AD$5:$IM$5),3),""))</f>
        <v/>
      </c>
      <c r="E3964">
        <f>IF(D3964="","",INDEX('KG1-7'!$AD27:$IM27,MATCH(D3964,'KG1-7'!$AD$5:$IM$5,0)))</f>
        <v/>
      </c>
      <c r="F3964">
        <f>IF(D3964="","",COUNTIFS('KG1-7'!$AD27:$IM27,"غياب بدون عذر",'KG1-7'!$AD$7:$IM$7,"✓",'KG1-7'!$AD$5:$IM$5,"&lt;="&amp;D3964))</f>
        <v/>
      </c>
      <c r="G3964">
        <f>G3963+IF(D3964="",0,1)</f>
        <v/>
      </c>
    </row>
    <row r="3965">
      <c r="A3965">
        <f>IF('KG1-7'!$B27="","",'KG1-7'!$B27)</f>
        <v/>
      </c>
      <c r="B3965">
        <f>IF(A3965="","",'KG1-7'!$C27)</f>
        <v/>
      </c>
      <c r="C3965">
        <f>IF(A3965="","",'KG1-7'!$B$2)</f>
        <v/>
      </c>
      <c r="D3965" s="126">
        <f t="array" ref="D3965">IF(A3965="","",IFERROR(SMALL(IF((('KG1-7'!$AD27:$IM27="غياب بدون عذر")+('KG1-7'!$AD27:$IM27="غياب بعذر"))*('KG1-7'!$AD$7:$IM$7="✓"),'KG1-7'!$AD$5:$IM$5),4),""))</f>
        <v/>
      </c>
      <c r="E3965">
        <f>IF(D3965="","",INDEX('KG1-7'!$AD27:$IM27,MATCH(D3965,'KG1-7'!$AD$5:$IM$5,0)))</f>
        <v/>
      </c>
      <c r="F3965">
        <f>IF(D3965="","",COUNTIFS('KG1-7'!$AD27:$IM27,"غياب بدون عذر",'KG1-7'!$AD$7:$IM$7,"✓",'KG1-7'!$AD$5:$IM$5,"&lt;="&amp;D3965))</f>
        <v/>
      </c>
      <c r="G3965">
        <f>G3964+IF(D3965="",0,1)</f>
        <v/>
      </c>
    </row>
    <row r="3966">
      <c r="A3966">
        <f>IF('KG1-7'!$B27="","",'KG1-7'!$B27)</f>
        <v/>
      </c>
      <c r="B3966">
        <f>IF(A3966="","",'KG1-7'!$C27)</f>
        <v/>
      </c>
      <c r="C3966">
        <f>IF(A3966="","",'KG1-7'!$B$2)</f>
        <v/>
      </c>
      <c r="D3966" s="126">
        <f t="array" ref="D3966">IF(A3966="","",IFERROR(SMALL(IF((('KG1-7'!$AD27:$IM27="غياب بدون عذر")+('KG1-7'!$AD27:$IM27="غياب بعذر"))*('KG1-7'!$AD$7:$IM$7="✓"),'KG1-7'!$AD$5:$IM$5),5),""))</f>
        <v/>
      </c>
      <c r="E3966">
        <f>IF(D3966="","",INDEX('KG1-7'!$AD27:$IM27,MATCH(D3966,'KG1-7'!$AD$5:$IM$5,0)))</f>
        <v/>
      </c>
      <c r="F3966">
        <f>IF(D3966="","",COUNTIFS('KG1-7'!$AD27:$IM27,"غياب بدون عذر",'KG1-7'!$AD$7:$IM$7,"✓",'KG1-7'!$AD$5:$IM$5,"&lt;="&amp;D3966))</f>
        <v/>
      </c>
      <c r="G3966">
        <f>G3965+IF(D3966="",0,1)</f>
        <v/>
      </c>
    </row>
    <row r="3967">
      <c r="A3967">
        <f>IF('KG1-7'!$B27="","",'KG1-7'!$B27)</f>
        <v/>
      </c>
      <c r="B3967">
        <f>IF(A3967="","",'KG1-7'!$C27)</f>
        <v/>
      </c>
      <c r="C3967">
        <f>IF(A3967="","",'KG1-7'!$B$2)</f>
        <v/>
      </c>
      <c r="D3967" s="126">
        <f t="array" ref="D3967">IF(A3967="","",IFERROR(SMALL(IF((('KG1-7'!$AD27:$IM27="غياب بدون عذر")+('KG1-7'!$AD27:$IM27="غياب بعذر"))*('KG1-7'!$AD$7:$IM$7="✓"),'KG1-7'!$AD$5:$IM$5),6),""))</f>
        <v/>
      </c>
      <c r="E3967">
        <f>IF(D3967="","",INDEX('KG1-7'!$AD27:$IM27,MATCH(D3967,'KG1-7'!$AD$5:$IM$5,0)))</f>
        <v/>
      </c>
      <c r="F3967">
        <f>IF(D3967="","",COUNTIFS('KG1-7'!$AD27:$IM27,"غياب بدون عذر",'KG1-7'!$AD$7:$IM$7,"✓",'KG1-7'!$AD$5:$IM$5,"&lt;="&amp;D3967))</f>
        <v/>
      </c>
      <c r="G3967">
        <f>G3966+IF(D3967="",0,1)</f>
        <v/>
      </c>
    </row>
    <row r="3968">
      <c r="A3968">
        <f>IF('KG1-7'!$B27="","",'KG1-7'!$B27)</f>
        <v/>
      </c>
      <c r="B3968">
        <f>IF(A3968="","",'KG1-7'!$C27)</f>
        <v/>
      </c>
      <c r="C3968">
        <f>IF(A3968="","",'KG1-7'!$B$2)</f>
        <v/>
      </c>
      <c r="D3968" s="126">
        <f t="array" ref="D3968">IF(A3968="","",IFERROR(SMALL(IF((('KG1-7'!$AD27:$IM27="غياب بدون عذر")+('KG1-7'!$AD27:$IM27="غياب بعذر"))*('KG1-7'!$AD$7:$IM$7="✓"),'KG1-7'!$AD$5:$IM$5),7),""))</f>
        <v/>
      </c>
      <c r="E3968">
        <f>IF(D3968="","",INDEX('KG1-7'!$AD27:$IM27,MATCH(D3968,'KG1-7'!$AD$5:$IM$5,0)))</f>
        <v/>
      </c>
      <c r="F3968">
        <f>IF(D3968="","",COUNTIFS('KG1-7'!$AD27:$IM27,"غياب بدون عذر",'KG1-7'!$AD$7:$IM$7,"✓",'KG1-7'!$AD$5:$IM$5,"&lt;="&amp;D3968))</f>
        <v/>
      </c>
      <c r="G3968">
        <f>G3967+IF(D3968="",0,1)</f>
        <v/>
      </c>
    </row>
    <row r="3969">
      <c r="A3969">
        <f>IF('KG1-7'!$B27="","",'KG1-7'!$B27)</f>
        <v/>
      </c>
      <c r="B3969">
        <f>IF(A3969="","",'KG1-7'!$C27)</f>
        <v/>
      </c>
      <c r="C3969">
        <f>IF(A3969="","",'KG1-7'!$B$2)</f>
        <v/>
      </c>
      <c r="D3969" s="126">
        <f t="array" ref="D3969">IF(A3969="","",IFERROR(SMALL(IF((('KG1-7'!$AD27:$IM27="غياب بدون عذر")+('KG1-7'!$AD27:$IM27="غياب بعذر"))*('KG1-7'!$AD$7:$IM$7="✓"),'KG1-7'!$AD$5:$IM$5),8),""))</f>
        <v/>
      </c>
      <c r="E3969">
        <f>IF(D3969="","",INDEX('KG1-7'!$AD27:$IM27,MATCH(D3969,'KG1-7'!$AD$5:$IM$5,0)))</f>
        <v/>
      </c>
      <c r="F3969">
        <f>IF(D3969="","",COUNTIFS('KG1-7'!$AD27:$IM27,"غياب بدون عذر",'KG1-7'!$AD$7:$IM$7,"✓",'KG1-7'!$AD$5:$IM$5,"&lt;="&amp;D3969))</f>
        <v/>
      </c>
      <c r="G3969">
        <f>G3968+IF(D3969="",0,1)</f>
        <v/>
      </c>
    </row>
    <row r="3970">
      <c r="A3970">
        <f>IF('KG1-7'!$B27="","",'KG1-7'!$B27)</f>
        <v/>
      </c>
      <c r="B3970">
        <f>IF(A3970="","",'KG1-7'!$C27)</f>
        <v/>
      </c>
      <c r="C3970">
        <f>IF(A3970="","",'KG1-7'!$B$2)</f>
        <v/>
      </c>
      <c r="D3970" s="126">
        <f t="array" ref="D3970">IF(A3970="","",IFERROR(SMALL(IF((('KG1-7'!$AD27:$IM27="غياب بدون عذر")+('KG1-7'!$AD27:$IM27="غياب بعذر"))*('KG1-7'!$AD$7:$IM$7="✓"),'KG1-7'!$AD$5:$IM$5),9),""))</f>
        <v/>
      </c>
      <c r="E3970">
        <f>IF(D3970="","",INDEX('KG1-7'!$AD27:$IM27,MATCH(D3970,'KG1-7'!$AD$5:$IM$5,0)))</f>
        <v/>
      </c>
      <c r="F3970">
        <f>IF(D3970="","",COUNTIFS('KG1-7'!$AD27:$IM27,"غياب بدون عذر",'KG1-7'!$AD$7:$IM$7,"✓",'KG1-7'!$AD$5:$IM$5,"&lt;="&amp;D3970))</f>
        <v/>
      </c>
      <c r="G3970">
        <f>G3969+IF(D3970="",0,1)</f>
        <v/>
      </c>
    </row>
    <row r="3971">
      <c r="A3971">
        <f>IF('KG1-7'!$B27="","",'KG1-7'!$B27)</f>
        <v/>
      </c>
      <c r="B3971">
        <f>IF(A3971="","",'KG1-7'!$C27)</f>
        <v/>
      </c>
      <c r="C3971">
        <f>IF(A3971="","",'KG1-7'!$B$2)</f>
        <v/>
      </c>
      <c r="D3971" s="126">
        <f t="array" ref="D3971">IF(A3971="","",IFERROR(SMALL(IF((('KG1-7'!$AD27:$IM27="غياب بدون عذر")+('KG1-7'!$AD27:$IM27="غياب بعذر"))*('KG1-7'!$AD$7:$IM$7="✓"),'KG1-7'!$AD$5:$IM$5),10),""))</f>
        <v/>
      </c>
      <c r="E3971">
        <f>IF(D3971="","",INDEX('KG1-7'!$AD27:$IM27,MATCH(D3971,'KG1-7'!$AD$5:$IM$5,0)))</f>
        <v/>
      </c>
      <c r="F3971">
        <f>IF(D3971="","",COUNTIFS('KG1-7'!$AD27:$IM27,"غياب بدون عذر",'KG1-7'!$AD$7:$IM$7,"✓",'KG1-7'!$AD$5:$IM$5,"&lt;="&amp;D3971))</f>
        <v/>
      </c>
      <c r="G3971">
        <f>G3970+IF(D3971="",0,1)</f>
        <v/>
      </c>
    </row>
    <row r="3972">
      <c r="A3972">
        <f>IF('KG1-7'!$B27="","",'KG1-7'!$B27)</f>
        <v/>
      </c>
      <c r="B3972">
        <f>IF(A3972="","",'KG1-7'!$C27)</f>
        <v/>
      </c>
      <c r="C3972">
        <f>IF(A3972="","",'KG1-7'!$B$2)</f>
        <v/>
      </c>
      <c r="D3972" s="126">
        <f t="array" ref="D3972">IF(A3972="","",IFERROR(SMALL(IF((('KG1-7'!$AD27:$IM27="غياب بدون عذر")+('KG1-7'!$AD27:$IM27="غياب بعذر"))*('KG1-7'!$AD$7:$IM$7="✓"),'KG1-7'!$AD$5:$IM$5),11),""))</f>
        <v/>
      </c>
      <c r="E3972">
        <f>IF(D3972="","",INDEX('KG1-7'!$AD27:$IM27,MATCH(D3972,'KG1-7'!$AD$5:$IM$5,0)))</f>
        <v/>
      </c>
      <c r="F3972">
        <f>IF(D3972="","",COUNTIFS('KG1-7'!$AD27:$IM27,"غياب بدون عذر",'KG1-7'!$AD$7:$IM$7,"✓",'KG1-7'!$AD$5:$IM$5,"&lt;="&amp;D3972))</f>
        <v/>
      </c>
      <c r="G3972">
        <f>G3971+IF(D3972="",0,1)</f>
        <v/>
      </c>
    </row>
    <row r="3973">
      <c r="A3973">
        <f>IF('KG1-7'!$B27="","",'KG1-7'!$B27)</f>
        <v/>
      </c>
      <c r="B3973">
        <f>IF(A3973="","",'KG1-7'!$C27)</f>
        <v/>
      </c>
      <c r="C3973">
        <f>IF(A3973="","",'KG1-7'!$B$2)</f>
        <v/>
      </c>
      <c r="D3973" s="126">
        <f t="array" ref="D3973">IF(A3973="","",IFERROR(SMALL(IF((('KG1-7'!$AD27:$IM27="غياب بدون عذر")+('KG1-7'!$AD27:$IM27="غياب بعذر"))*('KG1-7'!$AD$7:$IM$7="✓"),'KG1-7'!$AD$5:$IM$5),12),""))</f>
        <v/>
      </c>
      <c r="E3973">
        <f>IF(D3973="","",INDEX('KG1-7'!$AD27:$IM27,MATCH(D3973,'KG1-7'!$AD$5:$IM$5,0)))</f>
        <v/>
      </c>
      <c r="F3973">
        <f>IF(D3973="","",COUNTIFS('KG1-7'!$AD27:$IM27,"غياب بدون عذر",'KG1-7'!$AD$7:$IM$7,"✓",'KG1-7'!$AD$5:$IM$5,"&lt;="&amp;D3973))</f>
        <v/>
      </c>
      <c r="G3973">
        <f>G3972+IF(D3973="",0,1)</f>
        <v/>
      </c>
    </row>
    <row r="3974">
      <c r="A3974">
        <f>IF('KG1-7'!$B27="","",'KG1-7'!$B27)</f>
        <v/>
      </c>
      <c r="B3974">
        <f>IF(A3974="","",'KG1-7'!$C27)</f>
        <v/>
      </c>
      <c r="C3974">
        <f>IF(A3974="","",'KG1-7'!$B$2)</f>
        <v/>
      </c>
      <c r="D3974" s="126">
        <f t="array" ref="D3974">IF(A3974="","",IFERROR(SMALL(IF((('KG1-7'!$AD27:$IM27="غياب بدون عذر")+('KG1-7'!$AD27:$IM27="غياب بعذر"))*('KG1-7'!$AD$7:$IM$7="✓"),'KG1-7'!$AD$5:$IM$5),13),""))</f>
        <v/>
      </c>
      <c r="E3974">
        <f>IF(D3974="","",INDEX('KG1-7'!$AD27:$IM27,MATCH(D3974,'KG1-7'!$AD$5:$IM$5,0)))</f>
        <v/>
      </c>
      <c r="F3974">
        <f>IF(D3974="","",COUNTIFS('KG1-7'!$AD27:$IM27,"غياب بدون عذر",'KG1-7'!$AD$7:$IM$7,"✓",'KG1-7'!$AD$5:$IM$5,"&lt;="&amp;D3974))</f>
        <v/>
      </c>
      <c r="G3974">
        <f>G3973+IF(D3974="",0,1)</f>
        <v/>
      </c>
    </row>
    <row r="3975">
      <c r="A3975">
        <f>IF('KG1-7'!$B27="","",'KG1-7'!$B27)</f>
        <v/>
      </c>
      <c r="B3975">
        <f>IF(A3975="","",'KG1-7'!$C27)</f>
        <v/>
      </c>
      <c r="C3975">
        <f>IF(A3975="","",'KG1-7'!$B$2)</f>
        <v/>
      </c>
      <c r="D3975" s="126">
        <f t="array" ref="D3975">IF(A3975="","",IFERROR(SMALL(IF((('KG1-7'!$AD27:$IM27="غياب بدون عذر")+('KG1-7'!$AD27:$IM27="غياب بعذر"))*('KG1-7'!$AD$7:$IM$7="✓"),'KG1-7'!$AD$5:$IM$5),14),""))</f>
        <v/>
      </c>
      <c r="E3975">
        <f>IF(D3975="","",INDEX('KG1-7'!$AD27:$IM27,MATCH(D3975,'KG1-7'!$AD$5:$IM$5,0)))</f>
        <v/>
      </c>
      <c r="F3975">
        <f>IF(D3975="","",COUNTIFS('KG1-7'!$AD27:$IM27,"غياب بدون عذر",'KG1-7'!$AD$7:$IM$7,"✓",'KG1-7'!$AD$5:$IM$5,"&lt;="&amp;D3975))</f>
        <v/>
      </c>
      <c r="G3975">
        <f>G3974+IF(D3975="",0,1)</f>
        <v/>
      </c>
    </row>
    <row r="3976">
      <c r="A3976">
        <f>IF('KG1-7'!$B27="","",'KG1-7'!$B27)</f>
        <v/>
      </c>
      <c r="B3976">
        <f>IF(A3976="","",'KG1-7'!$C27)</f>
        <v/>
      </c>
      <c r="C3976">
        <f>IF(A3976="","",'KG1-7'!$B$2)</f>
        <v/>
      </c>
      <c r="D3976" s="126">
        <f t="array" ref="D3976">IF(A3976="","",IFERROR(SMALL(IF((('KG1-7'!$AD27:$IM27="غياب بدون عذر")+('KG1-7'!$AD27:$IM27="غياب بعذر"))*('KG1-7'!$AD$7:$IM$7="✓"),'KG1-7'!$AD$5:$IM$5),15),""))</f>
        <v/>
      </c>
      <c r="E3976">
        <f>IF(D3976="","",INDEX('KG1-7'!$AD27:$IM27,MATCH(D3976,'KG1-7'!$AD$5:$IM$5,0)))</f>
        <v/>
      </c>
      <c r="F3976">
        <f>IF(D3976="","",COUNTIFS('KG1-7'!$AD27:$IM27,"غياب بدون عذر",'KG1-7'!$AD$7:$IM$7,"✓",'KG1-7'!$AD$5:$IM$5,"&lt;="&amp;D3976))</f>
        <v/>
      </c>
      <c r="G3976">
        <f>G3975+IF(D3976="",0,1)</f>
        <v/>
      </c>
    </row>
    <row r="3977">
      <c r="A3977">
        <f>IF('KG1-7'!$B27="","",'KG1-7'!$B27)</f>
        <v/>
      </c>
      <c r="B3977">
        <f>IF(A3977="","",'KG1-7'!$C27)</f>
        <v/>
      </c>
      <c r="C3977">
        <f>IF(A3977="","",'KG1-7'!$B$2)</f>
        <v/>
      </c>
      <c r="D3977" s="126">
        <f t="array" ref="D3977">IF(A3977="","",IFERROR(SMALL(IF((('KG1-7'!$AD27:$IM27="غياب بدون عذر")+('KG1-7'!$AD27:$IM27="غياب بعذر"))*('KG1-7'!$AD$7:$IM$7="✓"),'KG1-7'!$AD$5:$IM$5),16),""))</f>
        <v/>
      </c>
      <c r="E3977">
        <f>IF(D3977="","",INDEX('KG1-7'!$AD27:$IM27,MATCH(D3977,'KG1-7'!$AD$5:$IM$5,0)))</f>
        <v/>
      </c>
      <c r="F3977">
        <f>IF(D3977="","",COUNTIFS('KG1-7'!$AD27:$IM27,"غياب بدون عذر",'KG1-7'!$AD$7:$IM$7,"✓",'KG1-7'!$AD$5:$IM$5,"&lt;="&amp;D3977))</f>
        <v/>
      </c>
      <c r="G3977">
        <f>G3976+IF(D3977="",0,1)</f>
        <v/>
      </c>
    </row>
    <row r="3978">
      <c r="A3978">
        <f>IF('KG1-7'!$B27="","",'KG1-7'!$B27)</f>
        <v/>
      </c>
      <c r="B3978">
        <f>IF(A3978="","",'KG1-7'!$C27)</f>
        <v/>
      </c>
      <c r="C3978">
        <f>IF(A3978="","",'KG1-7'!$B$2)</f>
        <v/>
      </c>
      <c r="D3978" s="126">
        <f t="array" ref="D3978">IF(A3978="","",IFERROR(SMALL(IF((('KG1-7'!$AD27:$IM27="غياب بدون عذر")+('KG1-7'!$AD27:$IM27="غياب بعذر"))*('KG1-7'!$AD$7:$IM$7="✓"),'KG1-7'!$AD$5:$IM$5),17),""))</f>
        <v/>
      </c>
      <c r="E3978">
        <f>IF(D3978="","",INDEX('KG1-7'!$AD27:$IM27,MATCH(D3978,'KG1-7'!$AD$5:$IM$5,0)))</f>
        <v/>
      </c>
      <c r="F3978">
        <f>IF(D3978="","",COUNTIFS('KG1-7'!$AD27:$IM27,"غياب بدون عذر",'KG1-7'!$AD$7:$IM$7,"✓",'KG1-7'!$AD$5:$IM$5,"&lt;="&amp;D3978))</f>
        <v/>
      </c>
      <c r="G3978">
        <f>G3977+IF(D3978="",0,1)</f>
        <v/>
      </c>
    </row>
    <row r="3979">
      <c r="A3979">
        <f>IF('KG1-7'!$B27="","",'KG1-7'!$B27)</f>
        <v/>
      </c>
      <c r="B3979">
        <f>IF(A3979="","",'KG1-7'!$C27)</f>
        <v/>
      </c>
      <c r="C3979">
        <f>IF(A3979="","",'KG1-7'!$B$2)</f>
        <v/>
      </c>
      <c r="D3979" s="126">
        <f t="array" ref="D3979">IF(A3979="","",IFERROR(SMALL(IF((('KG1-7'!$AD27:$IM27="غياب بدون عذر")+('KG1-7'!$AD27:$IM27="غياب بعذر"))*('KG1-7'!$AD$7:$IM$7="✓"),'KG1-7'!$AD$5:$IM$5),18),""))</f>
        <v/>
      </c>
      <c r="E3979">
        <f>IF(D3979="","",INDEX('KG1-7'!$AD27:$IM27,MATCH(D3979,'KG1-7'!$AD$5:$IM$5,0)))</f>
        <v/>
      </c>
      <c r="F3979">
        <f>IF(D3979="","",COUNTIFS('KG1-7'!$AD27:$IM27,"غياب بدون عذر",'KG1-7'!$AD$7:$IM$7,"✓",'KG1-7'!$AD$5:$IM$5,"&lt;="&amp;D3979))</f>
        <v/>
      </c>
      <c r="G3979">
        <f>G3978+IF(D3979="",0,1)</f>
        <v/>
      </c>
    </row>
    <row r="3980">
      <c r="A3980">
        <f>IF('KG1-7'!$B27="","",'KG1-7'!$B27)</f>
        <v/>
      </c>
      <c r="B3980">
        <f>IF(A3980="","",'KG1-7'!$C27)</f>
        <v/>
      </c>
      <c r="C3980">
        <f>IF(A3980="","",'KG1-7'!$B$2)</f>
        <v/>
      </c>
      <c r="D3980" s="126">
        <f t="array" ref="D3980">IF(A3980="","",IFERROR(SMALL(IF((('KG1-7'!$AD27:$IM27="غياب بدون عذر")+('KG1-7'!$AD27:$IM27="غياب بعذر"))*('KG1-7'!$AD$7:$IM$7="✓"),'KG1-7'!$AD$5:$IM$5),19),""))</f>
        <v/>
      </c>
      <c r="E3980">
        <f>IF(D3980="","",INDEX('KG1-7'!$AD27:$IM27,MATCH(D3980,'KG1-7'!$AD$5:$IM$5,0)))</f>
        <v/>
      </c>
      <c r="F3980">
        <f>IF(D3980="","",COUNTIFS('KG1-7'!$AD27:$IM27,"غياب بدون عذر",'KG1-7'!$AD$7:$IM$7,"✓",'KG1-7'!$AD$5:$IM$5,"&lt;="&amp;D3980))</f>
        <v/>
      </c>
      <c r="G3980">
        <f>G3979+IF(D3980="",0,1)</f>
        <v/>
      </c>
    </row>
    <row r="3981">
      <c r="A3981">
        <f>IF('KG1-7'!$B27="","",'KG1-7'!$B27)</f>
        <v/>
      </c>
      <c r="B3981">
        <f>IF(A3981="","",'KG1-7'!$C27)</f>
        <v/>
      </c>
      <c r="C3981">
        <f>IF(A3981="","",'KG1-7'!$B$2)</f>
        <v/>
      </c>
      <c r="D3981" s="126">
        <f t="array" ref="D3981">IF(A3981="","",IFERROR(SMALL(IF((('KG1-7'!$AD27:$IM27="غياب بدون عذر")+('KG1-7'!$AD27:$IM27="غياب بعذر"))*('KG1-7'!$AD$7:$IM$7="✓"),'KG1-7'!$AD$5:$IM$5),20),""))</f>
        <v/>
      </c>
      <c r="E3981">
        <f>IF(D3981="","",INDEX('KG1-7'!$AD27:$IM27,MATCH(D3981,'KG1-7'!$AD$5:$IM$5,0)))</f>
        <v/>
      </c>
      <c r="F3981">
        <f>IF(D3981="","",COUNTIFS('KG1-7'!$AD27:$IM27,"غياب بدون عذر",'KG1-7'!$AD$7:$IM$7,"✓",'KG1-7'!$AD$5:$IM$5,"&lt;="&amp;D3981))</f>
        <v/>
      </c>
      <c r="G3981">
        <f>G3980+IF(D3981="",0,1)</f>
        <v/>
      </c>
    </row>
    <row r="3982">
      <c r="A3982">
        <f>IF('KG1-7'!$B28="","",'KG1-7'!$B28)</f>
        <v/>
      </c>
      <c r="B3982">
        <f>IF(A3982="","",'KG1-7'!$C28)</f>
        <v/>
      </c>
      <c r="C3982">
        <f>IF(A3982="","",'KG1-7'!$B$2)</f>
        <v/>
      </c>
      <c r="D3982" s="126">
        <f t="array" ref="D3982">IF(A3982="","",IFERROR(SMALL(IF((('KG1-7'!$AD28:$IM28="غياب بدون عذر")+('KG1-7'!$AD28:$IM28="غياب بعذر"))*('KG1-7'!$AD$7:$IM$7="✓"),'KG1-7'!$AD$5:$IM$5),1),""))</f>
        <v/>
      </c>
      <c r="E3982">
        <f>IF(D3982="","",INDEX('KG1-7'!$AD28:$IM28,MATCH(D3982,'KG1-7'!$AD$5:$IM$5,0)))</f>
        <v/>
      </c>
      <c r="F3982">
        <f>IF(D3982="","",COUNTIFS('KG1-7'!$AD28:$IM28,"غياب بدون عذر",'KG1-7'!$AD$7:$IM$7,"✓",'KG1-7'!$AD$5:$IM$5,"&lt;="&amp;D3982))</f>
        <v/>
      </c>
      <c r="G3982">
        <f>G3981+IF(D3982="",0,1)</f>
        <v/>
      </c>
    </row>
    <row r="3983">
      <c r="A3983">
        <f>IF('KG1-7'!$B28="","",'KG1-7'!$B28)</f>
        <v/>
      </c>
      <c r="B3983">
        <f>IF(A3983="","",'KG1-7'!$C28)</f>
        <v/>
      </c>
      <c r="C3983">
        <f>IF(A3983="","",'KG1-7'!$B$2)</f>
        <v/>
      </c>
      <c r="D3983" s="126">
        <f t="array" ref="D3983">IF(A3983="","",IFERROR(SMALL(IF((('KG1-7'!$AD28:$IM28="غياب بدون عذر")+('KG1-7'!$AD28:$IM28="غياب بعذر"))*('KG1-7'!$AD$7:$IM$7="✓"),'KG1-7'!$AD$5:$IM$5),2),""))</f>
        <v/>
      </c>
      <c r="E3983">
        <f>IF(D3983="","",INDEX('KG1-7'!$AD28:$IM28,MATCH(D3983,'KG1-7'!$AD$5:$IM$5,0)))</f>
        <v/>
      </c>
      <c r="F3983">
        <f>IF(D3983="","",COUNTIFS('KG1-7'!$AD28:$IM28,"غياب بدون عذر",'KG1-7'!$AD$7:$IM$7,"✓",'KG1-7'!$AD$5:$IM$5,"&lt;="&amp;D3983))</f>
        <v/>
      </c>
      <c r="G3983">
        <f>G3982+IF(D3983="",0,1)</f>
        <v/>
      </c>
    </row>
    <row r="3984">
      <c r="A3984">
        <f>IF('KG1-7'!$B28="","",'KG1-7'!$B28)</f>
        <v/>
      </c>
      <c r="B3984">
        <f>IF(A3984="","",'KG1-7'!$C28)</f>
        <v/>
      </c>
      <c r="C3984">
        <f>IF(A3984="","",'KG1-7'!$B$2)</f>
        <v/>
      </c>
      <c r="D3984" s="126">
        <f t="array" ref="D3984">IF(A3984="","",IFERROR(SMALL(IF((('KG1-7'!$AD28:$IM28="غياب بدون عذر")+('KG1-7'!$AD28:$IM28="غياب بعذر"))*('KG1-7'!$AD$7:$IM$7="✓"),'KG1-7'!$AD$5:$IM$5),3),""))</f>
        <v/>
      </c>
      <c r="E3984">
        <f>IF(D3984="","",INDEX('KG1-7'!$AD28:$IM28,MATCH(D3984,'KG1-7'!$AD$5:$IM$5,0)))</f>
        <v/>
      </c>
      <c r="F3984">
        <f>IF(D3984="","",COUNTIFS('KG1-7'!$AD28:$IM28,"غياب بدون عذر",'KG1-7'!$AD$7:$IM$7,"✓",'KG1-7'!$AD$5:$IM$5,"&lt;="&amp;D3984))</f>
        <v/>
      </c>
      <c r="G3984">
        <f>G3983+IF(D3984="",0,1)</f>
        <v/>
      </c>
    </row>
    <row r="3985">
      <c r="A3985">
        <f>IF('KG1-7'!$B28="","",'KG1-7'!$B28)</f>
        <v/>
      </c>
      <c r="B3985">
        <f>IF(A3985="","",'KG1-7'!$C28)</f>
        <v/>
      </c>
      <c r="C3985">
        <f>IF(A3985="","",'KG1-7'!$B$2)</f>
        <v/>
      </c>
      <c r="D3985" s="126">
        <f t="array" ref="D3985">IF(A3985="","",IFERROR(SMALL(IF((('KG1-7'!$AD28:$IM28="غياب بدون عذر")+('KG1-7'!$AD28:$IM28="غياب بعذر"))*('KG1-7'!$AD$7:$IM$7="✓"),'KG1-7'!$AD$5:$IM$5),4),""))</f>
        <v/>
      </c>
      <c r="E3985">
        <f>IF(D3985="","",INDEX('KG1-7'!$AD28:$IM28,MATCH(D3985,'KG1-7'!$AD$5:$IM$5,0)))</f>
        <v/>
      </c>
      <c r="F3985">
        <f>IF(D3985="","",COUNTIFS('KG1-7'!$AD28:$IM28,"غياب بدون عذر",'KG1-7'!$AD$7:$IM$7,"✓",'KG1-7'!$AD$5:$IM$5,"&lt;="&amp;D3985))</f>
        <v/>
      </c>
      <c r="G3985">
        <f>G3984+IF(D3985="",0,1)</f>
        <v/>
      </c>
    </row>
    <row r="3986">
      <c r="A3986">
        <f>IF('KG1-7'!$B28="","",'KG1-7'!$B28)</f>
        <v/>
      </c>
      <c r="B3986">
        <f>IF(A3986="","",'KG1-7'!$C28)</f>
        <v/>
      </c>
      <c r="C3986">
        <f>IF(A3986="","",'KG1-7'!$B$2)</f>
        <v/>
      </c>
      <c r="D3986" s="126">
        <f t="array" ref="D3986">IF(A3986="","",IFERROR(SMALL(IF((('KG1-7'!$AD28:$IM28="غياب بدون عذر")+('KG1-7'!$AD28:$IM28="غياب بعذر"))*('KG1-7'!$AD$7:$IM$7="✓"),'KG1-7'!$AD$5:$IM$5),5),""))</f>
        <v/>
      </c>
      <c r="E3986">
        <f>IF(D3986="","",INDEX('KG1-7'!$AD28:$IM28,MATCH(D3986,'KG1-7'!$AD$5:$IM$5,0)))</f>
        <v/>
      </c>
      <c r="F3986">
        <f>IF(D3986="","",COUNTIFS('KG1-7'!$AD28:$IM28,"غياب بدون عذر",'KG1-7'!$AD$7:$IM$7,"✓",'KG1-7'!$AD$5:$IM$5,"&lt;="&amp;D3986))</f>
        <v/>
      </c>
      <c r="G3986">
        <f>G3985+IF(D3986="",0,1)</f>
        <v/>
      </c>
    </row>
    <row r="3987">
      <c r="A3987">
        <f>IF('KG1-7'!$B28="","",'KG1-7'!$B28)</f>
        <v/>
      </c>
      <c r="B3987">
        <f>IF(A3987="","",'KG1-7'!$C28)</f>
        <v/>
      </c>
      <c r="C3987">
        <f>IF(A3987="","",'KG1-7'!$B$2)</f>
        <v/>
      </c>
      <c r="D3987" s="126">
        <f t="array" ref="D3987">IF(A3987="","",IFERROR(SMALL(IF((('KG1-7'!$AD28:$IM28="غياب بدون عذر")+('KG1-7'!$AD28:$IM28="غياب بعذر"))*('KG1-7'!$AD$7:$IM$7="✓"),'KG1-7'!$AD$5:$IM$5),6),""))</f>
        <v/>
      </c>
      <c r="E3987">
        <f>IF(D3987="","",INDEX('KG1-7'!$AD28:$IM28,MATCH(D3987,'KG1-7'!$AD$5:$IM$5,0)))</f>
        <v/>
      </c>
      <c r="F3987">
        <f>IF(D3987="","",COUNTIFS('KG1-7'!$AD28:$IM28,"غياب بدون عذر",'KG1-7'!$AD$7:$IM$7,"✓",'KG1-7'!$AD$5:$IM$5,"&lt;="&amp;D3987))</f>
        <v/>
      </c>
      <c r="G3987">
        <f>G3986+IF(D3987="",0,1)</f>
        <v/>
      </c>
    </row>
    <row r="3988">
      <c r="A3988">
        <f>IF('KG1-7'!$B28="","",'KG1-7'!$B28)</f>
        <v/>
      </c>
      <c r="B3988">
        <f>IF(A3988="","",'KG1-7'!$C28)</f>
        <v/>
      </c>
      <c r="C3988">
        <f>IF(A3988="","",'KG1-7'!$B$2)</f>
        <v/>
      </c>
      <c r="D3988" s="126">
        <f t="array" ref="D3988">IF(A3988="","",IFERROR(SMALL(IF((('KG1-7'!$AD28:$IM28="غياب بدون عذر")+('KG1-7'!$AD28:$IM28="غياب بعذر"))*('KG1-7'!$AD$7:$IM$7="✓"),'KG1-7'!$AD$5:$IM$5),7),""))</f>
        <v/>
      </c>
      <c r="E3988">
        <f>IF(D3988="","",INDEX('KG1-7'!$AD28:$IM28,MATCH(D3988,'KG1-7'!$AD$5:$IM$5,0)))</f>
        <v/>
      </c>
      <c r="F3988">
        <f>IF(D3988="","",COUNTIFS('KG1-7'!$AD28:$IM28,"غياب بدون عذر",'KG1-7'!$AD$7:$IM$7,"✓",'KG1-7'!$AD$5:$IM$5,"&lt;="&amp;D3988))</f>
        <v/>
      </c>
      <c r="G3988">
        <f>G3987+IF(D3988="",0,1)</f>
        <v/>
      </c>
    </row>
    <row r="3989">
      <c r="A3989">
        <f>IF('KG1-7'!$B28="","",'KG1-7'!$B28)</f>
        <v/>
      </c>
      <c r="B3989">
        <f>IF(A3989="","",'KG1-7'!$C28)</f>
        <v/>
      </c>
      <c r="C3989">
        <f>IF(A3989="","",'KG1-7'!$B$2)</f>
        <v/>
      </c>
      <c r="D3989" s="126">
        <f t="array" ref="D3989">IF(A3989="","",IFERROR(SMALL(IF((('KG1-7'!$AD28:$IM28="غياب بدون عذر")+('KG1-7'!$AD28:$IM28="غياب بعذر"))*('KG1-7'!$AD$7:$IM$7="✓"),'KG1-7'!$AD$5:$IM$5),8),""))</f>
        <v/>
      </c>
      <c r="E3989">
        <f>IF(D3989="","",INDEX('KG1-7'!$AD28:$IM28,MATCH(D3989,'KG1-7'!$AD$5:$IM$5,0)))</f>
        <v/>
      </c>
      <c r="F3989">
        <f>IF(D3989="","",COUNTIFS('KG1-7'!$AD28:$IM28,"غياب بدون عذر",'KG1-7'!$AD$7:$IM$7,"✓",'KG1-7'!$AD$5:$IM$5,"&lt;="&amp;D3989))</f>
        <v/>
      </c>
      <c r="G3989">
        <f>G3988+IF(D3989="",0,1)</f>
        <v/>
      </c>
    </row>
    <row r="3990">
      <c r="A3990">
        <f>IF('KG1-7'!$B28="","",'KG1-7'!$B28)</f>
        <v/>
      </c>
      <c r="B3990">
        <f>IF(A3990="","",'KG1-7'!$C28)</f>
        <v/>
      </c>
      <c r="C3990">
        <f>IF(A3990="","",'KG1-7'!$B$2)</f>
        <v/>
      </c>
      <c r="D3990" s="126">
        <f t="array" ref="D3990">IF(A3990="","",IFERROR(SMALL(IF((('KG1-7'!$AD28:$IM28="غياب بدون عذر")+('KG1-7'!$AD28:$IM28="غياب بعذر"))*('KG1-7'!$AD$7:$IM$7="✓"),'KG1-7'!$AD$5:$IM$5),9),""))</f>
        <v/>
      </c>
      <c r="E3990">
        <f>IF(D3990="","",INDEX('KG1-7'!$AD28:$IM28,MATCH(D3990,'KG1-7'!$AD$5:$IM$5,0)))</f>
        <v/>
      </c>
      <c r="F3990">
        <f>IF(D3990="","",COUNTIFS('KG1-7'!$AD28:$IM28,"غياب بدون عذر",'KG1-7'!$AD$7:$IM$7,"✓",'KG1-7'!$AD$5:$IM$5,"&lt;="&amp;D3990))</f>
        <v/>
      </c>
      <c r="G3990">
        <f>G3989+IF(D3990="",0,1)</f>
        <v/>
      </c>
    </row>
    <row r="3991">
      <c r="A3991">
        <f>IF('KG1-7'!$B28="","",'KG1-7'!$B28)</f>
        <v/>
      </c>
      <c r="B3991">
        <f>IF(A3991="","",'KG1-7'!$C28)</f>
        <v/>
      </c>
      <c r="C3991">
        <f>IF(A3991="","",'KG1-7'!$B$2)</f>
        <v/>
      </c>
      <c r="D3991" s="126">
        <f t="array" ref="D3991">IF(A3991="","",IFERROR(SMALL(IF((('KG1-7'!$AD28:$IM28="غياب بدون عذر")+('KG1-7'!$AD28:$IM28="غياب بعذر"))*('KG1-7'!$AD$7:$IM$7="✓"),'KG1-7'!$AD$5:$IM$5),10),""))</f>
        <v/>
      </c>
      <c r="E3991">
        <f>IF(D3991="","",INDEX('KG1-7'!$AD28:$IM28,MATCH(D3991,'KG1-7'!$AD$5:$IM$5,0)))</f>
        <v/>
      </c>
      <c r="F3991">
        <f>IF(D3991="","",COUNTIFS('KG1-7'!$AD28:$IM28,"غياب بدون عذر",'KG1-7'!$AD$7:$IM$7,"✓",'KG1-7'!$AD$5:$IM$5,"&lt;="&amp;D3991))</f>
        <v/>
      </c>
      <c r="G3991">
        <f>G3990+IF(D3991="",0,1)</f>
        <v/>
      </c>
    </row>
    <row r="3992">
      <c r="A3992">
        <f>IF('KG1-7'!$B28="","",'KG1-7'!$B28)</f>
        <v/>
      </c>
      <c r="B3992">
        <f>IF(A3992="","",'KG1-7'!$C28)</f>
        <v/>
      </c>
      <c r="C3992">
        <f>IF(A3992="","",'KG1-7'!$B$2)</f>
        <v/>
      </c>
      <c r="D3992" s="126">
        <f t="array" ref="D3992">IF(A3992="","",IFERROR(SMALL(IF((('KG1-7'!$AD28:$IM28="غياب بدون عذر")+('KG1-7'!$AD28:$IM28="غياب بعذر"))*('KG1-7'!$AD$7:$IM$7="✓"),'KG1-7'!$AD$5:$IM$5),11),""))</f>
        <v/>
      </c>
      <c r="E3992">
        <f>IF(D3992="","",INDEX('KG1-7'!$AD28:$IM28,MATCH(D3992,'KG1-7'!$AD$5:$IM$5,0)))</f>
        <v/>
      </c>
      <c r="F3992">
        <f>IF(D3992="","",COUNTIFS('KG1-7'!$AD28:$IM28,"غياب بدون عذر",'KG1-7'!$AD$7:$IM$7,"✓",'KG1-7'!$AD$5:$IM$5,"&lt;="&amp;D3992))</f>
        <v/>
      </c>
      <c r="G3992">
        <f>G3991+IF(D3992="",0,1)</f>
        <v/>
      </c>
    </row>
    <row r="3993">
      <c r="A3993">
        <f>IF('KG1-7'!$B28="","",'KG1-7'!$B28)</f>
        <v/>
      </c>
      <c r="B3993">
        <f>IF(A3993="","",'KG1-7'!$C28)</f>
        <v/>
      </c>
      <c r="C3993">
        <f>IF(A3993="","",'KG1-7'!$B$2)</f>
        <v/>
      </c>
      <c r="D3993" s="126">
        <f t="array" ref="D3993">IF(A3993="","",IFERROR(SMALL(IF((('KG1-7'!$AD28:$IM28="غياب بدون عذر")+('KG1-7'!$AD28:$IM28="غياب بعذر"))*('KG1-7'!$AD$7:$IM$7="✓"),'KG1-7'!$AD$5:$IM$5),12),""))</f>
        <v/>
      </c>
      <c r="E3993">
        <f>IF(D3993="","",INDEX('KG1-7'!$AD28:$IM28,MATCH(D3993,'KG1-7'!$AD$5:$IM$5,0)))</f>
        <v/>
      </c>
      <c r="F3993">
        <f>IF(D3993="","",COUNTIFS('KG1-7'!$AD28:$IM28,"غياب بدون عذر",'KG1-7'!$AD$7:$IM$7,"✓",'KG1-7'!$AD$5:$IM$5,"&lt;="&amp;D3993))</f>
        <v/>
      </c>
      <c r="G3993">
        <f>G3992+IF(D3993="",0,1)</f>
        <v/>
      </c>
    </row>
    <row r="3994">
      <c r="A3994">
        <f>IF('KG1-7'!$B28="","",'KG1-7'!$B28)</f>
        <v/>
      </c>
      <c r="B3994">
        <f>IF(A3994="","",'KG1-7'!$C28)</f>
        <v/>
      </c>
      <c r="C3994">
        <f>IF(A3994="","",'KG1-7'!$B$2)</f>
        <v/>
      </c>
      <c r="D3994" s="126">
        <f t="array" ref="D3994">IF(A3994="","",IFERROR(SMALL(IF((('KG1-7'!$AD28:$IM28="غياب بدون عذر")+('KG1-7'!$AD28:$IM28="غياب بعذر"))*('KG1-7'!$AD$7:$IM$7="✓"),'KG1-7'!$AD$5:$IM$5),13),""))</f>
        <v/>
      </c>
      <c r="E3994">
        <f>IF(D3994="","",INDEX('KG1-7'!$AD28:$IM28,MATCH(D3994,'KG1-7'!$AD$5:$IM$5,0)))</f>
        <v/>
      </c>
      <c r="F3994">
        <f>IF(D3994="","",COUNTIFS('KG1-7'!$AD28:$IM28,"غياب بدون عذر",'KG1-7'!$AD$7:$IM$7,"✓",'KG1-7'!$AD$5:$IM$5,"&lt;="&amp;D3994))</f>
        <v/>
      </c>
      <c r="G3994">
        <f>G3993+IF(D3994="",0,1)</f>
        <v/>
      </c>
    </row>
    <row r="3995">
      <c r="A3995">
        <f>IF('KG1-7'!$B28="","",'KG1-7'!$B28)</f>
        <v/>
      </c>
      <c r="B3995">
        <f>IF(A3995="","",'KG1-7'!$C28)</f>
        <v/>
      </c>
      <c r="C3995">
        <f>IF(A3995="","",'KG1-7'!$B$2)</f>
        <v/>
      </c>
      <c r="D3995" s="126">
        <f t="array" ref="D3995">IF(A3995="","",IFERROR(SMALL(IF((('KG1-7'!$AD28:$IM28="غياب بدون عذر")+('KG1-7'!$AD28:$IM28="غياب بعذر"))*('KG1-7'!$AD$7:$IM$7="✓"),'KG1-7'!$AD$5:$IM$5),14),""))</f>
        <v/>
      </c>
      <c r="E3995">
        <f>IF(D3995="","",INDEX('KG1-7'!$AD28:$IM28,MATCH(D3995,'KG1-7'!$AD$5:$IM$5,0)))</f>
        <v/>
      </c>
      <c r="F3995">
        <f>IF(D3995="","",COUNTIFS('KG1-7'!$AD28:$IM28,"غياب بدون عذر",'KG1-7'!$AD$7:$IM$7,"✓",'KG1-7'!$AD$5:$IM$5,"&lt;="&amp;D3995))</f>
        <v/>
      </c>
      <c r="G3995">
        <f>G3994+IF(D3995="",0,1)</f>
        <v/>
      </c>
    </row>
    <row r="3996">
      <c r="A3996">
        <f>IF('KG1-7'!$B28="","",'KG1-7'!$B28)</f>
        <v/>
      </c>
      <c r="B3996">
        <f>IF(A3996="","",'KG1-7'!$C28)</f>
        <v/>
      </c>
      <c r="C3996">
        <f>IF(A3996="","",'KG1-7'!$B$2)</f>
        <v/>
      </c>
      <c r="D3996" s="126">
        <f t="array" ref="D3996">IF(A3996="","",IFERROR(SMALL(IF((('KG1-7'!$AD28:$IM28="غياب بدون عذر")+('KG1-7'!$AD28:$IM28="غياب بعذر"))*('KG1-7'!$AD$7:$IM$7="✓"),'KG1-7'!$AD$5:$IM$5),15),""))</f>
        <v/>
      </c>
      <c r="E3996">
        <f>IF(D3996="","",INDEX('KG1-7'!$AD28:$IM28,MATCH(D3996,'KG1-7'!$AD$5:$IM$5,0)))</f>
        <v/>
      </c>
      <c r="F3996">
        <f>IF(D3996="","",COUNTIFS('KG1-7'!$AD28:$IM28,"غياب بدون عذر",'KG1-7'!$AD$7:$IM$7,"✓",'KG1-7'!$AD$5:$IM$5,"&lt;="&amp;D3996))</f>
        <v/>
      </c>
      <c r="G3996">
        <f>G3995+IF(D3996="",0,1)</f>
        <v/>
      </c>
    </row>
    <row r="3997">
      <c r="A3997">
        <f>IF('KG1-7'!$B28="","",'KG1-7'!$B28)</f>
        <v/>
      </c>
      <c r="B3997">
        <f>IF(A3997="","",'KG1-7'!$C28)</f>
        <v/>
      </c>
      <c r="C3997">
        <f>IF(A3997="","",'KG1-7'!$B$2)</f>
        <v/>
      </c>
      <c r="D3997" s="126">
        <f t="array" ref="D3997">IF(A3997="","",IFERROR(SMALL(IF((('KG1-7'!$AD28:$IM28="غياب بدون عذر")+('KG1-7'!$AD28:$IM28="غياب بعذر"))*('KG1-7'!$AD$7:$IM$7="✓"),'KG1-7'!$AD$5:$IM$5),16),""))</f>
        <v/>
      </c>
      <c r="E3997">
        <f>IF(D3997="","",INDEX('KG1-7'!$AD28:$IM28,MATCH(D3997,'KG1-7'!$AD$5:$IM$5,0)))</f>
        <v/>
      </c>
      <c r="F3997">
        <f>IF(D3997="","",COUNTIFS('KG1-7'!$AD28:$IM28,"غياب بدون عذر",'KG1-7'!$AD$7:$IM$7,"✓",'KG1-7'!$AD$5:$IM$5,"&lt;="&amp;D3997))</f>
        <v/>
      </c>
      <c r="G3997">
        <f>G3996+IF(D3997="",0,1)</f>
        <v/>
      </c>
    </row>
    <row r="3998">
      <c r="A3998">
        <f>IF('KG1-7'!$B28="","",'KG1-7'!$B28)</f>
        <v/>
      </c>
      <c r="B3998">
        <f>IF(A3998="","",'KG1-7'!$C28)</f>
        <v/>
      </c>
      <c r="C3998">
        <f>IF(A3998="","",'KG1-7'!$B$2)</f>
        <v/>
      </c>
      <c r="D3998" s="126">
        <f t="array" ref="D3998">IF(A3998="","",IFERROR(SMALL(IF((('KG1-7'!$AD28:$IM28="غياب بدون عذر")+('KG1-7'!$AD28:$IM28="غياب بعذر"))*('KG1-7'!$AD$7:$IM$7="✓"),'KG1-7'!$AD$5:$IM$5),17),""))</f>
        <v/>
      </c>
      <c r="E3998">
        <f>IF(D3998="","",INDEX('KG1-7'!$AD28:$IM28,MATCH(D3998,'KG1-7'!$AD$5:$IM$5,0)))</f>
        <v/>
      </c>
      <c r="F3998">
        <f>IF(D3998="","",COUNTIFS('KG1-7'!$AD28:$IM28,"غياب بدون عذر",'KG1-7'!$AD$7:$IM$7,"✓",'KG1-7'!$AD$5:$IM$5,"&lt;="&amp;D3998))</f>
        <v/>
      </c>
      <c r="G3998">
        <f>G3997+IF(D3998="",0,1)</f>
        <v/>
      </c>
    </row>
    <row r="3999">
      <c r="A3999">
        <f>IF('KG1-7'!$B28="","",'KG1-7'!$B28)</f>
        <v/>
      </c>
      <c r="B3999">
        <f>IF(A3999="","",'KG1-7'!$C28)</f>
        <v/>
      </c>
      <c r="C3999">
        <f>IF(A3999="","",'KG1-7'!$B$2)</f>
        <v/>
      </c>
      <c r="D3999" s="126">
        <f t="array" ref="D3999">IF(A3999="","",IFERROR(SMALL(IF((('KG1-7'!$AD28:$IM28="غياب بدون عذر")+('KG1-7'!$AD28:$IM28="غياب بعذر"))*('KG1-7'!$AD$7:$IM$7="✓"),'KG1-7'!$AD$5:$IM$5),18),""))</f>
        <v/>
      </c>
      <c r="E3999">
        <f>IF(D3999="","",INDEX('KG1-7'!$AD28:$IM28,MATCH(D3999,'KG1-7'!$AD$5:$IM$5,0)))</f>
        <v/>
      </c>
      <c r="F3999">
        <f>IF(D3999="","",COUNTIFS('KG1-7'!$AD28:$IM28,"غياب بدون عذر",'KG1-7'!$AD$7:$IM$7,"✓",'KG1-7'!$AD$5:$IM$5,"&lt;="&amp;D3999))</f>
        <v/>
      </c>
      <c r="G3999">
        <f>G3998+IF(D3999="",0,1)</f>
        <v/>
      </c>
    </row>
    <row r="4000">
      <c r="A4000">
        <f>IF('KG1-7'!$B28="","",'KG1-7'!$B28)</f>
        <v/>
      </c>
      <c r="B4000">
        <f>IF(A4000="","",'KG1-7'!$C28)</f>
        <v/>
      </c>
      <c r="C4000">
        <f>IF(A4000="","",'KG1-7'!$B$2)</f>
        <v/>
      </c>
      <c r="D4000" s="126">
        <f t="array" ref="D4000">IF(A4000="","",IFERROR(SMALL(IF((('KG1-7'!$AD28:$IM28="غياب بدون عذر")+('KG1-7'!$AD28:$IM28="غياب بعذر"))*('KG1-7'!$AD$7:$IM$7="✓"),'KG1-7'!$AD$5:$IM$5),19),""))</f>
        <v/>
      </c>
      <c r="E4000">
        <f>IF(D4000="","",INDEX('KG1-7'!$AD28:$IM28,MATCH(D4000,'KG1-7'!$AD$5:$IM$5,0)))</f>
        <v/>
      </c>
      <c r="F4000">
        <f>IF(D4000="","",COUNTIFS('KG1-7'!$AD28:$IM28,"غياب بدون عذر",'KG1-7'!$AD$7:$IM$7,"✓",'KG1-7'!$AD$5:$IM$5,"&lt;="&amp;D4000))</f>
        <v/>
      </c>
      <c r="G4000">
        <f>G3999+IF(D4000="",0,1)</f>
        <v/>
      </c>
    </row>
    <row r="4001">
      <c r="A4001">
        <f>IF('KG1-7'!$B28="","",'KG1-7'!$B28)</f>
        <v/>
      </c>
      <c r="B4001">
        <f>IF(A4001="","",'KG1-7'!$C28)</f>
        <v/>
      </c>
      <c r="C4001">
        <f>IF(A4001="","",'KG1-7'!$B$2)</f>
        <v/>
      </c>
      <c r="D4001" s="126">
        <f t="array" ref="D4001">IF(A4001="","",IFERROR(SMALL(IF((('KG1-7'!$AD28:$IM28="غياب بدون عذر")+('KG1-7'!$AD28:$IM28="غياب بعذر"))*('KG1-7'!$AD$7:$IM$7="✓"),'KG1-7'!$AD$5:$IM$5),20),""))</f>
        <v/>
      </c>
      <c r="E4001">
        <f>IF(D4001="","",INDEX('KG1-7'!$AD28:$IM28,MATCH(D4001,'KG1-7'!$AD$5:$IM$5,0)))</f>
        <v/>
      </c>
      <c r="F4001">
        <f>IF(D4001="","",COUNTIFS('KG1-7'!$AD28:$IM28,"غياب بدون عذر",'KG1-7'!$AD$7:$IM$7,"✓",'KG1-7'!$AD$5:$IM$5,"&lt;="&amp;D4001))</f>
        <v/>
      </c>
      <c r="G4001">
        <f>G4000+IF(D4001="",0,1)</f>
        <v/>
      </c>
    </row>
    <row r="4002">
      <c r="A4002">
        <f>IF('KG1-7'!$B29="","",'KG1-7'!$B29)</f>
        <v/>
      </c>
      <c r="B4002">
        <f>IF(A4002="","",'KG1-7'!$C29)</f>
        <v/>
      </c>
      <c r="C4002">
        <f>IF(A4002="","",'KG1-7'!$B$2)</f>
        <v/>
      </c>
      <c r="D4002" s="126">
        <f t="array" ref="D4002">IF(A4002="","",IFERROR(SMALL(IF((('KG1-7'!$AD29:$IM29="غياب بدون عذر")+('KG1-7'!$AD29:$IM29="غياب بعذر"))*('KG1-7'!$AD$7:$IM$7="✓"),'KG1-7'!$AD$5:$IM$5),1),""))</f>
        <v/>
      </c>
      <c r="E4002">
        <f>IF(D4002="","",INDEX('KG1-7'!$AD29:$IM29,MATCH(D4002,'KG1-7'!$AD$5:$IM$5,0)))</f>
        <v/>
      </c>
      <c r="F4002">
        <f>IF(D4002="","",COUNTIFS('KG1-7'!$AD29:$IM29,"غياب بدون عذر",'KG1-7'!$AD$7:$IM$7,"✓",'KG1-7'!$AD$5:$IM$5,"&lt;="&amp;D4002))</f>
        <v/>
      </c>
      <c r="G4002">
        <f>G4001+IF(D4002="",0,1)</f>
        <v/>
      </c>
    </row>
    <row r="4003">
      <c r="A4003">
        <f>IF('KG1-7'!$B29="","",'KG1-7'!$B29)</f>
        <v/>
      </c>
      <c r="B4003">
        <f>IF(A4003="","",'KG1-7'!$C29)</f>
        <v/>
      </c>
      <c r="C4003">
        <f>IF(A4003="","",'KG1-7'!$B$2)</f>
        <v/>
      </c>
      <c r="D4003" s="126">
        <f t="array" ref="D4003">IF(A4003="","",IFERROR(SMALL(IF((('KG1-7'!$AD29:$IM29="غياب بدون عذر")+('KG1-7'!$AD29:$IM29="غياب بعذر"))*('KG1-7'!$AD$7:$IM$7="✓"),'KG1-7'!$AD$5:$IM$5),2),""))</f>
        <v/>
      </c>
      <c r="E4003">
        <f>IF(D4003="","",INDEX('KG1-7'!$AD29:$IM29,MATCH(D4003,'KG1-7'!$AD$5:$IM$5,0)))</f>
        <v/>
      </c>
      <c r="F4003">
        <f>IF(D4003="","",COUNTIFS('KG1-7'!$AD29:$IM29,"غياب بدون عذر",'KG1-7'!$AD$7:$IM$7,"✓",'KG1-7'!$AD$5:$IM$5,"&lt;="&amp;D4003))</f>
        <v/>
      </c>
      <c r="G4003">
        <f>G4002+IF(D4003="",0,1)</f>
        <v/>
      </c>
    </row>
    <row r="4004">
      <c r="A4004">
        <f>IF('KG1-7'!$B29="","",'KG1-7'!$B29)</f>
        <v/>
      </c>
      <c r="B4004">
        <f>IF(A4004="","",'KG1-7'!$C29)</f>
        <v/>
      </c>
      <c r="C4004">
        <f>IF(A4004="","",'KG1-7'!$B$2)</f>
        <v/>
      </c>
      <c r="D4004" s="126">
        <f t="array" ref="D4004">IF(A4004="","",IFERROR(SMALL(IF((('KG1-7'!$AD29:$IM29="غياب بدون عذر")+('KG1-7'!$AD29:$IM29="غياب بعذر"))*('KG1-7'!$AD$7:$IM$7="✓"),'KG1-7'!$AD$5:$IM$5),3),""))</f>
        <v/>
      </c>
      <c r="E4004">
        <f>IF(D4004="","",INDEX('KG1-7'!$AD29:$IM29,MATCH(D4004,'KG1-7'!$AD$5:$IM$5,0)))</f>
        <v/>
      </c>
      <c r="F4004">
        <f>IF(D4004="","",COUNTIFS('KG1-7'!$AD29:$IM29,"غياب بدون عذر",'KG1-7'!$AD$7:$IM$7,"✓",'KG1-7'!$AD$5:$IM$5,"&lt;="&amp;D4004))</f>
        <v/>
      </c>
      <c r="G4004">
        <f>G4003+IF(D4004="",0,1)</f>
        <v/>
      </c>
    </row>
    <row r="4005">
      <c r="A4005">
        <f>IF('KG1-7'!$B29="","",'KG1-7'!$B29)</f>
        <v/>
      </c>
      <c r="B4005">
        <f>IF(A4005="","",'KG1-7'!$C29)</f>
        <v/>
      </c>
      <c r="C4005">
        <f>IF(A4005="","",'KG1-7'!$B$2)</f>
        <v/>
      </c>
      <c r="D4005" s="126">
        <f t="array" ref="D4005">IF(A4005="","",IFERROR(SMALL(IF((('KG1-7'!$AD29:$IM29="غياب بدون عذر")+('KG1-7'!$AD29:$IM29="غياب بعذر"))*('KG1-7'!$AD$7:$IM$7="✓"),'KG1-7'!$AD$5:$IM$5),4),""))</f>
        <v/>
      </c>
      <c r="E4005">
        <f>IF(D4005="","",INDEX('KG1-7'!$AD29:$IM29,MATCH(D4005,'KG1-7'!$AD$5:$IM$5,0)))</f>
        <v/>
      </c>
      <c r="F4005">
        <f>IF(D4005="","",COUNTIFS('KG1-7'!$AD29:$IM29,"غياب بدون عذر",'KG1-7'!$AD$7:$IM$7,"✓",'KG1-7'!$AD$5:$IM$5,"&lt;="&amp;D4005))</f>
        <v/>
      </c>
      <c r="G4005">
        <f>G4004+IF(D4005="",0,1)</f>
        <v/>
      </c>
    </row>
    <row r="4006">
      <c r="A4006">
        <f>IF('KG1-7'!$B29="","",'KG1-7'!$B29)</f>
        <v/>
      </c>
      <c r="B4006">
        <f>IF(A4006="","",'KG1-7'!$C29)</f>
        <v/>
      </c>
      <c r="C4006">
        <f>IF(A4006="","",'KG1-7'!$B$2)</f>
        <v/>
      </c>
      <c r="D4006" s="126">
        <f t="array" ref="D4006">IF(A4006="","",IFERROR(SMALL(IF((('KG1-7'!$AD29:$IM29="غياب بدون عذر")+('KG1-7'!$AD29:$IM29="غياب بعذر"))*('KG1-7'!$AD$7:$IM$7="✓"),'KG1-7'!$AD$5:$IM$5),5),""))</f>
        <v/>
      </c>
      <c r="E4006">
        <f>IF(D4006="","",INDEX('KG1-7'!$AD29:$IM29,MATCH(D4006,'KG1-7'!$AD$5:$IM$5,0)))</f>
        <v/>
      </c>
      <c r="F4006">
        <f>IF(D4006="","",COUNTIFS('KG1-7'!$AD29:$IM29,"غياب بدون عذر",'KG1-7'!$AD$7:$IM$7,"✓",'KG1-7'!$AD$5:$IM$5,"&lt;="&amp;D4006))</f>
        <v/>
      </c>
      <c r="G4006">
        <f>G4005+IF(D4006="",0,1)</f>
        <v/>
      </c>
    </row>
    <row r="4007">
      <c r="A4007">
        <f>IF('KG1-7'!$B29="","",'KG1-7'!$B29)</f>
        <v/>
      </c>
      <c r="B4007">
        <f>IF(A4007="","",'KG1-7'!$C29)</f>
        <v/>
      </c>
      <c r="C4007">
        <f>IF(A4007="","",'KG1-7'!$B$2)</f>
        <v/>
      </c>
      <c r="D4007" s="126">
        <f t="array" ref="D4007">IF(A4007="","",IFERROR(SMALL(IF((('KG1-7'!$AD29:$IM29="غياب بدون عذر")+('KG1-7'!$AD29:$IM29="غياب بعذر"))*('KG1-7'!$AD$7:$IM$7="✓"),'KG1-7'!$AD$5:$IM$5),6),""))</f>
        <v/>
      </c>
      <c r="E4007">
        <f>IF(D4007="","",INDEX('KG1-7'!$AD29:$IM29,MATCH(D4007,'KG1-7'!$AD$5:$IM$5,0)))</f>
        <v/>
      </c>
      <c r="F4007">
        <f>IF(D4007="","",COUNTIFS('KG1-7'!$AD29:$IM29,"غياب بدون عذر",'KG1-7'!$AD$7:$IM$7,"✓",'KG1-7'!$AD$5:$IM$5,"&lt;="&amp;D4007))</f>
        <v/>
      </c>
      <c r="G4007">
        <f>G4006+IF(D4007="",0,1)</f>
        <v/>
      </c>
    </row>
    <row r="4008">
      <c r="A4008">
        <f>IF('KG1-7'!$B29="","",'KG1-7'!$B29)</f>
        <v/>
      </c>
      <c r="B4008">
        <f>IF(A4008="","",'KG1-7'!$C29)</f>
        <v/>
      </c>
      <c r="C4008">
        <f>IF(A4008="","",'KG1-7'!$B$2)</f>
        <v/>
      </c>
      <c r="D4008" s="126">
        <f t="array" ref="D4008">IF(A4008="","",IFERROR(SMALL(IF((('KG1-7'!$AD29:$IM29="غياب بدون عذر")+('KG1-7'!$AD29:$IM29="غياب بعذر"))*('KG1-7'!$AD$7:$IM$7="✓"),'KG1-7'!$AD$5:$IM$5),7),""))</f>
        <v/>
      </c>
      <c r="E4008">
        <f>IF(D4008="","",INDEX('KG1-7'!$AD29:$IM29,MATCH(D4008,'KG1-7'!$AD$5:$IM$5,0)))</f>
        <v/>
      </c>
      <c r="F4008">
        <f>IF(D4008="","",COUNTIFS('KG1-7'!$AD29:$IM29,"غياب بدون عذر",'KG1-7'!$AD$7:$IM$7,"✓",'KG1-7'!$AD$5:$IM$5,"&lt;="&amp;D4008))</f>
        <v/>
      </c>
      <c r="G4008">
        <f>G4007+IF(D4008="",0,1)</f>
        <v/>
      </c>
    </row>
    <row r="4009">
      <c r="A4009">
        <f>IF('KG1-7'!$B29="","",'KG1-7'!$B29)</f>
        <v/>
      </c>
      <c r="B4009">
        <f>IF(A4009="","",'KG1-7'!$C29)</f>
        <v/>
      </c>
      <c r="C4009">
        <f>IF(A4009="","",'KG1-7'!$B$2)</f>
        <v/>
      </c>
      <c r="D4009" s="126">
        <f t="array" ref="D4009">IF(A4009="","",IFERROR(SMALL(IF((('KG1-7'!$AD29:$IM29="غياب بدون عذر")+('KG1-7'!$AD29:$IM29="غياب بعذر"))*('KG1-7'!$AD$7:$IM$7="✓"),'KG1-7'!$AD$5:$IM$5),8),""))</f>
        <v/>
      </c>
      <c r="E4009">
        <f>IF(D4009="","",INDEX('KG1-7'!$AD29:$IM29,MATCH(D4009,'KG1-7'!$AD$5:$IM$5,0)))</f>
        <v/>
      </c>
      <c r="F4009">
        <f>IF(D4009="","",COUNTIFS('KG1-7'!$AD29:$IM29,"غياب بدون عذر",'KG1-7'!$AD$7:$IM$7,"✓",'KG1-7'!$AD$5:$IM$5,"&lt;="&amp;D4009))</f>
        <v/>
      </c>
      <c r="G4009">
        <f>G4008+IF(D4009="",0,1)</f>
        <v/>
      </c>
    </row>
    <row r="4010">
      <c r="A4010">
        <f>IF('KG1-7'!$B29="","",'KG1-7'!$B29)</f>
        <v/>
      </c>
      <c r="B4010">
        <f>IF(A4010="","",'KG1-7'!$C29)</f>
        <v/>
      </c>
      <c r="C4010">
        <f>IF(A4010="","",'KG1-7'!$B$2)</f>
        <v/>
      </c>
      <c r="D4010" s="126">
        <f t="array" ref="D4010">IF(A4010="","",IFERROR(SMALL(IF((('KG1-7'!$AD29:$IM29="غياب بدون عذر")+('KG1-7'!$AD29:$IM29="غياب بعذر"))*('KG1-7'!$AD$7:$IM$7="✓"),'KG1-7'!$AD$5:$IM$5),9),""))</f>
        <v/>
      </c>
      <c r="E4010">
        <f>IF(D4010="","",INDEX('KG1-7'!$AD29:$IM29,MATCH(D4010,'KG1-7'!$AD$5:$IM$5,0)))</f>
        <v/>
      </c>
      <c r="F4010">
        <f>IF(D4010="","",COUNTIFS('KG1-7'!$AD29:$IM29,"غياب بدون عذر",'KG1-7'!$AD$7:$IM$7,"✓",'KG1-7'!$AD$5:$IM$5,"&lt;="&amp;D4010))</f>
        <v/>
      </c>
      <c r="G4010">
        <f>G4009+IF(D4010="",0,1)</f>
        <v/>
      </c>
    </row>
    <row r="4011">
      <c r="A4011">
        <f>IF('KG1-7'!$B29="","",'KG1-7'!$B29)</f>
        <v/>
      </c>
      <c r="B4011">
        <f>IF(A4011="","",'KG1-7'!$C29)</f>
        <v/>
      </c>
      <c r="C4011">
        <f>IF(A4011="","",'KG1-7'!$B$2)</f>
        <v/>
      </c>
      <c r="D4011" s="126">
        <f t="array" ref="D4011">IF(A4011="","",IFERROR(SMALL(IF((('KG1-7'!$AD29:$IM29="غياب بدون عذر")+('KG1-7'!$AD29:$IM29="غياب بعذر"))*('KG1-7'!$AD$7:$IM$7="✓"),'KG1-7'!$AD$5:$IM$5),10),""))</f>
        <v/>
      </c>
      <c r="E4011">
        <f>IF(D4011="","",INDEX('KG1-7'!$AD29:$IM29,MATCH(D4011,'KG1-7'!$AD$5:$IM$5,0)))</f>
        <v/>
      </c>
      <c r="F4011">
        <f>IF(D4011="","",COUNTIFS('KG1-7'!$AD29:$IM29,"غياب بدون عذر",'KG1-7'!$AD$7:$IM$7,"✓",'KG1-7'!$AD$5:$IM$5,"&lt;="&amp;D4011))</f>
        <v/>
      </c>
      <c r="G4011">
        <f>G4010+IF(D4011="",0,1)</f>
        <v/>
      </c>
    </row>
    <row r="4012">
      <c r="A4012">
        <f>IF('KG1-7'!$B29="","",'KG1-7'!$B29)</f>
        <v/>
      </c>
      <c r="B4012">
        <f>IF(A4012="","",'KG1-7'!$C29)</f>
        <v/>
      </c>
      <c r="C4012">
        <f>IF(A4012="","",'KG1-7'!$B$2)</f>
        <v/>
      </c>
      <c r="D4012" s="126">
        <f t="array" ref="D4012">IF(A4012="","",IFERROR(SMALL(IF((('KG1-7'!$AD29:$IM29="غياب بدون عذر")+('KG1-7'!$AD29:$IM29="غياب بعذر"))*('KG1-7'!$AD$7:$IM$7="✓"),'KG1-7'!$AD$5:$IM$5),11),""))</f>
        <v/>
      </c>
      <c r="E4012">
        <f>IF(D4012="","",INDEX('KG1-7'!$AD29:$IM29,MATCH(D4012,'KG1-7'!$AD$5:$IM$5,0)))</f>
        <v/>
      </c>
      <c r="F4012">
        <f>IF(D4012="","",COUNTIFS('KG1-7'!$AD29:$IM29,"غياب بدون عذر",'KG1-7'!$AD$7:$IM$7,"✓",'KG1-7'!$AD$5:$IM$5,"&lt;="&amp;D4012))</f>
        <v/>
      </c>
      <c r="G4012">
        <f>G4011+IF(D4012="",0,1)</f>
        <v/>
      </c>
    </row>
    <row r="4013">
      <c r="A4013">
        <f>IF('KG1-7'!$B29="","",'KG1-7'!$B29)</f>
        <v/>
      </c>
      <c r="B4013">
        <f>IF(A4013="","",'KG1-7'!$C29)</f>
        <v/>
      </c>
      <c r="C4013">
        <f>IF(A4013="","",'KG1-7'!$B$2)</f>
        <v/>
      </c>
      <c r="D4013" s="126">
        <f t="array" ref="D4013">IF(A4013="","",IFERROR(SMALL(IF((('KG1-7'!$AD29:$IM29="غياب بدون عذر")+('KG1-7'!$AD29:$IM29="غياب بعذر"))*('KG1-7'!$AD$7:$IM$7="✓"),'KG1-7'!$AD$5:$IM$5),12),""))</f>
        <v/>
      </c>
      <c r="E4013">
        <f>IF(D4013="","",INDEX('KG1-7'!$AD29:$IM29,MATCH(D4013,'KG1-7'!$AD$5:$IM$5,0)))</f>
        <v/>
      </c>
      <c r="F4013">
        <f>IF(D4013="","",COUNTIFS('KG1-7'!$AD29:$IM29,"غياب بدون عذر",'KG1-7'!$AD$7:$IM$7,"✓",'KG1-7'!$AD$5:$IM$5,"&lt;="&amp;D4013))</f>
        <v/>
      </c>
      <c r="G4013">
        <f>G4012+IF(D4013="",0,1)</f>
        <v/>
      </c>
    </row>
    <row r="4014">
      <c r="A4014">
        <f>IF('KG1-7'!$B29="","",'KG1-7'!$B29)</f>
        <v/>
      </c>
      <c r="B4014">
        <f>IF(A4014="","",'KG1-7'!$C29)</f>
        <v/>
      </c>
      <c r="C4014">
        <f>IF(A4014="","",'KG1-7'!$B$2)</f>
        <v/>
      </c>
      <c r="D4014" s="126">
        <f t="array" ref="D4014">IF(A4014="","",IFERROR(SMALL(IF((('KG1-7'!$AD29:$IM29="غياب بدون عذر")+('KG1-7'!$AD29:$IM29="غياب بعذر"))*('KG1-7'!$AD$7:$IM$7="✓"),'KG1-7'!$AD$5:$IM$5),13),""))</f>
        <v/>
      </c>
      <c r="E4014">
        <f>IF(D4014="","",INDEX('KG1-7'!$AD29:$IM29,MATCH(D4014,'KG1-7'!$AD$5:$IM$5,0)))</f>
        <v/>
      </c>
      <c r="F4014">
        <f>IF(D4014="","",COUNTIFS('KG1-7'!$AD29:$IM29,"غياب بدون عذر",'KG1-7'!$AD$7:$IM$7,"✓",'KG1-7'!$AD$5:$IM$5,"&lt;="&amp;D4014))</f>
        <v/>
      </c>
      <c r="G4014">
        <f>G4013+IF(D4014="",0,1)</f>
        <v/>
      </c>
    </row>
    <row r="4015">
      <c r="A4015">
        <f>IF('KG1-7'!$B29="","",'KG1-7'!$B29)</f>
        <v/>
      </c>
      <c r="B4015">
        <f>IF(A4015="","",'KG1-7'!$C29)</f>
        <v/>
      </c>
      <c r="C4015">
        <f>IF(A4015="","",'KG1-7'!$B$2)</f>
        <v/>
      </c>
      <c r="D4015" s="126">
        <f t="array" ref="D4015">IF(A4015="","",IFERROR(SMALL(IF((('KG1-7'!$AD29:$IM29="غياب بدون عذر")+('KG1-7'!$AD29:$IM29="غياب بعذر"))*('KG1-7'!$AD$7:$IM$7="✓"),'KG1-7'!$AD$5:$IM$5),14),""))</f>
        <v/>
      </c>
      <c r="E4015">
        <f>IF(D4015="","",INDEX('KG1-7'!$AD29:$IM29,MATCH(D4015,'KG1-7'!$AD$5:$IM$5,0)))</f>
        <v/>
      </c>
      <c r="F4015">
        <f>IF(D4015="","",COUNTIFS('KG1-7'!$AD29:$IM29,"غياب بدون عذر",'KG1-7'!$AD$7:$IM$7,"✓",'KG1-7'!$AD$5:$IM$5,"&lt;="&amp;D4015))</f>
        <v/>
      </c>
      <c r="G4015">
        <f>G4014+IF(D4015="",0,1)</f>
        <v/>
      </c>
    </row>
    <row r="4016">
      <c r="A4016">
        <f>IF('KG1-7'!$B29="","",'KG1-7'!$B29)</f>
        <v/>
      </c>
      <c r="B4016">
        <f>IF(A4016="","",'KG1-7'!$C29)</f>
        <v/>
      </c>
      <c r="C4016">
        <f>IF(A4016="","",'KG1-7'!$B$2)</f>
        <v/>
      </c>
      <c r="D4016" s="126">
        <f t="array" ref="D4016">IF(A4016="","",IFERROR(SMALL(IF((('KG1-7'!$AD29:$IM29="غياب بدون عذر")+('KG1-7'!$AD29:$IM29="غياب بعذر"))*('KG1-7'!$AD$7:$IM$7="✓"),'KG1-7'!$AD$5:$IM$5),15),""))</f>
        <v/>
      </c>
      <c r="E4016">
        <f>IF(D4016="","",INDEX('KG1-7'!$AD29:$IM29,MATCH(D4016,'KG1-7'!$AD$5:$IM$5,0)))</f>
        <v/>
      </c>
      <c r="F4016">
        <f>IF(D4016="","",COUNTIFS('KG1-7'!$AD29:$IM29,"غياب بدون عذر",'KG1-7'!$AD$7:$IM$7,"✓",'KG1-7'!$AD$5:$IM$5,"&lt;="&amp;D4016))</f>
        <v/>
      </c>
      <c r="G4016">
        <f>G4015+IF(D4016="",0,1)</f>
        <v/>
      </c>
    </row>
    <row r="4017">
      <c r="A4017">
        <f>IF('KG1-7'!$B29="","",'KG1-7'!$B29)</f>
        <v/>
      </c>
      <c r="B4017">
        <f>IF(A4017="","",'KG1-7'!$C29)</f>
        <v/>
      </c>
      <c r="C4017">
        <f>IF(A4017="","",'KG1-7'!$B$2)</f>
        <v/>
      </c>
      <c r="D4017" s="126">
        <f t="array" ref="D4017">IF(A4017="","",IFERROR(SMALL(IF((('KG1-7'!$AD29:$IM29="غياب بدون عذر")+('KG1-7'!$AD29:$IM29="غياب بعذر"))*('KG1-7'!$AD$7:$IM$7="✓"),'KG1-7'!$AD$5:$IM$5),16),""))</f>
        <v/>
      </c>
      <c r="E4017">
        <f>IF(D4017="","",INDEX('KG1-7'!$AD29:$IM29,MATCH(D4017,'KG1-7'!$AD$5:$IM$5,0)))</f>
        <v/>
      </c>
      <c r="F4017">
        <f>IF(D4017="","",COUNTIFS('KG1-7'!$AD29:$IM29,"غياب بدون عذر",'KG1-7'!$AD$7:$IM$7,"✓",'KG1-7'!$AD$5:$IM$5,"&lt;="&amp;D4017))</f>
        <v/>
      </c>
      <c r="G4017">
        <f>G4016+IF(D4017="",0,1)</f>
        <v/>
      </c>
    </row>
    <row r="4018">
      <c r="A4018">
        <f>IF('KG1-7'!$B29="","",'KG1-7'!$B29)</f>
        <v/>
      </c>
      <c r="B4018">
        <f>IF(A4018="","",'KG1-7'!$C29)</f>
        <v/>
      </c>
      <c r="C4018">
        <f>IF(A4018="","",'KG1-7'!$B$2)</f>
        <v/>
      </c>
      <c r="D4018" s="126">
        <f t="array" ref="D4018">IF(A4018="","",IFERROR(SMALL(IF((('KG1-7'!$AD29:$IM29="غياب بدون عذر")+('KG1-7'!$AD29:$IM29="غياب بعذر"))*('KG1-7'!$AD$7:$IM$7="✓"),'KG1-7'!$AD$5:$IM$5),17),""))</f>
        <v/>
      </c>
      <c r="E4018">
        <f>IF(D4018="","",INDEX('KG1-7'!$AD29:$IM29,MATCH(D4018,'KG1-7'!$AD$5:$IM$5,0)))</f>
        <v/>
      </c>
      <c r="F4018">
        <f>IF(D4018="","",COUNTIFS('KG1-7'!$AD29:$IM29,"غياب بدون عذر",'KG1-7'!$AD$7:$IM$7,"✓",'KG1-7'!$AD$5:$IM$5,"&lt;="&amp;D4018))</f>
        <v/>
      </c>
      <c r="G4018">
        <f>G4017+IF(D4018="",0,1)</f>
        <v/>
      </c>
    </row>
    <row r="4019">
      <c r="A4019">
        <f>IF('KG1-7'!$B29="","",'KG1-7'!$B29)</f>
        <v/>
      </c>
      <c r="B4019">
        <f>IF(A4019="","",'KG1-7'!$C29)</f>
        <v/>
      </c>
      <c r="C4019">
        <f>IF(A4019="","",'KG1-7'!$B$2)</f>
        <v/>
      </c>
      <c r="D4019" s="126">
        <f t="array" ref="D4019">IF(A4019="","",IFERROR(SMALL(IF((('KG1-7'!$AD29:$IM29="غياب بدون عذر")+('KG1-7'!$AD29:$IM29="غياب بعذر"))*('KG1-7'!$AD$7:$IM$7="✓"),'KG1-7'!$AD$5:$IM$5),18),""))</f>
        <v/>
      </c>
      <c r="E4019">
        <f>IF(D4019="","",INDEX('KG1-7'!$AD29:$IM29,MATCH(D4019,'KG1-7'!$AD$5:$IM$5,0)))</f>
        <v/>
      </c>
      <c r="F4019">
        <f>IF(D4019="","",COUNTIFS('KG1-7'!$AD29:$IM29,"غياب بدون عذر",'KG1-7'!$AD$7:$IM$7,"✓",'KG1-7'!$AD$5:$IM$5,"&lt;="&amp;D4019))</f>
        <v/>
      </c>
      <c r="G4019">
        <f>G4018+IF(D4019="",0,1)</f>
        <v/>
      </c>
    </row>
    <row r="4020">
      <c r="A4020">
        <f>IF('KG1-7'!$B29="","",'KG1-7'!$B29)</f>
        <v/>
      </c>
      <c r="B4020">
        <f>IF(A4020="","",'KG1-7'!$C29)</f>
        <v/>
      </c>
      <c r="C4020">
        <f>IF(A4020="","",'KG1-7'!$B$2)</f>
        <v/>
      </c>
      <c r="D4020" s="126">
        <f t="array" ref="D4020">IF(A4020="","",IFERROR(SMALL(IF((('KG1-7'!$AD29:$IM29="غياب بدون عذر")+('KG1-7'!$AD29:$IM29="غياب بعذر"))*('KG1-7'!$AD$7:$IM$7="✓"),'KG1-7'!$AD$5:$IM$5),19),""))</f>
        <v/>
      </c>
      <c r="E4020">
        <f>IF(D4020="","",INDEX('KG1-7'!$AD29:$IM29,MATCH(D4020,'KG1-7'!$AD$5:$IM$5,0)))</f>
        <v/>
      </c>
      <c r="F4020">
        <f>IF(D4020="","",COUNTIFS('KG1-7'!$AD29:$IM29,"غياب بدون عذر",'KG1-7'!$AD$7:$IM$7,"✓",'KG1-7'!$AD$5:$IM$5,"&lt;="&amp;D4020))</f>
        <v/>
      </c>
      <c r="G4020">
        <f>G4019+IF(D4020="",0,1)</f>
        <v/>
      </c>
    </row>
    <row r="4021">
      <c r="A4021">
        <f>IF('KG1-7'!$B29="","",'KG1-7'!$B29)</f>
        <v/>
      </c>
      <c r="B4021">
        <f>IF(A4021="","",'KG1-7'!$C29)</f>
        <v/>
      </c>
      <c r="C4021">
        <f>IF(A4021="","",'KG1-7'!$B$2)</f>
        <v/>
      </c>
      <c r="D4021" s="126">
        <f t="array" ref="D4021">IF(A4021="","",IFERROR(SMALL(IF((('KG1-7'!$AD29:$IM29="غياب بدون عذر")+('KG1-7'!$AD29:$IM29="غياب بعذر"))*('KG1-7'!$AD$7:$IM$7="✓"),'KG1-7'!$AD$5:$IM$5),20),""))</f>
        <v/>
      </c>
      <c r="E4021">
        <f>IF(D4021="","",INDEX('KG1-7'!$AD29:$IM29,MATCH(D4021,'KG1-7'!$AD$5:$IM$5,0)))</f>
        <v/>
      </c>
      <c r="F4021">
        <f>IF(D4021="","",COUNTIFS('KG1-7'!$AD29:$IM29,"غياب بدون عذر",'KG1-7'!$AD$7:$IM$7,"✓",'KG1-7'!$AD$5:$IM$5,"&lt;="&amp;D4021))</f>
        <v/>
      </c>
      <c r="G4021">
        <f>G4020+IF(D4021="",0,1)</f>
        <v/>
      </c>
    </row>
    <row r="4022">
      <c r="A4022">
        <f>IF('KG1-7'!$B30="","",'KG1-7'!$B30)</f>
        <v/>
      </c>
      <c r="B4022">
        <f>IF(A4022="","",'KG1-7'!$C30)</f>
        <v/>
      </c>
      <c r="C4022">
        <f>IF(A4022="","",'KG1-7'!$B$2)</f>
        <v/>
      </c>
      <c r="D4022" s="126">
        <f t="array" ref="D4022">IF(A4022="","",IFERROR(SMALL(IF((('KG1-7'!$AD30:$IM30="غياب بدون عذر")+('KG1-7'!$AD30:$IM30="غياب بعذر"))*('KG1-7'!$AD$7:$IM$7="✓"),'KG1-7'!$AD$5:$IM$5),1),""))</f>
        <v/>
      </c>
      <c r="E4022">
        <f>IF(D4022="","",INDEX('KG1-7'!$AD30:$IM30,MATCH(D4022,'KG1-7'!$AD$5:$IM$5,0)))</f>
        <v/>
      </c>
      <c r="F4022">
        <f>IF(D4022="","",COUNTIFS('KG1-7'!$AD30:$IM30,"غياب بدون عذر",'KG1-7'!$AD$7:$IM$7,"✓",'KG1-7'!$AD$5:$IM$5,"&lt;="&amp;D4022))</f>
        <v/>
      </c>
      <c r="G4022">
        <f>G4021+IF(D4022="",0,1)</f>
        <v/>
      </c>
    </row>
    <row r="4023">
      <c r="A4023">
        <f>IF('KG1-7'!$B30="","",'KG1-7'!$B30)</f>
        <v/>
      </c>
      <c r="B4023">
        <f>IF(A4023="","",'KG1-7'!$C30)</f>
        <v/>
      </c>
      <c r="C4023">
        <f>IF(A4023="","",'KG1-7'!$B$2)</f>
        <v/>
      </c>
      <c r="D4023" s="126">
        <f t="array" ref="D4023">IF(A4023="","",IFERROR(SMALL(IF((('KG1-7'!$AD30:$IM30="غياب بدون عذر")+('KG1-7'!$AD30:$IM30="غياب بعذر"))*('KG1-7'!$AD$7:$IM$7="✓"),'KG1-7'!$AD$5:$IM$5),2),""))</f>
        <v/>
      </c>
      <c r="E4023">
        <f>IF(D4023="","",INDEX('KG1-7'!$AD30:$IM30,MATCH(D4023,'KG1-7'!$AD$5:$IM$5,0)))</f>
        <v/>
      </c>
      <c r="F4023">
        <f>IF(D4023="","",COUNTIFS('KG1-7'!$AD30:$IM30,"غياب بدون عذر",'KG1-7'!$AD$7:$IM$7,"✓",'KG1-7'!$AD$5:$IM$5,"&lt;="&amp;D4023))</f>
        <v/>
      </c>
      <c r="G4023">
        <f>G4022+IF(D4023="",0,1)</f>
        <v/>
      </c>
    </row>
    <row r="4024">
      <c r="A4024">
        <f>IF('KG1-7'!$B30="","",'KG1-7'!$B30)</f>
        <v/>
      </c>
      <c r="B4024">
        <f>IF(A4024="","",'KG1-7'!$C30)</f>
        <v/>
      </c>
      <c r="C4024">
        <f>IF(A4024="","",'KG1-7'!$B$2)</f>
        <v/>
      </c>
      <c r="D4024" s="126">
        <f t="array" ref="D4024">IF(A4024="","",IFERROR(SMALL(IF((('KG1-7'!$AD30:$IM30="غياب بدون عذر")+('KG1-7'!$AD30:$IM30="غياب بعذر"))*('KG1-7'!$AD$7:$IM$7="✓"),'KG1-7'!$AD$5:$IM$5),3),""))</f>
        <v/>
      </c>
      <c r="E4024">
        <f>IF(D4024="","",INDEX('KG1-7'!$AD30:$IM30,MATCH(D4024,'KG1-7'!$AD$5:$IM$5,0)))</f>
        <v/>
      </c>
      <c r="F4024">
        <f>IF(D4024="","",COUNTIFS('KG1-7'!$AD30:$IM30,"غياب بدون عذر",'KG1-7'!$AD$7:$IM$7,"✓",'KG1-7'!$AD$5:$IM$5,"&lt;="&amp;D4024))</f>
        <v/>
      </c>
      <c r="G4024">
        <f>G4023+IF(D4024="",0,1)</f>
        <v/>
      </c>
    </row>
    <row r="4025">
      <c r="A4025">
        <f>IF('KG1-7'!$B30="","",'KG1-7'!$B30)</f>
        <v/>
      </c>
      <c r="B4025">
        <f>IF(A4025="","",'KG1-7'!$C30)</f>
        <v/>
      </c>
      <c r="C4025">
        <f>IF(A4025="","",'KG1-7'!$B$2)</f>
        <v/>
      </c>
      <c r="D4025" s="126">
        <f t="array" ref="D4025">IF(A4025="","",IFERROR(SMALL(IF((('KG1-7'!$AD30:$IM30="غياب بدون عذر")+('KG1-7'!$AD30:$IM30="غياب بعذر"))*('KG1-7'!$AD$7:$IM$7="✓"),'KG1-7'!$AD$5:$IM$5),4),""))</f>
        <v/>
      </c>
      <c r="E4025">
        <f>IF(D4025="","",INDEX('KG1-7'!$AD30:$IM30,MATCH(D4025,'KG1-7'!$AD$5:$IM$5,0)))</f>
        <v/>
      </c>
      <c r="F4025">
        <f>IF(D4025="","",COUNTIFS('KG1-7'!$AD30:$IM30,"غياب بدون عذر",'KG1-7'!$AD$7:$IM$7,"✓",'KG1-7'!$AD$5:$IM$5,"&lt;="&amp;D4025))</f>
        <v/>
      </c>
      <c r="G4025">
        <f>G4024+IF(D4025="",0,1)</f>
        <v/>
      </c>
    </row>
    <row r="4026">
      <c r="A4026">
        <f>IF('KG1-7'!$B30="","",'KG1-7'!$B30)</f>
        <v/>
      </c>
      <c r="B4026">
        <f>IF(A4026="","",'KG1-7'!$C30)</f>
        <v/>
      </c>
      <c r="C4026">
        <f>IF(A4026="","",'KG1-7'!$B$2)</f>
        <v/>
      </c>
      <c r="D4026" s="126">
        <f t="array" ref="D4026">IF(A4026="","",IFERROR(SMALL(IF((('KG1-7'!$AD30:$IM30="غياب بدون عذر")+('KG1-7'!$AD30:$IM30="غياب بعذر"))*('KG1-7'!$AD$7:$IM$7="✓"),'KG1-7'!$AD$5:$IM$5),5),""))</f>
        <v/>
      </c>
      <c r="E4026">
        <f>IF(D4026="","",INDEX('KG1-7'!$AD30:$IM30,MATCH(D4026,'KG1-7'!$AD$5:$IM$5,0)))</f>
        <v/>
      </c>
      <c r="F4026">
        <f>IF(D4026="","",COUNTIFS('KG1-7'!$AD30:$IM30,"غياب بدون عذر",'KG1-7'!$AD$7:$IM$7,"✓",'KG1-7'!$AD$5:$IM$5,"&lt;="&amp;D4026))</f>
        <v/>
      </c>
      <c r="G4026">
        <f>G4025+IF(D4026="",0,1)</f>
        <v/>
      </c>
    </row>
    <row r="4027">
      <c r="A4027">
        <f>IF('KG1-7'!$B30="","",'KG1-7'!$B30)</f>
        <v/>
      </c>
      <c r="B4027">
        <f>IF(A4027="","",'KG1-7'!$C30)</f>
        <v/>
      </c>
      <c r="C4027">
        <f>IF(A4027="","",'KG1-7'!$B$2)</f>
        <v/>
      </c>
      <c r="D4027" s="126">
        <f t="array" ref="D4027">IF(A4027="","",IFERROR(SMALL(IF((('KG1-7'!$AD30:$IM30="غياب بدون عذر")+('KG1-7'!$AD30:$IM30="غياب بعذر"))*('KG1-7'!$AD$7:$IM$7="✓"),'KG1-7'!$AD$5:$IM$5),6),""))</f>
        <v/>
      </c>
      <c r="E4027">
        <f>IF(D4027="","",INDEX('KG1-7'!$AD30:$IM30,MATCH(D4027,'KG1-7'!$AD$5:$IM$5,0)))</f>
        <v/>
      </c>
      <c r="F4027">
        <f>IF(D4027="","",COUNTIFS('KG1-7'!$AD30:$IM30,"غياب بدون عذر",'KG1-7'!$AD$7:$IM$7,"✓",'KG1-7'!$AD$5:$IM$5,"&lt;="&amp;D4027))</f>
        <v/>
      </c>
      <c r="G4027">
        <f>G4026+IF(D4027="",0,1)</f>
        <v/>
      </c>
    </row>
    <row r="4028">
      <c r="A4028">
        <f>IF('KG1-7'!$B30="","",'KG1-7'!$B30)</f>
        <v/>
      </c>
      <c r="B4028">
        <f>IF(A4028="","",'KG1-7'!$C30)</f>
        <v/>
      </c>
      <c r="C4028">
        <f>IF(A4028="","",'KG1-7'!$B$2)</f>
        <v/>
      </c>
      <c r="D4028" s="126">
        <f t="array" ref="D4028">IF(A4028="","",IFERROR(SMALL(IF((('KG1-7'!$AD30:$IM30="غياب بدون عذر")+('KG1-7'!$AD30:$IM30="غياب بعذر"))*('KG1-7'!$AD$7:$IM$7="✓"),'KG1-7'!$AD$5:$IM$5),7),""))</f>
        <v/>
      </c>
      <c r="E4028">
        <f>IF(D4028="","",INDEX('KG1-7'!$AD30:$IM30,MATCH(D4028,'KG1-7'!$AD$5:$IM$5,0)))</f>
        <v/>
      </c>
      <c r="F4028">
        <f>IF(D4028="","",COUNTIFS('KG1-7'!$AD30:$IM30,"غياب بدون عذر",'KG1-7'!$AD$7:$IM$7,"✓",'KG1-7'!$AD$5:$IM$5,"&lt;="&amp;D4028))</f>
        <v/>
      </c>
      <c r="G4028">
        <f>G4027+IF(D4028="",0,1)</f>
        <v/>
      </c>
    </row>
    <row r="4029">
      <c r="A4029">
        <f>IF('KG1-7'!$B30="","",'KG1-7'!$B30)</f>
        <v/>
      </c>
      <c r="B4029">
        <f>IF(A4029="","",'KG1-7'!$C30)</f>
        <v/>
      </c>
      <c r="C4029">
        <f>IF(A4029="","",'KG1-7'!$B$2)</f>
        <v/>
      </c>
      <c r="D4029" s="126">
        <f t="array" ref="D4029">IF(A4029="","",IFERROR(SMALL(IF((('KG1-7'!$AD30:$IM30="غياب بدون عذر")+('KG1-7'!$AD30:$IM30="غياب بعذر"))*('KG1-7'!$AD$7:$IM$7="✓"),'KG1-7'!$AD$5:$IM$5),8),""))</f>
        <v/>
      </c>
      <c r="E4029">
        <f>IF(D4029="","",INDEX('KG1-7'!$AD30:$IM30,MATCH(D4029,'KG1-7'!$AD$5:$IM$5,0)))</f>
        <v/>
      </c>
      <c r="F4029">
        <f>IF(D4029="","",COUNTIFS('KG1-7'!$AD30:$IM30,"غياب بدون عذر",'KG1-7'!$AD$7:$IM$7,"✓",'KG1-7'!$AD$5:$IM$5,"&lt;="&amp;D4029))</f>
        <v/>
      </c>
      <c r="G4029">
        <f>G4028+IF(D4029="",0,1)</f>
        <v/>
      </c>
    </row>
    <row r="4030">
      <c r="A4030">
        <f>IF('KG1-7'!$B30="","",'KG1-7'!$B30)</f>
        <v/>
      </c>
      <c r="B4030">
        <f>IF(A4030="","",'KG1-7'!$C30)</f>
        <v/>
      </c>
      <c r="C4030">
        <f>IF(A4030="","",'KG1-7'!$B$2)</f>
        <v/>
      </c>
      <c r="D4030" s="126">
        <f t="array" ref="D4030">IF(A4030="","",IFERROR(SMALL(IF((('KG1-7'!$AD30:$IM30="غياب بدون عذر")+('KG1-7'!$AD30:$IM30="غياب بعذر"))*('KG1-7'!$AD$7:$IM$7="✓"),'KG1-7'!$AD$5:$IM$5),9),""))</f>
        <v/>
      </c>
      <c r="E4030">
        <f>IF(D4030="","",INDEX('KG1-7'!$AD30:$IM30,MATCH(D4030,'KG1-7'!$AD$5:$IM$5,0)))</f>
        <v/>
      </c>
      <c r="F4030">
        <f>IF(D4030="","",COUNTIFS('KG1-7'!$AD30:$IM30,"غياب بدون عذر",'KG1-7'!$AD$7:$IM$7,"✓",'KG1-7'!$AD$5:$IM$5,"&lt;="&amp;D4030))</f>
        <v/>
      </c>
      <c r="G4030">
        <f>G4029+IF(D4030="",0,1)</f>
        <v/>
      </c>
    </row>
    <row r="4031">
      <c r="A4031">
        <f>IF('KG1-7'!$B30="","",'KG1-7'!$B30)</f>
        <v/>
      </c>
      <c r="B4031">
        <f>IF(A4031="","",'KG1-7'!$C30)</f>
        <v/>
      </c>
      <c r="C4031">
        <f>IF(A4031="","",'KG1-7'!$B$2)</f>
        <v/>
      </c>
      <c r="D4031" s="126">
        <f t="array" ref="D4031">IF(A4031="","",IFERROR(SMALL(IF((('KG1-7'!$AD30:$IM30="غياب بدون عذر")+('KG1-7'!$AD30:$IM30="غياب بعذر"))*('KG1-7'!$AD$7:$IM$7="✓"),'KG1-7'!$AD$5:$IM$5),10),""))</f>
        <v/>
      </c>
      <c r="E4031">
        <f>IF(D4031="","",INDEX('KG1-7'!$AD30:$IM30,MATCH(D4031,'KG1-7'!$AD$5:$IM$5,0)))</f>
        <v/>
      </c>
      <c r="F4031">
        <f>IF(D4031="","",COUNTIFS('KG1-7'!$AD30:$IM30,"غياب بدون عذر",'KG1-7'!$AD$7:$IM$7,"✓",'KG1-7'!$AD$5:$IM$5,"&lt;="&amp;D4031))</f>
        <v/>
      </c>
      <c r="G4031">
        <f>G4030+IF(D4031="",0,1)</f>
        <v/>
      </c>
    </row>
    <row r="4032">
      <c r="A4032">
        <f>IF('KG1-7'!$B30="","",'KG1-7'!$B30)</f>
        <v/>
      </c>
      <c r="B4032">
        <f>IF(A4032="","",'KG1-7'!$C30)</f>
        <v/>
      </c>
      <c r="C4032">
        <f>IF(A4032="","",'KG1-7'!$B$2)</f>
        <v/>
      </c>
      <c r="D4032" s="126">
        <f t="array" ref="D4032">IF(A4032="","",IFERROR(SMALL(IF((('KG1-7'!$AD30:$IM30="غياب بدون عذر")+('KG1-7'!$AD30:$IM30="غياب بعذر"))*('KG1-7'!$AD$7:$IM$7="✓"),'KG1-7'!$AD$5:$IM$5),11),""))</f>
        <v/>
      </c>
      <c r="E4032">
        <f>IF(D4032="","",INDEX('KG1-7'!$AD30:$IM30,MATCH(D4032,'KG1-7'!$AD$5:$IM$5,0)))</f>
        <v/>
      </c>
      <c r="F4032">
        <f>IF(D4032="","",COUNTIFS('KG1-7'!$AD30:$IM30,"غياب بدون عذر",'KG1-7'!$AD$7:$IM$7,"✓",'KG1-7'!$AD$5:$IM$5,"&lt;="&amp;D4032))</f>
        <v/>
      </c>
      <c r="G4032">
        <f>G4031+IF(D4032="",0,1)</f>
        <v/>
      </c>
    </row>
    <row r="4033">
      <c r="A4033">
        <f>IF('KG1-7'!$B30="","",'KG1-7'!$B30)</f>
        <v/>
      </c>
      <c r="B4033">
        <f>IF(A4033="","",'KG1-7'!$C30)</f>
        <v/>
      </c>
      <c r="C4033">
        <f>IF(A4033="","",'KG1-7'!$B$2)</f>
        <v/>
      </c>
      <c r="D4033" s="126">
        <f t="array" ref="D4033">IF(A4033="","",IFERROR(SMALL(IF((('KG1-7'!$AD30:$IM30="غياب بدون عذر")+('KG1-7'!$AD30:$IM30="غياب بعذر"))*('KG1-7'!$AD$7:$IM$7="✓"),'KG1-7'!$AD$5:$IM$5),12),""))</f>
        <v/>
      </c>
      <c r="E4033">
        <f>IF(D4033="","",INDEX('KG1-7'!$AD30:$IM30,MATCH(D4033,'KG1-7'!$AD$5:$IM$5,0)))</f>
        <v/>
      </c>
      <c r="F4033">
        <f>IF(D4033="","",COUNTIFS('KG1-7'!$AD30:$IM30,"غياب بدون عذر",'KG1-7'!$AD$7:$IM$7,"✓",'KG1-7'!$AD$5:$IM$5,"&lt;="&amp;D4033))</f>
        <v/>
      </c>
      <c r="G4033">
        <f>G4032+IF(D4033="",0,1)</f>
        <v/>
      </c>
    </row>
    <row r="4034">
      <c r="A4034">
        <f>IF('KG1-7'!$B30="","",'KG1-7'!$B30)</f>
        <v/>
      </c>
      <c r="B4034">
        <f>IF(A4034="","",'KG1-7'!$C30)</f>
        <v/>
      </c>
      <c r="C4034">
        <f>IF(A4034="","",'KG1-7'!$B$2)</f>
        <v/>
      </c>
      <c r="D4034" s="126">
        <f t="array" ref="D4034">IF(A4034="","",IFERROR(SMALL(IF((('KG1-7'!$AD30:$IM30="غياب بدون عذر")+('KG1-7'!$AD30:$IM30="غياب بعذر"))*('KG1-7'!$AD$7:$IM$7="✓"),'KG1-7'!$AD$5:$IM$5),13),""))</f>
        <v/>
      </c>
      <c r="E4034">
        <f>IF(D4034="","",INDEX('KG1-7'!$AD30:$IM30,MATCH(D4034,'KG1-7'!$AD$5:$IM$5,0)))</f>
        <v/>
      </c>
      <c r="F4034">
        <f>IF(D4034="","",COUNTIFS('KG1-7'!$AD30:$IM30,"غياب بدون عذر",'KG1-7'!$AD$7:$IM$7,"✓",'KG1-7'!$AD$5:$IM$5,"&lt;="&amp;D4034))</f>
        <v/>
      </c>
      <c r="G4034">
        <f>G4033+IF(D4034="",0,1)</f>
        <v/>
      </c>
    </row>
    <row r="4035">
      <c r="A4035">
        <f>IF('KG1-7'!$B30="","",'KG1-7'!$B30)</f>
        <v/>
      </c>
      <c r="B4035">
        <f>IF(A4035="","",'KG1-7'!$C30)</f>
        <v/>
      </c>
      <c r="C4035">
        <f>IF(A4035="","",'KG1-7'!$B$2)</f>
        <v/>
      </c>
      <c r="D4035" s="126">
        <f t="array" ref="D4035">IF(A4035="","",IFERROR(SMALL(IF((('KG1-7'!$AD30:$IM30="غياب بدون عذر")+('KG1-7'!$AD30:$IM30="غياب بعذر"))*('KG1-7'!$AD$7:$IM$7="✓"),'KG1-7'!$AD$5:$IM$5),14),""))</f>
        <v/>
      </c>
      <c r="E4035">
        <f>IF(D4035="","",INDEX('KG1-7'!$AD30:$IM30,MATCH(D4035,'KG1-7'!$AD$5:$IM$5,0)))</f>
        <v/>
      </c>
      <c r="F4035">
        <f>IF(D4035="","",COUNTIFS('KG1-7'!$AD30:$IM30,"غياب بدون عذر",'KG1-7'!$AD$7:$IM$7,"✓",'KG1-7'!$AD$5:$IM$5,"&lt;="&amp;D4035))</f>
        <v/>
      </c>
      <c r="G4035">
        <f>G4034+IF(D4035="",0,1)</f>
        <v/>
      </c>
    </row>
    <row r="4036">
      <c r="A4036">
        <f>IF('KG1-7'!$B30="","",'KG1-7'!$B30)</f>
        <v/>
      </c>
      <c r="B4036">
        <f>IF(A4036="","",'KG1-7'!$C30)</f>
        <v/>
      </c>
      <c r="C4036">
        <f>IF(A4036="","",'KG1-7'!$B$2)</f>
        <v/>
      </c>
      <c r="D4036" s="126">
        <f t="array" ref="D4036">IF(A4036="","",IFERROR(SMALL(IF((('KG1-7'!$AD30:$IM30="غياب بدون عذر")+('KG1-7'!$AD30:$IM30="غياب بعذر"))*('KG1-7'!$AD$7:$IM$7="✓"),'KG1-7'!$AD$5:$IM$5),15),""))</f>
        <v/>
      </c>
      <c r="E4036">
        <f>IF(D4036="","",INDEX('KG1-7'!$AD30:$IM30,MATCH(D4036,'KG1-7'!$AD$5:$IM$5,0)))</f>
        <v/>
      </c>
      <c r="F4036">
        <f>IF(D4036="","",COUNTIFS('KG1-7'!$AD30:$IM30,"غياب بدون عذر",'KG1-7'!$AD$7:$IM$7,"✓",'KG1-7'!$AD$5:$IM$5,"&lt;="&amp;D4036))</f>
        <v/>
      </c>
      <c r="G4036">
        <f>G4035+IF(D4036="",0,1)</f>
        <v/>
      </c>
    </row>
    <row r="4037">
      <c r="A4037">
        <f>IF('KG1-7'!$B30="","",'KG1-7'!$B30)</f>
        <v/>
      </c>
      <c r="B4037">
        <f>IF(A4037="","",'KG1-7'!$C30)</f>
        <v/>
      </c>
      <c r="C4037">
        <f>IF(A4037="","",'KG1-7'!$B$2)</f>
        <v/>
      </c>
      <c r="D4037" s="126">
        <f t="array" ref="D4037">IF(A4037="","",IFERROR(SMALL(IF((('KG1-7'!$AD30:$IM30="غياب بدون عذر")+('KG1-7'!$AD30:$IM30="غياب بعذر"))*('KG1-7'!$AD$7:$IM$7="✓"),'KG1-7'!$AD$5:$IM$5),16),""))</f>
        <v/>
      </c>
      <c r="E4037">
        <f>IF(D4037="","",INDEX('KG1-7'!$AD30:$IM30,MATCH(D4037,'KG1-7'!$AD$5:$IM$5,0)))</f>
        <v/>
      </c>
      <c r="F4037">
        <f>IF(D4037="","",COUNTIFS('KG1-7'!$AD30:$IM30,"غياب بدون عذر",'KG1-7'!$AD$7:$IM$7,"✓",'KG1-7'!$AD$5:$IM$5,"&lt;="&amp;D4037))</f>
        <v/>
      </c>
      <c r="G4037">
        <f>G4036+IF(D4037="",0,1)</f>
        <v/>
      </c>
    </row>
    <row r="4038">
      <c r="A4038">
        <f>IF('KG1-7'!$B30="","",'KG1-7'!$B30)</f>
        <v/>
      </c>
      <c r="B4038">
        <f>IF(A4038="","",'KG1-7'!$C30)</f>
        <v/>
      </c>
      <c r="C4038">
        <f>IF(A4038="","",'KG1-7'!$B$2)</f>
        <v/>
      </c>
      <c r="D4038" s="126">
        <f t="array" ref="D4038">IF(A4038="","",IFERROR(SMALL(IF((('KG1-7'!$AD30:$IM30="غياب بدون عذر")+('KG1-7'!$AD30:$IM30="غياب بعذر"))*('KG1-7'!$AD$7:$IM$7="✓"),'KG1-7'!$AD$5:$IM$5),17),""))</f>
        <v/>
      </c>
      <c r="E4038">
        <f>IF(D4038="","",INDEX('KG1-7'!$AD30:$IM30,MATCH(D4038,'KG1-7'!$AD$5:$IM$5,0)))</f>
        <v/>
      </c>
      <c r="F4038">
        <f>IF(D4038="","",COUNTIFS('KG1-7'!$AD30:$IM30,"غياب بدون عذر",'KG1-7'!$AD$7:$IM$7,"✓",'KG1-7'!$AD$5:$IM$5,"&lt;="&amp;D4038))</f>
        <v/>
      </c>
      <c r="G4038">
        <f>G4037+IF(D4038="",0,1)</f>
        <v/>
      </c>
    </row>
    <row r="4039">
      <c r="A4039">
        <f>IF('KG1-7'!$B30="","",'KG1-7'!$B30)</f>
        <v/>
      </c>
      <c r="B4039">
        <f>IF(A4039="","",'KG1-7'!$C30)</f>
        <v/>
      </c>
      <c r="C4039">
        <f>IF(A4039="","",'KG1-7'!$B$2)</f>
        <v/>
      </c>
      <c r="D4039" s="126">
        <f t="array" ref="D4039">IF(A4039="","",IFERROR(SMALL(IF((('KG1-7'!$AD30:$IM30="غياب بدون عذر")+('KG1-7'!$AD30:$IM30="غياب بعذر"))*('KG1-7'!$AD$7:$IM$7="✓"),'KG1-7'!$AD$5:$IM$5),18),""))</f>
        <v/>
      </c>
      <c r="E4039">
        <f>IF(D4039="","",INDEX('KG1-7'!$AD30:$IM30,MATCH(D4039,'KG1-7'!$AD$5:$IM$5,0)))</f>
        <v/>
      </c>
      <c r="F4039">
        <f>IF(D4039="","",COUNTIFS('KG1-7'!$AD30:$IM30,"غياب بدون عذر",'KG1-7'!$AD$7:$IM$7,"✓",'KG1-7'!$AD$5:$IM$5,"&lt;="&amp;D4039))</f>
        <v/>
      </c>
      <c r="G4039">
        <f>G4038+IF(D4039="",0,1)</f>
        <v/>
      </c>
    </row>
    <row r="4040">
      <c r="A4040">
        <f>IF('KG1-7'!$B30="","",'KG1-7'!$B30)</f>
        <v/>
      </c>
      <c r="B4040">
        <f>IF(A4040="","",'KG1-7'!$C30)</f>
        <v/>
      </c>
      <c r="C4040">
        <f>IF(A4040="","",'KG1-7'!$B$2)</f>
        <v/>
      </c>
      <c r="D4040" s="126">
        <f t="array" ref="D4040">IF(A4040="","",IFERROR(SMALL(IF((('KG1-7'!$AD30:$IM30="غياب بدون عذر")+('KG1-7'!$AD30:$IM30="غياب بعذر"))*('KG1-7'!$AD$7:$IM$7="✓"),'KG1-7'!$AD$5:$IM$5),19),""))</f>
        <v/>
      </c>
      <c r="E4040">
        <f>IF(D4040="","",INDEX('KG1-7'!$AD30:$IM30,MATCH(D4040,'KG1-7'!$AD$5:$IM$5,0)))</f>
        <v/>
      </c>
      <c r="F4040">
        <f>IF(D4040="","",COUNTIFS('KG1-7'!$AD30:$IM30,"غياب بدون عذر",'KG1-7'!$AD$7:$IM$7,"✓",'KG1-7'!$AD$5:$IM$5,"&lt;="&amp;D4040))</f>
        <v/>
      </c>
      <c r="G4040">
        <f>G4039+IF(D4040="",0,1)</f>
        <v/>
      </c>
    </row>
    <row r="4041">
      <c r="A4041">
        <f>IF('KG1-7'!$B30="","",'KG1-7'!$B30)</f>
        <v/>
      </c>
      <c r="B4041">
        <f>IF(A4041="","",'KG1-7'!$C30)</f>
        <v/>
      </c>
      <c r="C4041">
        <f>IF(A4041="","",'KG1-7'!$B$2)</f>
        <v/>
      </c>
      <c r="D4041" s="126">
        <f t="array" ref="D4041">IF(A4041="","",IFERROR(SMALL(IF((('KG1-7'!$AD30:$IM30="غياب بدون عذر")+('KG1-7'!$AD30:$IM30="غياب بعذر"))*('KG1-7'!$AD$7:$IM$7="✓"),'KG1-7'!$AD$5:$IM$5),20),""))</f>
        <v/>
      </c>
      <c r="E4041">
        <f>IF(D4041="","",INDEX('KG1-7'!$AD30:$IM30,MATCH(D4041,'KG1-7'!$AD$5:$IM$5,0)))</f>
        <v/>
      </c>
      <c r="F4041">
        <f>IF(D4041="","",COUNTIFS('KG1-7'!$AD30:$IM30,"غياب بدون عذر",'KG1-7'!$AD$7:$IM$7,"✓",'KG1-7'!$AD$5:$IM$5,"&lt;="&amp;D4041))</f>
        <v/>
      </c>
      <c r="G4041">
        <f>G4040+IF(D4041="",0,1)</f>
        <v/>
      </c>
    </row>
    <row r="4042">
      <c r="A4042">
        <f>IF('KG1-7'!$B31="","",'KG1-7'!$B31)</f>
        <v/>
      </c>
      <c r="B4042">
        <f>IF(A4042="","",'KG1-7'!$C31)</f>
        <v/>
      </c>
      <c r="C4042">
        <f>IF(A4042="","",'KG1-7'!$B$2)</f>
        <v/>
      </c>
      <c r="D4042" s="126">
        <f t="array" ref="D4042">IF(A4042="","",IFERROR(SMALL(IF((('KG1-7'!$AD31:$IM31="غياب بدون عذر")+('KG1-7'!$AD31:$IM31="غياب بعذر"))*('KG1-7'!$AD$7:$IM$7="✓"),'KG1-7'!$AD$5:$IM$5),1),""))</f>
        <v/>
      </c>
      <c r="E4042">
        <f>IF(D4042="","",INDEX('KG1-7'!$AD31:$IM31,MATCH(D4042,'KG1-7'!$AD$5:$IM$5,0)))</f>
        <v/>
      </c>
      <c r="F4042">
        <f>IF(D4042="","",COUNTIFS('KG1-7'!$AD31:$IM31,"غياب بدون عذر",'KG1-7'!$AD$7:$IM$7,"✓",'KG1-7'!$AD$5:$IM$5,"&lt;="&amp;D4042))</f>
        <v/>
      </c>
      <c r="G4042">
        <f>G4041+IF(D4042="",0,1)</f>
        <v/>
      </c>
    </row>
    <row r="4043">
      <c r="A4043">
        <f>IF('KG1-7'!$B31="","",'KG1-7'!$B31)</f>
        <v/>
      </c>
      <c r="B4043">
        <f>IF(A4043="","",'KG1-7'!$C31)</f>
        <v/>
      </c>
      <c r="C4043">
        <f>IF(A4043="","",'KG1-7'!$B$2)</f>
        <v/>
      </c>
      <c r="D4043" s="126">
        <f t="array" ref="D4043">IF(A4043="","",IFERROR(SMALL(IF((('KG1-7'!$AD31:$IM31="غياب بدون عذر")+('KG1-7'!$AD31:$IM31="غياب بعذر"))*('KG1-7'!$AD$7:$IM$7="✓"),'KG1-7'!$AD$5:$IM$5),2),""))</f>
        <v/>
      </c>
      <c r="E4043">
        <f>IF(D4043="","",INDEX('KG1-7'!$AD31:$IM31,MATCH(D4043,'KG1-7'!$AD$5:$IM$5,0)))</f>
        <v/>
      </c>
      <c r="F4043">
        <f>IF(D4043="","",COUNTIFS('KG1-7'!$AD31:$IM31,"غياب بدون عذر",'KG1-7'!$AD$7:$IM$7,"✓",'KG1-7'!$AD$5:$IM$5,"&lt;="&amp;D4043))</f>
        <v/>
      </c>
      <c r="G4043">
        <f>G4042+IF(D4043="",0,1)</f>
        <v/>
      </c>
    </row>
    <row r="4044">
      <c r="A4044">
        <f>IF('KG1-7'!$B31="","",'KG1-7'!$B31)</f>
        <v/>
      </c>
      <c r="B4044">
        <f>IF(A4044="","",'KG1-7'!$C31)</f>
        <v/>
      </c>
      <c r="C4044">
        <f>IF(A4044="","",'KG1-7'!$B$2)</f>
        <v/>
      </c>
      <c r="D4044" s="126">
        <f t="array" ref="D4044">IF(A4044="","",IFERROR(SMALL(IF((('KG1-7'!$AD31:$IM31="غياب بدون عذر")+('KG1-7'!$AD31:$IM31="غياب بعذر"))*('KG1-7'!$AD$7:$IM$7="✓"),'KG1-7'!$AD$5:$IM$5),3),""))</f>
        <v/>
      </c>
      <c r="E4044">
        <f>IF(D4044="","",INDEX('KG1-7'!$AD31:$IM31,MATCH(D4044,'KG1-7'!$AD$5:$IM$5,0)))</f>
        <v/>
      </c>
      <c r="F4044">
        <f>IF(D4044="","",COUNTIFS('KG1-7'!$AD31:$IM31,"غياب بدون عذر",'KG1-7'!$AD$7:$IM$7,"✓",'KG1-7'!$AD$5:$IM$5,"&lt;="&amp;D4044))</f>
        <v/>
      </c>
      <c r="G4044">
        <f>G4043+IF(D4044="",0,1)</f>
        <v/>
      </c>
    </row>
    <row r="4045">
      <c r="A4045">
        <f>IF('KG1-7'!$B31="","",'KG1-7'!$B31)</f>
        <v/>
      </c>
      <c r="B4045">
        <f>IF(A4045="","",'KG1-7'!$C31)</f>
        <v/>
      </c>
      <c r="C4045">
        <f>IF(A4045="","",'KG1-7'!$B$2)</f>
        <v/>
      </c>
      <c r="D4045" s="126">
        <f t="array" ref="D4045">IF(A4045="","",IFERROR(SMALL(IF((('KG1-7'!$AD31:$IM31="غياب بدون عذر")+('KG1-7'!$AD31:$IM31="غياب بعذر"))*('KG1-7'!$AD$7:$IM$7="✓"),'KG1-7'!$AD$5:$IM$5),4),""))</f>
        <v/>
      </c>
      <c r="E4045">
        <f>IF(D4045="","",INDEX('KG1-7'!$AD31:$IM31,MATCH(D4045,'KG1-7'!$AD$5:$IM$5,0)))</f>
        <v/>
      </c>
      <c r="F4045">
        <f>IF(D4045="","",COUNTIFS('KG1-7'!$AD31:$IM31,"غياب بدون عذر",'KG1-7'!$AD$7:$IM$7,"✓",'KG1-7'!$AD$5:$IM$5,"&lt;="&amp;D4045))</f>
        <v/>
      </c>
      <c r="G4045">
        <f>G4044+IF(D4045="",0,1)</f>
        <v/>
      </c>
    </row>
    <row r="4046">
      <c r="A4046">
        <f>IF('KG1-7'!$B31="","",'KG1-7'!$B31)</f>
        <v/>
      </c>
      <c r="B4046">
        <f>IF(A4046="","",'KG1-7'!$C31)</f>
        <v/>
      </c>
      <c r="C4046">
        <f>IF(A4046="","",'KG1-7'!$B$2)</f>
        <v/>
      </c>
      <c r="D4046" s="126">
        <f t="array" ref="D4046">IF(A4046="","",IFERROR(SMALL(IF((('KG1-7'!$AD31:$IM31="غياب بدون عذر")+('KG1-7'!$AD31:$IM31="غياب بعذر"))*('KG1-7'!$AD$7:$IM$7="✓"),'KG1-7'!$AD$5:$IM$5),5),""))</f>
        <v/>
      </c>
      <c r="E4046">
        <f>IF(D4046="","",INDEX('KG1-7'!$AD31:$IM31,MATCH(D4046,'KG1-7'!$AD$5:$IM$5,0)))</f>
        <v/>
      </c>
      <c r="F4046">
        <f>IF(D4046="","",COUNTIFS('KG1-7'!$AD31:$IM31,"غياب بدون عذر",'KG1-7'!$AD$7:$IM$7,"✓",'KG1-7'!$AD$5:$IM$5,"&lt;="&amp;D4046))</f>
        <v/>
      </c>
      <c r="G4046">
        <f>G4045+IF(D4046="",0,1)</f>
        <v/>
      </c>
    </row>
    <row r="4047">
      <c r="A4047">
        <f>IF('KG1-7'!$B31="","",'KG1-7'!$B31)</f>
        <v/>
      </c>
      <c r="B4047">
        <f>IF(A4047="","",'KG1-7'!$C31)</f>
        <v/>
      </c>
      <c r="C4047">
        <f>IF(A4047="","",'KG1-7'!$B$2)</f>
        <v/>
      </c>
      <c r="D4047" s="126">
        <f t="array" ref="D4047">IF(A4047="","",IFERROR(SMALL(IF((('KG1-7'!$AD31:$IM31="غياب بدون عذر")+('KG1-7'!$AD31:$IM31="غياب بعذر"))*('KG1-7'!$AD$7:$IM$7="✓"),'KG1-7'!$AD$5:$IM$5),6),""))</f>
        <v/>
      </c>
      <c r="E4047">
        <f>IF(D4047="","",INDEX('KG1-7'!$AD31:$IM31,MATCH(D4047,'KG1-7'!$AD$5:$IM$5,0)))</f>
        <v/>
      </c>
      <c r="F4047">
        <f>IF(D4047="","",COUNTIFS('KG1-7'!$AD31:$IM31,"غياب بدون عذر",'KG1-7'!$AD$7:$IM$7,"✓",'KG1-7'!$AD$5:$IM$5,"&lt;="&amp;D4047))</f>
        <v/>
      </c>
      <c r="G4047">
        <f>G4046+IF(D4047="",0,1)</f>
        <v/>
      </c>
    </row>
    <row r="4048">
      <c r="A4048">
        <f>IF('KG1-7'!$B31="","",'KG1-7'!$B31)</f>
        <v/>
      </c>
      <c r="B4048">
        <f>IF(A4048="","",'KG1-7'!$C31)</f>
        <v/>
      </c>
      <c r="C4048">
        <f>IF(A4048="","",'KG1-7'!$B$2)</f>
        <v/>
      </c>
      <c r="D4048" s="126">
        <f t="array" ref="D4048">IF(A4048="","",IFERROR(SMALL(IF((('KG1-7'!$AD31:$IM31="غياب بدون عذر")+('KG1-7'!$AD31:$IM31="غياب بعذر"))*('KG1-7'!$AD$7:$IM$7="✓"),'KG1-7'!$AD$5:$IM$5),7),""))</f>
        <v/>
      </c>
      <c r="E4048">
        <f>IF(D4048="","",INDEX('KG1-7'!$AD31:$IM31,MATCH(D4048,'KG1-7'!$AD$5:$IM$5,0)))</f>
        <v/>
      </c>
      <c r="F4048">
        <f>IF(D4048="","",COUNTIFS('KG1-7'!$AD31:$IM31,"غياب بدون عذر",'KG1-7'!$AD$7:$IM$7,"✓",'KG1-7'!$AD$5:$IM$5,"&lt;="&amp;D4048))</f>
        <v/>
      </c>
      <c r="G4048">
        <f>G4047+IF(D4048="",0,1)</f>
        <v/>
      </c>
    </row>
    <row r="4049">
      <c r="A4049">
        <f>IF('KG1-7'!$B31="","",'KG1-7'!$B31)</f>
        <v/>
      </c>
      <c r="B4049">
        <f>IF(A4049="","",'KG1-7'!$C31)</f>
        <v/>
      </c>
      <c r="C4049">
        <f>IF(A4049="","",'KG1-7'!$B$2)</f>
        <v/>
      </c>
      <c r="D4049" s="126">
        <f t="array" ref="D4049">IF(A4049="","",IFERROR(SMALL(IF((('KG1-7'!$AD31:$IM31="غياب بدون عذر")+('KG1-7'!$AD31:$IM31="غياب بعذر"))*('KG1-7'!$AD$7:$IM$7="✓"),'KG1-7'!$AD$5:$IM$5),8),""))</f>
        <v/>
      </c>
      <c r="E4049">
        <f>IF(D4049="","",INDEX('KG1-7'!$AD31:$IM31,MATCH(D4049,'KG1-7'!$AD$5:$IM$5,0)))</f>
        <v/>
      </c>
      <c r="F4049">
        <f>IF(D4049="","",COUNTIFS('KG1-7'!$AD31:$IM31,"غياب بدون عذر",'KG1-7'!$AD$7:$IM$7,"✓",'KG1-7'!$AD$5:$IM$5,"&lt;="&amp;D4049))</f>
        <v/>
      </c>
      <c r="G4049">
        <f>G4048+IF(D4049="",0,1)</f>
        <v/>
      </c>
    </row>
    <row r="4050">
      <c r="A4050">
        <f>IF('KG1-7'!$B31="","",'KG1-7'!$B31)</f>
        <v/>
      </c>
      <c r="B4050">
        <f>IF(A4050="","",'KG1-7'!$C31)</f>
        <v/>
      </c>
      <c r="C4050">
        <f>IF(A4050="","",'KG1-7'!$B$2)</f>
        <v/>
      </c>
      <c r="D4050" s="126">
        <f t="array" ref="D4050">IF(A4050="","",IFERROR(SMALL(IF((('KG1-7'!$AD31:$IM31="غياب بدون عذر")+('KG1-7'!$AD31:$IM31="غياب بعذر"))*('KG1-7'!$AD$7:$IM$7="✓"),'KG1-7'!$AD$5:$IM$5),9),""))</f>
        <v/>
      </c>
      <c r="E4050">
        <f>IF(D4050="","",INDEX('KG1-7'!$AD31:$IM31,MATCH(D4050,'KG1-7'!$AD$5:$IM$5,0)))</f>
        <v/>
      </c>
      <c r="F4050">
        <f>IF(D4050="","",COUNTIFS('KG1-7'!$AD31:$IM31,"غياب بدون عذر",'KG1-7'!$AD$7:$IM$7,"✓",'KG1-7'!$AD$5:$IM$5,"&lt;="&amp;D4050))</f>
        <v/>
      </c>
      <c r="G4050">
        <f>G4049+IF(D4050="",0,1)</f>
        <v/>
      </c>
    </row>
    <row r="4051">
      <c r="A4051">
        <f>IF('KG1-7'!$B31="","",'KG1-7'!$B31)</f>
        <v/>
      </c>
      <c r="B4051">
        <f>IF(A4051="","",'KG1-7'!$C31)</f>
        <v/>
      </c>
      <c r="C4051">
        <f>IF(A4051="","",'KG1-7'!$B$2)</f>
        <v/>
      </c>
      <c r="D4051" s="126">
        <f t="array" ref="D4051">IF(A4051="","",IFERROR(SMALL(IF((('KG1-7'!$AD31:$IM31="غياب بدون عذر")+('KG1-7'!$AD31:$IM31="غياب بعذر"))*('KG1-7'!$AD$7:$IM$7="✓"),'KG1-7'!$AD$5:$IM$5),10),""))</f>
        <v/>
      </c>
      <c r="E4051">
        <f>IF(D4051="","",INDEX('KG1-7'!$AD31:$IM31,MATCH(D4051,'KG1-7'!$AD$5:$IM$5,0)))</f>
        <v/>
      </c>
      <c r="F4051">
        <f>IF(D4051="","",COUNTIFS('KG1-7'!$AD31:$IM31,"غياب بدون عذر",'KG1-7'!$AD$7:$IM$7,"✓",'KG1-7'!$AD$5:$IM$5,"&lt;="&amp;D4051))</f>
        <v/>
      </c>
      <c r="G4051">
        <f>G4050+IF(D4051="",0,1)</f>
        <v/>
      </c>
    </row>
    <row r="4052">
      <c r="A4052">
        <f>IF('KG1-7'!$B31="","",'KG1-7'!$B31)</f>
        <v/>
      </c>
      <c r="B4052">
        <f>IF(A4052="","",'KG1-7'!$C31)</f>
        <v/>
      </c>
      <c r="C4052">
        <f>IF(A4052="","",'KG1-7'!$B$2)</f>
        <v/>
      </c>
      <c r="D4052" s="126">
        <f t="array" ref="D4052">IF(A4052="","",IFERROR(SMALL(IF((('KG1-7'!$AD31:$IM31="غياب بدون عذر")+('KG1-7'!$AD31:$IM31="غياب بعذر"))*('KG1-7'!$AD$7:$IM$7="✓"),'KG1-7'!$AD$5:$IM$5),11),""))</f>
        <v/>
      </c>
      <c r="E4052">
        <f>IF(D4052="","",INDEX('KG1-7'!$AD31:$IM31,MATCH(D4052,'KG1-7'!$AD$5:$IM$5,0)))</f>
        <v/>
      </c>
      <c r="F4052">
        <f>IF(D4052="","",COUNTIFS('KG1-7'!$AD31:$IM31,"غياب بدون عذر",'KG1-7'!$AD$7:$IM$7,"✓",'KG1-7'!$AD$5:$IM$5,"&lt;="&amp;D4052))</f>
        <v/>
      </c>
      <c r="G4052">
        <f>G4051+IF(D4052="",0,1)</f>
        <v/>
      </c>
    </row>
    <row r="4053">
      <c r="A4053">
        <f>IF('KG1-7'!$B31="","",'KG1-7'!$B31)</f>
        <v/>
      </c>
      <c r="B4053">
        <f>IF(A4053="","",'KG1-7'!$C31)</f>
        <v/>
      </c>
      <c r="C4053">
        <f>IF(A4053="","",'KG1-7'!$B$2)</f>
        <v/>
      </c>
      <c r="D4053" s="126">
        <f t="array" ref="D4053">IF(A4053="","",IFERROR(SMALL(IF((('KG1-7'!$AD31:$IM31="غياب بدون عذر")+('KG1-7'!$AD31:$IM31="غياب بعذر"))*('KG1-7'!$AD$7:$IM$7="✓"),'KG1-7'!$AD$5:$IM$5),12),""))</f>
        <v/>
      </c>
      <c r="E4053">
        <f>IF(D4053="","",INDEX('KG1-7'!$AD31:$IM31,MATCH(D4053,'KG1-7'!$AD$5:$IM$5,0)))</f>
        <v/>
      </c>
      <c r="F4053">
        <f>IF(D4053="","",COUNTIFS('KG1-7'!$AD31:$IM31,"غياب بدون عذر",'KG1-7'!$AD$7:$IM$7,"✓",'KG1-7'!$AD$5:$IM$5,"&lt;="&amp;D4053))</f>
        <v/>
      </c>
      <c r="G4053">
        <f>G4052+IF(D4053="",0,1)</f>
        <v/>
      </c>
    </row>
    <row r="4054">
      <c r="A4054">
        <f>IF('KG1-7'!$B31="","",'KG1-7'!$B31)</f>
        <v/>
      </c>
      <c r="B4054">
        <f>IF(A4054="","",'KG1-7'!$C31)</f>
        <v/>
      </c>
      <c r="C4054">
        <f>IF(A4054="","",'KG1-7'!$B$2)</f>
        <v/>
      </c>
      <c r="D4054" s="126">
        <f t="array" ref="D4054">IF(A4054="","",IFERROR(SMALL(IF((('KG1-7'!$AD31:$IM31="غياب بدون عذر")+('KG1-7'!$AD31:$IM31="غياب بعذر"))*('KG1-7'!$AD$7:$IM$7="✓"),'KG1-7'!$AD$5:$IM$5),13),""))</f>
        <v/>
      </c>
      <c r="E4054">
        <f>IF(D4054="","",INDEX('KG1-7'!$AD31:$IM31,MATCH(D4054,'KG1-7'!$AD$5:$IM$5,0)))</f>
        <v/>
      </c>
      <c r="F4054">
        <f>IF(D4054="","",COUNTIFS('KG1-7'!$AD31:$IM31,"غياب بدون عذر",'KG1-7'!$AD$7:$IM$7,"✓",'KG1-7'!$AD$5:$IM$5,"&lt;="&amp;D4054))</f>
        <v/>
      </c>
      <c r="G4054">
        <f>G4053+IF(D4054="",0,1)</f>
        <v/>
      </c>
    </row>
    <row r="4055">
      <c r="A4055">
        <f>IF('KG1-7'!$B31="","",'KG1-7'!$B31)</f>
        <v/>
      </c>
      <c r="B4055">
        <f>IF(A4055="","",'KG1-7'!$C31)</f>
        <v/>
      </c>
      <c r="C4055">
        <f>IF(A4055="","",'KG1-7'!$B$2)</f>
        <v/>
      </c>
      <c r="D4055" s="126">
        <f t="array" ref="D4055">IF(A4055="","",IFERROR(SMALL(IF((('KG1-7'!$AD31:$IM31="غياب بدون عذر")+('KG1-7'!$AD31:$IM31="غياب بعذر"))*('KG1-7'!$AD$7:$IM$7="✓"),'KG1-7'!$AD$5:$IM$5),14),""))</f>
        <v/>
      </c>
      <c r="E4055">
        <f>IF(D4055="","",INDEX('KG1-7'!$AD31:$IM31,MATCH(D4055,'KG1-7'!$AD$5:$IM$5,0)))</f>
        <v/>
      </c>
      <c r="F4055">
        <f>IF(D4055="","",COUNTIFS('KG1-7'!$AD31:$IM31,"غياب بدون عذر",'KG1-7'!$AD$7:$IM$7,"✓",'KG1-7'!$AD$5:$IM$5,"&lt;="&amp;D4055))</f>
        <v/>
      </c>
      <c r="G4055">
        <f>G4054+IF(D4055="",0,1)</f>
        <v/>
      </c>
    </row>
    <row r="4056">
      <c r="A4056">
        <f>IF('KG1-7'!$B31="","",'KG1-7'!$B31)</f>
        <v/>
      </c>
      <c r="B4056">
        <f>IF(A4056="","",'KG1-7'!$C31)</f>
        <v/>
      </c>
      <c r="C4056">
        <f>IF(A4056="","",'KG1-7'!$B$2)</f>
        <v/>
      </c>
      <c r="D4056" s="126">
        <f t="array" ref="D4056">IF(A4056="","",IFERROR(SMALL(IF((('KG1-7'!$AD31:$IM31="غياب بدون عذر")+('KG1-7'!$AD31:$IM31="غياب بعذر"))*('KG1-7'!$AD$7:$IM$7="✓"),'KG1-7'!$AD$5:$IM$5),15),""))</f>
        <v/>
      </c>
      <c r="E4056">
        <f>IF(D4056="","",INDEX('KG1-7'!$AD31:$IM31,MATCH(D4056,'KG1-7'!$AD$5:$IM$5,0)))</f>
        <v/>
      </c>
      <c r="F4056">
        <f>IF(D4056="","",COUNTIFS('KG1-7'!$AD31:$IM31,"غياب بدون عذر",'KG1-7'!$AD$7:$IM$7,"✓",'KG1-7'!$AD$5:$IM$5,"&lt;="&amp;D4056))</f>
        <v/>
      </c>
      <c r="G4056">
        <f>G4055+IF(D4056="",0,1)</f>
        <v/>
      </c>
    </row>
    <row r="4057">
      <c r="A4057">
        <f>IF('KG1-7'!$B31="","",'KG1-7'!$B31)</f>
        <v/>
      </c>
      <c r="B4057">
        <f>IF(A4057="","",'KG1-7'!$C31)</f>
        <v/>
      </c>
      <c r="C4057">
        <f>IF(A4057="","",'KG1-7'!$B$2)</f>
        <v/>
      </c>
      <c r="D4057" s="126">
        <f t="array" ref="D4057">IF(A4057="","",IFERROR(SMALL(IF((('KG1-7'!$AD31:$IM31="غياب بدون عذر")+('KG1-7'!$AD31:$IM31="غياب بعذر"))*('KG1-7'!$AD$7:$IM$7="✓"),'KG1-7'!$AD$5:$IM$5),16),""))</f>
        <v/>
      </c>
      <c r="E4057">
        <f>IF(D4057="","",INDEX('KG1-7'!$AD31:$IM31,MATCH(D4057,'KG1-7'!$AD$5:$IM$5,0)))</f>
        <v/>
      </c>
      <c r="F4057">
        <f>IF(D4057="","",COUNTIFS('KG1-7'!$AD31:$IM31,"غياب بدون عذر",'KG1-7'!$AD$7:$IM$7,"✓",'KG1-7'!$AD$5:$IM$5,"&lt;="&amp;D4057))</f>
        <v/>
      </c>
      <c r="G4057">
        <f>G4056+IF(D4057="",0,1)</f>
        <v/>
      </c>
    </row>
    <row r="4058">
      <c r="A4058">
        <f>IF('KG1-7'!$B31="","",'KG1-7'!$B31)</f>
        <v/>
      </c>
      <c r="B4058">
        <f>IF(A4058="","",'KG1-7'!$C31)</f>
        <v/>
      </c>
      <c r="C4058">
        <f>IF(A4058="","",'KG1-7'!$B$2)</f>
        <v/>
      </c>
      <c r="D4058" s="126">
        <f t="array" ref="D4058">IF(A4058="","",IFERROR(SMALL(IF((('KG1-7'!$AD31:$IM31="غياب بدون عذر")+('KG1-7'!$AD31:$IM31="غياب بعذر"))*('KG1-7'!$AD$7:$IM$7="✓"),'KG1-7'!$AD$5:$IM$5),17),""))</f>
        <v/>
      </c>
      <c r="E4058">
        <f>IF(D4058="","",INDEX('KG1-7'!$AD31:$IM31,MATCH(D4058,'KG1-7'!$AD$5:$IM$5,0)))</f>
        <v/>
      </c>
      <c r="F4058">
        <f>IF(D4058="","",COUNTIFS('KG1-7'!$AD31:$IM31,"غياب بدون عذر",'KG1-7'!$AD$7:$IM$7,"✓",'KG1-7'!$AD$5:$IM$5,"&lt;="&amp;D4058))</f>
        <v/>
      </c>
      <c r="G4058">
        <f>G4057+IF(D4058="",0,1)</f>
        <v/>
      </c>
    </row>
    <row r="4059">
      <c r="A4059">
        <f>IF('KG1-7'!$B31="","",'KG1-7'!$B31)</f>
        <v/>
      </c>
      <c r="B4059">
        <f>IF(A4059="","",'KG1-7'!$C31)</f>
        <v/>
      </c>
      <c r="C4059">
        <f>IF(A4059="","",'KG1-7'!$B$2)</f>
        <v/>
      </c>
      <c r="D4059" s="126">
        <f t="array" ref="D4059">IF(A4059="","",IFERROR(SMALL(IF((('KG1-7'!$AD31:$IM31="غياب بدون عذر")+('KG1-7'!$AD31:$IM31="غياب بعذر"))*('KG1-7'!$AD$7:$IM$7="✓"),'KG1-7'!$AD$5:$IM$5),18),""))</f>
        <v/>
      </c>
      <c r="E4059">
        <f>IF(D4059="","",INDEX('KG1-7'!$AD31:$IM31,MATCH(D4059,'KG1-7'!$AD$5:$IM$5,0)))</f>
        <v/>
      </c>
      <c r="F4059">
        <f>IF(D4059="","",COUNTIFS('KG1-7'!$AD31:$IM31,"غياب بدون عذر",'KG1-7'!$AD$7:$IM$7,"✓",'KG1-7'!$AD$5:$IM$5,"&lt;="&amp;D4059))</f>
        <v/>
      </c>
      <c r="G4059">
        <f>G4058+IF(D4059="",0,1)</f>
        <v/>
      </c>
    </row>
    <row r="4060">
      <c r="A4060">
        <f>IF('KG1-7'!$B31="","",'KG1-7'!$B31)</f>
        <v/>
      </c>
      <c r="B4060">
        <f>IF(A4060="","",'KG1-7'!$C31)</f>
        <v/>
      </c>
      <c r="C4060">
        <f>IF(A4060="","",'KG1-7'!$B$2)</f>
        <v/>
      </c>
      <c r="D4060" s="126">
        <f t="array" ref="D4060">IF(A4060="","",IFERROR(SMALL(IF((('KG1-7'!$AD31:$IM31="غياب بدون عذر")+('KG1-7'!$AD31:$IM31="غياب بعذر"))*('KG1-7'!$AD$7:$IM$7="✓"),'KG1-7'!$AD$5:$IM$5),19),""))</f>
        <v/>
      </c>
      <c r="E4060">
        <f>IF(D4060="","",INDEX('KG1-7'!$AD31:$IM31,MATCH(D4060,'KG1-7'!$AD$5:$IM$5,0)))</f>
        <v/>
      </c>
      <c r="F4060">
        <f>IF(D4060="","",COUNTIFS('KG1-7'!$AD31:$IM31,"غياب بدون عذر",'KG1-7'!$AD$7:$IM$7,"✓",'KG1-7'!$AD$5:$IM$5,"&lt;="&amp;D4060))</f>
        <v/>
      </c>
      <c r="G4060">
        <f>G4059+IF(D4060="",0,1)</f>
        <v/>
      </c>
    </row>
    <row r="4061">
      <c r="A4061">
        <f>IF('KG1-7'!$B31="","",'KG1-7'!$B31)</f>
        <v/>
      </c>
      <c r="B4061">
        <f>IF(A4061="","",'KG1-7'!$C31)</f>
        <v/>
      </c>
      <c r="C4061">
        <f>IF(A4061="","",'KG1-7'!$B$2)</f>
        <v/>
      </c>
      <c r="D4061" s="126">
        <f t="array" ref="D4061">IF(A4061="","",IFERROR(SMALL(IF((('KG1-7'!$AD31:$IM31="غياب بدون عذر")+('KG1-7'!$AD31:$IM31="غياب بعذر"))*('KG1-7'!$AD$7:$IM$7="✓"),'KG1-7'!$AD$5:$IM$5),20),""))</f>
        <v/>
      </c>
      <c r="E4061">
        <f>IF(D4061="","",INDEX('KG1-7'!$AD31:$IM31,MATCH(D4061,'KG1-7'!$AD$5:$IM$5,0)))</f>
        <v/>
      </c>
      <c r="F4061">
        <f>IF(D4061="","",COUNTIFS('KG1-7'!$AD31:$IM31,"غياب بدون عذر",'KG1-7'!$AD$7:$IM$7,"✓",'KG1-7'!$AD$5:$IM$5,"&lt;="&amp;D4061))</f>
        <v/>
      </c>
      <c r="G4061">
        <f>G4060+IF(D4061="",0,1)</f>
        <v/>
      </c>
    </row>
    <row r="4062">
      <c r="A4062">
        <f>IF('KG1-7'!$B32="","",'KG1-7'!$B32)</f>
        <v/>
      </c>
      <c r="B4062">
        <f>IF(A4062="","",'KG1-7'!$C32)</f>
        <v/>
      </c>
      <c r="C4062">
        <f>IF(A4062="","",'KG1-7'!$B$2)</f>
        <v/>
      </c>
      <c r="D4062" s="126">
        <f t="array" ref="D4062">IF(A4062="","",IFERROR(SMALL(IF((('KG1-7'!$AD32:$IM32="غياب بدون عذر")+('KG1-7'!$AD32:$IM32="غياب بعذر"))*('KG1-7'!$AD$7:$IM$7="✓"),'KG1-7'!$AD$5:$IM$5),1),""))</f>
        <v/>
      </c>
      <c r="E4062">
        <f>IF(D4062="","",INDEX('KG1-7'!$AD32:$IM32,MATCH(D4062,'KG1-7'!$AD$5:$IM$5,0)))</f>
        <v/>
      </c>
      <c r="F4062">
        <f>IF(D4062="","",COUNTIFS('KG1-7'!$AD32:$IM32,"غياب بدون عذر",'KG1-7'!$AD$7:$IM$7,"✓",'KG1-7'!$AD$5:$IM$5,"&lt;="&amp;D4062))</f>
        <v/>
      </c>
      <c r="G4062">
        <f>G4061+IF(D4062="",0,1)</f>
        <v/>
      </c>
    </row>
    <row r="4063">
      <c r="A4063">
        <f>IF('KG1-7'!$B32="","",'KG1-7'!$B32)</f>
        <v/>
      </c>
      <c r="B4063">
        <f>IF(A4063="","",'KG1-7'!$C32)</f>
        <v/>
      </c>
      <c r="C4063">
        <f>IF(A4063="","",'KG1-7'!$B$2)</f>
        <v/>
      </c>
      <c r="D4063" s="126">
        <f t="array" ref="D4063">IF(A4063="","",IFERROR(SMALL(IF((('KG1-7'!$AD32:$IM32="غياب بدون عذر")+('KG1-7'!$AD32:$IM32="غياب بعذر"))*('KG1-7'!$AD$7:$IM$7="✓"),'KG1-7'!$AD$5:$IM$5),2),""))</f>
        <v/>
      </c>
      <c r="E4063">
        <f>IF(D4063="","",INDEX('KG1-7'!$AD32:$IM32,MATCH(D4063,'KG1-7'!$AD$5:$IM$5,0)))</f>
        <v/>
      </c>
      <c r="F4063">
        <f>IF(D4063="","",COUNTIFS('KG1-7'!$AD32:$IM32,"غياب بدون عذر",'KG1-7'!$AD$7:$IM$7,"✓",'KG1-7'!$AD$5:$IM$5,"&lt;="&amp;D4063))</f>
        <v/>
      </c>
      <c r="G4063">
        <f>G4062+IF(D4063="",0,1)</f>
        <v/>
      </c>
    </row>
    <row r="4064">
      <c r="A4064">
        <f>IF('KG1-7'!$B32="","",'KG1-7'!$B32)</f>
        <v/>
      </c>
      <c r="B4064">
        <f>IF(A4064="","",'KG1-7'!$C32)</f>
        <v/>
      </c>
      <c r="C4064">
        <f>IF(A4064="","",'KG1-7'!$B$2)</f>
        <v/>
      </c>
      <c r="D4064" s="126">
        <f t="array" ref="D4064">IF(A4064="","",IFERROR(SMALL(IF((('KG1-7'!$AD32:$IM32="غياب بدون عذر")+('KG1-7'!$AD32:$IM32="غياب بعذر"))*('KG1-7'!$AD$7:$IM$7="✓"),'KG1-7'!$AD$5:$IM$5),3),""))</f>
        <v/>
      </c>
      <c r="E4064">
        <f>IF(D4064="","",INDEX('KG1-7'!$AD32:$IM32,MATCH(D4064,'KG1-7'!$AD$5:$IM$5,0)))</f>
        <v/>
      </c>
      <c r="F4064">
        <f>IF(D4064="","",COUNTIFS('KG1-7'!$AD32:$IM32,"غياب بدون عذر",'KG1-7'!$AD$7:$IM$7,"✓",'KG1-7'!$AD$5:$IM$5,"&lt;="&amp;D4064))</f>
        <v/>
      </c>
      <c r="G4064">
        <f>G4063+IF(D4064="",0,1)</f>
        <v/>
      </c>
    </row>
    <row r="4065">
      <c r="A4065">
        <f>IF('KG1-7'!$B32="","",'KG1-7'!$B32)</f>
        <v/>
      </c>
      <c r="B4065">
        <f>IF(A4065="","",'KG1-7'!$C32)</f>
        <v/>
      </c>
      <c r="C4065">
        <f>IF(A4065="","",'KG1-7'!$B$2)</f>
        <v/>
      </c>
      <c r="D4065" s="126">
        <f t="array" ref="D4065">IF(A4065="","",IFERROR(SMALL(IF((('KG1-7'!$AD32:$IM32="غياب بدون عذر")+('KG1-7'!$AD32:$IM32="غياب بعذر"))*('KG1-7'!$AD$7:$IM$7="✓"),'KG1-7'!$AD$5:$IM$5),4),""))</f>
        <v/>
      </c>
      <c r="E4065">
        <f>IF(D4065="","",INDEX('KG1-7'!$AD32:$IM32,MATCH(D4065,'KG1-7'!$AD$5:$IM$5,0)))</f>
        <v/>
      </c>
      <c r="F4065">
        <f>IF(D4065="","",COUNTIFS('KG1-7'!$AD32:$IM32,"غياب بدون عذر",'KG1-7'!$AD$7:$IM$7,"✓",'KG1-7'!$AD$5:$IM$5,"&lt;="&amp;D4065))</f>
        <v/>
      </c>
      <c r="G4065">
        <f>G4064+IF(D4065="",0,1)</f>
        <v/>
      </c>
    </row>
    <row r="4066">
      <c r="A4066">
        <f>IF('KG1-7'!$B32="","",'KG1-7'!$B32)</f>
        <v/>
      </c>
      <c r="B4066">
        <f>IF(A4066="","",'KG1-7'!$C32)</f>
        <v/>
      </c>
      <c r="C4066">
        <f>IF(A4066="","",'KG1-7'!$B$2)</f>
        <v/>
      </c>
      <c r="D4066" s="126">
        <f t="array" ref="D4066">IF(A4066="","",IFERROR(SMALL(IF((('KG1-7'!$AD32:$IM32="غياب بدون عذر")+('KG1-7'!$AD32:$IM32="غياب بعذر"))*('KG1-7'!$AD$7:$IM$7="✓"),'KG1-7'!$AD$5:$IM$5),5),""))</f>
        <v/>
      </c>
      <c r="E4066">
        <f>IF(D4066="","",INDEX('KG1-7'!$AD32:$IM32,MATCH(D4066,'KG1-7'!$AD$5:$IM$5,0)))</f>
        <v/>
      </c>
      <c r="F4066">
        <f>IF(D4066="","",COUNTIFS('KG1-7'!$AD32:$IM32,"غياب بدون عذر",'KG1-7'!$AD$7:$IM$7,"✓",'KG1-7'!$AD$5:$IM$5,"&lt;="&amp;D4066))</f>
        <v/>
      </c>
      <c r="G4066">
        <f>G4065+IF(D4066="",0,1)</f>
        <v/>
      </c>
    </row>
    <row r="4067">
      <c r="A4067">
        <f>IF('KG1-7'!$B32="","",'KG1-7'!$B32)</f>
        <v/>
      </c>
      <c r="B4067">
        <f>IF(A4067="","",'KG1-7'!$C32)</f>
        <v/>
      </c>
      <c r="C4067">
        <f>IF(A4067="","",'KG1-7'!$B$2)</f>
        <v/>
      </c>
      <c r="D4067" s="126">
        <f t="array" ref="D4067">IF(A4067="","",IFERROR(SMALL(IF((('KG1-7'!$AD32:$IM32="غياب بدون عذر")+('KG1-7'!$AD32:$IM32="غياب بعذر"))*('KG1-7'!$AD$7:$IM$7="✓"),'KG1-7'!$AD$5:$IM$5),6),""))</f>
        <v/>
      </c>
      <c r="E4067">
        <f>IF(D4067="","",INDEX('KG1-7'!$AD32:$IM32,MATCH(D4067,'KG1-7'!$AD$5:$IM$5,0)))</f>
        <v/>
      </c>
      <c r="F4067">
        <f>IF(D4067="","",COUNTIFS('KG1-7'!$AD32:$IM32,"غياب بدون عذر",'KG1-7'!$AD$7:$IM$7,"✓",'KG1-7'!$AD$5:$IM$5,"&lt;="&amp;D4067))</f>
        <v/>
      </c>
      <c r="G4067">
        <f>G4066+IF(D4067="",0,1)</f>
        <v/>
      </c>
    </row>
    <row r="4068">
      <c r="A4068">
        <f>IF('KG1-7'!$B32="","",'KG1-7'!$B32)</f>
        <v/>
      </c>
      <c r="B4068">
        <f>IF(A4068="","",'KG1-7'!$C32)</f>
        <v/>
      </c>
      <c r="C4068">
        <f>IF(A4068="","",'KG1-7'!$B$2)</f>
        <v/>
      </c>
      <c r="D4068" s="126">
        <f t="array" ref="D4068">IF(A4068="","",IFERROR(SMALL(IF((('KG1-7'!$AD32:$IM32="غياب بدون عذر")+('KG1-7'!$AD32:$IM32="غياب بعذر"))*('KG1-7'!$AD$7:$IM$7="✓"),'KG1-7'!$AD$5:$IM$5),7),""))</f>
        <v/>
      </c>
      <c r="E4068">
        <f>IF(D4068="","",INDEX('KG1-7'!$AD32:$IM32,MATCH(D4068,'KG1-7'!$AD$5:$IM$5,0)))</f>
        <v/>
      </c>
      <c r="F4068">
        <f>IF(D4068="","",COUNTIFS('KG1-7'!$AD32:$IM32,"غياب بدون عذر",'KG1-7'!$AD$7:$IM$7,"✓",'KG1-7'!$AD$5:$IM$5,"&lt;="&amp;D4068))</f>
        <v/>
      </c>
      <c r="G4068">
        <f>G4067+IF(D4068="",0,1)</f>
        <v/>
      </c>
    </row>
    <row r="4069">
      <c r="A4069">
        <f>IF('KG1-7'!$B32="","",'KG1-7'!$B32)</f>
        <v/>
      </c>
      <c r="B4069">
        <f>IF(A4069="","",'KG1-7'!$C32)</f>
        <v/>
      </c>
      <c r="C4069">
        <f>IF(A4069="","",'KG1-7'!$B$2)</f>
        <v/>
      </c>
      <c r="D4069" s="126">
        <f t="array" ref="D4069">IF(A4069="","",IFERROR(SMALL(IF((('KG1-7'!$AD32:$IM32="غياب بدون عذر")+('KG1-7'!$AD32:$IM32="غياب بعذر"))*('KG1-7'!$AD$7:$IM$7="✓"),'KG1-7'!$AD$5:$IM$5),8),""))</f>
        <v/>
      </c>
      <c r="E4069">
        <f>IF(D4069="","",INDEX('KG1-7'!$AD32:$IM32,MATCH(D4069,'KG1-7'!$AD$5:$IM$5,0)))</f>
        <v/>
      </c>
      <c r="F4069">
        <f>IF(D4069="","",COUNTIFS('KG1-7'!$AD32:$IM32,"غياب بدون عذر",'KG1-7'!$AD$7:$IM$7,"✓",'KG1-7'!$AD$5:$IM$5,"&lt;="&amp;D4069))</f>
        <v/>
      </c>
      <c r="G4069">
        <f>G4068+IF(D4069="",0,1)</f>
        <v/>
      </c>
    </row>
    <row r="4070">
      <c r="A4070">
        <f>IF('KG1-7'!$B32="","",'KG1-7'!$B32)</f>
        <v/>
      </c>
      <c r="B4070">
        <f>IF(A4070="","",'KG1-7'!$C32)</f>
        <v/>
      </c>
      <c r="C4070">
        <f>IF(A4070="","",'KG1-7'!$B$2)</f>
        <v/>
      </c>
      <c r="D4070" s="126">
        <f t="array" ref="D4070">IF(A4070="","",IFERROR(SMALL(IF((('KG1-7'!$AD32:$IM32="غياب بدون عذر")+('KG1-7'!$AD32:$IM32="غياب بعذر"))*('KG1-7'!$AD$7:$IM$7="✓"),'KG1-7'!$AD$5:$IM$5),9),""))</f>
        <v/>
      </c>
      <c r="E4070">
        <f>IF(D4070="","",INDEX('KG1-7'!$AD32:$IM32,MATCH(D4070,'KG1-7'!$AD$5:$IM$5,0)))</f>
        <v/>
      </c>
      <c r="F4070">
        <f>IF(D4070="","",COUNTIFS('KG1-7'!$AD32:$IM32,"غياب بدون عذر",'KG1-7'!$AD$7:$IM$7,"✓",'KG1-7'!$AD$5:$IM$5,"&lt;="&amp;D4070))</f>
        <v/>
      </c>
      <c r="G4070">
        <f>G4069+IF(D4070="",0,1)</f>
        <v/>
      </c>
    </row>
    <row r="4071">
      <c r="A4071">
        <f>IF('KG1-7'!$B32="","",'KG1-7'!$B32)</f>
        <v/>
      </c>
      <c r="B4071">
        <f>IF(A4071="","",'KG1-7'!$C32)</f>
        <v/>
      </c>
      <c r="C4071">
        <f>IF(A4071="","",'KG1-7'!$B$2)</f>
        <v/>
      </c>
      <c r="D4071" s="126">
        <f t="array" ref="D4071">IF(A4071="","",IFERROR(SMALL(IF((('KG1-7'!$AD32:$IM32="غياب بدون عذر")+('KG1-7'!$AD32:$IM32="غياب بعذر"))*('KG1-7'!$AD$7:$IM$7="✓"),'KG1-7'!$AD$5:$IM$5),10),""))</f>
        <v/>
      </c>
      <c r="E4071">
        <f>IF(D4071="","",INDEX('KG1-7'!$AD32:$IM32,MATCH(D4071,'KG1-7'!$AD$5:$IM$5,0)))</f>
        <v/>
      </c>
      <c r="F4071">
        <f>IF(D4071="","",COUNTIFS('KG1-7'!$AD32:$IM32,"غياب بدون عذر",'KG1-7'!$AD$7:$IM$7,"✓",'KG1-7'!$AD$5:$IM$5,"&lt;="&amp;D4071))</f>
        <v/>
      </c>
      <c r="G4071">
        <f>G4070+IF(D4071="",0,1)</f>
        <v/>
      </c>
    </row>
    <row r="4072">
      <c r="A4072">
        <f>IF('KG1-7'!$B32="","",'KG1-7'!$B32)</f>
        <v/>
      </c>
      <c r="B4072">
        <f>IF(A4072="","",'KG1-7'!$C32)</f>
        <v/>
      </c>
      <c r="C4072">
        <f>IF(A4072="","",'KG1-7'!$B$2)</f>
        <v/>
      </c>
      <c r="D4072" s="126">
        <f t="array" ref="D4072">IF(A4072="","",IFERROR(SMALL(IF((('KG1-7'!$AD32:$IM32="غياب بدون عذر")+('KG1-7'!$AD32:$IM32="غياب بعذر"))*('KG1-7'!$AD$7:$IM$7="✓"),'KG1-7'!$AD$5:$IM$5),11),""))</f>
        <v/>
      </c>
      <c r="E4072">
        <f>IF(D4072="","",INDEX('KG1-7'!$AD32:$IM32,MATCH(D4072,'KG1-7'!$AD$5:$IM$5,0)))</f>
        <v/>
      </c>
      <c r="F4072">
        <f>IF(D4072="","",COUNTIFS('KG1-7'!$AD32:$IM32,"غياب بدون عذر",'KG1-7'!$AD$7:$IM$7,"✓",'KG1-7'!$AD$5:$IM$5,"&lt;="&amp;D4072))</f>
        <v/>
      </c>
      <c r="G4072">
        <f>G4071+IF(D4072="",0,1)</f>
        <v/>
      </c>
    </row>
    <row r="4073">
      <c r="A4073">
        <f>IF('KG1-7'!$B32="","",'KG1-7'!$B32)</f>
        <v/>
      </c>
      <c r="B4073">
        <f>IF(A4073="","",'KG1-7'!$C32)</f>
        <v/>
      </c>
      <c r="C4073">
        <f>IF(A4073="","",'KG1-7'!$B$2)</f>
        <v/>
      </c>
      <c r="D4073" s="126">
        <f t="array" ref="D4073">IF(A4073="","",IFERROR(SMALL(IF((('KG1-7'!$AD32:$IM32="غياب بدون عذر")+('KG1-7'!$AD32:$IM32="غياب بعذر"))*('KG1-7'!$AD$7:$IM$7="✓"),'KG1-7'!$AD$5:$IM$5),12),""))</f>
        <v/>
      </c>
      <c r="E4073">
        <f>IF(D4073="","",INDEX('KG1-7'!$AD32:$IM32,MATCH(D4073,'KG1-7'!$AD$5:$IM$5,0)))</f>
        <v/>
      </c>
      <c r="F4073">
        <f>IF(D4073="","",COUNTIFS('KG1-7'!$AD32:$IM32,"غياب بدون عذر",'KG1-7'!$AD$7:$IM$7,"✓",'KG1-7'!$AD$5:$IM$5,"&lt;="&amp;D4073))</f>
        <v/>
      </c>
      <c r="G4073">
        <f>G4072+IF(D4073="",0,1)</f>
        <v/>
      </c>
    </row>
    <row r="4074">
      <c r="A4074">
        <f>IF('KG1-7'!$B32="","",'KG1-7'!$B32)</f>
        <v/>
      </c>
      <c r="B4074">
        <f>IF(A4074="","",'KG1-7'!$C32)</f>
        <v/>
      </c>
      <c r="C4074">
        <f>IF(A4074="","",'KG1-7'!$B$2)</f>
        <v/>
      </c>
      <c r="D4074" s="126">
        <f t="array" ref="D4074">IF(A4074="","",IFERROR(SMALL(IF((('KG1-7'!$AD32:$IM32="غياب بدون عذر")+('KG1-7'!$AD32:$IM32="غياب بعذر"))*('KG1-7'!$AD$7:$IM$7="✓"),'KG1-7'!$AD$5:$IM$5),13),""))</f>
        <v/>
      </c>
      <c r="E4074">
        <f>IF(D4074="","",INDEX('KG1-7'!$AD32:$IM32,MATCH(D4074,'KG1-7'!$AD$5:$IM$5,0)))</f>
        <v/>
      </c>
      <c r="F4074">
        <f>IF(D4074="","",COUNTIFS('KG1-7'!$AD32:$IM32,"غياب بدون عذر",'KG1-7'!$AD$7:$IM$7,"✓",'KG1-7'!$AD$5:$IM$5,"&lt;="&amp;D4074))</f>
        <v/>
      </c>
      <c r="G4074">
        <f>G4073+IF(D4074="",0,1)</f>
        <v/>
      </c>
    </row>
    <row r="4075">
      <c r="A4075">
        <f>IF('KG1-7'!$B32="","",'KG1-7'!$B32)</f>
        <v/>
      </c>
      <c r="B4075">
        <f>IF(A4075="","",'KG1-7'!$C32)</f>
        <v/>
      </c>
      <c r="C4075">
        <f>IF(A4075="","",'KG1-7'!$B$2)</f>
        <v/>
      </c>
      <c r="D4075" s="126">
        <f t="array" ref="D4075">IF(A4075="","",IFERROR(SMALL(IF((('KG1-7'!$AD32:$IM32="غياب بدون عذر")+('KG1-7'!$AD32:$IM32="غياب بعذر"))*('KG1-7'!$AD$7:$IM$7="✓"),'KG1-7'!$AD$5:$IM$5),14),""))</f>
        <v/>
      </c>
      <c r="E4075">
        <f>IF(D4075="","",INDEX('KG1-7'!$AD32:$IM32,MATCH(D4075,'KG1-7'!$AD$5:$IM$5,0)))</f>
        <v/>
      </c>
      <c r="F4075">
        <f>IF(D4075="","",COUNTIFS('KG1-7'!$AD32:$IM32,"غياب بدون عذر",'KG1-7'!$AD$7:$IM$7,"✓",'KG1-7'!$AD$5:$IM$5,"&lt;="&amp;D4075))</f>
        <v/>
      </c>
      <c r="G4075">
        <f>G4074+IF(D4075="",0,1)</f>
        <v/>
      </c>
    </row>
    <row r="4076">
      <c r="A4076">
        <f>IF('KG1-7'!$B32="","",'KG1-7'!$B32)</f>
        <v/>
      </c>
      <c r="B4076">
        <f>IF(A4076="","",'KG1-7'!$C32)</f>
        <v/>
      </c>
      <c r="C4076">
        <f>IF(A4076="","",'KG1-7'!$B$2)</f>
        <v/>
      </c>
      <c r="D4076" s="126">
        <f t="array" ref="D4076">IF(A4076="","",IFERROR(SMALL(IF((('KG1-7'!$AD32:$IM32="غياب بدون عذر")+('KG1-7'!$AD32:$IM32="غياب بعذر"))*('KG1-7'!$AD$7:$IM$7="✓"),'KG1-7'!$AD$5:$IM$5),15),""))</f>
        <v/>
      </c>
      <c r="E4076">
        <f>IF(D4076="","",INDEX('KG1-7'!$AD32:$IM32,MATCH(D4076,'KG1-7'!$AD$5:$IM$5,0)))</f>
        <v/>
      </c>
      <c r="F4076">
        <f>IF(D4076="","",COUNTIFS('KG1-7'!$AD32:$IM32,"غياب بدون عذر",'KG1-7'!$AD$7:$IM$7,"✓",'KG1-7'!$AD$5:$IM$5,"&lt;="&amp;D4076))</f>
        <v/>
      </c>
      <c r="G4076">
        <f>G4075+IF(D4076="",0,1)</f>
        <v/>
      </c>
    </row>
    <row r="4077">
      <c r="A4077">
        <f>IF('KG1-7'!$B32="","",'KG1-7'!$B32)</f>
        <v/>
      </c>
      <c r="B4077">
        <f>IF(A4077="","",'KG1-7'!$C32)</f>
        <v/>
      </c>
      <c r="C4077">
        <f>IF(A4077="","",'KG1-7'!$B$2)</f>
        <v/>
      </c>
      <c r="D4077" s="126">
        <f t="array" ref="D4077">IF(A4077="","",IFERROR(SMALL(IF((('KG1-7'!$AD32:$IM32="غياب بدون عذر")+('KG1-7'!$AD32:$IM32="غياب بعذر"))*('KG1-7'!$AD$7:$IM$7="✓"),'KG1-7'!$AD$5:$IM$5),16),""))</f>
        <v/>
      </c>
      <c r="E4077">
        <f>IF(D4077="","",INDEX('KG1-7'!$AD32:$IM32,MATCH(D4077,'KG1-7'!$AD$5:$IM$5,0)))</f>
        <v/>
      </c>
      <c r="F4077">
        <f>IF(D4077="","",COUNTIFS('KG1-7'!$AD32:$IM32,"غياب بدون عذر",'KG1-7'!$AD$7:$IM$7,"✓",'KG1-7'!$AD$5:$IM$5,"&lt;="&amp;D4077))</f>
        <v/>
      </c>
      <c r="G4077">
        <f>G4076+IF(D4077="",0,1)</f>
        <v/>
      </c>
    </row>
    <row r="4078">
      <c r="A4078">
        <f>IF('KG1-7'!$B32="","",'KG1-7'!$B32)</f>
        <v/>
      </c>
      <c r="B4078">
        <f>IF(A4078="","",'KG1-7'!$C32)</f>
        <v/>
      </c>
      <c r="C4078">
        <f>IF(A4078="","",'KG1-7'!$B$2)</f>
        <v/>
      </c>
      <c r="D4078" s="126">
        <f t="array" ref="D4078">IF(A4078="","",IFERROR(SMALL(IF((('KG1-7'!$AD32:$IM32="غياب بدون عذر")+('KG1-7'!$AD32:$IM32="غياب بعذر"))*('KG1-7'!$AD$7:$IM$7="✓"),'KG1-7'!$AD$5:$IM$5),17),""))</f>
        <v/>
      </c>
      <c r="E4078">
        <f>IF(D4078="","",INDEX('KG1-7'!$AD32:$IM32,MATCH(D4078,'KG1-7'!$AD$5:$IM$5,0)))</f>
        <v/>
      </c>
      <c r="F4078">
        <f>IF(D4078="","",COUNTIFS('KG1-7'!$AD32:$IM32,"غياب بدون عذر",'KG1-7'!$AD$7:$IM$7,"✓",'KG1-7'!$AD$5:$IM$5,"&lt;="&amp;D4078))</f>
        <v/>
      </c>
      <c r="G4078">
        <f>G4077+IF(D4078="",0,1)</f>
        <v/>
      </c>
    </row>
    <row r="4079">
      <c r="A4079">
        <f>IF('KG1-7'!$B32="","",'KG1-7'!$B32)</f>
        <v/>
      </c>
      <c r="B4079">
        <f>IF(A4079="","",'KG1-7'!$C32)</f>
        <v/>
      </c>
      <c r="C4079">
        <f>IF(A4079="","",'KG1-7'!$B$2)</f>
        <v/>
      </c>
      <c r="D4079" s="126">
        <f t="array" ref="D4079">IF(A4079="","",IFERROR(SMALL(IF((('KG1-7'!$AD32:$IM32="غياب بدون عذر")+('KG1-7'!$AD32:$IM32="غياب بعذر"))*('KG1-7'!$AD$7:$IM$7="✓"),'KG1-7'!$AD$5:$IM$5),18),""))</f>
        <v/>
      </c>
      <c r="E4079">
        <f>IF(D4079="","",INDEX('KG1-7'!$AD32:$IM32,MATCH(D4079,'KG1-7'!$AD$5:$IM$5,0)))</f>
        <v/>
      </c>
      <c r="F4079">
        <f>IF(D4079="","",COUNTIFS('KG1-7'!$AD32:$IM32,"غياب بدون عذر",'KG1-7'!$AD$7:$IM$7,"✓",'KG1-7'!$AD$5:$IM$5,"&lt;="&amp;D4079))</f>
        <v/>
      </c>
      <c r="G4079">
        <f>G4078+IF(D4079="",0,1)</f>
        <v/>
      </c>
    </row>
    <row r="4080">
      <c r="A4080">
        <f>IF('KG1-7'!$B32="","",'KG1-7'!$B32)</f>
        <v/>
      </c>
      <c r="B4080">
        <f>IF(A4080="","",'KG1-7'!$C32)</f>
        <v/>
      </c>
      <c r="C4080">
        <f>IF(A4080="","",'KG1-7'!$B$2)</f>
        <v/>
      </c>
      <c r="D4080" s="126">
        <f t="array" ref="D4080">IF(A4080="","",IFERROR(SMALL(IF((('KG1-7'!$AD32:$IM32="غياب بدون عذر")+('KG1-7'!$AD32:$IM32="غياب بعذر"))*('KG1-7'!$AD$7:$IM$7="✓"),'KG1-7'!$AD$5:$IM$5),19),""))</f>
        <v/>
      </c>
      <c r="E4080">
        <f>IF(D4080="","",INDEX('KG1-7'!$AD32:$IM32,MATCH(D4080,'KG1-7'!$AD$5:$IM$5,0)))</f>
        <v/>
      </c>
      <c r="F4080">
        <f>IF(D4080="","",COUNTIFS('KG1-7'!$AD32:$IM32,"غياب بدون عذر",'KG1-7'!$AD$7:$IM$7,"✓",'KG1-7'!$AD$5:$IM$5,"&lt;="&amp;D4080))</f>
        <v/>
      </c>
      <c r="G4080">
        <f>G4079+IF(D4080="",0,1)</f>
        <v/>
      </c>
    </row>
    <row r="4081">
      <c r="A4081">
        <f>IF('KG1-7'!$B32="","",'KG1-7'!$B32)</f>
        <v/>
      </c>
      <c r="B4081">
        <f>IF(A4081="","",'KG1-7'!$C32)</f>
        <v/>
      </c>
      <c r="C4081">
        <f>IF(A4081="","",'KG1-7'!$B$2)</f>
        <v/>
      </c>
      <c r="D4081" s="126">
        <f t="array" ref="D4081">IF(A4081="","",IFERROR(SMALL(IF((('KG1-7'!$AD32:$IM32="غياب بدون عذر")+('KG1-7'!$AD32:$IM32="غياب بعذر"))*('KG1-7'!$AD$7:$IM$7="✓"),'KG1-7'!$AD$5:$IM$5),20),""))</f>
        <v/>
      </c>
      <c r="E4081">
        <f>IF(D4081="","",INDEX('KG1-7'!$AD32:$IM32,MATCH(D4081,'KG1-7'!$AD$5:$IM$5,0)))</f>
        <v/>
      </c>
      <c r="F4081">
        <f>IF(D4081="","",COUNTIFS('KG1-7'!$AD32:$IM32,"غياب بدون عذر",'KG1-7'!$AD$7:$IM$7,"✓",'KG1-7'!$AD$5:$IM$5,"&lt;="&amp;D4081))</f>
        <v/>
      </c>
      <c r="G4081">
        <f>G4080+IF(D4081="",0,1)</f>
        <v/>
      </c>
    </row>
    <row r="4082">
      <c r="A4082">
        <f>IF('KG1-7'!$B33="","",'KG1-7'!$B33)</f>
        <v/>
      </c>
      <c r="B4082">
        <f>IF(A4082="","",'KG1-7'!$C33)</f>
        <v/>
      </c>
      <c r="C4082">
        <f>IF(A4082="","",'KG1-7'!$B$2)</f>
        <v/>
      </c>
      <c r="D4082" s="126">
        <f t="array" ref="D4082">IF(A4082="","",IFERROR(SMALL(IF((('KG1-7'!$AD33:$IM33="غياب بدون عذر")+('KG1-7'!$AD33:$IM33="غياب بعذر"))*('KG1-7'!$AD$7:$IM$7="✓"),'KG1-7'!$AD$5:$IM$5),1),""))</f>
        <v/>
      </c>
      <c r="E4082">
        <f>IF(D4082="","",INDEX('KG1-7'!$AD33:$IM33,MATCH(D4082,'KG1-7'!$AD$5:$IM$5,0)))</f>
        <v/>
      </c>
      <c r="F4082">
        <f>IF(D4082="","",COUNTIFS('KG1-7'!$AD33:$IM33,"غياب بدون عذر",'KG1-7'!$AD$7:$IM$7,"✓",'KG1-7'!$AD$5:$IM$5,"&lt;="&amp;D4082))</f>
        <v/>
      </c>
      <c r="G4082">
        <f>G4081+IF(D4082="",0,1)</f>
        <v/>
      </c>
    </row>
    <row r="4083">
      <c r="A4083">
        <f>IF('KG1-7'!$B33="","",'KG1-7'!$B33)</f>
        <v/>
      </c>
      <c r="B4083">
        <f>IF(A4083="","",'KG1-7'!$C33)</f>
        <v/>
      </c>
      <c r="C4083">
        <f>IF(A4083="","",'KG1-7'!$B$2)</f>
        <v/>
      </c>
      <c r="D4083" s="126">
        <f t="array" ref="D4083">IF(A4083="","",IFERROR(SMALL(IF((('KG1-7'!$AD33:$IM33="غياب بدون عذر")+('KG1-7'!$AD33:$IM33="غياب بعذر"))*('KG1-7'!$AD$7:$IM$7="✓"),'KG1-7'!$AD$5:$IM$5),2),""))</f>
        <v/>
      </c>
      <c r="E4083">
        <f>IF(D4083="","",INDEX('KG1-7'!$AD33:$IM33,MATCH(D4083,'KG1-7'!$AD$5:$IM$5,0)))</f>
        <v/>
      </c>
      <c r="F4083">
        <f>IF(D4083="","",COUNTIFS('KG1-7'!$AD33:$IM33,"غياب بدون عذر",'KG1-7'!$AD$7:$IM$7,"✓",'KG1-7'!$AD$5:$IM$5,"&lt;="&amp;D4083))</f>
        <v/>
      </c>
      <c r="G4083">
        <f>G4082+IF(D4083="",0,1)</f>
        <v/>
      </c>
    </row>
    <row r="4084">
      <c r="A4084">
        <f>IF('KG1-7'!$B33="","",'KG1-7'!$B33)</f>
        <v/>
      </c>
      <c r="B4084">
        <f>IF(A4084="","",'KG1-7'!$C33)</f>
        <v/>
      </c>
      <c r="C4084">
        <f>IF(A4084="","",'KG1-7'!$B$2)</f>
        <v/>
      </c>
      <c r="D4084" s="126">
        <f t="array" ref="D4084">IF(A4084="","",IFERROR(SMALL(IF((('KG1-7'!$AD33:$IM33="غياب بدون عذر")+('KG1-7'!$AD33:$IM33="غياب بعذر"))*('KG1-7'!$AD$7:$IM$7="✓"),'KG1-7'!$AD$5:$IM$5),3),""))</f>
        <v/>
      </c>
      <c r="E4084">
        <f>IF(D4084="","",INDEX('KG1-7'!$AD33:$IM33,MATCH(D4084,'KG1-7'!$AD$5:$IM$5,0)))</f>
        <v/>
      </c>
      <c r="F4084">
        <f>IF(D4084="","",COUNTIFS('KG1-7'!$AD33:$IM33,"غياب بدون عذر",'KG1-7'!$AD$7:$IM$7,"✓",'KG1-7'!$AD$5:$IM$5,"&lt;="&amp;D4084))</f>
        <v/>
      </c>
      <c r="G4084">
        <f>G4083+IF(D4084="",0,1)</f>
        <v/>
      </c>
    </row>
    <row r="4085">
      <c r="A4085">
        <f>IF('KG1-7'!$B33="","",'KG1-7'!$B33)</f>
        <v/>
      </c>
      <c r="B4085">
        <f>IF(A4085="","",'KG1-7'!$C33)</f>
        <v/>
      </c>
      <c r="C4085">
        <f>IF(A4085="","",'KG1-7'!$B$2)</f>
        <v/>
      </c>
      <c r="D4085" s="126">
        <f t="array" ref="D4085">IF(A4085="","",IFERROR(SMALL(IF((('KG1-7'!$AD33:$IM33="غياب بدون عذر")+('KG1-7'!$AD33:$IM33="غياب بعذر"))*('KG1-7'!$AD$7:$IM$7="✓"),'KG1-7'!$AD$5:$IM$5),4),""))</f>
        <v/>
      </c>
      <c r="E4085">
        <f>IF(D4085="","",INDEX('KG1-7'!$AD33:$IM33,MATCH(D4085,'KG1-7'!$AD$5:$IM$5,0)))</f>
        <v/>
      </c>
      <c r="F4085">
        <f>IF(D4085="","",COUNTIFS('KG1-7'!$AD33:$IM33,"غياب بدون عذر",'KG1-7'!$AD$7:$IM$7,"✓",'KG1-7'!$AD$5:$IM$5,"&lt;="&amp;D4085))</f>
        <v/>
      </c>
      <c r="G4085">
        <f>G4084+IF(D4085="",0,1)</f>
        <v/>
      </c>
    </row>
    <row r="4086">
      <c r="A4086">
        <f>IF('KG1-7'!$B33="","",'KG1-7'!$B33)</f>
        <v/>
      </c>
      <c r="B4086">
        <f>IF(A4086="","",'KG1-7'!$C33)</f>
        <v/>
      </c>
      <c r="C4086">
        <f>IF(A4086="","",'KG1-7'!$B$2)</f>
        <v/>
      </c>
      <c r="D4086" s="126">
        <f t="array" ref="D4086">IF(A4086="","",IFERROR(SMALL(IF((('KG1-7'!$AD33:$IM33="غياب بدون عذر")+('KG1-7'!$AD33:$IM33="غياب بعذر"))*('KG1-7'!$AD$7:$IM$7="✓"),'KG1-7'!$AD$5:$IM$5),5),""))</f>
        <v/>
      </c>
      <c r="E4086">
        <f>IF(D4086="","",INDEX('KG1-7'!$AD33:$IM33,MATCH(D4086,'KG1-7'!$AD$5:$IM$5,0)))</f>
        <v/>
      </c>
      <c r="F4086">
        <f>IF(D4086="","",COUNTIFS('KG1-7'!$AD33:$IM33,"غياب بدون عذر",'KG1-7'!$AD$7:$IM$7,"✓",'KG1-7'!$AD$5:$IM$5,"&lt;="&amp;D4086))</f>
        <v/>
      </c>
      <c r="G4086">
        <f>G4085+IF(D4086="",0,1)</f>
        <v/>
      </c>
    </row>
    <row r="4087">
      <c r="A4087">
        <f>IF('KG1-7'!$B33="","",'KG1-7'!$B33)</f>
        <v/>
      </c>
      <c r="B4087">
        <f>IF(A4087="","",'KG1-7'!$C33)</f>
        <v/>
      </c>
      <c r="C4087">
        <f>IF(A4087="","",'KG1-7'!$B$2)</f>
        <v/>
      </c>
      <c r="D4087" s="126">
        <f t="array" ref="D4087">IF(A4087="","",IFERROR(SMALL(IF((('KG1-7'!$AD33:$IM33="غياب بدون عذر")+('KG1-7'!$AD33:$IM33="غياب بعذر"))*('KG1-7'!$AD$7:$IM$7="✓"),'KG1-7'!$AD$5:$IM$5),6),""))</f>
        <v/>
      </c>
      <c r="E4087">
        <f>IF(D4087="","",INDEX('KG1-7'!$AD33:$IM33,MATCH(D4087,'KG1-7'!$AD$5:$IM$5,0)))</f>
        <v/>
      </c>
      <c r="F4087">
        <f>IF(D4087="","",COUNTIFS('KG1-7'!$AD33:$IM33,"غياب بدون عذر",'KG1-7'!$AD$7:$IM$7,"✓",'KG1-7'!$AD$5:$IM$5,"&lt;="&amp;D4087))</f>
        <v/>
      </c>
      <c r="G4087">
        <f>G4086+IF(D4087="",0,1)</f>
        <v/>
      </c>
    </row>
    <row r="4088">
      <c r="A4088">
        <f>IF('KG1-7'!$B33="","",'KG1-7'!$B33)</f>
        <v/>
      </c>
      <c r="B4088">
        <f>IF(A4088="","",'KG1-7'!$C33)</f>
        <v/>
      </c>
      <c r="C4088">
        <f>IF(A4088="","",'KG1-7'!$B$2)</f>
        <v/>
      </c>
      <c r="D4088" s="126">
        <f t="array" ref="D4088">IF(A4088="","",IFERROR(SMALL(IF((('KG1-7'!$AD33:$IM33="غياب بدون عذر")+('KG1-7'!$AD33:$IM33="غياب بعذر"))*('KG1-7'!$AD$7:$IM$7="✓"),'KG1-7'!$AD$5:$IM$5),7),""))</f>
        <v/>
      </c>
      <c r="E4088">
        <f>IF(D4088="","",INDEX('KG1-7'!$AD33:$IM33,MATCH(D4088,'KG1-7'!$AD$5:$IM$5,0)))</f>
        <v/>
      </c>
      <c r="F4088">
        <f>IF(D4088="","",COUNTIFS('KG1-7'!$AD33:$IM33,"غياب بدون عذر",'KG1-7'!$AD$7:$IM$7,"✓",'KG1-7'!$AD$5:$IM$5,"&lt;="&amp;D4088))</f>
        <v/>
      </c>
      <c r="G4088">
        <f>G4087+IF(D4088="",0,1)</f>
        <v/>
      </c>
    </row>
    <row r="4089">
      <c r="A4089">
        <f>IF('KG1-7'!$B33="","",'KG1-7'!$B33)</f>
        <v/>
      </c>
      <c r="B4089">
        <f>IF(A4089="","",'KG1-7'!$C33)</f>
        <v/>
      </c>
      <c r="C4089">
        <f>IF(A4089="","",'KG1-7'!$B$2)</f>
        <v/>
      </c>
      <c r="D4089" s="126">
        <f t="array" ref="D4089">IF(A4089="","",IFERROR(SMALL(IF((('KG1-7'!$AD33:$IM33="غياب بدون عذر")+('KG1-7'!$AD33:$IM33="غياب بعذر"))*('KG1-7'!$AD$7:$IM$7="✓"),'KG1-7'!$AD$5:$IM$5),8),""))</f>
        <v/>
      </c>
      <c r="E4089">
        <f>IF(D4089="","",INDEX('KG1-7'!$AD33:$IM33,MATCH(D4089,'KG1-7'!$AD$5:$IM$5,0)))</f>
        <v/>
      </c>
      <c r="F4089">
        <f>IF(D4089="","",COUNTIFS('KG1-7'!$AD33:$IM33,"غياب بدون عذر",'KG1-7'!$AD$7:$IM$7,"✓",'KG1-7'!$AD$5:$IM$5,"&lt;="&amp;D4089))</f>
        <v/>
      </c>
      <c r="G4089">
        <f>G4088+IF(D4089="",0,1)</f>
        <v/>
      </c>
    </row>
    <row r="4090">
      <c r="A4090">
        <f>IF('KG1-7'!$B33="","",'KG1-7'!$B33)</f>
        <v/>
      </c>
      <c r="B4090">
        <f>IF(A4090="","",'KG1-7'!$C33)</f>
        <v/>
      </c>
      <c r="C4090">
        <f>IF(A4090="","",'KG1-7'!$B$2)</f>
        <v/>
      </c>
      <c r="D4090" s="126">
        <f t="array" ref="D4090">IF(A4090="","",IFERROR(SMALL(IF((('KG1-7'!$AD33:$IM33="غياب بدون عذر")+('KG1-7'!$AD33:$IM33="غياب بعذر"))*('KG1-7'!$AD$7:$IM$7="✓"),'KG1-7'!$AD$5:$IM$5),9),""))</f>
        <v/>
      </c>
      <c r="E4090">
        <f>IF(D4090="","",INDEX('KG1-7'!$AD33:$IM33,MATCH(D4090,'KG1-7'!$AD$5:$IM$5,0)))</f>
        <v/>
      </c>
      <c r="F4090">
        <f>IF(D4090="","",COUNTIFS('KG1-7'!$AD33:$IM33,"غياب بدون عذر",'KG1-7'!$AD$7:$IM$7,"✓",'KG1-7'!$AD$5:$IM$5,"&lt;="&amp;D4090))</f>
        <v/>
      </c>
      <c r="G4090">
        <f>G4089+IF(D4090="",0,1)</f>
        <v/>
      </c>
    </row>
    <row r="4091">
      <c r="A4091">
        <f>IF('KG1-7'!$B33="","",'KG1-7'!$B33)</f>
        <v/>
      </c>
      <c r="B4091">
        <f>IF(A4091="","",'KG1-7'!$C33)</f>
        <v/>
      </c>
      <c r="C4091">
        <f>IF(A4091="","",'KG1-7'!$B$2)</f>
        <v/>
      </c>
      <c r="D4091" s="126">
        <f t="array" ref="D4091">IF(A4091="","",IFERROR(SMALL(IF((('KG1-7'!$AD33:$IM33="غياب بدون عذر")+('KG1-7'!$AD33:$IM33="غياب بعذر"))*('KG1-7'!$AD$7:$IM$7="✓"),'KG1-7'!$AD$5:$IM$5),10),""))</f>
        <v/>
      </c>
      <c r="E4091">
        <f>IF(D4091="","",INDEX('KG1-7'!$AD33:$IM33,MATCH(D4091,'KG1-7'!$AD$5:$IM$5,0)))</f>
        <v/>
      </c>
      <c r="F4091">
        <f>IF(D4091="","",COUNTIFS('KG1-7'!$AD33:$IM33,"غياب بدون عذر",'KG1-7'!$AD$7:$IM$7,"✓",'KG1-7'!$AD$5:$IM$5,"&lt;="&amp;D4091))</f>
        <v/>
      </c>
      <c r="G4091">
        <f>G4090+IF(D4091="",0,1)</f>
        <v/>
      </c>
    </row>
    <row r="4092">
      <c r="A4092">
        <f>IF('KG1-7'!$B33="","",'KG1-7'!$B33)</f>
        <v/>
      </c>
      <c r="B4092">
        <f>IF(A4092="","",'KG1-7'!$C33)</f>
        <v/>
      </c>
      <c r="C4092">
        <f>IF(A4092="","",'KG1-7'!$B$2)</f>
        <v/>
      </c>
      <c r="D4092" s="126">
        <f t="array" ref="D4092">IF(A4092="","",IFERROR(SMALL(IF((('KG1-7'!$AD33:$IM33="غياب بدون عذر")+('KG1-7'!$AD33:$IM33="غياب بعذر"))*('KG1-7'!$AD$7:$IM$7="✓"),'KG1-7'!$AD$5:$IM$5),11),""))</f>
        <v/>
      </c>
      <c r="E4092">
        <f>IF(D4092="","",INDEX('KG1-7'!$AD33:$IM33,MATCH(D4092,'KG1-7'!$AD$5:$IM$5,0)))</f>
        <v/>
      </c>
      <c r="F4092">
        <f>IF(D4092="","",COUNTIFS('KG1-7'!$AD33:$IM33,"غياب بدون عذر",'KG1-7'!$AD$7:$IM$7,"✓",'KG1-7'!$AD$5:$IM$5,"&lt;="&amp;D4092))</f>
        <v/>
      </c>
      <c r="G4092">
        <f>G4091+IF(D4092="",0,1)</f>
        <v/>
      </c>
    </row>
    <row r="4093">
      <c r="A4093">
        <f>IF('KG1-7'!$B33="","",'KG1-7'!$B33)</f>
        <v/>
      </c>
      <c r="B4093">
        <f>IF(A4093="","",'KG1-7'!$C33)</f>
        <v/>
      </c>
      <c r="C4093">
        <f>IF(A4093="","",'KG1-7'!$B$2)</f>
        <v/>
      </c>
      <c r="D4093" s="126">
        <f t="array" ref="D4093">IF(A4093="","",IFERROR(SMALL(IF((('KG1-7'!$AD33:$IM33="غياب بدون عذر")+('KG1-7'!$AD33:$IM33="غياب بعذر"))*('KG1-7'!$AD$7:$IM$7="✓"),'KG1-7'!$AD$5:$IM$5),12),""))</f>
        <v/>
      </c>
      <c r="E4093">
        <f>IF(D4093="","",INDEX('KG1-7'!$AD33:$IM33,MATCH(D4093,'KG1-7'!$AD$5:$IM$5,0)))</f>
        <v/>
      </c>
      <c r="F4093">
        <f>IF(D4093="","",COUNTIFS('KG1-7'!$AD33:$IM33,"غياب بدون عذر",'KG1-7'!$AD$7:$IM$7,"✓",'KG1-7'!$AD$5:$IM$5,"&lt;="&amp;D4093))</f>
        <v/>
      </c>
      <c r="G4093">
        <f>G4092+IF(D4093="",0,1)</f>
        <v/>
      </c>
    </row>
    <row r="4094">
      <c r="A4094">
        <f>IF('KG1-7'!$B33="","",'KG1-7'!$B33)</f>
        <v/>
      </c>
      <c r="B4094">
        <f>IF(A4094="","",'KG1-7'!$C33)</f>
        <v/>
      </c>
      <c r="C4094">
        <f>IF(A4094="","",'KG1-7'!$B$2)</f>
        <v/>
      </c>
      <c r="D4094" s="126">
        <f t="array" ref="D4094">IF(A4094="","",IFERROR(SMALL(IF((('KG1-7'!$AD33:$IM33="غياب بدون عذر")+('KG1-7'!$AD33:$IM33="غياب بعذر"))*('KG1-7'!$AD$7:$IM$7="✓"),'KG1-7'!$AD$5:$IM$5),13),""))</f>
        <v/>
      </c>
      <c r="E4094">
        <f>IF(D4094="","",INDEX('KG1-7'!$AD33:$IM33,MATCH(D4094,'KG1-7'!$AD$5:$IM$5,0)))</f>
        <v/>
      </c>
      <c r="F4094">
        <f>IF(D4094="","",COUNTIFS('KG1-7'!$AD33:$IM33,"غياب بدون عذر",'KG1-7'!$AD$7:$IM$7,"✓",'KG1-7'!$AD$5:$IM$5,"&lt;="&amp;D4094))</f>
        <v/>
      </c>
      <c r="G4094">
        <f>G4093+IF(D4094="",0,1)</f>
        <v/>
      </c>
    </row>
    <row r="4095">
      <c r="A4095">
        <f>IF('KG1-7'!$B33="","",'KG1-7'!$B33)</f>
        <v/>
      </c>
      <c r="B4095">
        <f>IF(A4095="","",'KG1-7'!$C33)</f>
        <v/>
      </c>
      <c r="C4095">
        <f>IF(A4095="","",'KG1-7'!$B$2)</f>
        <v/>
      </c>
      <c r="D4095" s="126">
        <f t="array" ref="D4095">IF(A4095="","",IFERROR(SMALL(IF((('KG1-7'!$AD33:$IM33="غياب بدون عذر")+('KG1-7'!$AD33:$IM33="غياب بعذر"))*('KG1-7'!$AD$7:$IM$7="✓"),'KG1-7'!$AD$5:$IM$5),14),""))</f>
        <v/>
      </c>
      <c r="E4095">
        <f>IF(D4095="","",INDEX('KG1-7'!$AD33:$IM33,MATCH(D4095,'KG1-7'!$AD$5:$IM$5,0)))</f>
        <v/>
      </c>
      <c r="F4095">
        <f>IF(D4095="","",COUNTIFS('KG1-7'!$AD33:$IM33,"غياب بدون عذر",'KG1-7'!$AD$7:$IM$7,"✓",'KG1-7'!$AD$5:$IM$5,"&lt;="&amp;D4095))</f>
        <v/>
      </c>
      <c r="G4095">
        <f>G4094+IF(D4095="",0,1)</f>
        <v/>
      </c>
    </row>
    <row r="4096">
      <c r="A4096">
        <f>IF('KG1-7'!$B33="","",'KG1-7'!$B33)</f>
        <v/>
      </c>
      <c r="B4096">
        <f>IF(A4096="","",'KG1-7'!$C33)</f>
        <v/>
      </c>
      <c r="C4096">
        <f>IF(A4096="","",'KG1-7'!$B$2)</f>
        <v/>
      </c>
      <c r="D4096" s="126">
        <f t="array" ref="D4096">IF(A4096="","",IFERROR(SMALL(IF((('KG1-7'!$AD33:$IM33="غياب بدون عذر")+('KG1-7'!$AD33:$IM33="غياب بعذر"))*('KG1-7'!$AD$7:$IM$7="✓"),'KG1-7'!$AD$5:$IM$5),15),""))</f>
        <v/>
      </c>
      <c r="E4096">
        <f>IF(D4096="","",INDEX('KG1-7'!$AD33:$IM33,MATCH(D4096,'KG1-7'!$AD$5:$IM$5,0)))</f>
        <v/>
      </c>
      <c r="F4096">
        <f>IF(D4096="","",COUNTIFS('KG1-7'!$AD33:$IM33,"غياب بدون عذر",'KG1-7'!$AD$7:$IM$7,"✓",'KG1-7'!$AD$5:$IM$5,"&lt;="&amp;D4096))</f>
        <v/>
      </c>
      <c r="G4096">
        <f>G4095+IF(D4096="",0,1)</f>
        <v/>
      </c>
    </row>
    <row r="4097">
      <c r="A4097">
        <f>IF('KG1-7'!$B33="","",'KG1-7'!$B33)</f>
        <v/>
      </c>
      <c r="B4097">
        <f>IF(A4097="","",'KG1-7'!$C33)</f>
        <v/>
      </c>
      <c r="C4097">
        <f>IF(A4097="","",'KG1-7'!$B$2)</f>
        <v/>
      </c>
      <c r="D4097" s="126">
        <f t="array" ref="D4097">IF(A4097="","",IFERROR(SMALL(IF((('KG1-7'!$AD33:$IM33="غياب بدون عذر")+('KG1-7'!$AD33:$IM33="غياب بعذر"))*('KG1-7'!$AD$7:$IM$7="✓"),'KG1-7'!$AD$5:$IM$5),16),""))</f>
        <v/>
      </c>
      <c r="E4097">
        <f>IF(D4097="","",INDEX('KG1-7'!$AD33:$IM33,MATCH(D4097,'KG1-7'!$AD$5:$IM$5,0)))</f>
        <v/>
      </c>
      <c r="F4097">
        <f>IF(D4097="","",COUNTIFS('KG1-7'!$AD33:$IM33,"غياب بدون عذر",'KG1-7'!$AD$7:$IM$7,"✓",'KG1-7'!$AD$5:$IM$5,"&lt;="&amp;D4097))</f>
        <v/>
      </c>
      <c r="G4097">
        <f>G4096+IF(D4097="",0,1)</f>
        <v/>
      </c>
    </row>
    <row r="4098">
      <c r="A4098">
        <f>IF('KG1-7'!$B33="","",'KG1-7'!$B33)</f>
        <v/>
      </c>
      <c r="B4098">
        <f>IF(A4098="","",'KG1-7'!$C33)</f>
        <v/>
      </c>
      <c r="C4098">
        <f>IF(A4098="","",'KG1-7'!$B$2)</f>
        <v/>
      </c>
      <c r="D4098" s="126">
        <f t="array" ref="D4098">IF(A4098="","",IFERROR(SMALL(IF((('KG1-7'!$AD33:$IM33="غياب بدون عذر")+('KG1-7'!$AD33:$IM33="غياب بعذر"))*('KG1-7'!$AD$7:$IM$7="✓"),'KG1-7'!$AD$5:$IM$5),17),""))</f>
        <v/>
      </c>
      <c r="E4098">
        <f>IF(D4098="","",INDEX('KG1-7'!$AD33:$IM33,MATCH(D4098,'KG1-7'!$AD$5:$IM$5,0)))</f>
        <v/>
      </c>
      <c r="F4098">
        <f>IF(D4098="","",COUNTIFS('KG1-7'!$AD33:$IM33,"غياب بدون عذر",'KG1-7'!$AD$7:$IM$7,"✓",'KG1-7'!$AD$5:$IM$5,"&lt;="&amp;D4098))</f>
        <v/>
      </c>
      <c r="G4098">
        <f>G4097+IF(D4098="",0,1)</f>
        <v/>
      </c>
    </row>
    <row r="4099">
      <c r="A4099">
        <f>IF('KG1-7'!$B33="","",'KG1-7'!$B33)</f>
        <v/>
      </c>
      <c r="B4099">
        <f>IF(A4099="","",'KG1-7'!$C33)</f>
        <v/>
      </c>
      <c r="C4099">
        <f>IF(A4099="","",'KG1-7'!$B$2)</f>
        <v/>
      </c>
      <c r="D4099" s="126">
        <f t="array" ref="D4099">IF(A4099="","",IFERROR(SMALL(IF((('KG1-7'!$AD33:$IM33="غياب بدون عذر")+('KG1-7'!$AD33:$IM33="غياب بعذر"))*('KG1-7'!$AD$7:$IM$7="✓"),'KG1-7'!$AD$5:$IM$5),18),""))</f>
        <v/>
      </c>
      <c r="E4099">
        <f>IF(D4099="","",INDEX('KG1-7'!$AD33:$IM33,MATCH(D4099,'KG1-7'!$AD$5:$IM$5,0)))</f>
        <v/>
      </c>
      <c r="F4099">
        <f>IF(D4099="","",COUNTIFS('KG1-7'!$AD33:$IM33,"غياب بدون عذر",'KG1-7'!$AD$7:$IM$7,"✓",'KG1-7'!$AD$5:$IM$5,"&lt;="&amp;D4099))</f>
        <v/>
      </c>
      <c r="G4099">
        <f>G4098+IF(D4099="",0,1)</f>
        <v/>
      </c>
    </row>
    <row r="4100">
      <c r="A4100">
        <f>IF('KG1-7'!$B33="","",'KG1-7'!$B33)</f>
        <v/>
      </c>
      <c r="B4100">
        <f>IF(A4100="","",'KG1-7'!$C33)</f>
        <v/>
      </c>
      <c r="C4100">
        <f>IF(A4100="","",'KG1-7'!$B$2)</f>
        <v/>
      </c>
      <c r="D4100" s="126">
        <f t="array" ref="D4100">IF(A4100="","",IFERROR(SMALL(IF((('KG1-7'!$AD33:$IM33="غياب بدون عذر")+('KG1-7'!$AD33:$IM33="غياب بعذر"))*('KG1-7'!$AD$7:$IM$7="✓"),'KG1-7'!$AD$5:$IM$5),19),""))</f>
        <v/>
      </c>
      <c r="E4100">
        <f>IF(D4100="","",INDEX('KG1-7'!$AD33:$IM33,MATCH(D4100,'KG1-7'!$AD$5:$IM$5,0)))</f>
        <v/>
      </c>
      <c r="F4100">
        <f>IF(D4100="","",COUNTIFS('KG1-7'!$AD33:$IM33,"غياب بدون عذر",'KG1-7'!$AD$7:$IM$7,"✓",'KG1-7'!$AD$5:$IM$5,"&lt;="&amp;D4100))</f>
        <v/>
      </c>
      <c r="G4100">
        <f>G4099+IF(D4100="",0,1)</f>
        <v/>
      </c>
    </row>
    <row r="4101">
      <c r="A4101">
        <f>IF('KG1-7'!$B33="","",'KG1-7'!$B33)</f>
        <v/>
      </c>
      <c r="B4101">
        <f>IF(A4101="","",'KG1-7'!$C33)</f>
        <v/>
      </c>
      <c r="C4101">
        <f>IF(A4101="","",'KG1-7'!$B$2)</f>
        <v/>
      </c>
      <c r="D4101" s="126">
        <f t="array" ref="D4101">IF(A4101="","",IFERROR(SMALL(IF((('KG1-7'!$AD33:$IM33="غياب بدون عذر")+('KG1-7'!$AD33:$IM33="غياب بعذر"))*('KG1-7'!$AD$7:$IM$7="✓"),'KG1-7'!$AD$5:$IM$5),20),""))</f>
        <v/>
      </c>
      <c r="E4101">
        <f>IF(D4101="","",INDEX('KG1-7'!$AD33:$IM33,MATCH(D4101,'KG1-7'!$AD$5:$IM$5,0)))</f>
        <v/>
      </c>
      <c r="F4101">
        <f>IF(D4101="","",COUNTIFS('KG1-7'!$AD33:$IM33,"غياب بدون عذر",'KG1-7'!$AD$7:$IM$7,"✓",'KG1-7'!$AD$5:$IM$5,"&lt;="&amp;D4101))</f>
        <v/>
      </c>
      <c r="G4101">
        <f>G4100+IF(D4101="",0,1)</f>
        <v/>
      </c>
    </row>
    <row r="4102">
      <c r="A4102">
        <f>IF('KG1-7'!$B34="","",'KG1-7'!$B34)</f>
        <v/>
      </c>
      <c r="B4102">
        <f>IF(A4102="","",'KG1-7'!$C34)</f>
        <v/>
      </c>
      <c r="C4102">
        <f>IF(A4102="","",'KG1-7'!$B$2)</f>
        <v/>
      </c>
      <c r="D4102" s="126">
        <f t="array" ref="D4102">IF(A4102="","",IFERROR(SMALL(IF((('KG1-7'!$AD34:$IM34="غياب بدون عذر")+('KG1-7'!$AD34:$IM34="غياب بعذر"))*('KG1-7'!$AD$7:$IM$7="✓"),'KG1-7'!$AD$5:$IM$5),1),""))</f>
        <v/>
      </c>
      <c r="E4102">
        <f>IF(D4102="","",INDEX('KG1-7'!$AD34:$IM34,MATCH(D4102,'KG1-7'!$AD$5:$IM$5,0)))</f>
        <v/>
      </c>
      <c r="F4102">
        <f>IF(D4102="","",COUNTIFS('KG1-7'!$AD34:$IM34,"غياب بدون عذر",'KG1-7'!$AD$7:$IM$7,"✓",'KG1-7'!$AD$5:$IM$5,"&lt;="&amp;D4102))</f>
        <v/>
      </c>
      <c r="G4102">
        <f>G4101+IF(D4102="",0,1)</f>
        <v/>
      </c>
    </row>
    <row r="4103">
      <c r="A4103">
        <f>IF('KG1-7'!$B34="","",'KG1-7'!$B34)</f>
        <v/>
      </c>
      <c r="B4103">
        <f>IF(A4103="","",'KG1-7'!$C34)</f>
        <v/>
      </c>
      <c r="C4103">
        <f>IF(A4103="","",'KG1-7'!$B$2)</f>
        <v/>
      </c>
      <c r="D4103" s="126">
        <f t="array" ref="D4103">IF(A4103="","",IFERROR(SMALL(IF((('KG1-7'!$AD34:$IM34="غياب بدون عذر")+('KG1-7'!$AD34:$IM34="غياب بعذر"))*('KG1-7'!$AD$7:$IM$7="✓"),'KG1-7'!$AD$5:$IM$5),2),""))</f>
        <v/>
      </c>
      <c r="E4103">
        <f>IF(D4103="","",INDEX('KG1-7'!$AD34:$IM34,MATCH(D4103,'KG1-7'!$AD$5:$IM$5,0)))</f>
        <v/>
      </c>
      <c r="F4103">
        <f>IF(D4103="","",COUNTIFS('KG1-7'!$AD34:$IM34,"غياب بدون عذر",'KG1-7'!$AD$7:$IM$7,"✓",'KG1-7'!$AD$5:$IM$5,"&lt;="&amp;D4103))</f>
        <v/>
      </c>
      <c r="G4103">
        <f>G4102+IF(D4103="",0,1)</f>
        <v/>
      </c>
    </row>
    <row r="4104">
      <c r="A4104">
        <f>IF('KG1-7'!$B34="","",'KG1-7'!$B34)</f>
        <v/>
      </c>
      <c r="B4104">
        <f>IF(A4104="","",'KG1-7'!$C34)</f>
        <v/>
      </c>
      <c r="C4104">
        <f>IF(A4104="","",'KG1-7'!$B$2)</f>
        <v/>
      </c>
      <c r="D4104" s="126">
        <f t="array" ref="D4104">IF(A4104="","",IFERROR(SMALL(IF((('KG1-7'!$AD34:$IM34="غياب بدون عذر")+('KG1-7'!$AD34:$IM34="غياب بعذر"))*('KG1-7'!$AD$7:$IM$7="✓"),'KG1-7'!$AD$5:$IM$5),3),""))</f>
        <v/>
      </c>
      <c r="E4104">
        <f>IF(D4104="","",INDEX('KG1-7'!$AD34:$IM34,MATCH(D4104,'KG1-7'!$AD$5:$IM$5,0)))</f>
        <v/>
      </c>
      <c r="F4104">
        <f>IF(D4104="","",COUNTIFS('KG1-7'!$AD34:$IM34,"غياب بدون عذر",'KG1-7'!$AD$7:$IM$7,"✓",'KG1-7'!$AD$5:$IM$5,"&lt;="&amp;D4104))</f>
        <v/>
      </c>
      <c r="G4104">
        <f>G4103+IF(D4104="",0,1)</f>
        <v/>
      </c>
    </row>
    <row r="4105">
      <c r="A4105">
        <f>IF('KG1-7'!$B34="","",'KG1-7'!$B34)</f>
        <v/>
      </c>
      <c r="B4105">
        <f>IF(A4105="","",'KG1-7'!$C34)</f>
        <v/>
      </c>
      <c r="C4105">
        <f>IF(A4105="","",'KG1-7'!$B$2)</f>
        <v/>
      </c>
      <c r="D4105" s="126">
        <f t="array" ref="D4105">IF(A4105="","",IFERROR(SMALL(IF((('KG1-7'!$AD34:$IM34="غياب بدون عذر")+('KG1-7'!$AD34:$IM34="غياب بعذر"))*('KG1-7'!$AD$7:$IM$7="✓"),'KG1-7'!$AD$5:$IM$5),4),""))</f>
        <v/>
      </c>
      <c r="E4105">
        <f>IF(D4105="","",INDEX('KG1-7'!$AD34:$IM34,MATCH(D4105,'KG1-7'!$AD$5:$IM$5,0)))</f>
        <v/>
      </c>
      <c r="F4105">
        <f>IF(D4105="","",COUNTIFS('KG1-7'!$AD34:$IM34,"غياب بدون عذر",'KG1-7'!$AD$7:$IM$7,"✓",'KG1-7'!$AD$5:$IM$5,"&lt;="&amp;D4105))</f>
        <v/>
      </c>
      <c r="G4105">
        <f>G4104+IF(D4105="",0,1)</f>
        <v/>
      </c>
    </row>
    <row r="4106">
      <c r="A4106">
        <f>IF('KG1-7'!$B34="","",'KG1-7'!$B34)</f>
        <v/>
      </c>
      <c r="B4106">
        <f>IF(A4106="","",'KG1-7'!$C34)</f>
        <v/>
      </c>
      <c r="C4106">
        <f>IF(A4106="","",'KG1-7'!$B$2)</f>
        <v/>
      </c>
      <c r="D4106" s="126">
        <f t="array" ref="D4106">IF(A4106="","",IFERROR(SMALL(IF((('KG1-7'!$AD34:$IM34="غياب بدون عذر")+('KG1-7'!$AD34:$IM34="غياب بعذر"))*('KG1-7'!$AD$7:$IM$7="✓"),'KG1-7'!$AD$5:$IM$5),5),""))</f>
        <v/>
      </c>
      <c r="E4106">
        <f>IF(D4106="","",INDEX('KG1-7'!$AD34:$IM34,MATCH(D4106,'KG1-7'!$AD$5:$IM$5,0)))</f>
        <v/>
      </c>
      <c r="F4106">
        <f>IF(D4106="","",COUNTIFS('KG1-7'!$AD34:$IM34,"غياب بدون عذر",'KG1-7'!$AD$7:$IM$7,"✓",'KG1-7'!$AD$5:$IM$5,"&lt;="&amp;D4106))</f>
        <v/>
      </c>
      <c r="G4106">
        <f>G4105+IF(D4106="",0,1)</f>
        <v/>
      </c>
    </row>
    <row r="4107">
      <c r="A4107">
        <f>IF('KG1-7'!$B34="","",'KG1-7'!$B34)</f>
        <v/>
      </c>
      <c r="B4107">
        <f>IF(A4107="","",'KG1-7'!$C34)</f>
        <v/>
      </c>
      <c r="C4107">
        <f>IF(A4107="","",'KG1-7'!$B$2)</f>
        <v/>
      </c>
      <c r="D4107" s="126">
        <f t="array" ref="D4107">IF(A4107="","",IFERROR(SMALL(IF((('KG1-7'!$AD34:$IM34="غياب بدون عذر")+('KG1-7'!$AD34:$IM34="غياب بعذر"))*('KG1-7'!$AD$7:$IM$7="✓"),'KG1-7'!$AD$5:$IM$5),6),""))</f>
        <v/>
      </c>
      <c r="E4107">
        <f>IF(D4107="","",INDEX('KG1-7'!$AD34:$IM34,MATCH(D4107,'KG1-7'!$AD$5:$IM$5,0)))</f>
        <v/>
      </c>
      <c r="F4107">
        <f>IF(D4107="","",COUNTIFS('KG1-7'!$AD34:$IM34,"غياب بدون عذر",'KG1-7'!$AD$7:$IM$7,"✓",'KG1-7'!$AD$5:$IM$5,"&lt;="&amp;D4107))</f>
        <v/>
      </c>
      <c r="G4107">
        <f>G4106+IF(D4107="",0,1)</f>
        <v/>
      </c>
    </row>
    <row r="4108">
      <c r="A4108">
        <f>IF('KG1-7'!$B34="","",'KG1-7'!$B34)</f>
        <v/>
      </c>
      <c r="B4108">
        <f>IF(A4108="","",'KG1-7'!$C34)</f>
        <v/>
      </c>
      <c r="C4108">
        <f>IF(A4108="","",'KG1-7'!$B$2)</f>
        <v/>
      </c>
      <c r="D4108" s="126">
        <f t="array" ref="D4108">IF(A4108="","",IFERROR(SMALL(IF((('KG1-7'!$AD34:$IM34="غياب بدون عذر")+('KG1-7'!$AD34:$IM34="غياب بعذر"))*('KG1-7'!$AD$7:$IM$7="✓"),'KG1-7'!$AD$5:$IM$5),7),""))</f>
        <v/>
      </c>
      <c r="E4108">
        <f>IF(D4108="","",INDEX('KG1-7'!$AD34:$IM34,MATCH(D4108,'KG1-7'!$AD$5:$IM$5,0)))</f>
        <v/>
      </c>
      <c r="F4108">
        <f>IF(D4108="","",COUNTIFS('KG1-7'!$AD34:$IM34,"غياب بدون عذر",'KG1-7'!$AD$7:$IM$7,"✓",'KG1-7'!$AD$5:$IM$5,"&lt;="&amp;D4108))</f>
        <v/>
      </c>
      <c r="G4108">
        <f>G4107+IF(D4108="",0,1)</f>
        <v/>
      </c>
    </row>
    <row r="4109">
      <c r="A4109">
        <f>IF('KG1-7'!$B34="","",'KG1-7'!$B34)</f>
        <v/>
      </c>
      <c r="B4109">
        <f>IF(A4109="","",'KG1-7'!$C34)</f>
        <v/>
      </c>
      <c r="C4109">
        <f>IF(A4109="","",'KG1-7'!$B$2)</f>
        <v/>
      </c>
      <c r="D4109" s="126">
        <f t="array" ref="D4109">IF(A4109="","",IFERROR(SMALL(IF((('KG1-7'!$AD34:$IM34="غياب بدون عذر")+('KG1-7'!$AD34:$IM34="غياب بعذر"))*('KG1-7'!$AD$7:$IM$7="✓"),'KG1-7'!$AD$5:$IM$5),8),""))</f>
        <v/>
      </c>
      <c r="E4109">
        <f>IF(D4109="","",INDEX('KG1-7'!$AD34:$IM34,MATCH(D4109,'KG1-7'!$AD$5:$IM$5,0)))</f>
        <v/>
      </c>
      <c r="F4109">
        <f>IF(D4109="","",COUNTIFS('KG1-7'!$AD34:$IM34,"غياب بدون عذر",'KG1-7'!$AD$7:$IM$7,"✓",'KG1-7'!$AD$5:$IM$5,"&lt;="&amp;D4109))</f>
        <v/>
      </c>
      <c r="G4109">
        <f>G4108+IF(D4109="",0,1)</f>
        <v/>
      </c>
    </row>
    <row r="4110">
      <c r="A4110">
        <f>IF('KG1-7'!$B34="","",'KG1-7'!$B34)</f>
        <v/>
      </c>
      <c r="B4110">
        <f>IF(A4110="","",'KG1-7'!$C34)</f>
        <v/>
      </c>
      <c r="C4110">
        <f>IF(A4110="","",'KG1-7'!$B$2)</f>
        <v/>
      </c>
      <c r="D4110" s="126">
        <f t="array" ref="D4110">IF(A4110="","",IFERROR(SMALL(IF((('KG1-7'!$AD34:$IM34="غياب بدون عذر")+('KG1-7'!$AD34:$IM34="غياب بعذر"))*('KG1-7'!$AD$7:$IM$7="✓"),'KG1-7'!$AD$5:$IM$5),9),""))</f>
        <v/>
      </c>
      <c r="E4110">
        <f>IF(D4110="","",INDEX('KG1-7'!$AD34:$IM34,MATCH(D4110,'KG1-7'!$AD$5:$IM$5,0)))</f>
        <v/>
      </c>
      <c r="F4110">
        <f>IF(D4110="","",COUNTIFS('KG1-7'!$AD34:$IM34,"غياب بدون عذر",'KG1-7'!$AD$7:$IM$7,"✓",'KG1-7'!$AD$5:$IM$5,"&lt;="&amp;D4110))</f>
        <v/>
      </c>
      <c r="G4110">
        <f>G4109+IF(D4110="",0,1)</f>
        <v/>
      </c>
    </row>
    <row r="4111">
      <c r="A4111">
        <f>IF('KG1-7'!$B34="","",'KG1-7'!$B34)</f>
        <v/>
      </c>
      <c r="B4111">
        <f>IF(A4111="","",'KG1-7'!$C34)</f>
        <v/>
      </c>
      <c r="C4111">
        <f>IF(A4111="","",'KG1-7'!$B$2)</f>
        <v/>
      </c>
      <c r="D4111" s="126">
        <f t="array" ref="D4111">IF(A4111="","",IFERROR(SMALL(IF((('KG1-7'!$AD34:$IM34="غياب بدون عذر")+('KG1-7'!$AD34:$IM34="غياب بعذر"))*('KG1-7'!$AD$7:$IM$7="✓"),'KG1-7'!$AD$5:$IM$5),10),""))</f>
        <v/>
      </c>
      <c r="E4111">
        <f>IF(D4111="","",INDEX('KG1-7'!$AD34:$IM34,MATCH(D4111,'KG1-7'!$AD$5:$IM$5,0)))</f>
        <v/>
      </c>
      <c r="F4111">
        <f>IF(D4111="","",COUNTIFS('KG1-7'!$AD34:$IM34,"غياب بدون عذر",'KG1-7'!$AD$7:$IM$7,"✓",'KG1-7'!$AD$5:$IM$5,"&lt;="&amp;D4111))</f>
        <v/>
      </c>
      <c r="G4111">
        <f>G4110+IF(D4111="",0,1)</f>
        <v/>
      </c>
    </row>
    <row r="4112">
      <c r="A4112">
        <f>IF('KG1-7'!$B34="","",'KG1-7'!$B34)</f>
        <v/>
      </c>
      <c r="B4112">
        <f>IF(A4112="","",'KG1-7'!$C34)</f>
        <v/>
      </c>
      <c r="C4112">
        <f>IF(A4112="","",'KG1-7'!$B$2)</f>
        <v/>
      </c>
      <c r="D4112" s="126">
        <f t="array" ref="D4112">IF(A4112="","",IFERROR(SMALL(IF((('KG1-7'!$AD34:$IM34="غياب بدون عذر")+('KG1-7'!$AD34:$IM34="غياب بعذر"))*('KG1-7'!$AD$7:$IM$7="✓"),'KG1-7'!$AD$5:$IM$5),11),""))</f>
        <v/>
      </c>
      <c r="E4112">
        <f>IF(D4112="","",INDEX('KG1-7'!$AD34:$IM34,MATCH(D4112,'KG1-7'!$AD$5:$IM$5,0)))</f>
        <v/>
      </c>
      <c r="F4112">
        <f>IF(D4112="","",COUNTIFS('KG1-7'!$AD34:$IM34,"غياب بدون عذر",'KG1-7'!$AD$7:$IM$7,"✓",'KG1-7'!$AD$5:$IM$5,"&lt;="&amp;D4112))</f>
        <v/>
      </c>
      <c r="G4112">
        <f>G4111+IF(D4112="",0,1)</f>
        <v/>
      </c>
    </row>
    <row r="4113">
      <c r="A4113">
        <f>IF('KG1-7'!$B34="","",'KG1-7'!$B34)</f>
        <v/>
      </c>
      <c r="B4113">
        <f>IF(A4113="","",'KG1-7'!$C34)</f>
        <v/>
      </c>
      <c r="C4113">
        <f>IF(A4113="","",'KG1-7'!$B$2)</f>
        <v/>
      </c>
      <c r="D4113" s="126">
        <f t="array" ref="D4113">IF(A4113="","",IFERROR(SMALL(IF((('KG1-7'!$AD34:$IM34="غياب بدون عذر")+('KG1-7'!$AD34:$IM34="غياب بعذر"))*('KG1-7'!$AD$7:$IM$7="✓"),'KG1-7'!$AD$5:$IM$5),12),""))</f>
        <v/>
      </c>
      <c r="E4113">
        <f>IF(D4113="","",INDEX('KG1-7'!$AD34:$IM34,MATCH(D4113,'KG1-7'!$AD$5:$IM$5,0)))</f>
        <v/>
      </c>
      <c r="F4113">
        <f>IF(D4113="","",COUNTIFS('KG1-7'!$AD34:$IM34,"غياب بدون عذر",'KG1-7'!$AD$7:$IM$7,"✓",'KG1-7'!$AD$5:$IM$5,"&lt;="&amp;D4113))</f>
        <v/>
      </c>
      <c r="G4113">
        <f>G4112+IF(D4113="",0,1)</f>
        <v/>
      </c>
    </row>
    <row r="4114">
      <c r="A4114">
        <f>IF('KG1-7'!$B34="","",'KG1-7'!$B34)</f>
        <v/>
      </c>
      <c r="B4114">
        <f>IF(A4114="","",'KG1-7'!$C34)</f>
        <v/>
      </c>
      <c r="C4114">
        <f>IF(A4114="","",'KG1-7'!$B$2)</f>
        <v/>
      </c>
      <c r="D4114" s="126">
        <f t="array" ref="D4114">IF(A4114="","",IFERROR(SMALL(IF((('KG1-7'!$AD34:$IM34="غياب بدون عذر")+('KG1-7'!$AD34:$IM34="غياب بعذر"))*('KG1-7'!$AD$7:$IM$7="✓"),'KG1-7'!$AD$5:$IM$5),13),""))</f>
        <v/>
      </c>
      <c r="E4114">
        <f>IF(D4114="","",INDEX('KG1-7'!$AD34:$IM34,MATCH(D4114,'KG1-7'!$AD$5:$IM$5,0)))</f>
        <v/>
      </c>
      <c r="F4114">
        <f>IF(D4114="","",COUNTIFS('KG1-7'!$AD34:$IM34,"غياب بدون عذر",'KG1-7'!$AD$7:$IM$7,"✓",'KG1-7'!$AD$5:$IM$5,"&lt;="&amp;D4114))</f>
        <v/>
      </c>
      <c r="G4114">
        <f>G4113+IF(D4114="",0,1)</f>
        <v/>
      </c>
    </row>
    <row r="4115">
      <c r="A4115">
        <f>IF('KG1-7'!$B34="","",'KG1-7'!$B34)</f>
        <v/>
      </c>
      <c r="B4115">
        <f>IF(A4115="","",'KG1-7'!$C34)</f>
        <v/>
      </c>
      <c r="C4115">
        <f>IF(A4115="","",'KG1-7'!$B$2)</f>
        <v/>
      </c>
      <c r="D4115" s="126">
        <f t="array" ref="D4115">IF(A4115="","",IFERROR(SMALL(IF((('KG1-7'!$AD34:$IM34="غياب بدون عذر")+('KG1-7'!$AD34:$IM34="غياب بعذر"))*('KG1-7'!$AD$7:$IM$7="✓"),'KG1-7'!$AD$5:$IM$5),14),""))</f>
        <v/>
      </c>
      <c r="E4115">
        <f>IF(D4115="","",INDEX('KG1-7'!$AD34:$IM34,MATCH(D4115,'KG1-7'!$AD$5:$IM$5,0)))</f>
        <v/>
      </c>
      <c r="F4115">
        <f>IF(D4115="","",COUNTIFS('KG1-7'!$AD34:$IM34,"غياب بدون عذر",'KG1-7'!$AD$7:$IM$7,"✓",'KG1-7'!$AD$5:$IM$5,"&lt;="&amp;D4115))</f>
        <v/>
      </c>
      <c r="G4115">
        <f>G4114+IF(D4115="",0,1)</f>
        <v/>
      </c>
    </row>
    <row r="4116">
      <c r="A4116">
        <f>IF('KG1-7'!$B34="","",'KG1-7'!$B34)</f>
        <v/>
      </c>
      <c r="B4116">
        <f>IF(A4116="","",'KG1-7'!$C34)</f>
        <v/>
      </c>
      <c r="C4116">
        <f>IF(A4116="","",'KG1-7'!$B$2)</f>
        <v/>
      </c>
      <c r="D4116" s="126">
        <f t="array" ref="D4116">IF(A4116="","",IFERROR(SMALL(IF((('KG1-7'!$AD34:$IM34="غياب بدون عذر")+('KG1-7'!$AD34:$IM34="غياب بعذر"))*('KG1-7'!$AD$7:$IM$7="✓"),'KG1-7'!$AD$5:$IM$5),15),""))</f>
        <v/>
      </c>
      <c r="E4116">
        <f>IF(D4116="","",INDEX('KG1-7'!$AD34:$IM34,MATCH(D4116,'KG1-7'!$AD$5:$IM$5,0)))</f>
        <v/>
      </c>
      <c r="F4116">
        <f>IF(D4116="","",COUNTIFS('KG1-7'!$AD34:$IM34,"غياب بدون عذر",'KG1-7'!$AD$7:$IM$7,"✓",'KG1-7'!$AD$5:$IM$5,"&lt;="&amp;D4116))</f>
        <v/>
      </c>
      <c r="G4116">
        <f>G4115+IF(D4116="",0,1)</f>
        <v/>
      </c>
    </row>
    <row r="4117">
      <c r="A4117">
        <f>IF('KG1-7'!$B34="","",'KG1-7'!$B34)</f>
        <v/>
      </c>
      <c r="B4117">
        <f>IF(A4117="","",'KG1-7'!$C34)</f>
        <v/>
      </c>
      <c r="C4117">
        <f>IF(A4117="","",'KG1-7'!$B$2)</f>
        <v/>
      </c>
      <c r="D4117" s="126">
        <f t="array" ref="D4117">IF(A4117="","",IFERROR(SMALL(IF((('KG1-7'!$AD34:$IM34="غياب بدون عذر")+('KG1-7'!$AD34:$IM34="غياب بعذر"))*('KG1-7'!$AD$7:$IM$7="✓"),'KG1-7'!$AD$5:$IM$5),16),""))</f>
        <v/>
      </c>
      <c r="E4117">
        <f>IF(D4117="","",INDEX('KG1-7'!$AD34:$IM34,MATCH(D4117,'KG1-7'!$AD$5:$IM$5,0)))</f>
        <v/>
      </c>
      <c r="F4117">
        <f>IF(D4117="","",COUNTIFS('KG1-7'!$AD34:$IM34,"غياب بدون عذر",'KG1-7'!$AD$7:$IM$7,"✓",'KG1-7'!$AD$5:$IM$5,"&lt;="&amp;D4117))</f>
        <v/>
      </c>
      <c r="G4117">
        <f>G4116+IF(D4117="",0,1)</f>
        <v/>
      </c>
    </row>
    <row r="4118">
      <c r="A4118">
        <f>IF('KG1-7'!$B34="","",'KG1-7'!$B34)</f>
        <v/>
      </c>
      <c r="B4118">
        <f>IF(A4118="","",'KG1-7'!$C34)</f>
        <v/>
      </c>
      <c r="C4118">
        <f>IF(A4118="","",'KG1-7'!$B$2)</f>
        <v/>
      </c>
      <c r="D4118" s="126">
        <f t="array" ref="D4118">IF(A4118="","",IFERROR(SMALL(IF((('KG1-7'!$AD34:$IM34="غياب بدون عذر")+('KG1-7'!$AD34:$IM34="غياب بعذر"))*('KG1-7'!$AD$7:$IM$7="✓"),'KG1-7'!$AD$5:$IM$5),17),""))</f>
        <v/>
      </c>
      <c r="E4118">
        <f>IF(D4118="","",INDEX('KG1-7'!$AD34:$IM34,MATCH(D4118,'KG1-7'!$AD$5:$IM$5,0)))</f>
        <v/>
      </c>
      <c r="F4118">
        <f>IF(D4118="","",COUNTIFS('KG1-7'!$AD34:$IM34,"غياب بدون عذر",'KG1-7'!$AD$7:$IM$7,"✓",'KG1-7'!$AD$5:$IM$5,"&lt;="&amp;D4118))</f>
        <v/>
      </c>
      <c r="G4118">
        <f>G4117+IF(D4118="",0,1)</f>
        <v/>
      </c>
    </row>
    <row r="4119">
      <c r="A4119">
        <f>IF('KG1-7'!$B34="","",'KG1-7'!$B34)</f>
        <v/>
      </c>
      <c r="B4119">
        <f>IF(A4119="","",'KG1-7'!$C34)</f>
        <v/>
      </c>
      <c r="C4119">
        <f>IF(A4119="","",'KG1-7'!$B$2)</f>
        <v/>
      </c>
      <c r="D4119" s="126">
        <f t="array" ref="D4119">IF(A4119="","",IFERROR(SMALL(IF((('KG1-7'!$AD34:$IM34="غياب بدون عذر")+('KG1-7'!$AD34:$IM34="غياب بعذر"))*('KG1-7'!$AD$7:$IM$7="✓"),'KG1-7'!$AD$5:$IM$5),18),""))</f>
        <v/>
      </c>
      <c r="E4119">
        <f>IF(D4119="","",INDEX('KG1-7'!$AD34:$IM34,MATCH(D4119,'KG1-7'!$AD$5:$IM$5,0)))</f>
        <v/>
      </c>
      <c r="F4119">
        <f>IF(D4119="","",COUNTIFS('KG1-7'!$AD34:$IM34,"غياب بدون عذر",'KG1-7'!$AD$7:$IM$7,"✓",'KG1-7'!$AD$5:$IM$5,"&lt;="&amp;D4119))</f>
        <v/>
      </c>
      <c r="G4119">
        <f>G4118+IF(D4119="",0,1)</f>
        <v/>
      </c>
    </row>
    <row r="4120">
      <c r="A4120">
        <f>IF('KG1-7'!$B34="","",'KG1-7'!$B34)</f>
        <v/>
      </c>
      <c r="B4120">
        <f>IF(A4120="","",'KG1-7'!$C34)</f>
        <v/>
      </c>
      <c r="C4120">
        <f>IF(A4120="","",'KG1-7'!$B$2)</f>
        <v/>
      </c>
      <c r="D4120" s="126">
        <f t="array" ref="D4120">IF(A4120="","",IFERROR(SMALL(IF((('KG1-7'!$AD34:$IM34="غياب بدون عذر")+('KG1-7'!$AD34:$IM34="غياب بعذر"))*('KG1-7'!$AD$7:$IM$7="✓"),'KG1-7'!$AD$5:$IM$5),19),""))</f>
        <v/>
      </c>
      <c r="E4120">
        <f>IF(D4120="","",INDEX('KG1-7'!$AD34:$IM34,MATCH(D4120,'KG1-7'!$AD$5:$IM$5,0)))</f>
        <v/>
      </c>
      <c r="F4120">
        <f>IF(D4120="","",COUNTIFS('KG1-7'!$AD34:$IM34,"غياب بدون عذر",'KG1-7'!$AD$7:$IM$7,"✓",'KG1-7'!$AD$5:$IM$5,"&lt;="&amp;D4120))</f>
        <v/>
      </c>
      <c r="G4120">
        <f>G4119+IF(D4120="",0,1)</f>
        <v/>
      </c>
    </row>
    <row r="4121">
      <c r="A4121">
        <f>IF('KG1-7'!$B34="","",'KG1-7'!$B34)</f>
        <v/>
      </c>
      <c r="B4121">
        <f>IF(A4121="","",'KG1-7'!$C34)</f>
        <v/>
      </c>
      <c r="C4121">
        <f>IF(A4121="","",'KG1-7'!$B$2)</f>
        <v/>
      </c>
      <c r="D4121" s="126">
        <f t="array" ref="D4121">IF(A4121="","",IFERROR(SMALL(IF((('KG1-7'!$AD34:$IM34="غياب بدون عذر")+('KG1-7'!$AD34:$IM34="غياب بعذر"))*('KG1-7'!$AD$7:$IM$7="✓"),'KG1-7'!$AD$5:$IM$5),20),""))</f>
        <v/>
      </c>
      <c r="E4121">
        <f>IF(D4121="","",INDEX('KG1-7'!$AD34:$IM34,MATCH(D4121,'KG1-7'!$AD$5:$IM$5,0)))</f>
        <v/>
      </c>
      <c r="F4121">
        <f>IF(D4121="","",COUNTIFS('KG1-7'!$AD34:$IM34,"غياب بدون عذر",'KG1-7'!$AD$7:$IM$7,"✓",'KG1-7'!$AD$5:$IM$5,"&lt;="&amp;D4121))</f>
        <v/>
      </c>
      <c r="G4121">
        <f>G4120+IF(D4121="",0,1)</f>
        <v/>
      </c>
    </row>
    <row r="4122">
      <c r="A4122">
        <f>IF('KG1-7'!$B35="","",'KG1-7'!$B35)</f>
        <v/>
      </c>
      <c r="B4122">
        <f>IF(A4122="","",'KG1-7'!$C35)</f>
        <v/>
      </c>
      <c r="C4122">
        <f>IF(A4122="","",'KG1-7'!$B$2)</f>
        <v/>
      </c>
      <c r="D4122" s="126">
        <f t="array" ref="D4122">IF(A4122="","",IFERROR(SMALL(IF((('KG1-7'!$AD35:$IM35="غياب بدون عذر")+('KG1-7'!$AD35:$IM35="غياب بعذر"))*('KG1-7'!$AD$7:$IM$7="✓"),'KG1-7'!$AD$5:$IM$5),1),""))</f>
        <v/>
      </c>
      <c r="E4122">
        <f>IF(D4122="","",INDEX('KG1-7'!$AD35:$IM35,MATCH(D4122,'KG1-7'!$AD$5:$IM$5,0)))</f>
        <v/>
      </c>
      <c r="F4122">
        <f>IF(D4122="","",COUNTIFS('KG1-7'!$AD35:$IM35,"غياب بدون عذر",'KG1-7'!$AD$7:$IM$7,"✓",'KG1-7'!$AD$5:$IM$5,"&lt;="&amp;D4122))</f>
        <v/>
      </c>
      <c r="G4122">
        <f>G4121+IF(D4122="",0,1)</f>
        <v/>
      </c>
    </row>
    <row r="4123">
      <c r="A4123">
        <f>IF('KG1-7'!$B35="","",'KG1-7'!$B35)</f>
        <v/>
      </c>
      <c r="B4123">
        <f>IF(A4123="","",'KG1-7'!$C35)</f>
        <v/>
      </c>
      <c r="C4123">
        <f>IF(A4123="","",'KG1-7'!$B$2)</f>
        <v/>
      </c>
      <c r="D4123" s="126">
        <f t="array" ref="D4123">IF(A4123="","",IFERROR(SMALL(IF((('KG1-7'!$AD35:$IM35="غياب بدون عذر")+('KG1-7'!$AD35:$IM35="غياب بعذر"))*('KG1-7'!$AD$7:$IM$7="✓"),'KG1-7'!$AD$5:$IM$5),2),""))</f>
        <v/>
      </c>
      <c r="E4123">
        <f>IF(D4123="","",INDEX('KG1-7'!$AD35:$IM35,MATCH(D4123,'KG1-7'!$AD$5:$IM$5,0)))</f>
        <v/>
      </c>
      <c r="F4123">
        <f>IF(D4123="","",COUNTIFS('KG1-7'!$AD35:$IM35,"غياب بدون عذر",'KG1-7'!$AD$7:$IM$7,"✓",'KG1-7'!$AD$5:$IM$5,"&lt;="&amp;D4123))</f>
        <v/>
      </c>
      <c r="G4123">
        <f>G4122+IF(D4123="",0,1)</f>
        <v/>
      </c>
    </row>
    <row r="4124">
      <c r="A4124">
        <f>IF('KG1-7'!$B35="","",'KG1-7'!$B35)</f>
        <v/>
      </c>
      <c r="B4124">
        <f>IF(A4124="","",'KG1-7'!$C35)</f>
        <v/>
      </c>
      <c r="C4124">
        <f>IF(A4124="","",'KG1-7'!$B$2)</f>
        <v/>
      </c>
      <c r="D4124" s="126">
        <f t="array" ref="D4124">IF(A4124="","",IFERROR(SMALL(IF((('KG1-7'!$AD35:$IM35="غياب بدون عذر")+('KG1-7'!$AD35:$IM35="غياب بعذر"))*('KG1-7'!$AD$7:$IM$7="✓"),'KG1-7'!$AD$5:$IM$5),3),""))</f>
        <v/>
      </c>
      <c r="E4124">
        <f>IF(D4124="","",INDEX('KG1-7'!$AD35:$IM35,MATCH(D4124,'KG1-7'!$AD$5:$IM$5,0)))</f>
        <v/>
      </c>
      <c r="F4124">
        <f>IF(D4124="","",COUNTIFS('KG1-7'!$AD35:$IM35,"غياب بدون عذر",'KG1-7'!$AD$7:$IM$7,"✓",'KG1-7'!$AD$5:$IM$5,"&lt;="&amp;D4124))</f>
        <v/>
      </c>
      <c r="G4124">
        <f>G4123+IF(D4124="",0,1)</f>
        <v/>
      </c>
    </row>
    <row r="4125">
      <c r="A4125">
        <f>IF('KG1-7'!$B35="","",'KG1-7'!$B35)</f>
        <v/>
      </c>
      <c r="B4125">
        <f>IF(A4125="","",'KG1-7'!$C35)</f>
        <v/>
      </c>
      <c r="C4125">
        <f>IF(A4125="","",'KG1-7'!$B$2)</f>
        <v/>
      </c>
      <c r="D4125" s="126">
        <f t="array" ref="D4125">IF(A4125="","",IFERROR(SMALL(IF((('KG1-7'!$AD35:$IM35="غياب بدون عذر")+('KG1-7'!$AD35:$IM35="غياب بعذر"))*('KG1-7'!$AD$7:$IM$7="✓"),'KG1-7'!$AD$5:$IM$5),4),""))</f>
        <v/>
      </c>
      <c r="E4125">
        <f>IF(D4125="","",INDEX('KG1-7'!$AD35:$IM35,MATCH(D4125,'KG1-7'!$AD$5:$IM$5,0)))</f>
        <v/>
      </c>
      <c r="F4125">
        <f>IF(D4125="","",COUNTIFS('KG1-7'!$AD35:$IM35,"غياب بدون عذر",'KG1-7'!$AD$7:$IM$7,"✓",'KG1-7'!$AD$5:$IM$5,"&lt;="&amp;D4125))</f>
        <v/>
      </c>
      <c r="G4125">
        <f>G4124+IF(D4125="",0,1)</f>
        <v/>
      </c>
    </row>
    <row r="4126">
      <c r="A4126">
        <f>IF('KG1-7'!$B35="","",'KG1-7'!$B35)</f>
        <v/>
      </c>
      <c r="B4126">
        <f>IF(A4126="","",'KG1-7'!$C35)</f>
        <v/>
      </c>
      <c r="C4126">
        <f>IF(A4126="","",'KG1-7'!$B$2)</f>
        <v/>
      </c>
      <c r="D4126" s="126">
        <f t="array" ref="D4126">IF(A4126="","",IFERROR(SMALL(IF((('KG1-7'!$AD35:$IM35="غياب بدون عذر")+('KG1-7'!$AD35:$IM35="غياب بعذر"))*('KG1-7'!$AD$7:$IM$7="✓"),'KG1-7'!$AD$5:$IM$5),5),""))</f>
        <v/>
      </c>
      <c r="E4126">
        <f>IF(D4126="","",INDEX('KG1-7'!$AD35:$IM35,MATCH(D4126,'KG1-7'!$AD$5:$IM$5,0)))</f>
        <v/>
      </c>
      <c r="F4126">
        <f>IF(D4126="","",COUNTIFS('KG1-7'!$AD35:$IM35,"غياب بدون عذر",'KG1-7'!$AD$7:$IM$7,"✓",'KG1-7'!$AD$5:$IM$5,"&lt;="&amp;D4126))</f>
        <v/>
      </c>
      <c r="G4126">
        <f>G4125+IF(D4126="",0,1)</f>
        <v/>
      </c>
    </row>
    <row r="4127">
      <c r="A4127">
        <f>IF('KG1-7'!$B35="","",'KG1-7'!$B35)</f>
        <v/>
      </c>
      <c r="B4127">
        <f>IF(A4127="","",'KG1-7'!$C35)</f>
        <v/>
      </c>
      <c r="C4127">
        <f>IF(A4127="","",'KG1-7'!$B$2)</f>
        <v/>
      </c>
      <c r="D4127" s="126">
        <f t="array" ref="D4127">IF(A4127="","",IFERROR(SMALL(IF((('KG1-7'!$AD35:$IM35="غياب بدون عذر")+('KG1-7'!$AD35:$IM35="غياب بعذر"))*('KG1-7'!$AD$7:$IM$7="✓"),'KG1-7'!$AD$5:$IM$5),6),""))</f>
        <v/>
      </c>
      <c r="E4127">
        <f>IF(D4127="","",INDEX('KG1-7'!$AD35:$IM35,MATCH(D4127,'KG1-7'!$AD$5:$IM$5,0)))</f>
        <v/>
      </c>
      <c r="F4127">
        <f>IF(D4127="","",COUNTIFS('KG1-7'!$AD35:$IM35,"غياب بدون عذر",'KG1-7'!$AD$7:$IM$7,"✓",'KG1-7'!$AD$5:$IM$5,"&lt;="&amp;D4127))</f>
        <v/>
      </c>
      <c r="G4127">
        <f>G4126+IF(D4127="",0,1)</f>
        <v/>
      </c>
    </row>
    <row r="4128">
      <c r="A4128">
        <f>IF('KG1-7'!$B35="","",'KG1-7'!$B35)</f>
        <v/>
      </c>
      <c r="B4128">
        <f>IF(A4128="","",'KG1-7'!$C35)</f>
        <v/>
      </c>
      <c r="C4128">
        <f>IF(A4128="","",'KG1-7'!$B$2)</f>
        <v/>
      </c>
      <c r="D4128" s="126">
        <f t="array" ref="D4128">IF(A4128="","",IFERROR(SMALL(IF((('KG1-7'!$AD35:$IM35="غياب بدون عذر")+('KG1-7'!$AD35:$IM35="غياب بعذر"))*('KG1-7'!$AD$7:$IM$7="✓"),'KG1-7'!$AD$5:$IM$5),7),""))</f>
        <v/>
      </c>
      <c r="E4128">
        <f>IF(D4128="","",INDEX('KG1-7'!$AD35:$IM35,MATCH(D4128,'KG1-7'!$AD$5:$IM$5,0)))</f>
        <v/>
      </c>
      <c r="F4128">
        <f>IF(D4128="","",COUNTIFS('KG1-7'!$AD35:$IM35,"غياب بدون عذر",'KG1-7'!$AD$7:$IM$7,"✓",'KG1-7'!$AD$5:$IM$5,"&lt;="&amp;D4128))</f>
        <v/>
      </c>
      <c r="G4128">
        <f>G4127+IF(D4128="",0,1)</f>
        <v/>
      </c>
    </row>
    <row r="4129">
      <c r="A4129">
        <f>IF('KG1-7'!$B35="","",'KG1-7'!$B35)</f>
        <v/>
      </c>
      <c r="B4129">
        <f>IF(A4129="","",'KG1-7'!$C35)</f>
        <v/>
      </c>
      <c r="C4129">
        <f>IF(A4129="","",'KG1-7'!$B$2)</f>
        <v/>
      </c>
      <c r="D4129" s="126">
        <f t="array" ref="D4129">IF(A4129="","",IFERROR(SMALL(IF((('KG1-7'!$AD35:$IM35="غياب بدون عذر")+('KG1-7'!$AD35:$IM35="غياب بعذر"))*('KG1-7'!$AD$7:$IM$7="✓"),'KG1-7'!$AD$5:$IM$5),8),""))</f>
        <v/>
      </c>
      <c r="E4129">
        <f>IF(D4129="","",INDEX('KG1-7'!$AD35:$IM35,MATCH(D4129,'KG1-7'!$AD$5:$IM$5,0)))</f>
        <v/>
      </c>
      <c r="F4129">
        <f>IF(D4129="","",COUNTIFS('KG1-7'!$AD35:$IM35,"غياب بدون عذر",'KG1-7'!$AD$7:$IM$7,"✓",'KG1-7'!$AD$5:$IM$5,"&lt;="&amp;D4129))</f>
        <v/>
      </c>
      <c r="G4129">
        <f>G4128+IF(D4129="",0,1)</f>
        <v/>
      </c>
    </row>
    <row r="4130">
      <c r="A4130">
        <f>IF('KG1-7'!$B35="","",'KG1-7'!$B35)</f>
        <v/>
      </c>
      <c r="B4130">
        <f>IF(A4130="","",'KG1-7'!$C35)</f>
        <v/>
      </c>
      <c r="C4130">
        <f>IF(A4130="","",'KG1-7'!$B$2)</f>
        <v/>
      </c>
      <c r="D4130" s="126">
        <f t="array" ref="D4130">IF(A4130="","",IFERROR(SMALL(IF((('KG1-7'!$AD35:$IM35="غياب بدون عذر")+('KG1-7'!$AD35:$IM35="غياب بعذر"))*('KG1-7'!$AD$7:$IM$7="✓"),'KG1-7'!$AD$5:$IM$5),9),""))</f>
        <v/>
      </c>
      <c r="E4130">
        <f>IF(D4130="","",INDEX('KG1-7'!$AD35:$IM35,MATCH(D4130,'KG1-7'!$AD$5:$IM$5,0)))</f>
        <v/>
      </c>
      <c r="F4130">
        <f>IF(D4130="","",COUNTIFS('KG1-7'!$AD35:$IM35,"غياب بدون عذر",'KG1-7'!$AD$7:$IM$7,"✓",'KG1-7'!$AD$5:$IM$5,"&lt;="&amp;D4130))</f>
        <v/>
      </c>
      <c r="G4130">
        <f>G4129+IF(D4130="",0,1)</f>
        <v/>
      </c>
    </row>
    <row r="4131">
      <c r="A4131">
        <f>IF('KG1-7'!$B35="","",'KG1-7'!$B35)</f>
        <v/>
      </c>
      <c r="B4131">
        <f>IF(A4131="","",'KG1-7'!$C35)</f>
        <v/>
      </c>
      <c r="C4131">
        <f>IF(A4131="","",'KG1-7'!$B$2)</f>
        <v/>
      </c>
      <c r="D4131" s="126">
        <f t="array" ref="D4131">IF(A4131="","",IFERROR(SMALL(IF((('KG1-7'!$AD35:$IM35="غياب بدون عذر")+('KG1-7'!$AD35:$IM35="غياب بعذر"))*('KG1-7'!$AD$7:$IM$7="✓"),'KG1-7'!$AD$5:$IM$5),10),""))</f>
        <v/>
      </c>
      <c r="E4131">
        <f>IF(D4131="","",INDEX('KG1-7'!$AD35:$IM35,MATCH(D4131,'KG1-7'!$AD$5:$IM$5,0)))</f>
        <v/>
      </c>
      <c r="F4131">
        <f>IF(D4131="","",COUNTIFS('KG1-7'!$AD35:$IM35,"غياب بدون عذر",'KG1-7'!$AD$7:$IM$7,"✓",'KG1-7'!$AD$5:$IM$5,"&lt;="&amp;D4131))</f>
        <v/>
      </c>
      <c r="G4131">
        <f>G4130+IF(D4131="",0,1)</f>
        <v/>
      </c>
    </row>
    <row r="4132">
      <c r="A4132">
        <f>IF('KG1-7'!$B35="","",'KG1-7'!$B35)</f>
        <v/>
      </c>
      <c r="B4132">
        <f>IF(A4132="","",'KG1-7'!$C35)</f>
        <v/>
      </c>
      <c r="C4132">
        <f>IF(A4132="","",'KG1-7'!$B$2)</f>
        <v/>
      </c>
      <c r="D4132" s="126">
        <f t="array" ref="D4132">IF(A4132="","",IFERROR(SMALL(IF((('KG1-7'!$AD35:$IM35="غياب بدون عذر")+('KG1-7'!$AD35:$IM35="غياب بعذر"))*('KG1-7'!$AD$7:$IM$7="✓"),'KG1-7'!$AD$5:$IM$5),11),""))</f>
        <v/>
      </c>
      <c r="E4132">
        <f>IF(D4132="","",INDEX('KG1-7'!$AD35:$IM35,MATCH(D4132,'KG1-7'!$AD$5:$IM$5,0)))</f>
        <v/>
      </c>
      <c r="F4132">
        <f>IF(D4132="","",COUNTIFS('KG1-7'!$AD35:$IM35,"غياب بدون عذر",'KG1-7'!$AD$7:$IM$7,"✓",'KG1-7'!$AD$5:$IM$5,"&lt;="&amp;D4132))</f>
        <v/>
      </c>
      <c r="G4132">
        <f>G4131+IF(D4132="",0,1)</f>
        <v/>
      </c>
    </row>
    <row r="4133">
      <c r="A4133">
        <f>IF('KG1-7'!$B35="","",'KG1-7'!$B35)</f>
        <v/>
      </c>
      <c r="B4133">
        <f>IF(A4133="","",'KG1-7'!$C35)</f>
        <v/>
      </c>
      <c r="C4133">
        <f>IF(A4133="","",'KG1-7'!$B$2)</f>
        <v/>
      </c>
      <c r="D4133" s="126">
        <f t="array" ref="D4133">IF(A4133="","",IFERROR(SMALL(IF((('KG1-7'!$AD35:$IM35="غياب بدون عذر")+('KG1-7'!$AD35:$IM35="غياب بعذر"))*('KG1-7'!$AD$7:$IM$7="✓"),'KG1-7'!$AD$5:$IM$5),12),""))</f>
        <v/>
      </c>
      <c r="E4133">
        <f>IF(D4133="","",INDEX('KG1-7'!$AD35:$IM35,MATCH(D4133,'KG1-7'!$AD$5:$IM$5,0)))</f>
        <v/>
      </c>
      <c r="F4133">
        <f>IF(D4133="","",COUNTIFS('KG1-7'!$AD35:$IM35,"غياب بدون عذر",'KG1-7'!$AD$7:$IM$7,"✓",'KG1-7'!$AD$5:$IM$5,"&lt;="&amp;D4133))</f>
        <v/>
      </c>
      <c r="G4133">
        <f>G4132+IF(D4133="",0,1)</f>
        <v/>
      </c>
    </row>
    <row r="4134">
      <c r="A4134">
        <f>IF('KG1-7'!$B35="","",'KG1-7'!$B35)</f>
        <v/>
      </c>
      <c r="B4134">
        <f>IF(A4134="","",'KG1-7'!$C35)</f>
        <v/>
      </c>
      <c r="C4134">
        <f>IF(A4134="","",'KG1-7'!$B$2)</f>
        <v/>
      </c>
      <c r="D4134" s="126">
        <f t="array" ref="D4134">IF(A4134="","",IFERROR(SMALL(IF((('KG1-7'!$AD35:$IM35="غياب بدون عذر")+('KG1-7'!$AD35:$IM35="غياب بعذر"))*('KG1-7'!$AD$7:$IM$7="✓"),'KG1-7'!$AD$5:$IM$5),13),""))</f>
        <v/>
      </c>
      <c r="E4134">
        <f>IF(D4134="","",INDEX('KG1-7'!$AD35:$IM35,MATCH(D4134,'KG1-7'!$AD$5:$IM$5,0)))</f>
        <v/>
      </c>
      <c r="F4134">
        <f>IF(D4134="","",COUNTIFS('KG1-7'!$AD35:$IM35,"غياب بدون عذر",'KG1-7'!$AD$7:$IM$7,"✓",'KG1-7'!$AD$5:$IM$5,"&lt;="&amp;D4134))</f>
        <v/>
      </c>
      <c r="G4134">
        <f>G4133+IF(D4134="",0,1)</f>
        <v/>
      </c>
    </row>
    <row r="4135">
      <c r="A4135">
        <f>IF('KG1-7'!$B35="","",'KG1-7'!$B35)</f>
        <v/>
      </c>
      <c r="B4135">
        <f>IF(A4135="","",'KG1-7'!$C35)</f>
        <v/>
      </c>
      <c r="C4135">
        <f>IF(A4135="","",'KG1-7'!$B$2)</f>
        <v/>
      </c>
      <c r="D4135" s="126">
        <f t="array" ref="D4135">IF(A4135="","",IFERROR(SMALL(IF((('KG1-7'!$AD35:$IM35="غياب بدون عذر")+('KG1-7'!$AD35:$IM35="غياب بعذر"))*('KG1-7'!$AD$7:$IM$7="✓"),'KG1-7'!$AD$5:$IM$5),14),""))</f>
        <v/>
      </c>
      <c r="E4135">
        <f>IF(D4135="","",INDEX('KG1-7'!$AD35:$IM35,MATCH(D4135,'KG1-7'!$AD$5:$IM$5,0)))</f>
        <v/>
      </c>
      <c r="F4135">
        <f>IF(D4135="","",COUNTIFS('KG1-7'!$AD35:$IM35,"غياب بدون عذر",'KG1-7'!$AD$7:$IM$7,"✓",'KG1-7'!$AD$5:$IM$5,"&lt;="&amp;D4135))</f>
        <v/>
      </c>
      <c r="G4135">
        <f>G4134+IF(D4135="",0,1)</f>
        <v/>
      </c>
    </row>
    <row r="4136">
      <c r="A4136">
        <f>IF('KG1-7'!$B35="","",'KG1-7'!$B35)</f>
        <v/>
      </c>
      <c r="B4136">
        <f>IF(A4136="","",'KG1-7'!$C35)</f>
        <v/>
      </c>
      <c r="C4136">
        <f>IF(A4136="","",'KG1-7'!$B$2)</f>
        <v/>
      </c>
      <c r="D4136" s="126">
        <f t="array" ref="D4136">IF(A4136="","",IFERROR(SMALL(IF((('KG1-7'!$AD35:$IM35="غياب بدون عذر")+('KG1-7'!$AD35:$IM35="غياب بعذر"))*('KG1-7'!$AD$7:$IM$7="✓"),'KG1-7'!$AD$5:$IM$5),15),""))</f>
        <v/>
      </c>
      <c r="E4136">
        <f>IF(D4136="","",INDEX('KG1-7'!$AD35:$IM35,MATCH(D4136,'KG1-7'!$AD$5:$IM$5,0)))</f>
        <v/>
      </c>
      <c r="F4136">
        <f>IF(D4136="","",COUNTIFS('KG1-7'!$AD35:$IM35,"غياب بدون عذر",'KG1-7'!$AD$7:$IM$7,"✓",'KG1-7'!$AD$5:$IM$5,"&lt;="&amp;D4136))</f>
        <v/>
      </c>
      <c r="G4136">
        <f>G4135+IF(D4136="",0,1)</f>
        <v/>
      </c>
    </row>
    <row r="4137">
      <c r="A4137">
        <f>IF('KG1-7'!$B35="","",'KG1-7'!$B35)</f>
        <v/>
      </c>
      <c r="B4137">
        <f>IF(A4137="","",'KG1-7'!$C35)</f>
        <v/>
      </c>
      <c r="C4137">
        <f>IF(A4137="","",'KG1-7'!$B$2)</f>
        <v/>
      </c>
      <c r="D4137" s="126">
        <f t="array" ref="D4137">IF(A4137="","",IFERROR(SMALL(IF((('KG1-7'!$AD35:$IM35="غياب بدون عذر")+('KG1-7'!$AD35:$IM35="غياب بعذر"))*('KG1-7'!$AD$7:$IM$7="✓"),'KG1-7'!$AD$5:$IM$5),16),""))</f>
        <v/>
      </c>
      <c r="E4137">
        <f>IF(D4137="","",INDEX('KG1-7'!$AD35:$IM35,MATCH(D4137,'KG1-7'!$AD$5:$IM$5,0)))</f>
        <v/>
      </c>
      <c r="F4137">
        <f>IF(D4137="","",COUNTIFS('KG1-7'!$AD35:$IM35,"غياب بدون عذر",'KG1-7'!$AD$7:$IM$7,"✓",'KG1-7'!$AD$5:$IM$5,"&lt;="&amp;D4137))</f>
        <v/>
      </c>
      <c r="G4137">
        <f>G4136+IF(D4137="",0,1)</f>
        <v/>
      </c>
    </row>
    <row r="4138">
      <c r="A4138">
        <f>IF('KG1-7'!$B35="","",'KG1-7'!$B35)</f>
        <v/>
      </c>
      <c r="B4138">
        <f>IF(A4138="","",'KG1-7'!$C35)</f>
        <v/>
      </c>
      <c r="C4138">
        <f>IF(A4138="","",'KG1-7'!$B$2)</f>
        <v/>
      </c>
      <c r="D4138" s="126">
        <f t="array" ref="D4138">IF(A4138="","",IFERROR(SMALL(IF((('KG1-7'!$AD35:$IM35="غياب بدون عذر")+('KG1-7'!$AD35:$IM35="غياب بعذر"))*('KG1-7'!$AD$7:$IM$7="✓"),'KG1-7'!$AD$5:$IM$5),17),""))</f>
        <v/>
      </c>
      <c r="E4138">
        <f>IF(D4138="","",INDEX('KG1-7'!$AD35:$IM35,MATCH(D4138,'KG1-7'!$AD$5:$IM$5,0)))</f>
        <v/>
      </c>
      <c r="F4138">
        <f>IF(D4138="","",COUNTIFS('KG1-7'!$AD35:$IM35,"غياب بدون عذر",'KG1-7'!$AD$7:$IM$7,"✓",'KG1-7'!$AD$5:$IM$5,"&lt;="&amp;D4138))</f>
        <v/>
      </c>
      <c r="G4138">
        <f>G4137+IF(D4138="",0,1)</f>
        <v/>
      </c>
    </row>
    <row r="4139">
      <c r="A4139">
        <f>IF('KG1-7'!$B35="","",'KG1-7'!$B35)</f>
        <v/>
      </c>
      <c r="B4139">
        <f>IF(A4139="","",'KG1-7'!$C35)</f>
        <v/>
      </c>
      <c r="C4139">
        <f>IF(A4139="","",'KG1-7'!$B$2)</f>
        <v/>
      </c>
      <c r="D4139" s="126">
        <f t="array" ref="D4139">IF(A4139="","",IFERROR(SMALL(IF((('KG1-7'!$AD35:$IM35="غياب بدون عذر")+('KG1-7'!$AD35:$IM35="غياب بعذر"))*('KG1-7'!$AD$7:$IM$7="✓"),'KG1-7'!$AD$5:$IM$5),18),""))</f>
        <v/>
      </c>
      <c r="E4139">
        <f>IF(D4139="","",INDEX('KG1-7'!$AD35:$IM35,MATCH(D4139,'KG1-7'!$AD$5:$IM$5,0)))</f>
        <v/>
      </c>
      <c r="F4139">
        <f>IF(D4139="","",COUNTIFS('KG1-7'!$AD35:$IM35,"غياب بدون عذر",'KG1-7'!$AD$7:$IM$7,"✓",'KG1-7'!$AD$5:$IM$5,"&lt;="&amp;D4139))</f>
        <v/>
      </c>
      <c r="G4139">
        <f>G4138+IF(D4139="",0,1)</f>
        <v/>
      </c>
    </row>
    <row r="4140">
      <c r="A4140">
        <f>IF('KG1-7'!$B35="","",'KG1-7'!$B35)</f>
        <v/>
      </c>
      <c r="B4140">
        <f>IF(A4140="","",'KG1-7'!$C35)</f>
        <v/>
      </c>
      <c r="C4140">
        <f>IF(A4140="","",'KG1-7'!$B$2)</f>
        <v/>
      </c>
      <c r="D4140" s="126">
        <f t="array" ref="D4140">IF(A4140="","",IFERROR(SMALL(IF((('KG1-7'!$AD35:$IM35="غياب بدون عذر")+('KG1-7'!$AD35:$IM35="غياب بعذر"))*('KG1-7'!$AD$7:$IM$7="✓"),'KG1-7'!$AD$5:$IM$5),19),""))</f>
        <v/>
      </c>
      <c r="E4140">
        <f>IF(D4140="","",INDEX('KG1-7'!$AD35:$IM35,MATCH(D4140,'KG1-7'!$AD$5:$IM$5,0)))</f>
        <v/>
      </c>
      <c r="F4140">
        <f>IF(D4140="","",COUNTIFS('KG1-7'!$AD35:$IM35,"غياب بدون عذر",'KG1-7'!$AD$7:$IM$7,"✓",'KG1-7'!$AD$5:$IM$5,"&lt;="&amp;D4140))</f>
        <v/>
      </c>
      <c r="G4140">
        <f>G4139+IF(D4140="",0,1)</f>
        <v/>
      </c>
    </row>
    <row r="4141">
      <c r="A4141">
        <f>IF('KG1-7'!$B35="","",'KG1-7'!$B35)</f>
        <v/>
      </c>
      <c r="B4141">
        <f>IF(A4141="","",'KG1-7'!$C35)</f>
        <v/>
      </c>
      <c r="C4141">
        <f>IF(A4141="","",'KG1-7'!$B$2)</f>
        <v/>
      </c>
      <c r="D4141" s="126">
        <f t="array" ref="D4141">IF(A4141="","",IFERROR(SMALL(IF((('KG1-7'!$AD35:$IM35="غياب بدون عذر")+('KG1-7'!$AD35:$IM35="غياب بعذر"))*('KG1-7'!$AD$7:$IM$7="✓"),'KG1-7'!$AD$5:$IM$5),20),""))</f>
        <v/>
      </c>
      <c r="E4141">
        <f>IF(D4141="","",INDEX('KG1-7'!$AD35:$IM35,MATCH(D4141,'KG1-7'!$AD$5:$IM$5,0)))</f>
        <v/>
      </c>
      <c r="F4141">
        <f>IF(D4141="","",COUNTIFS('KG1-7'!$AD35:$IM35,"غياب بدون عذر",'KG1-7'!$AD$7:$IM$7,"✓",'KG1-7'!$AD$5:$IM$5,"&lt;="&amp;D4141))</f>
        <v/>
      </c>
      <c r="G4141">
        <f>G4140+IF(D4141="",0,1)</f>
        <v/>
      </c>
    </row>
    <row r="4142">
      <c r="A4142">
        <f>IF('KG1-7'!$B36="","",'KG1-7'!$B36)</f>
        <v/>
      </c>
      <c r="B4142">
        <f>IF(A4142="","",'KG1-7'!$C36)</f>
        <v/>
      </c>
      <c r="C4142">
        <f>IF(A4142="","",'KG1-7'!$B$2)</f>
        <v/>
      </c>
      <c r="D4142" s="126">
        <f t="array" ref="D4142">IF(A4142="","",IFERROR(SMALL(IF((('KG1-7'!$AD36:$IM36="غياب بدون عذر")+('KG1-7'!$AD36:$IM36="غياب بعذر"))*('KG1-7'!$AD$7:$IM$7="✓"),'KG1-7'!$AD$5:$IM$5),1),""))</f>
        <v/>
      </c>
      <c r="E4142">
        <f>IF(D4142="","",INDEX('KG1-7'!$AD36:$IM36,MATCH(D4142,'KG1-7'!$AD$5:$IM$5,0)))</f>
        <v/>
      </c>
      <c r="F4142">
        <f>IF(D4142="","",COUNTIFS('KG1-7'!$AD36:$IM36,"غياب بدون عذر",'KG1-7'!$AD$7:$IM$7,"✓",'KG1-7'!$AD$5:$IM$5,"&lt;="&amp;D4142))</f>
        <v/>
      </c>
      <c r="G4142">
        <f>G4141+IF(D4142="",0,1)</f>
        <v/>
      </c>
    </row>
    <row r="4143">
      <c r="A4143">
        <f>IF('KG1-7'!$B36="","",'KG1-7'!$B36)</f>
        <v/>
      </c>
      <c r="B4143">
        <f>IF(A4143="","",'KG1-7'!$C36)</f>
        <v/>
      </c>
      <c r="C4143">
        <f>IF(A4143="","",'KG1-7'!$B$2)</f>
        <v/>
      </c>
      <c r="D4143" s="126">
        <f t="array" ref="D4143">IF(A4143="","",IFERROR(SMALL(IF((('KG1-7'!$AD36:$IM36="غياب بدون عذر")+('KG1-7'!$AD36:$IM36="غياب بعذر"))*('KG1-7'!$AD$7:$IM$7="✓"),'KG1-7'!$AD$5:$IM$5),2),""))</f>
        <v/>
      </c>
      <c r="E4143">
        <f>IF(D4143="","",INDEX('KG1-7'!$AD36:$IM36,MATCH(D4143,'KG1-7'!$AD$5:$IM$5,0)))</f>
        <v/>
      </c>
      <c r="F4143">
        <f>IF(D4143="","",COUNTIFS('KG1-7'!$AD36:$IM36,"غياب بدون عذر",'KG1-7'!$AD$7:$IM$7,"✓",'KG1-7'!$AD$5:$IM$5,"&lt;="&amp;D4143))</f>
        <v/>
      </c>
      <c r="G4143">
        <f>G4142+IF(D4143="",0,1)</f>
        <v/>
      </c>
    </row>
    <row r="4144">
      <c r="A4144">
        <f>IF('KG1-7'!$B36="","",'KG1-7'!$B36)</f>
        <v/>
      </c>
      <c r="B4144">
        <f>IF(A4144="","",'KG1-7'!$C36)</f>
        <v/>
      </c>
      <c r="C4144">
        <f>IF(A4144="","",'KG1-7'!$B$2)</f>
        <v/>
      </c>
      <c r="D4144" s="126">
        <f t="array" ref="D4144">IF(A4144="","",IFERROR(SMALL(IF((('KG1-7'!$AD36:$IM36="غياب بدون عذر")+('KG1-7'!$AD36:$IM36="غياب بعذر"))*('KG1-7'!$AD$7:$IM$7="✓"),'KG1-7'!$AD$5:$IM$5),3),""))</f>
        <v/>
      </c>
      <c r="E4144">
        <f>IF(D4144="","",INDEX('KG1-7'!$AD36:$IM36,MATCH(D4144,'KG1-7'!$AD$5:$IM$5,0)))</f>
        <v/>
      </c>
      <c r="F4144">
        <f>IF(D4144="","",COUNTIFS('KG1-7'!$AD36:$IM36,"غياب بدون عذر",'KG1-7'!$AD$7:$IM$7,"✓",'KG1-7'!$AD$5:$IM$5,"&lt;="&amp;D4144))</f>
        <v/>
      </c>
      <c r="G4144">
        <f>G4143+IF(D4144="",0,1)</f>
        <v/>
      </c>
    </row>
    <row r="4145">
      <c r="A4145">
        <f>IF('KG1-7'!$B36="","",'KG1-7'!$B36)</f>
        <v/>
      </c>
      <c r="B4145">
        <f>IF(A4145="","",'KG1-7'!$C36)</f>
        <v/>
      </c>
      <c r="C4145">
        <f>IF(A4145="","",'KG1-7'!$B$2)</f>
        <v/>
      </c>
      <c r="D4145" s="126">
        <f t="array" ref="D4145">IF(A4145="","",IFERROR(SMALL(IF((('KG1-7'!$AD36:$IM36="غياب بدون عذر")+('KG1-7'!$AD36:$IM36="غياب بعذر"))*('KG1-7'!$AD$7:$IM$7="✓"),'KG1-7'!$AD$5:$IM$5),4),""))</f>
        <v/>
      </c>
      <c r="E4145">
        <f>IF(D4145="","",INDEX('KG1-7'!$AD36:$IM36,MATCH(D4145,'KG1-7'!$AD$5:$IM$5,0)))</f>
        <v/>
      </c>
      <c r="F4145">
        <f>IF(D4145="","",COUNTIFS('KG1-7'!$AD36:$IM36,"غياب بدون عذر",'KG1-7'!$AD$7:$IM$7,"✓",'KG1-7'!$AD$5:$IM$5,"&lt;="&amp;D4145))</f>
        <v/>
      </c>
      <c r="G4145">
        <f>G4144+IF(D4145="",0,1)</f>
        <v/>
      </c>
    </row>
    <row r="4146">
      <c r="A4146">
        <f>IF('KG1-7'!$B36="","",'KG1-7'!$B36)</f>
        <v/>
      </c>
      <c r="B4146">
        <f>IF(A4146="","",'KG1-7'!$C36)</f>
        <v/>
      </c>
      <c r="C4146">
        <f>IF(A4146="","",'KG1-7'!$B$2)</f>
        <v/>
      </c>
      <c r="D4146" s="126">
        <f t="array" ref="D4146">IF(A4146="","",IFERROR(SMALL(IF((('KG1-7'!$AD36:$IM36="غياب بدون عذر")+('KG1-7'!$AD36:$IM36="غياب بعذر"))*('KG1-7'!$AD$7:$IM$7="✓"),'KG1-7'!$AD$5:$IM$5),5),""))</f>
        <v/>
      </c>
      <c r="E4146">
        <f>IF(D4146="","",INDEX('KG1-7'!$AD36:$IM36,MATCH(D4146,'KG1-7'!$AD$5:$IM$5,0)))</f>
        <v/>
      </c>
      <c r="F4146">
        <f>IF(D4146="","",COUNTIFS('KG1-7'!$AD36:$IM36,"غياب بدون عذر",'KG1-7'!$AD$7:$IM$7,"✓",'KG1-7'!$AD$5:$IM$5,"&lt;="&amp;D4146))</f>
        <v/>
      </c>
      <c r="G4146">
        <f>G4145+IF(D4146="",0,1)</f>
        <v/>
      </c>
    </row>
    <row r="4147">
      <c r="A4147">
        <f>IF('KG1-7'!$B36="","",'KG1-7'!$B36)</f>
        <v/>
      </c>
      <c r="B4147">
        <f>IF(A4147="","",'KG1-7'!$C36)</f>
        <v/>
      </c>
      <c r="C4147">
        <f>IF(A4147="","",'KG1-7'!$B$2)</f>
        <v/>
      </c>
      <c r="D4147" s="126">
        <f t="array" ref="D4147">IF(A4147="","",IFERROR(SMALL(IF((('KG1-7'!$AD36:$IM36="غياب بدون عذر")+('KG1-7'!$AD36:$IM36="غياب بعذر"))*('KG1-7'!$AD$7:$IM$7="✓"),'KG1-7'!$AD$5:$IM$5),6),""))</f>
        <v/>
      </c>
      <c r="E4147">
        <f>IF(D4147="","",INDEX('KG1-7'!$AD36:$IM36,MATCH(D4147,'KG1-7'!$AD$5:$IM$5,0)))</f>
        <v/>
      </c>
      <c r="F4147">
        <f>IF(D4147="","",COUNTIFS('KG1-7'!$AD36:$IM36,"غياب بدون عذر",'KG1-7'!$AD$7:$IM$7,"✓",'KG1-7'!$AD$5:$IM$5,"&lt;="&amp;D4147))</f>
        <v/>
      </c>
      <c r="G4147">
        <f>G4146+IF(D4147="",0,1)</f>
        <v/>
      </c>
    </row>
    <row r="4148">
      <c r="A4148">
        <f>IF('KG1-7'!$B36="","",'KG1-7'!$B36)</f>
        <v/>
      </c>
      <c r="B4148">
        <f>IF(A4148="","",'KG1-7'!$C36)</f>
        <v/>
      </c>
      <c r="C4148">
        <f>IF(A4148="","",'KG1-7'!$B$2)</f>
        <v/>
      </c>
      <c r="D4148" s="126">
        <f t="array" ref="D4148">IF(A4148="","",IFERROR(SMALL(IF((('KG1-7'!$AD36:$IM36="غياب بدون عذر")+('KG1-7'!$AD36:$IM36="غياب بعذر"))*('KG1-7'!$AD$7:$IM$7="✓"),'KG1-7'!$AD$5:$IM$5),7),""))</f>
        <v/>
      </c>
      <c r="E4148">
        <f>IF(D4148="","",INDEX('KG1-7'!$AD36:$IM36,MATCH(D4148,'KG1-7'!$AD$5:$IM$5,0)))</f>
        <v/>
      </c>
      <c r="F4148">
        <f>IF(D4148="","",COUNTIFS('KG1-7'!$AD36:$IM36,"غياب بدون عذر",'KG1-7'!$AD$7:$IM$7,"✓",'KG1-7'!$AD$5:$IM$5,"&lt;="&amp;D4148))</f>
        <v/>
      </c>
      <c r="G4148">
        <f>G4147+IF(D4148="",0,1)</f>
        <v/>
      </c>
    </row>
    <row r="4149">
      <c r="A4149">
        <f>IF('KG1-7'!$B36="","",'KG1-7'!$B36)</f>
        <v/>
      </c>
      <c r="B4149">
        <f>IF(A4149="","",'KG1-7'!$C36)</f>
        <v/>
      </c>
      <c r="C4149">
        <f>IF(A4149="","",'KG1-7'!$B$2)</f>
        <v/>
      </c>
      <c r="D4149" s="126">
        <f t="array" ref="D4149">IF(A4149="","",IFERROR(SMALL(IF((('KG1-7'!$AD36:$IM36="غياب بدون عذر")+('KG1-7'!$AD36:$IM36="غياب بعذر"))*('KG1-7'!$AD$7:$IM$7="✓"),'KG1-7'!$AD$5:$IM$5),8),""))</f>
        <v/>
      </c>
      <c r="E4149">
        <f>IF(D4149="","",INDEX('KG1-7'!$AD36:$IM36,MATCH(D4149,'KG1-7'!$AD$5:$IM$5,0)))</f>
        <v/>
      </c>
      <c r="F4149">
        <f>IF(D4149="","",COUNTIFS('KG1-7'!$AD36:$IM36,"غياب بدون عذر",'KG1-7'!$AD$7:$IM$7,"✓",'KG1-7'!$AD$5:$IM$5,"&lt;="&amp;D4149))</f>
        <v/>
      </c>
      <c r="G4149">
        <f>G4148+IF(D4149="",0,1)</f>
        <v/>
      </c>
    </row>
    <row r="4150">
      <c r="A4150">
        <f>IF('KG1-7'!$B36="","",'KG1-7'!$B36)</f>
        <v/>
      </c>
      <c r="B4150">
        <f>IF(A4150="","",'KG1-7'!$C36)</f>
        <v/>
      </c>
      <c r="C4150">
        <f>IF(A4150="","",'KG1-7'!$B$2)</f>
        <v/>
      </c>
      <c r="D4150" s="126">
        <f t="array" ref="D4150">IF(A4150="","",IFERROR(SMALL(IF((('KG1-7'!$AD36:$IM36="غياب بدون عذر")+('KG1-7'!$AD36:$IM36="غياب بعذر"))*('KG1-7'!$AD$7:$IM$7="✓"),'KG1-7'!$AD$5:$IM$5),9),""))</f>
        <v/>
      </c>
      <c r="E4150">
        <f>IF(D4150="","",INDEX('KG1-7'!$AD36:$IM36,MATCH(D4150,'KG1-7'!$AD$5:$IM$5,0)))</f>
        <v/>
      </c>
      <c r="F4150">
        <f>IF(D4150="","",COUNTIFS('KG1-7'!$AD36:$IM36,"غياب بدون عذر",'KG1-7'!$AD$7:$IM$7,"✓",'KG1-7'!$AD$5:$IM$5,"&lt;="&amp;D4150))</f>
        <v/>
      </c>
      <c r="G4150">
        <f>G4149+IF(D4150="",0,1)</f>
        <v/>
      </c>
    </row>
    <row r="4151">
      <c r="A4151">
        <f>IF('KG1-7'!$B36="","",'KG1-7'!$B36)</f>
        <v/>
      </c>
      <c r="B4151">
        <f>IF(A4151="","",'KG1-7'!$C36)</f>
        <v/>
      </c>
      <c r="C4151">
        <f>IF(A4151="","",'KG1-7'!$B$2)</f>
        <v/>
      </c>
      <c r="D4151" s="126">
        <f t="array" ref="D4151">IF(A4151="","",IFERROR(SMALL(IF((('KG1-7'!$AD36:$IM36="غياب بدون عذر")+('KG1-7'!$AD36:$IM36="غياب بعذر"))*('KG1-7'!$AD$7:$IM$7="✓"),'KG1-7'!$AD$5:$IM$5),10),""))</f>
        <v/>
      </c>
      <c r="E4151">
        <f>IF(D4151="","",INDEX('KG1-7'!$AD36:$IM36,MATCH(D4151,'KG1-7'!$AD$5:$IM$5,0)))</f>
        <v/>
      </c>
      <c r="F4151">
        <f>IF(D4151="","",COUNTIFS('KG1-7'!$AD36:$IM36,"غياب بدون عذر",'KG1-7'!$AD$7:$IM$7,"✓",'KG1-7'!$AD$5:$IM$5,"&lt;="&amp;D4151))</f>
        <v/>
      </c>
      <c r="G4151">
        <f>G4150+IF(D4151="",0,1)</f>
        <v/>
      </c>
    </row>
    <row r="4152">
      <c r="A4152">
        <f>IF('KG1-7'!$B36="","",'KG1-7'!$B36)</f>
        <v/>
      </c>
      <c r="B4152">
        <f>IF(A4152="","",'KG1-7'!$C36)</f>
        <v/>
      </c>
      <c r="C4152">
        <f>IF(A4152="","",'KG1-7'!$B$2)</f>
        <v/>
      </c>
      <c r="D4152" s="126">
        <f t="array" ref="D4152">IF(A4152="","",IFERROR(SMALL(IF((('KG1-7'!$AD36:$IM36="غياب بدون عذر")+('KG1-7'!$AD36:$IM36="غياب بعذر"))*('KG1-7'!$AD$7:$IM$7="✓"),'KG1-7'!$AD$5:$IM$5),11),""))</f>
        <v/>
      </c>
      <c r="E4152">
        <f>IF(D4152="","",INDEX('KG1-7'!$AD36:$IM36,MATCH(D4152,'KG1-7'!$AD$5:$IM$5,0)))</f>
        <v/>
      </c>
      <c r="F4152">
        <f>IF(D4152="","",COUNTIFS('KG1-7'!$AD36:$IM36,"غياب بدون عذر",'KG1-7'!$AD$7:$IM$7,"✓",'KG1-7'!$AD$5:$IM$5,"&lt;="&amp;D4152))</f>
        <v/>
      </c>
      <c r="G4152">
        <f>G4151+IF(D4152="",0,1)</f>
        <v/>
      </c>
    </row>
    <row r="4153">
      <c r="A4153">
        <f>IF('KG1-7'!$B36="","",'KG1-7'!$B36)</f>
        <v/>
      </c>
      <c r="B4153">
        <f>IF(A4153="","",'KG1-7'!$C36)</f>
        <v/>
      </c>
      <c r="C4153">
        <f>IF(A4153="","",'KG1-7'!$B$2)</f>
        <v/>
      </c>
      <c r="D4153" s="126">
        <f t="array" ref="D4153">IF(A4153="","",IFERROR(SMALL(IF((('KG1-7'!$AD36:$IM36="غياب بدون عذر")+('KG1-7'!$AD36:$IM36="غياب بعذر"))*('KG1-7'!$AD$7:$IM$7="✓"),'KG1-7'!$AD$5:$IM$5),12),""))</f>
        <v/>
      </c>
      <c r="E4153">
        <f>IF(D4153="","",INDEX('KG1-7'!$AD36:$IM36,MATCH(D4153,'KG1-7'!$AD$5:$IM$5,0)))</f>
        <v/>
      </c>
      <c r="F4153">
        <f>IF(D4153="","",COUNTIFS('KG1-7'!$AD36:$IM36,"غياب بدون عذر",'KG1-7'!$AD$7:$IM$7,"✓",'KG1-7'!$AD$5:$IM$5,"&lt;="&amp;D4153))</f>
        <v/>
      </c>
      <c r="G4153">
        <f>G4152+IF(D4153="",0,1)</f>
        <v/>
      </c>
    </row>
    <row r="4154">
      <c r="A4154">
        <f>IF('KG1-7'!$B36="","",'KG1-7'!$B36)</f>
        <v/>
      </c>
      <c r="B4154">
        <f>IF(A4154="","",'KG1-7'!$C36)</f>
        <v/>
      </c>
      <c r="C4154">
        <f>IF(A4154="","",'KG1-7'!$B$2)</f>
        <v/>
      </c>
      <c r="D4154" s="126">
        <f t="array" ref="D4154">IF(A4154="","",IFERROR(SMALL(IF((('KG1-7'!$AD36:$IM36="غياب بدون عذر")+('KG1-7'!$AD36:$IM36="غياب بعذر"))*('KG1-7'!$AD$7:$IM$7="✓"),'KG1-7'!$AD$5:$IM$5),13),""))</f>
        <v/>
      </c>
      <c r="E4154">
        <f>IF(D4154="","",INDEX('KG1-7'!$AD36:$IM36,MATCH(D4154,'KG1-7'!$AD$5:$IM$5,0)))</f>
        <v/>
      </c>
      <c r="F4154">
        <f>IF(D4154="","",COUNTIFS('KG1-7'!$AD36:$IM36,"غياب بدون عذر",'KG1-7'!$AD$7:$IM$7,"✓",'KG1-7'!$AD$5:$IM$5,"&lt;="&amp;D4154))</f>
        <v/>
      </c>
      <c r="G4154">
        <f>G4153+IF(D4154="",0,1)</f>
        <v/>
      </c>
    </row>
    <row r="4155">
      <c r="A4155">
        <f>IF('KG1-7'!$B36="","",'KG1-7'!$B36)</f>
        <v/>
      </c>
      <c r="B4155">
        <f>IF(A4155="","",'KG1-7'!$C36)</f>
        <v/>
      </c>
      <c r="C4155">
        <f>IF(A4155="","",'KG1-7'!$B$2)</f>
        <v/>
      </c>
      <c r="D4155" s="126">
        <f t="array" ref="D4155">IF(A4155="","",IFERROR(SMALL(IF((('KG1-7'!$AD36:$IM36="غياب بدون عذر")+('KG1-7'!$AD36:$IM36="غياب بعذر"))*('KG1-7'!$AD$7:$IM$7="✓"),'KG1-7'!$AD$5:$IM$5),14),""))</f>
        <v/>
      </c>
      <c r="E4155">
        <f>IF(D4155="","",INDEX('KG1-7'!$AD36:$IM36,MATCH(D4155,'KG1-7'!$AD$5:$IM$5,0)))</f>
        <v/>
      </c>
      <c r="F4155">
        <f>IF(D4155="","",COUNTIFS('KG1-7'!$AD36:$IM36,"غياب بدون عذر",'KG1-7'!$AD$7:$IM$7,"✓",'KG1-7'!$AD$5:$IM$5,"&lt;="&amp;D4155))</f>
        <v/>
      </c>
      <c r="G4155">
        <f>G4154+IF(D4155="",0,1)</f>
        <v/>
      </c>
    </row>
    <row r="4156">
      <c r="A4156">
        <f>IF('KG1-7'!$B36="","",'KG1-7'!$B36)</f>
        <v/>
      </c>
      <c r="B4156">
        <f>IF(A4156="","",'KG1-7'!$C36)</f>
        <v/>
      </c>
      <c r="C4156">
        <f>IF(A4156="","",'KG1-7'!$B$2)</f>
        <v/>
      </c>
      <c r="D4156" s="126">
        <f t="array" ref="D4156">IF(A4156="","",IFERROR(SMALL(IF((('KG1-7'!$AD36:$IM36="غياب بدون عذر")+('KG1-7'!$AD36:$IM36="غياب بعذر"))*('KG1-7'!$AD$7:$IM$7="✓"),'KG1-7'!$AD$5:$IM$5),15),""))</f>
        <v/>
      </c>
      <c r="E4156">
        <f>IF(D4156="","",INDEX('KG1-7'!$AD36:$IM36,MATCH(D4156,'KG1-7'!$AD$5:$IM$5,0)))</f>
        <v/>
      </c>
      <c r="F4156">
        <f>IF(D4156="","",COUNTIFS('KG1-7'!$AD36:$IM36,"غياب بدون عذر",'KG1-7'!$AD$7:$IM$7,"✓",'KG1-7'!$AD$5:$IM$5,"&lt;="&amp;D4156))</f>
        <v/>
      </c>
      <c r="G4156">
        <f>G4155+IF(D4156="",0,1)</f>
        <v/>
      </c>
    </row>
    <row r="4157">
      <c r="A4157">
        <f>IF('KG1-7'!$B36="","",'KG1-7'!$B36)</f>
        <v/>
      </c>
      <c r="B4157">
        <f>IF(A4157="","",'KG1-7'!$C36)</f>
        <v/>
      </c>
      <c r="C4157">
        <f>IF(A4157="","",'KG1-7'!$B$2)</f>
        <v/>
      </c>
      <c r="D4157" s="126">
        <f t="array" ref="D4157">IF(A4157="","",IFERROR(SMALL(IF((('KG1-7'!$AD36:$IM36="غياب بدون عذر")+('KG1-7'!$AD36:$IM36="غياب بعذر"))*('KG1-7'!$AD$7:$IM$7="✓"),'KG1-7'!$AD$5:$IM$5),16),""))</f>
        <v/>
      </c>
      <c r="E4157">
        <f>IF(D4157="","",INDEX('KG1-7'!$AD36:$IM36,MATCH(D4157,'KG1-7'!$AD$5:$IM$5,0)))</f>
        <v/>
      </c>
      <c r="F4157">
        <f>IF(D4157="","",COUNTIFS('KG1-7'!$AD36:$IM36,"غياب بدون عذر",'KG1-7'!$AD$7:$IM$7,"✓",'KG1-7'!$AD$5:$IM$5,"&lt;="&amp;D4157))</f>
        <v/>
      </c>
      <c r="G4157">
        <f>G4156+IF(D4157="",0,1)</f>
        <v/>
      </c>
    </row>
    <row r="4158">
      <c r="A4158">
        <f>IF('KG1-7'!$B36="","",'KG1-7'!$B36)</f>
        <v/>
      </c>
      <c r="B4158">
        <f>IF(A4158="","",'KG1-7'!$C36)</f>
        <v/>
      </c>
      <c r="C4158">
        <f>IF(A4158="","",'KG1-7'!$B$2)</f>
        <v/>
      </c>
      <c r="D4158" s="126">
        <f t="array" ref="D4158">IF(A4158="","",IFERROR(SMALL(IF((('KG1-7'!$AD36:$IM36="غياب بدون عذر")+('KG1-7'!$AD36:$IM36="غياب بعذر"))*('KG1-7'!$AD$7:$IM$7="✓"),'KG1-7'!$AD$5:$IM$5),17),""))</f>
        <v/>
      </c>
      <c r="E4158">
        <f>IF(D4158="","",INDEX('KG1-7'!$AD36:$IM36,MATCH(D4158,'KG1-7'!$AD$5:$IM$5,0)))</f>
        <v/>
      </c>
      <c r="F4158">
        <f>IF(D4158="","",COUNTIFS('KG1-7'!$AD36:$IM36,"غياب بدون عذر",'KG1-7'!$AD$7:$IM$7,"✓",'KG1-7'!$AD$5:$IM$5,"&lt;="&amp;D4158))</f>
        <v/>
      </c>
      <c r="G4158">
        <f>G4157+IF(D4158="",0,1)</f>
        <v/>
      </c>
    </row>
    <row r="4159">
      <c r="A4159">
        <f>IF('KG1-7'!$B36="","",'KG1-7'!$B36)</f>
        <v/>
      </c>
      <c r="B4159">
        <f>IF(A4159="","",'KG1-7'!$C36)</f>
        <v/>
      </c>
      <c r="C4159">
        <f>IF(A4159="","",'KG1-7'!$B$2)</f>
        <v/>
      </c>
      <c r="D4159" s="126">
        <f t="array" ref="D4159">IF(A4159="","",IFERROR(SMALL(IF((('KG1-7'!$AD36:$IM36="غياب بدون عذر")+('KG1-7'!$AD36:$IM36="غياب بعذر"))*('KG1-7'!$AD$7:$IM$7="✓"),'KG1-7'!$AD$5:$IM$5),18),""))</f>
        <v/>
      </c>
      <c r="E4159">
        <f>IF(D4159="","",INDEX('KG1-7'!$AD36:$IM36,MATCH(D4159,'KG1-7'!$AD$5:$IM$5,0)))</f>
        <v/>
      </c>
      <c r="F4159">
        <f>IF(D4159="","",COUNTIFS('KG1-7'!$AD36:$IM36,"غياب بدون عذر",'KG1-7'!$AD$7:$IM$7,"✓",'KG1-7'!$AD$5:$IM$5,"&lt;="&amp;D4159))</f>
        <v/>
      </c>
      <c r="G4159">
        <f>G4158+IF(D4159="",0,1)</f>
        <v/>
      </c>
    </row>
    <row r="4160">
      <c r="A4160">
        <f>IF('KG1-7'!$B36="","",'KG1-7'!$B36)</f>
        <v/>
      </c>
      <c r="B4160">
        <f>IF(A4160="","",'KG1-7'!$C36)</f>
        <v/>
      </c>
      <c r="C4160">
        <f>IF(A4160="","",'KG1-7'!$B$2)</f>
        <v/>
      </c>
      <c r="D4160" s="126">
        <f t="array" ref="D4160">IF(A4160="","",IFERROR(SMALL(IF((('KG1-7'!$AD36:$IM36="غياب بدون عذر")+('KG1-7'!$AD36:$IM36="غياب بعذر"))*('KG1-7'!$AD$7:$IM$7="✓"),'KG1-7'!$AD$5:$IM$5),19),""))</f>
        <v/>
      </c>
      <c r="E4160">
        <f>IF(D4160="","",INDEX('KG1-7'!$AD36:$IM36,MATCH(D4160,'KG1-7'!$AD$5:$IM$5,0)))</f>
        <v/>
      </c>
      <c r="F4160">
        <f>IF(D4160="","",COUNTIFS('KG1-7'!$AD36:$IM36,"غياب بدون عذر",'KG1-7'!$AD$7:$IM$7,"✓",'KG1-7'!$AD$5:$IM$5,"&lt;="&amp;D4160))</f>
        <v/>
      </c>
      <c r="G4160">
        <f>G4159+IF(D4160="",0,1)</f>
        <v/>
      </c>
    </row>
    <row r="4161">
      <c r="A4161">
        <f>IF('KG1-7'!$B36="","",'KG1-7'!$B36)</f>
        <v/>
      </c>
      <c r="B4161">
        <f>IF(A4161="","",'KG1-7'!$C36)</f>
        <v/>
      </c>
      <c r="C4161">
        <f>IF(A4161="","",'KG1-7'!$B$2)</f>
        <v/>
      </c>
      <c r="D4161" s="126">
        <f t="array" ref="D4161">IF(A4161="","",IFERROR(SMALL(IF((('KG1-7'!$AD36:$IM36="غياب بدون عذر")+('KG1-7'!$AD36:$IM36="غياب بعذر"))*('KG1-7'!$AD$7:$IM$7="✓"),'KG1-7'!$AD$5:$IM$5),20),""))</f>
        <v/>
      </c>
      <c r="E4161">
        <f>IF(D4161="","",INDEX('KG1-7'!$AD36:$IM36,MATCH(D4161,'KG1-7'!$AD$5:$IM$5,0)))</f>
        <v/>
      </c>
      <c r="F4161">
        <f>IF(D4161="","",COUNTIFS('KG1-7'!$AD36:$IM36,"غياب بدون عذر",'KG1-7'!$AD$7:$IM$7,"✓",'KG1-7'!$AD$5:$IM$5,"&lt;="&amp;D4161))</f>
        <v/>
      </c>
      <c r="G4161">
        <f>G4160+IF(D4161="",0,1)</f>
        <v/>
      </c>
    </row>
    <row r="4162">
      <c r="A4162">
        <f>IF('KG1-7'!$B37="","",'KG1-7'!$B37)</f>
        <v/>
      </c>
      <c r="B4162">
        <f>IF(A4162="","",'KG1-7'!$C37)</f>
        <v/>
      </c>
      <c r="C4162">
        <f>IF(A4162="","",'KG1-7'!$B$2)</f>
        <v/>
      </c>
      <c r="D4162" s="126">
        <f t="array" ref="D4162">IF(A4162="","",IFERROR(SMALL(IF((('KG1-7'!$AD37:$IM37="غياب بدون عذر")+('KG1-7'!$AD37:$IM37="غياب بعذر"))*('KG1-7'!$AD$7:$IM$7="✓"),'KG1-7'!$AD$5:$IM$5),1),""))</f>
        <v/>
      </c>
      <c r="E4162">
        <f>IF(D4162="","",INDEX('KG1-7'!$AD37:$IM37,MATCH(D4162,'KG1-7'!$AD$5:$IM$5,0)))</f>
        <v/>
      </c>
      <c r="F4162">
        <f>IF(D4162="","",COUNTIFS('KG1-7'!$AD37:$IM37,"غياب بدون عذر",'KG1-7'!$AD$7:$IM$7,"✓",'KG1-7'!$AD$5:$IM$5,"&lt;="&amp;D4162))</f>
        <v/>
      </c>
      <c r="G4162">
        <f>G4161+IF(D4162="",0,1)</f>
        <v/>
      </c>
    </row>
    <row r="4163">
      <c r="A4163">
        <f>IF('KG1-7'!$B37="","",'KG1-7'!$B37)</f>
        <v/>
      </c>
      <c r="B4163">
        <f>IF(A4163="","",'KG1-7'!$C37)</f>
        <v/>
      </c>
      <c r="C4163">
        <f>IF(A4163="","",'KG1-7'!$B$2)</f>
        <v/>
      </c>
      <c r="D4163" s="126">
        <f t="array" ref="D4163">IF(A4163="","",IFERROR(SMALL(IF((('KG1-7'!$AD37:$IM37="غياب بدون عذر")+('KG1-7'!$AD37:$IM37="غياب بعذر"))*('KG1-7'!$AD$7:$IM$7="✓"),'KG1-7'!$AD$5:$IM$5),2),""))</f>
        <v/>
      </c>
      <c r="E4163">
        <f>IF(D4163="","",INDEX('KG1-7'!$AD37:$IM37,MATCH(D4163,'KG1-7'!$AD$5:$IM$5,0)))</f>
        <v/>
      </c>
      <c r="F4163">
        <f>IF(D4163="","",COUNTIFS('KG1-7'!$AD37:$IM37,"غياب بدون عذر",'KG1-7'!$AD$7:$IM$7,"✓",'KG1-7'!$AD$5:$IM$5,"&lt;="&amp;D4163))</f>
        <v/>
      </c>
      <c r="G4163">
        <f>G4162+IF(D4163="",0,1)</f>
        <v/>
      </c>
    </row>
    <row r="4164">
      <c r="A4164">
        <f>IF('KG1-7'!$B37="","",'KG1-7'!$B37)</f>
        <v/>
      </c>
      <c r="B4164">
        <f>IF(A4164="","",'KG1-7'!$C37)</f>
        <v/>
      </c>
      <c r="C4164">
        <f>IF(A4164="","",'KG1-7'!$B$2)</f>
        <v/>
      </c>
      <c r="D4164" s="126">
        <f t="array" ref="D4164">IF(A4164="","",IFERROR(SMALL(IF((('KG1-7'!$AD37:$IM37="غياب بدون عذر")+('KG1-7'!$AD37:$IM37="غياب بعذر"))*('KG1-7'!$AD$7:$IM$7="✓"),'KG1-7'!$AD$5:$IM$5),3),""))</f>
        <v/>
      </c>
      <c r="E4164">
        <f>IF(D4164="","",INDEX('KG1-7'!$AD37:$IM37,MATCH(D4164,'KG1-7'!$AD$5:$IM$5,0)))</f>
        <v/>
      </c>
      <c r="F4164">
        <f>IF(D4164="","",COUNTIFS('KG1-7'!$AD37:$IM37,"غياب بدون عذر",'KG1-7'!$AD$7:$IM$7,"✓",'KG1-7'!$AD$5:$IM$5,"&lt;="&amp;D4164))</f>
        <v/>
      </c>
      <c r="G4164">
        <f>G4163+IF(D4164="",0,1)</f>
        <v/>
      </c>
    </row>
    <row r="4165">
      <c r="A4165">
        <f>IF('KG1-7'!$B37="","",'KG1-7'!$B37)</f>
        <v/>
      </c>
      <c r="B4165">
        <f>IF(A4165="","",'KG1-7'!$C37)</f>
        <v/>
      </c>
      <c r="C4165">
        <f>IF(A4165="","",'KG1-7'!$B$2)</f>
        <v/>
      </c>
      <c r="D4165" s="126">
        <f t="array" ref="D4165">IF(A4165="","",IFERROR(SMALL(IF((('KG1-7'!$AD37:$IM37="غياب بدون عذر")+('KG1-7'!$AD37:$IM37="غياب بعذر"))*('KG1-7'!$AD$7:$IM$7="✓"),'KG1-7'!$AD$5:$IM$5),4),""))</f>
        <v/>
      </c>
      <c r="E4165">
        <f>IF(D4165="","",INDEX('KG1-7'!$AD37:$IM37,MATCH(D4165,'KG1-7'!$AD$5:$IM$5,0)))</f>
        <v/>
      </c>
      <c r="F4165">
        <f>IF(D4165="","",COUNTIFS('KG1-7'!$AD37:$IM37,"غياب بدون عذر",'KG1-7'!$AD$7:$IM$7,"✓",'KG1-7'!$AD$5:$IM$5,"&lt;="&amp;D4165))</f>
        <v/>
      </c>
      <c r="G4165">
        <f>G4164+IF(D4165="",0,1)</f>
        <v/>
      </c>
    </row>
    <row r="4166">
      <c r="A4166">
        <f>IF('KG1-7'!$B37="","",'KG1-7'!$B37)</f>
        <v/>
      </c>
      <c r="B4166">
        <f>IF(A4166="","",'KG1-7'!$C37)</f>
        <v/>
      </c>
      <c r="C4166">
        <f>IF(A4166="","",'KG1-7'!$B$2)</f>
        <v/>
      </c>
      <c r="D4166" s="126">
        <f t="array" ref="D4166">IF(A4166="","",IFERROR(SMALL(IF((('KG1-7'!$AD37:$IM37="غياب بدون عذر")+('KG1-7'!$AD37:$IM37="غياب بعذر"))*('KG1-7'!$AD$7:$IM$7="✓"),'KG1-7'!$AD$5:$IM$5),5),""))</f>
        <v/>
      </c>
      <c r="E4166">
        <f>IF(D4166="","",INDEX('KG1-7'!$AD37:$IM37,MATCH(D4166,'KG1-7'!$AD$5:$IM$5,0)))</f>
        <v/>
      </c>
      <c r="F4166">
        <f>IF(D4166="","",COUNTIFS('KG1-7'!$AD37:$IM37,"غياب بدون عذر",'KG1-7'!$AD$7:$IM$7,"✓",'KG1-7'!$AD$5:$IM$5,"&lt;="&amp;D4166))</f>
        <v/>
      </c>
      <c r="G4166">
        <f>G4165+IF(D4166="",0,1)</f>
        <v/>
      </c>
    </row>
    <row r="4167">
      <c r="A4167">
        <f>IF('KG1-7'!$B37="","",'KG1-7'!$B37)</f>
        <v/>
      </c>
      <c r="B4167">
        <f>IF(A4167="","",'KG1-7'!$C37)</f>
        <v/>
      </c>
      <c r="C4167">
        <f>IF(A4167="","",'KG1-7'!$B$2)</f>
        <v/>
      </c>
      <c r="D4167" s="126">
        <f t="array" ref="D4167">IF(A4167="","",IFERROR(SMALL(IF((('KG1-7'!$AD37:$IM37="غياب بدون عذر")+('KG1-7'!$AD37:$IM37="غياب بعذر"))*('KG1-7'!$AD$7:$IM$7="✓"),'KG1-7'!$AD$5:$IM$5),6),""))</f>
        <v/>
      </c>
      <c r="E4167">
        <f>IF(D4167="","",INDEX('KG1-7'!$AD37:$IM37,MATCH(D4167,'KG1-7'!$AD$5:$IM$5,0)))</f>
        <v/>
      </c>
      <c r="F4167">
        <f>IF(D4167="","",COUNTIFS('KG1-7'!$AD37:$IM37,"غياب بدون عذر",'KG1-7'!$AD$7:$IM$7,"✓",'KG1-7'!$AD$5:$IM$5,"&lt;="&amp;D4167))</f>
        <v/>
      </c>
      <c r="G4167">
        <f>G4166+IF(D4167="",0,1)</f>
        <v/>
      </c>
    </row>
    <row r="4168">
      <c r="A4168">
        <f>IF('KG1-7'!$B37="","",'KG1-7'!$B37)</f>
        <v/>
      </c>
      <c r="B4168">
        <f>IF(A4168="","",'KG1-7'!$C37)</f>
        <v/>
      </c>
      <c r="C4168">
        <f>IF(A4168="","",'KG1-7'!$B$2)</f>
        <v/>
      </c>
      <c r="D4168" s="126">
        <f t="array" ref="D4168">IF(A4168="","",IFERROR(SMALL(IF((('KG1-7'!$AD37:$IM37="غياب بدون عذر")+('KG1-7'!$AD37:$IM37="غياب بعذر"))*('KG1-7'!$AD$7:$IM$7="✓"),'KG1-7'!$AD$5:$IM$5),7),""))</f>
        <v/>
      </c>
      <c r="E4168">
        <f>IF(D4168="","",INDEX('KG1-7'!$AD37:$IM37,MATCH(D4168,'KG1-7'!$AD$5:$IM$5,0)))</f>
        <v/>
      </c>
      <c r="F4168">
        <f>IF(D4168="","",COUNTIFS('KG1-7'!$AD37:$IM37,"غياب بدون عذر",'KG1-7'!$AD$7:$IM$7,"✓",'KG1-7'!$AD$5:$IM$5,"&lt;="&amp;D4168))</f>
        <v/>
      </c>
      <c r="G4168">
        <f>G4167+IF(D4168="",0,1)</f>
        <v/>
      </c>
    </row>
    <row r="4169">
      <c r="A4169">
        <f>IF('KG1-7'!$B37="","",'KG1-7'!$B37)</f>
        <v/>
      </c>
      <c r="B4169">
        <f>IF(A4169="","",'KG1-7'!$C37)</f>
        <v/>
      </c>
      <c r="C4169">
        <f>IF(A4169="","",'KG1-7'!$B$2)</f>
        <v/>
      </c>
      <c r="D4169" s="126">
        <f t="array" ref="D4169">IF(A4169="","",IFERROR(SMALL(IF((('KG1-7'!$AD37:$IM37="غياب بدون عذر")+('KG1-7'!$AD37:$IM37="غياب بعذر"))*('KG1-7'!$AD$7:$IM$7="✓"),'KG1-7'!$AD$5:$IM$5),8),""))</f>
        <v/>
      </c>
      <c r="E4169">
        <f>IF(D4169="","",INDEX('KG1-7'!$AD37:$IM37,MATCH(D4169,'KG1-7'!$AD$5:$IM$5,0)))</f>
        <v/>
      </c>
      <c r="F4169">
        <f>IF(D4169="","",COUNTIFS('KG1-7'!$AD37:$IM37,"غياب بدون عذر",'KG1-7'!$AD$7:$IM$7,"✓",'KG1-7'!$AD$5:$IM$5,"&lt;="&amp;D4169))</f>
        <v/>
      </c>
      <c r="G4169">
        <f>G4168+IF(D4169="",0,1)</f>
        <v/>
      </c>
    </row>
    <row r="4170">
      <c r="A4170">
        <f>IF('KG1-7'!$B37="","",'KG1-7'!$B37)</f>
        <v/>
      </c>
      <c r="B4170">
        <f>IF(A4170="","",'KG1-7'!$C37)</f>
        <v/>
      </c>
      <c r="C4170">
        <f>IF(A4170="","",'KG1-7'!$B$2)</f>
        <v/>
      </c>
      <c r="D4170" s="126">
        <f t="array" ref="D4170">IF(A4170="","",IFERROR(SMALL(IF((('KG1-7'!$AD37:$IM37="غياب بدون عذر")+('KG1-7'!$AD37:$IM37="غياب بعذر"))*('KG1-7'!$AD$7:$IM$7="✓"),'KG1-7'!$AD$5:$IM$5),9),""))</f>
        <v/>
      </c>
      <c r="E4170">
        <f>IF(D4170="","",INDEX('KG1-7'!$AD37:$IM37,MATCH(D4170,'KG1-7'!$AD$5:$IM$5,0)))</f>
        <v/>
      </c>
      <c r="F4170">
        <f>IF(D4170="","",COUNTIFS('KG1-7'!$AD37:$IM37,"غياب بدون عذر",'KG1-7'!$AD$7:$IM$7,"✓",'KG1-7'!$AD$5:$IM$5,"&lt;="&amp;D4170))</f>
        <v/>
      </c>
      <c r="G4170">
        <f>G4169+IF(D4170="",0,1)</f>
        <v/>
      </c>
    </row>
    <row r="4171">
      <c r="A4171">
        <f>IF('KG1-7'!$B37="","",'KG1-7'!$B37)</f>
        <v/>
      </c>
      <c r="B4171">
        <f>IF(A4171="","",'KG1-7'!$C37)</f>
        <v/>
      </c>
      <c r="C4171">
        <f>IF(A4171="","",'KG1-7'!$B$2)</f>
        <v/>
      </c>
      <c r="D4171" s="126">
        <f t="array" ref="D4171">IF(A4171="","",IFERROR(SMALL(IF((('KG1-7'!$AD37:$IM37="غياب بدون عذر")+('KG1-7'!$AD37:$IM37="غياب بعذر"))*('KG1-7'!$AD$7:$IM$7="✓"),'KG1-7'!$AD$5:$IM$5),10),""))</f>
        <v/>
      </c>
      <c r="E4171">
        <f>IF(D4171="","",INDEX('KG1-7'!$AD37:$IM37,MATCH(D4171,'KG1-7'!$AD$5:$IM$5,0)))</f>
        <v/>
      </c>
      <c r="F4171">
        <f>IF(D4171="","",COUNTIFS('KG1-7'!$AD37:$IM37,"غياب بدون عذر",'KG1-7'!$AD$7:$IM$7,"✓",'KG1-7'!$AD$5:$IM$5,"&lt;="&amp;D4171))</f>
        <v/>
      </c>
      <c r="G4171">
        <f>G4170+IF(D4171="",0,1)</f>
        <v/>
      </c>
    </row>
    <row r="4172">
      <c r="A4172">
        <f>IF('KG1-7'!$B37="","",'KG1-7'!$B37)</f>
        <v/>
      </c>
      <c r="B4172">
        <f>IF(A4172="","",'KG1-7'!$C37)</f>
        <v/>
      </c>
      <c r="C4172">
        <f>IF(A4172="","",'KG1-7'!$B$2)</f>
        <v/>
      </c>
      <c r="D4172" s="126">
        <f t="array" ref="D4172">IF(A4172="","",IFERROR(SMALL(IF((('KG1-7'!$AD37:$IM37="غياب بدون عذر")+('KG1-7'!$AD37:$IM37="غياب بعذر"))*('KG1-7'!$AD$7:$IM$7="✓"),'KG1-7'!$AD$5:$IM$5),11),""))</f>
        <v/>
      </c>
      <c r="E4172">
        <f>IF(D4172="","",INDEX('KG1-7'!$AD37:$IM37,MATCH(D4172,'KG1-7'!$AD$5:$IM$5,0)))</f>
        <v/>
      </c>
      <c r="F4172">
        <f>IF(D4172="","",COUNTIFS('KG1-7'!$AD37:$IM37,"غياب بدون عذر",'KG1-7'!$AD$7:$IM$7,"✓",'KG1-7'!$AD$5:$IM$5,"&lt;="&amp;D4172))</f>
        <v/>
      </c>
      <c r="G4172">
        <f>G4171+IF(D4172="",0,1)</f>
        <v/>
      </c>
    </row>
    <row r="4173">
      <c r="A4173">
        <f>IF('KG1-7'!$B37="","",'KG1-7'!$B37)</f>
        <v/>
      </c>
      <c r="B4173">
        <f>IF(A4173="","",'KG1-7'!$C37)</f>
        <v/>
      </c>
      <c r="C4173">
        <f>IF(A4173="","",'KG1-7'!$B$2)</f>
        <v/>
      </c>
      <c r="D4173" s="126">
        <f t="array" ref="D4173">IF(A4173="","",IFERROR(SMALL(IF((('KG1-7'!$AD37:$IM37="غياب بدون عذر")+('KG1-7'!$AD37:$IM37="غياب بعذر"))*('KG1-7'!$AD$7:$IM$7="✓"),'KG1-7'!$AD$5:$IM$5),12),""))</f>
        <v/>
      </c>
      <c r="E4173">
        <f>IF(D4173="","",INDEX('KG1-7'!$AD37:$IM37,MATCH(D4173,'KG1-7'!$AD$5:$IM$5,0)))</f>
        <v/>
      </c>
      <c r="F4173">
        <f>IF(D4173="","",COUNTIFS('KG1-7'!$AD37:$IM37,"غياب بدون عذر",'KG1-7'!$AD$7:$IM$7,"✓",'KG1-7'!$AD$5:$IM$5,"&lt;="&amp;D4173))</f>
        <v/>
      </c>
      <c r="G4173">
        <f>G4172+IF(D4173="",0,1)</f>
        <v/>
      </c>
    </row>
    <row r="4174">
      <c r="A4174">
        <f>IF('KG1-7'!$B37="","",'KG1-7'!$B37)</f>
        <v/>
      </c>
      <c r="B4174">
        <f>IF(A4174="","",'KG1-7'!$C37)</f>
        <v/>
      </c>
      <c r="C4174">
        <f>IF(A4174="","",'KG1-7'!$B$2)</f>
        <v/>
      </c>
      <c r="D4174" s="126">
        <f t="array" ref="D4174">IF(A4174="","",IFERROR(SMALL(IF((('KG1-7'!$AD37:$IM37="غياب بدون عذر")+('KG1-7'!$AD37:$IM37="غياب بعذر"))*('KG1-7'!$AD$7:$IM$7="✓"),'KG1-7'!$AD$5:$IM$5),13),""))</f>
        <v/>
      </c>
      <c r="E4174">
        <f>IF(D4174="","",INDEX('KG1-7'!$AD37:$IM37,MATCH(D4174,'KG1-7'!$AD$5:$IM$5,0)))</f>
        <v/>
      </c>
      <c r="F4174">
        <f>IF(D4174="","",COUNTIFS('KG1-7'!$AD37:$IM37,"غياب بدون عذر",'KG1-7'!$AD$7:$IM$7,"✓",'KG1-7'!$AD$5:$IM$5,"&lt;="&amp;D4174))</f>
        <v/>
      </c>
      <c r="G4174">
        <f>G4173+IF(D4174="",0,1)</f>
        <v/>
      </c>
    </row>
    <row r="4175">
      <c r="A4175">
        <f>IF('KG1-7'!$B37="","",'KG1-7'!$B37)</f>
        <v/>
      </c>
      <c r="B4175">
        <f>IF(A4175="","",'KG1-7'!$C37)</f>
        <v/>
      </c>
      <c r="C4175">
        <f>IF(A4175="","",'KG1-7'!$B$2)</f>
        <v/>
      </c>
      <c r="D4175" s="126">
        <f t="array" ref="D4175">IF(A4175="","",IFERROR(SMALL(IF((('KG1-7'!$AD37:$IM37="غياب بدون عذر")+('KG1-7'!$AD37:$IM37="غياب بعذر"))*('KG1-7'!$AD$7:$IM$7="✓"),'KG1-7'!$AD$5:$IM$5),14),""))</f>
        <v/>
      </c>
      <c r="E4175">
        <f>IF(D4175="","",INDEX('KG1-7'!$AD37:$IM37,MATCH(D4175,'KG1-7'!$AD$5:$IM$5,0)))</f>
        <v/>
      </c>
      <c r="F4175">
        <f>IF(D4175="","",COUNTIFS('KG1-7'!$AD37:$IM37,"غياب بدون عذر",'KG1-7'!$AD$7:$IM$7,"✓",'KG1-7'!$AD$5:$IM$5,"&lt;="&amp;D4175))</f>
        <v/>
      </c>
      <c r="G4175">
        <f>G4174+IF(D4175="",0,1)</f>
        <v/>
      </c>
    </row>
    <row r="4176">
      <c r="A4176">
        <f>IF('KG1-7'!$B37="","",'KG1-7'!$B37)</f>
        <v/>
      </c>
      <c r="B4176">
        <f>IF(A4176="","",'KG1-7'!$C37)</f>
        <v/>
      </c>
      <c r="C4176">
        <f>IF(A4176="","",'KG1-7'!$B$2)</f>
        <v/>
      </c>
      <c r="D4176" s="126">
        <f t="array" ref="D4176">IF(A4176="","",IFERROR(SMALL(IF((('KG1-7'!$AD37:$IM37="غياب بدون عذر")+('KG1-7'!$AD37:$IM37="غياب بعذر"))*('KG1-7'!$AD$7:$IM$7="✓"),'KG1-7'!$AD$5:$IM$5),15),""))</f>
        <v/>
      </c>
      <c r="E4176">
        <f>IF(D4176="","",INDEX('KG1-7'!$AD37:$IM37,MATCH(D4176,'KG1-7'!$AD$5:$IM$5,0)))</f>
        <v/>
      </c>
      <c r="F4176">
        <f>IF(D4176="","",COUNTIFS('KG1-7'!$AD37:$IM37,"غياب بدون عذر",'KG1-7'!$AD$7:$IM$7,"✓",'KG1-7'!$AD$5:$IM$5,"&lt;="&amp;D4176))</f>
        <v/>
      </c>
      <c r="G4176">
        <f>G4175+IF(D4176="",0,1)</f>
        <v/>
      </c>
    </row>
    <row r="4177">
      <c r="A4177">
        <f>IF('KG1-7'!$B37="","",'KG1-7'!$B37)</f>
        <v/>
      </c>
      <c r="B4177">
        <f>IF(A4177="","",'KG1-7'!$C37)</f>
        <v/>
      </c>
      <c r="C4177">
        <f>IF(A4177="","",'KG1-7'!$B$2)</f>
        <v/>
      </c>
      <c r="D4177" s="126">
        <f t="array" ref="D4177">IF(A4177="","",IFERROR(SMALL(IF((('KG1-7'!$AD37:$IM37="غياب بدون عذر")+('KG1-7'!$AD37:$IM37="غياب بعذر"))*('KG1-7'!$AD$7:$IM$7="✓"),'KG1-7'!$AD$5:$IM$5),16),""))</f>
        <v/>
      </c>
      <c r="E4177">
        <f>IF(D4177="","",INDEX('KG1-7'!$AD37:$IM37,MATCH(D4177,'KG1-7'!$AD$5:$IM$5,0)))</f>
        <v/>
      </c>
      <c r="F4177">
        <f>IF(D4177="","",COUNTIFS('KG1-7'!$AD37:$IM37,"غياب بدون عذر",'KG1-7'!$AD$7:$IM$7,"✓",'KG1-7'!$AD$5:$IM$5,"&lt;="&amp;D4177))</f>
        <v/>
      </c>
      <c r="G4177">
        <f>G4176+IF(D4177="",0,1)</f>
        <v/>
      </c>
    </row>
    <row r="4178">
      <c r="A4178">
        <f>IF('KG1-7'!$B37="","",'KG1-7'!$B37)</f>
        <v/>
      </c>
      <c r="B4178">
        <f>IF(A4178="","",'KG1-7'!$C37)</f>
        <v/>
      </c>
      <c r="C4178">
        <f>IF(A4178="","",'KG1-7'!$B$2)</f>
        <v/>
      </c>
      <c r="D4178" s="126">
        <f t="array" ref="D4178">IF(A4178="","",IFERROR(SMALL(IF((('KG1-7'!$AD37:$IM37="غياب بدون عذر")+('KG1-7'!$AD37:$IM37="غياب بعذر"))*('KG1-7'!$AD$7:$IM$7="✓"),'KG1-7'!$AD$5:$IM$5),17),""))</f>
        <v/>
      </c>
      <c r="E4178">
        <f>IF(D4178="","",INDEX('KG1-7'!$AD37:$IM37,MATCH(D4178,'KG1-7'!$AD$5:$IM$5,0)))</f>
        <v/>
      </c>
      <c r="F4178">
        <f>IF(D4178="","",COUNTIFS('KG1-7'!$AD37:$IM37,"غياب بدون عذر",'KG1-7'!$AD$7:$IM$7,"✓",'KG1-7'!$AD$5:$IM$5,"&lt;="&amp;D4178))</f>
        <v/>
      </c>
      <c r="G4178">
        <f>G4177+IF(D4178="",0,1)</f>
        <v/>
      </c>
    </row>
    <row r="4179">
      <c r="A4179">
        <f>IF('KG1-7'!$B37="","",'KG1-7'!$B37)</f>
        <v/>
      </c>
      <c r="B4179">
        <f>IF(A4179="","",'KG1-7'!$C37)</f>
        <v/>
      </c>
      <c r="C4179">
        <f>IF(A4179="","",'KG1-7'!$B$2)</f>
        <v/>
      </c>
      <c r="D4179" s="126">
        <f t="array" ref="D4179">IF(A4179="","",IFERROR(SMALL(IF((('KG1-7'!$AD37:$IM37="غياب بدون عذر")+('KG1-7'!$AD37:$IM37="غياب بعذر"))*('KG1-7'!$AD$7:$IM$7="✓"),'KG1-7'!$AD$5:$IM$5),18),""))</f>
        <v/>
      </c>
      <c r="E4179">
        <f>IF(D4179="","",INDEX('KG1-7'!$AD37:$IM37,MATCH(D4179,'KG1-7'!$AD$5:$IM$5,0)))</f>
        <v/>
      </c>
      <c r="F4179">
        <f>IF(D4179="","",COUNTIFS('KG1-7'!$AD37:$IM37,"غياب بدون عذر",'KG1-7'!$AD$7:$IM$7,"✓",'KG1-7'!$AD$5:$IM$5,"&lt;="&amp;D4179))</f>
        <v/>
      </c>
      <c r="G4179">
        <f>G4178+IF(D4179="",0,1)</f>
        <v/>
      </c>
    </row>
    <row r="4180">
      <c r="A4180">
        <f>IF('KG1-7'!$B37="","",'KG1-7'!$B37)</f>
        <v/>
      </c>
      <c r="B4180">
        <f>IF(A4180="","",'KG1-7'!$C37)</f>
        <v/>
      </c>
      <c r="C4180">
        <f>IF(A4180="","",'KG1-7'!$B$2)</f>
        <v/>
      </c>
      <c r="D4180" s="126">
        <f t="array" ref="D4180">IF(A4180="","",IFERROR(SMALL(IF((('KG1-7'!$AD37:$IM37="غياب بدون عذر")+('KG1-7'!$AD37:$IM37="غياب بعذر"))*('KG1-7'!$AD$7:$IM$7="✓"),'KG1-7'!$AD$5:$IM$5),19),""))</f>
        <v/>
      </c>
      <c r="E4180">
        <f>IF(D4180="","",INDEX('KG1-7'!$AD37:$IM37,MATCH(D4180,'KG1-7'!$AD$5:$IM$5,0)))</f>
        <v/>
      </c>
      <c r="F4180">
        <f>IF(D4180="","",COUNTIFS('KG1-7'!$AD37:$IM37,"غياب بدون عذر",'KG1-7'!$AD$7:$IM$7,"✓",'KG1-7'!$AD$5:$IM$5,"&lt;="&amp;D4180))</f>
        <v/>
      </c>
      <c r="G4180">
        <f>G4179+IF(D4180="",0,1)</f>
        <v/>
      </c>
    </row>
    <row r="4181">
      <c r="A4181">
        <f>IF('KG1-7'!$B37="","",'KG1-7'!$B37)</f>
        <v/>
      </c>
      <c r="B4181">
        <f>IF(A4181="","",'KG1-7'!$C37)</f>
        <v/>
      </c>
      <c r="C4181">
        <f>IF(A4181="","",'KG1-7'!$B$2)</f>
        <v/>
      </c>
      <c r="D4181" s="126">
        <f t="array" ref="D4181">IF(A4181="","",IFERROR(SMALL(IF((('KG1-7'!$AD37:$IM37="غياب بدون عذر")+('KG1-7'!$AD37:$IM37="غياب بعذر"))*('KG1-7'!$AD$7:$IM$7="✓"),'KG1-7'!$AD$5:$IM$5),20),""))</f>
        <v/>
      </c>
      <c r="E4181">
        <f>IF(D4181="","",INDEX('KG1-7'!$AD37:$IM37,MATCH(D4181,'KG1-7'!$AD$5:$IM$5,0)))</f>
        <v/>
      </c>
      <c r="F4181">
        <f>IF(D4181="","",COUNTIFS('KG1-7'!$AD37:$IM37,"غياب بدون عذر",'KG1-7'!$AD$7:$IM$7,"✓",'KG1-7'!$AD$5:$IM$5,"&lt;="&amp;D4181))</f>
        <v/>
      </c>
      <c r="G4181">
        <f>G4180+IF(D4181="",0,1)</f>
        <v/>
      </c>
    </row>
    <row r="4182">
      <c r="A4182">
        <f>IF('KG1-7'!$B38="","",'KG1-7'!$B38)</f>
        <v/>
      </c>
      <c r="B4182">
        <f>IF(A4182="","",'KG1-7'!$C38)</f>
        <v/>
      </c>
      <c r="C4182">
        <f>IF(A4182="","",'KG1-7'!$B$2)</f>
        <v/>
      </c>
      <c r="D4182" s="126">
        <f t="array" ref="D4182">IF(A4182="","",IFERROR(SMALL(IF((('KG1-7'!$AD38:$IM38="غياب بدون عذر")+('KG1-7'!$AD38:$IM38="غياب بعذر"))*('KG1-7'!$AD$7:$IM$7="✓"),'KG1-7'!$AD$5:$IM$5),1),""))</f>
        <v/>
      </c>
      <c r="E4182">
        <f>IF(D4182="","",INDEX('KG1-7'!$AD38:$IM38,MATCH(D4182,'KG1-7'!$AD$5:$IM$5,0)))</f>
        <v/>
      </c>
      <c r="F4182">
        <f>IF(D4182="","",COUNTIFS('KG1-7'!$AD38:$IM38,"غياب بدون عذر",'KG1-7'!$AD$7:$IM$7,"✓",'KG1-7'!$AD$5:$IM$5,"&lt;="&amp;D4182))</f>
        <v/>
      </c>
      <c r="G4182">
        <f>G4181+IF(D4182="",0,1)</f>
        <v/>
      </c>
    </row>
    <row r="4183">
      <c r="A4183">
        <f>IF('KG1-7'!$B38="","",'KG1-7'!$B38)</f>
        <v/>
      </c>
      <c r="B4183">
        <f>IF(A4183="","",'KG1-7'!$C38)</f>
        <v/>
      </c>
      <c r="C4183">
        <f>IF(A4183="","",'KG1-7'!$B$2)</f>
        <v/>
      </c>
      <c r="D4183" s="126">
        <f t="array" ref="D4183">IF(A4183="","",IFERROR(SMALL(IF((('KG1-7'!$AD38:$IM38="غياب بدون عذر")+('KG1-7'!$AD38:$IM38="غياب بعذر"))*('KG1-7'!$AD$7:$IM$7="✓"),'KG1-7'!$AD$5:$IM$5),2),""))</f>
        <v/>
      </c>
      <c r="E4183">
        <f>IF(D4183="","",INDEX('KG1-7'!$AD38:$IM38,MATCH(D4183,'KG1-7'!$AD$5:$IM$5,0)))</f>
        <v/>
      </c>
      <c r="F4183">
        <f>IF(D4183="","",COUNTIFS('KG1-7'!$AD38:$IM38,"غياب بدون عذر",'KG1-7'!$AD$7:$IM$7,"✓",'KG1-7'!$AD$5:$IM$5,"&lt;="&amp;D4183))</f>
        <v/>
      </c>
      <c r="G4183">
        <f>G4182+IF(D4183="",0,1)</f>
        <v/>
      </c>
    </row>
    <row r="4184">
      <c r="A4184">
        <f>IF('KG1-7'!$B38="","",'KG1-7'!$B38)</f>
        <v/>
      </c>
      <c r="B4184">
        <f>IF(A4184="","",'KG1-7'!$C38)</f>
        <v/>
      </c>
      <c r="C4184">
        <f>IF(A4184="","",'KG1-7'!$B$2)</f>
        <v/>
      </c>
      <c r="D4184" s="126">
        <f t="array" ref="D4184">IF(A4184="","",IFERROR(SMALL(IF((('KG1-7'!$AD38:$IM38="غياب بدون عذر")+('KG1-7'!$AD38:$IM38="غياب بعذر"))*('KG1-7'!$AD$7:$IM$7="✓"),'KG1-7'!$AD$5:$IM$5),3),""))</f>
        <v/>
      </c>
      <c r="E4184">
        <f>IF(D4184="","",INDEX('KG1-7'!$AD38:$IM38,MATCH(D4184,'KG1-7'!$AD$5:$IM$5,0)))</f>
        <v/>
      </c>
      <c r="F4184">
        <f>IF(D4184="","",COUNTIFS('KG1-7'!$AD38:$IM38,"غياب بدون عذر",'KG1-7'!$AD$7:$IM$7,"✓",'KG1-7'!$AD$5:$IM$5,"&lt;="&amp;D4184))</f>
        <v/>
      </c>
      <c r="G4184">
        <f>G4183+IF(D4184="",0,1)</f>
        <v/>
      </c>
    </row>
    <row r="4185">
      <c r="A4185">
        <f>IF('KG1-7'!$B38="","",'KG1-7'!$B38)</f>
        <v/>
      </c>
      <c r="B4185">
        <f>IF(A4185="","",'KG1-7'!$C38)</f>
        <v/>
      </c>
      <c r="C4185">
        <f>IF(A4185="","",'KG1-7'!$B$2)</f>
        <v/>
      </c>
      <c r="D4185" s="126">
        <f t="array" ref="D4185">IF(A4185="","",IFERROR(SMALL(IF((('KG1-7'!$AD38:$IM38="غياب بدون عذر")+('KG1-7'!$AD38:$IM38="غياب بعذر"))*('KG1-7'!$AD$7:$IM$7="✓"),'KG1-7'!$AD$5:$IM$5),4),""))</f>
        <v/>
      </c>
      <c r="E4185">
        <f>IF(D4185="","",INDEX('KG1-7'!$AD38:$IM38,MATCH(D4185,'KG1-7'!$AD$5:$IM$5,0)))</f>
        <v/>
      </c>
      <c r="F4185">
        <f>IF(D4185="","",COUNTIFS('KG1-7'!$AD38:$IM38,"غياب بدون عذر",'KG1-7'!$AD$7:$IM$7,"✓",'KG1-7'!$AD$5:$IM$5,"&lt;="&amp;D4185))</f>
        <v/>
      </c>
      <c r="G4185">
        <f>G4184+IF(D4185="",0,1)</f>
        <v/>
      </c>
    </row>
    <row r="4186">
      <c r="A4186">
        <f>IF('KG1-7'!$B38="","",'KG1-7'!$B38)</f>
        <v/>
      </c>
      <c r="B4186">
        <f>IF(A4186="","",'KG1-7'!$C38)</f>
        <v/>
      </c>
      <c r="C4186">
        <f>IF(A4186="","",'KG1-7'!$B$2)</f>
        <v/>
      </c>
      <c r="D4186" s="126">
        <f t="array" ref="D4186">IF(A4186="","",IFERROR(SMALL(IF((('KG1-7'!$AD38:$IM38="غياب بدون عذر")+('KG1-7'!$AD38:$IM38="غياب بعذر"))*('KG1-7'!$AD$7:$IM$7="✓"),'KG1-7'!$AD$5:$IM$5),5),""))</f>
        <v/>
      </c>
      <c r="E4186">
        <f>IF(D4186="","",INDEX('KG1-7'!$AD38:$IM38,MATCH(D4186,'KG1-7'!$AD$5:$IM$5,0)))</f>
        <v/>
      </c>
      <c r="F4186">
        <f>IF(D4186="","",COUNTIFS('KG1-7'!$AD38:$IM38,"غياب بدون عذر",'KG1-7'!$AD$7:$IM$7,"✓",'KG1-7'!$AD$5:$IM$5,"&lt;="&amp;D4186))</f>
        <v/>
      </c>
      <c r="G4186">
        <f>G4185+IF(D4186="",0,1)</f>
        <v/>
      </c>
    </row>
    <row r="4187">
      <c r="A4187">
        <f>IF('KG1-7'!$B38="","",'KG1-7'!$B38)</f>
        <v/>
      </c>
      <c r="B4187">
        <f>IF(A4187="","",'KG1-7'!$C38)</f>
        <v/>
      </c>
      <c r="C4187">
        <f>IF(A4187="","",'KG1-7'!$B$2)</f>
        <v/>
      </c>
      <c r="D4187" s="126">
        <f t="array" ref="D4187">IF(A4187="","",IFERROR(SMALL(IF((('KG1-7'!$AD38:$IM38="غياب بدون عذر")+('KG1-7'!$AD38:$IM38="غياب بعذر"))*('KG1-7'!$AD$7:$IM$7="✓"),'KG1-7'!$AD$5:$IM$5),6),""))</f>
        <v/>
      </c>
      <c r="E4187">
        <f>IF(D4187="","",INDEX('KG1-7'!$AD38:$IM38,MATCH(D4187,'KG1-7'!$AD$5:$IM$5,0)))</f>
        <v/>
      </c>
      <c r="F4187">
        <f>IF(D4187="","",COUNTIFS('KG1-7'!$AD38:$IM38,"غياب بدون عذر",'KG1-7'!$AD$7:$IM$7,"✓",'KG1-7'!$AD$5:$IM$5,"&lt;="&amp;D4187))</f>
        <v/>
      </c>
      <c r="G4187">
        <f>G4186+IF(D4187="",0,1)</f>
        <v/>
      </c>
    </row>
    <row r="4188">
      <c r="A4188">
        <f>IF('KG1-7'!$B38="","",'KG1-7'!$B38)</f>
        <v/>
      </c>
      <c r="B4188">
        <f>IF(A4188="","",'KG1-7'!$C38)</f>
        <v/>
      </c>
      <c r="C4188">
        <f>IF(A4188="","",'KG1-7'!$B$2)</f>
        <v/>
      </c>
      <c r="D4188" s="126">
        <f t="array" ref="D4188">IF(A4188="","",IFERROR(SMALL(IF((('KG1-7'!$AD38:$IM38="غياب بدون عذر")+('KG1-7'!$AD38:$IM38="غياب بعذر"))*('KG1-7'!$AD$7:$IM$7="✓"),'KG1-7'!$AD$5:$IM$5),7),""))</f>
        <v/>
      </c>
      <c r="E4188">
        <f>IF(D4188="","",INDEX('KG1-7'!$AD38:$IM38,MATCH(D4188,'KG1-7'!$AD$5:$IM$5,0)))</f>
        <v/>
      </c>
      <c r="F4188">
        <f>IF(D4188="","",COUNTIFS('KG1-7'!$AD38:$IM38,"غياب بدون عذر",'KG1-7'!$AD$7:$IM$7,"✓",'KG1-7'!$AD$5:$IM$5,"&lt;="&amp;D4188))</f>
        <v/>
      </c>
      <c r="G4188">
        <f>G4187+IF(D4188="",0,1)</f>
        <v/>
      </c>
    </row>
    <row r="4189">
      <c r="A4189">
        <f>IF('KG1-7'!$B38="","",'KG1-7'!$B38)</f>
        <v/>
      </c>
      <c r="B4189">
        <f>IF(A4189="","",'KG1-7'!$C38)</f>
        <v/>
      </c>
      <c r="C4189">
        <f>IF(A4189="","",'KG1-7'!$B$2)</f>
        <v/>
      </c>
      <c r="D4189" s="126">
        <f t="array" ref="D4189">IF(A4189="","",IFERROR(SMALL(IF((('KG1-7'!$AD38:$IM38="غياب بدون عذر")+('KG1-7'!$AD38:$IM38="غياب بعذر"))*('KG1-7'!$AD$7:$IM$7="✓"),'KG1-7'!$AD$5:$IM$5),8),""))</f>
        <v/>
      </c>
      <c r="E4189">
        <f>IF(D4189="","",INDEX('KG1-7'!$AD38:$IM38,MATCH(D4189,'KG1-7'!$AD$5:$IM$5,0)))</f>
        <v/>
      </c>
      <c r="F4189">
        <f>IF(D4189="","",COUNTIFS('KG1-7'!$AD38:$IM38,"غياب بدون عذر",'KG1-7'!$AD$7:$IM$7,"✓",'KG1-7'!$AD$5:$IM$5,"&lt;="&amp;D4189))</f>
        <v/>
      </c>
      <c r="G4189">
        <f>G4188+IF(D4189="",0,1)</f>
        <v/>
      </c>
    </row>
    <row r="4190">
      <c r="A4190">
        <f>IF('KG1-7'!$B38="","",'KG1-7'!$B38)</f>
        <v/>
      </c>
      <c r="B4190">
        <f>IF(A4190="","",'KG1-7'!$C38)</f>
        <v/>
      </c>
      <c r="C4190">
        <f>IF(A4190="","",'KG1-7'!$B$2)</f>
        <v/>
      </c>
      <c r="D4190" s="126">
        <f t="array" ref="D4190">IF(A4190="","",IFERROR(SMALL(IF((('KG1-7'!$AD38:$IM38="غياب بدون عذر")+('KG1-7'!$AD38:$IM38="غياب بعذر"))*('KG1-7'!$AD$7:$IM$7="✓"),'KG1-7'!$AD$5:$IM$5),9),""))</f>
        <v/>
      </c>
      <c r="E4190">
        <f>IF(D4190="","",INDEX('KG1-7'!$AD38:$IM38,MATCH(D4190,'KG1-7'!$AD$5:$IM$5,0)))</f>
        <v/>
      </c>
      <c r="F4190">
        <f>IF(D4190="","",COUNTIFS('KG1-7'!$AD38:$IM38,"غياب بدون عذر",'KG1-7'!$AD$7:$IM$7,"✓",'KG1-7'!$AD$5:$IM$5,"&lt;="&amp;D4190))</f>
        <v/>
      </c>
      <c r="G4190">
        <f>G4189+IF(D4190="",0,1)</f>
        <v/>
      </c>
    </row>
    <row r="4191">
      <c r="A4191">
        <f>IF('KG1-7'!$B38="","",'KG1-7'!$B38)</f>
        <v/>
      </c>
      <c r="B4191">
        <f>IF(A4191="","",'KG1-7'!$C38)</f>
        <v/>
      </c>
      <c r="C4191">
        <f>IF(A4191="","",'KG1-7'!$B$2)</f>
        <v/>
      </c>
      <c r="D4191" s="126">
        <f t="array" ref="D4191">IF(A4191="","",IFERROR(SMALL(IF((('KG1-7'!$AD38:$IM38="غياب بدون عذر")+('KG1-7'!$AD38:$IM38="غياب بعذر"))*('KG1-7'!$AD$7:$IM$7="✓"),'KG1-7'!$AD$5:$IM$5),10),""))</f>
        <v/>
      </c>
      <c r="E4191">
        <f>IF(D4191="","",INDEX('KG1-7'!$AD38:$IM38,MATCH(D4191,'KG1-7'!$AD$5:$IM$5,0)))</f>
        <v/>
      </c>
      <c r="F4191">
        <f>IF(D4191="","",COUNTIFS('KG1-7'!$AD38:$IM38,"غياب بدون عذر",'KG1-7'!$AD$7:$IM$7,"✓",'KG1-7'!$AD$5:$IM$5,"&lt;="&amp;D4191))</f>
        <v/>
      </c>
      <c r="G4191">
        <f>G4190+IF(D4191="",0,1)</f>
        <v/>
      </c>
    </row>
    <row r="4192">
      <c r="A4192">
        <f>IF('KG1-7'!$B38="","",'KG1-7'!$B38)</f>
        <v/>
      </c>
      <c r="B4192">
        <f>IF(A4192="","",'KG1-7'!$C38)</f>
        <v/>
      </c>
      <c r="C4192">
        <f>IF(A4192="","",'KG1-7'!$B$2)</f>
        <v/>
      </c>
      <c r="D4192" s="126">
        <f t="array" ref="D4192">IF(A4192="","",IFERROR(SMALL(IF((('KG1-7'!$AD38:$IM38="غياب بدون عذر")+('KG1-7'!$AD38:$IM38="غياب بعذر"))*('KG1-7'!$AD$7:$IM$7="✓"),'KG1-7'!$AD$5:$IM$5),11),""))</f>
        <v/>
      </c>
      <c r="E4192">
        <f>IF(D4192="","",INDEX('KG1-7'!$AD38:$IM38,MATCH(D4192,'KG1-7'!$AD$5:$IM$5,0)))</f>
        <v/>
      </c>
      <c r="F4192">
        <f>IF(D4192="","",COUNTIFS('KG1-7'!$AD38:$IM38,"غياب بدون عذر",'KG1-7'!$AD$7:$IM$7,"✓",'KG1-7'!$AD$5:$IM$5,"&lt;="&amp;D4192))</f>
        <v/>
      </c>
      <c r="G4192">
        <f>G4191+IF(D4192="",0,1)</f>
        <v/>
      </c>
    </row>
    <row r="4193">
      <c r="A4193">
        <f>IF('KG1-7'!$B38="","",'KG1-7'!$B38)</f>
        <v/>
      </c>
      <c r="B4193">
        <f>IF(A4193="","",'KG1-7'!$C38)</f>
        <v/>
      </c>
      <c r="C4193">
        <f>IF(A4193="","",'KG1-7'!$B$2)</f>
        <v/>
      </c>
      <c r="D4193" s="126">
        <f t="array" ref="D4193">IF(A4193="","",IFERROR(SMALL(IF((('KG1-7'!$AD38:$IM38="غياب بدون عذر")+('KG1-7'!$AD38:$IM38="غياب بعذر"))*('KG1-7'!$AD$7:$IM$7="✓"),'KG1-7'!$AD$5:$IM$5),12),""))</f>
        <v/>
      </c>
      <c r="E4193">
        <f>IF(D4193="","",INDEX('KG1-7'!$AD38:$IM38,MATCH(D4193,'KG1-7'!$AD$5:$IM$5,0)))</f>
        <v/>
      </c>
      <c r="F4193">
        <f>IF(D4193="","",COUNTIFS('KG1-7'!$AD38:$IM38,"غياب بدون عذر",'KG1-7'!$AD$7:$IM$7,"✓",'KG1-7'!$AD$5:$IM$5,"&lt;="&amp;D4193))</f>
        <v/>
      </c>
      <c r="G4193">
        <f>G4192+IF(D4193="",0,1)</f>
        <v/>
      </c>
    </row>
    <row r="4194">
      <c r="A4194">
        <f>IF('KG1-7'!$B38="","",'KG1-7'!$B38)</f>
        <v/>
      </c>
      <c r="B4194">
        <f>IF(A4194="","",'KG1-7'!$C38)</f>
        <v/>
      </c>
      <c r="C4194">
        <f>IF(A4194="","",'KG1-7'!$B$2)</f>
        <v/>
      </c>
      <c r="D4194" s="126">
        <f t="array" ref="D4194">IF(A4194="","",IFERROR(SMALL(IF((('KG1-7'!$AD38:$IM38="غياب بدون عذر")+('KG1-7'!$AD38:$IM38="غياب بعذر"))*('KG1-7'!$AD$7:$IM$7="✓"),'KG1-7'!$AD$5:$IM$5),13),""))</f>
        <v/>
      </c>
      <c r="E4194">
        <f>IF(D4194="","",INDEX('KG1-7'!$AD38:$IM38,MATCH(D4194,'KG1-7'!$AD$5:$IM$5,0)))</f>
        <v/>
      </c>
      <c r="F4194">
        <f>IF(D4194="","",COUNTIFS('KG1-7'!$AD38:$IM38,"غياب بدون عذر",'KG1-7'!$AD$7:$IM$7,"✓",'KG1-7'!$AD$5:$IM$5,"&lt;="&amp;D4194))</f>
        <v/>
      </c>
      <c r="G4194">
        <f>G4193+IF(D4194="",0,1)</f>
        <v/>
      </c>
    </row>
    <row r="4195">
      <c r="A4195">
        <f>IF('KG1-7'!$B38="","",'KG1-7'!$B38)</f>
        <v/>
      </c>
      <c r="B4195">
        <f>IF(A4195="","",'KG1-7'!$C38)</f>
        <v/>
      </c>
      <c r="C4195">
        <f>IF(A4195="","",'KG1-7'!$B$2)</f>
        <v/>
      </c>
      <c r="D4195" s="126">
        <f t="array" ref="D4195">IF(A4195="","",IFERROR(SMALL(IF((('KG1-7'!$AD38:$IM38="غياب بدون عذر")+('KG1-7'!$AD38:$IM38="غياب بعذر"))*('KG1-7'!$AD$7:$IM$7="✓"),'KG1-7'!$AD$5:$IM$5),14),""))</f>
        <v/>
      </c>
      <c r="E4195">
        <f>IF(D4195="","",INDEX('KG1-7'!$AD38:$IM38,MATCH(D4195,'KG1-7'!$AD$5:$IM$5,0)))</f>
        <v/>
      </c>
      <c r="F4195">
        <f>IF(D4195="","",COUNTIFS('KG1-7'!$AD38:$IM38,"غياب بدون عذر",'KG1-7'!$AD$7:$IM$7,"✓",'KG1-7'!$AD$5:$IM$5,"&lt;="&amp;D4195))</f>
        <v/>
      </c>
      <c r="G4195">
        <f>G4194+IF(D4195="",0,1)</f>
        <v/>
      </c>
    </row>
    <row r="4196">
      <c r="A4196">
        <f>IF('KG1-7'!$B38="","",'KG1-7'!$B38)</f>
        <v/>
      </c>
      <c r="B4196">
        <f>IF(A4196="","",'KG1-7'!$C38)</f>
        <v/>
      </c>
      <c r="C4196">
        <f>IF(A4196="","",'KG1-7'!$B$2)</f>
        <v/>
      </c>
      <c r="D4196" s="126">
        <f t="array" ref="D4196">IF(A4196="","",IFERROR(SMALL(IF((('KG1-7'!$AD38:$IM38="غياب بدون عذر")+('KG1-7'!$AD38:$IM38="غياب بعذر"))*('KG1-7'!$AD$7:$IM$7="✓"),'KG1-7'!$AD$5:$IM$5),15),""))</f>
        <v/>
      </c>
      <c r="E4196">
        <f>IF(D4196="","",INDEX('KG1-7'!$AD38:$IM38,MATCH(D4196,'KG1-7'!$AD$5:$IM$5,0)))</f>
        <v/>
      </c>
      <c r="F4196">
        <f>IF(D4196="","",COUNTIFS('KG1-7'!$AD38:$IM38,"غياب بدون عذر",'KG1-7'!$AD$7:$IM$7,"✓",'KG1-7'!$AD$5:$IM$5,"&lt;="&amp;D4196))</f>
        <v/>
      </c>
      <c r="G4196">
        <f>G4195+IF(D4196="",0,1)</f>
        <v/>
      </c>
    </row>
    <row r="4197">
      <c r="A4197">
        <f>IF('KG1-7'!$B38="","",'KG1-7'!$B38)</f>
        <v/>
      </c>
      <c r="B4197">
        <f>IF(A4197="","",'KG1-7'!$C38)</f>
        <v/>
      </c>
      <c r="C4197">
        <f>IF(A4197="","",'KG1-7'!$B$2)</f>
        <v/>
      </c>
      <c r="D4197" s="126">
        <f t="array" ref="D4197">IF(A4197="","",IFERROR(SMALL(IF((('KG1-7'!$AD38:$IM38="غياب بدون عذر")+('KG1-7'!$AD38:$IM38="غياب بعذر"))*('KG1-7'!$AD$7:$IM$7="✓"),'KG1-7'!$AD$5:$IM$5),16),""))</f>
        <v/>
      </c>
      <c r="E4197">
        <f>IF(D4197="","",INDEX('KG1-7'!$AD38:$IM38,MATCH(D4197,'KG1-7'!$AD$5:$IM$5,0)))</f>
        <v/>
      </c>
      <c r="F4197">
        <f>IF(D4197="","",COUNTIFS('KG1-7'!$AD38:$IM38,"غياب بدون عذر",'KG1-7'!$AD$7:$IM$7,"✓",'KG1-7'!$AD$5:$IM$5,"&lt;="&amp;D4197))</f>
        <v/>
      </c>
      <c r="G4197">
        <f>G4196+IF(D4197="",0,1)</f>
        <v/>
      </c>
    </row>
    <row r="4198">
      <c r="A4198">
        <f>IF('KG1-7'!$B38="","",'KG1-7'!$B38)</f>
        <v/>
      </c>
      <c r="B4198">
        <f>IF(A4198="","",'KG1-7'!$C38)</f>
        <v/>
      </c>
      <c r="C4198">
        <f>IF(A4198="","",'KG1-7'!$B$2)</f>
        <v/>
      </c>
      <c r="D4198" s="126">
        <f t="array" ref="D4198">IF(A4198="","",IFERROR(SMALL(IF((('KG1-7'!$AD38:$IM38="غياب بدون عذر")+('KG1-7'!$AD38:$IM38="غياب بعذر"))*('KG1-7'!$AD$7:$IM$7="✓"),'KG1-7'!$AD$5:$IM$5),17),""))</f>
        <v/>
      </c>
      <c r="E4198">
        <f>IF(D4198="","",INDEX('KG1-7'!$AD38:$IM38,MATCH(D4198,'KG1-7'!$AD$5:$IM$5,0)))</f>
        <v/>
      </c>
      <c r="F4198">
        <f>IF(D4198="","",COUNTIFS('KG1-7'!$AD38:$IM38,"غياب بدون عذر",'KG1-7'!$AD$7:$IM$7,"✓",'KG1-7'!$AD$5:$IM$5,"&lt;="&amp;D4198))</f>
        <v/>
      </c>
      <c r="G4198">
        <f>G4197+IF(D4198="",0,1)</f>
        <v/>
      </c>
    </row>
    <row r="4199">
      <c r="A4199">
        <f>IF('KG1-7'!$B38="","",'KG1-7'!$B38)</f>
        <v/>
      </c>
      <c r="B4199">
        <f>IF(A4199="","",'KG1-7'!$C38)</f>
        <v/>
      </c>
      <c r="C4199">
        <f>IF(A4199="","",'KG1-7'!$B$2)</f>
        <v/>
      </c>
      <c r="D4199" s="126">
        <f t="array" ref="D4199">IF(A4199="","",IFERROR(SMALL(IF((('KG1-7'!$AD38:$IM38="غياب بدون عذر")+('KG1-7'!$AD38:$IM38="غياب بعذر"))*('KG1-7'!$AD$7:$IM$7="✓"),'KG1-7'!$AD$5:$IM$5),18),""))</f>
        <v/>
      </c>
      <c r="E4199">
        <f>IF(D4199="","",INDEX('KG1-7'!$AD38:$IM38,MATCH(D4199,'KG1-7'!$AD$5:$IM$5,0)))</f>
        <v/>
      </c>
      <c r="F4199">
        <f>IF(D4199="","",COUNTIFS('KG1-7'!$AD38:$IM38,"غياب بدون عذر",'KG1-7'!$AD$7:$IM$7,"✓",'KG1-7'!$AD$5:$IM$5,"&lt;="&amp;D4199))</f>
        <v/>
      </c>
      <c r="G4199">
        <f>G4198+IF(D4199="",0,1)</f>
        <v/>
      </c>
    </row>
    <row r="4200">
      <c r="A4200">
        <f>IF('KG1-7'!$B38="","",'KG1-7'!$B38)</f>
        <v/>
      </c>
      <c r="B4200">
        <f>IF(A4200="","",'KG1-7'!$C38)</f>
        <v/>
      </c>
      <c r="C4200">
        <f>IF(A4200="","",'KG1-7'!$B$2)</f>
        <v/>
      </c>
      <c r="D4200" s="126">
        <f t="array" ref="D4200">IF(A4200="","",IFERROR(SMALL(IF((('KG1-7'!$AD38:$IM38="غياب بدون عذر")+('KG1-7'!$AD38:$IM38="غياب بعذر"))*('KG1-7'!$AD$7:$IM$7="✓"),'KG1-7'!$AD$5:$IM$5),19),""))</f>
        <v/>
      </c>
      <c r="E4200">
        <f>IF(D4200="","",INDEX('KG1-7'!$AD38:$IM38,MATCH(D4200,'KG1-7'!$AD$5:$IM$5,0)))</f>
        <v/>
      </c>
      <c r="F4200">
        <f>IF(D4200="","",COUNTIFS('KG1-7'!$AD38:$IM38,"غياب بدون عذر",'KG1-7'!$AD$7:$IM$7,"✓",'KG1-7'!$AD$5:$IM$5,"&lt;="&amp;D4200))</f>
        <v/>
      </c>
      <c r="G4200">
        <f>G4199+IF(D4200="",0,1)</f>
        <v/>
      </c>
    </row>
    <row r="4201">
      <c r="A4201">
        <f>IF('KG1-7'!$B38="","",'KG1-7'!$B38)</f>
        <v/>
      </c>
      <c r="B4201">
        <f>IF(A4201="","",'KG1-7'!$C38)</f>
        <v/>
      </c>
      <c r="C4201">
        <f>IF(A4201="","",'KG1-7'!$B$2)</f>
        <v/>
      </c>
      <c r="D4201" s="126">
        <f t="array" ref="D4201">IF(A4201="","",IFERROR(SMALL(IF((('KG1-7'!$AD38:$IM38="غياب بدون عذر")+('KG1-7'!$AD38:$IM38="غياب بعذر"))*('KG1-7'!$AD$7:$IM$7="✓"),'KG1-7'!$AD$5:$IM$5),20),""))</f>
        <v/>
      </c>
      <c r="E4201">
        <f>IF(D4201="","",INDEX('KG1-7'!$AD38:$IM38,MATCH(D4201,'KG1-7'!$AD$5:$IM$5,0)))</f>
        <v/>
      </c>
      <c r="F4201">
        <f>IF(D4201="","",COUNTIFS('KG1-7'!$AD38:$IM38,"غياب بدون عذر",'KG1-7'!$AD$7:$IM$7,"✓",'KG1-7'!$AD$5:$IM$5,"&lt;="&amp;D4201))</f>
        <v/>
      </c>
      <c r="G4201">
        <f>G4200+IF(D4201="",0,1)</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7"/>
  <sheetViews>
    <sheetView showGridLines="1" rightToLeft="1" zoomScale="100" workbookViewId="0">
      <selection activeCell="A1" sqref="A1"/>
    </sheetView>
  </sheetViews>
  <sheetFormatPr baseColWidth="8" defaultRowHeight="15"/>
  <cols>
    <col width="26" customWidth="1" min="1" max="1"/>
    <col width="16" customWidth="1" min="2" max="2"/>
  </cols>
  <sheetData>
    <row r="1">
      <c r="A1" s="179" t="inlineStr">
        <is>
          <t>حسابات مساعدة للوحة المتابعة (تلقائي – لا تعدّل)</t>
        </is>
      </c>
    </row>
    <row r="2">
      <c r="A2" s="146" t="inlineStr">
        <is>
          <t>آخر يوم مسجَّل</t>
        </is>
      </c>
      <c r="B2" s="147">
        <f>IF(COUNTIF(Cal_Reg,"&gt;0")=0,YearStart,_xlfn.MAXIFS(Cal_Date,Cal_Reg,"&gt;0"))</f>
        <v/>
      </c>
    </row>
    <row r="3">
      <c r="A3" s="146" t="inlineStr">
        <is>
          <t>التاريخ الفعّال</t>
        </is>
      </c>
      <c r="B3" s="147">
        <f>IF(Dash_DateInput="",LastRecorded,Dash_DateInput)</f>
        <v/>
      </c>
    </row>
    <row r="4">
      <c r="A4" s="146" t="inlineStr">
        <is>
          <t>ترتيب اليوم في التقويم</t>
        </is>
      </c>
      <c r="B4" s="151">
        <f>IFERROR(MATCH(Dash_Date,Cal_Date,0),0)</f>
        <v/>
      </c>
    </row>
    <row r="5">
      <c r="A5" s="146" t="inlineStr">
        <is>
          <t>بداية الفترة</t>
        </is>
      </c>
      <c r="B5" s="147">
        <f>IF(Dash_Period="اليوم",Dash_Date,IF(Dash_Period="الأسبوع",Dash_Date-WEEKDAY(Dash_Date,2)+1,IF(Dash_Period="الشهر",DATE(YEAR(Dash_Date),MONTH(Dash_Date),1),IF(Dash_Period="الفصل الدراسي",IFERROR(INDEX(TermStart,MATCH(Dash_Date,TermStart,1)),YearStart),YearStart))))</f>
        <v/>
      </c>
    </row>
    <row r="6">
      <c r="A6" s="146" t="inlineStr">
        <is>
          <t>نهاية الفترة</t>
        </is>
      </c>
      <c r="B6" s="147">
        <f>IF(Dash_Period="اليوم",Dash_Date,IF(Dash_Period="الأسبوع",Dash_PStart+6,IF(Dash_Period="الشهر",EOMONTH(Dash_Date,0),IF(Dash_Period="الفصل الدراسي",IFERROR(INDEX(TermEnd,MATCH(Dash_Date,TermStart,1)),YearEnd),YearEnd))))</f>
        <v/>
      </c>
    </row>
    <row r="7">
      <c r="A7" s="146" t="inlineStr">
        <is>
          <t>وصف الفترة</t>
        </is>
      </c>
      <c r="B7" s="151">
        <f>Dash_Period&amp;": "&amp;TEXT(Dash_PStart,"dd/mm/yyyy")&amp;" – "&amp;TEXT(Dash_PEnd,"dd/mm/yyyy")</f>
        <v/>
      </c>
    </row>
    <row r="8">
      <c r="A8" s="146" t="inlineStr">
        <is>
          <t>بداية الشهر</t>
        </is>
      </c>
      <c r="B8" s="147">
        <f>DATE(YEAR(Dash_Date),MONTH(Dash_Date),1)</f>
        <v/>
      </c>
    </row>
    <row r="9">
      <c r="A9" s="146" t="inlineStr">
        <is>
          <t>نهاية الشهر</t>
        </is>
      </c>
      <c r="B9" s="147">
        <f>EOMONTH(Dash_Date,0)</f>
        <v/>
      </c>
    </row>
    <row r="10">
      <c r="A10" s="146" t="inlineStr">
        <is>
          <t>نسبة الحضور للفترة</t>
        </is>
      </c>
      <c r="B10" s="180">
        <f>IF(SUM(Stu_PTot)=0,"",SUM(Stu_PAtt)/SUM(Stu_PTot))</f>
        <v/>
      </c>
    </row>
    <row r="11">
      <c r="A11" s="146" t="inlineStr">
        <is>
          <t>حاضر اليوم</t>
        </is>
      </c>
      <c r="B11" s="151">
        <f>COUNTIFS(Stu_InFilter,1,Stu_Today,"P")</f>
        <v/>
      </c>
    </row>
    <row r="12">
      <c r="A12" s="146" t="inlineStr">
        <is>
          <t>غائب اليوم</t>
        </is>
      </c>
      <c r="B12" s="151">
        <f>COUNTIFS(Stu_InFilter,1,Stu_Today,"A")</f>
        <v/>
      </c>
    </row>
    <row r="13">
      <c r="A13" s="146" t="inlineStr">
        <is>
          <t>بعذر اليوم</t>
        </is>
      </c>
      <c r="B13" s="151">
        <f>COUNTIFS(Stu_InFilter,1,Stu_Today,"E")</f>
        <v/>
      </c>
    </row>
    <row r="14">
      <c r="A14" s="146" t="inlineStr">
        <is>
          <t>متأخر اليوم</t>
        </is>
      </c>
      <c r="B14" s="151">
        <f>COUNTIFS(Stu_InFilter,1,Stu_Today,"L")</f>
        <v/>
      </c>
    </row>
    <row r="15">
      <c r="A15" s="146" t="inlineStr">
        <is>
          <t>المسجَّلون اليوم</t>
        </is>
      </c>
      <c r="B15" s="151">
        <f>Today_P+Today_A+Today_E+Today_L</f>
        <v/>
      </c>
    </row>
    <row r="16">
      <c r="A16" s="146" t="inlineStr">
        <is>
          <t>الحاضرون فعليًا (حاضر + متأخر)</t>
        </is>
      </c>
      <c r="B16" s="151">
        <f>Today_P+Today_L</f>
        <v/>
      </c>
    </row>
    <row r="17">
      <c r="A17" s="146" t="inlineStr">
        <is>
          <t>نسبة الحضور اليوم</t>
        </is>
      </c>
      <c r="B17" s="180">
        <f>IF(Today_Reg=0,"",(Today_P+IF(LateAsPresent="نعم",Today_L,0))/Today_Reg)</f>
        <v/>
      </c>
    </row>
    <row r="18">
      <c r="A18" s="146" t="inlineStr">
        <is>
          <t>إجمالي الأطفال (حسب الفلتر)</t>
        </is>
      </c>
      <c r="B18" s="151">
        <f>SUM(Stu_InFilter)</f>
        <v/>
      </c>
    </row>
    <row r="19">
      <c r="A19" s="146" t="inlineStr">
        <is>
          <t>عدد الأيام المسجَّلة</t>
        </is>
      </c>
      <c r="B19" s="151">
        <f>COUNTIF(Cal_Reg,"&gt;0")</f>
        <v/>
      </c>
    </row>
    <row r="20">
      <c r="A20" s="146" t="inlineStr">
        <is>
          <t>عدد الصفوف المفعّلة</t>
        </is>
      </c>
      <c r="B20" s="151">
        <f>COUNTIF(ClassActive,"نعم")</f>
        <v/>
      </c>
    </row>
    <row r="21">
      <c r="A21" s="146" t="inlineStr">
        <is>
          <t>صفوف محصورة لهذا اليوم</t>
        </is>
      </c>
      <c r="B21" s="151">
        <f>IF(Dash_DayIdx=0,0,(INDEX('KG1-1'!$AD$7:$IM$7,Dash_DayIdx)="✓")+(INDEX('KG1-2'!$AD$7:$IM$7,Dash_DayIdx)="✓")+(INDEX('KG1-3'!$AD$7:$IM$7,Dash_DayIdx)="✓")+(INDEX('KG1-4'!$AD$7:$IM$7,Dash_DayIdx)="✓")+(INDEX('KG1-5'!$AD$7:$IM$7,Dash_DayIdx)="✓")+(INDEX('KG1-6'!$AD$7:$IM$7,Dash_DayIdx)="✓")+(INDEX('KG1-7'!$AD$7:$IM$7,Dash_DayIdx)="✓"))</f>
        <v/>
      </c>
    </row>
    <row r="22">
      <c r="A22" s="146" t="inlineStr">
        <is>
          <t>الصف الأعلى حضورًا</t>
        </is>
      </c>
      <c r="B22" s="151">
        <f>IFERROR(INDEX('لوحة المتابعة'!$F$31:$F$37,MATCH(MAX('لوحة المتابعة'!$J$31:$J$37),'لوحة المتابعة'!$J$31:$J$37,0)),"—")</f>
        <v/>
      </c>
    </row>
    <row r="23">
      <c r="A23" s="146" t="inlineStr">
        <is>
          <t>الصف الأقل حضورًا</t>
        </is>
      </c>
      <c r="B23" s="151">
        <f>IFERROR(INDEX('لوحة المتابعة'!$F$31:$F$37,MATCH(MIN('لوحة المتابعة'!$J$31:$J$37),'لوحة المتابعة'!$J$31:$J$37,0)),"—")</f>
        <v/>
      </c>
    </row>
    <row r="25">
      <c r="A25" s="181" t="inlineStr">
        <is>
          <t>حضور</t>
        </is>
      </c>
      <c r="B25" s="182">
        <f>IF(Dash_Rate="",0,Dash_Rate)</f>
        <v/>
      </c>
    </row>
    <row r="26">
      <c r="A26" s="181" t="inlineStr">
        <is>
          <t>غياب</t>
        </is>
      </c>
      <c r="B26" s="182">
        <f>IF(Dash_Rate="",0,1-Dash_Rate)</f>
        <v/>
      </c>
    </row>
    <row r="28">
      <c r="A28" s="183" t="inlineStr">
        <is>
          <t>آخر 5 أيام مسجَّلة</t>
        </is>
      </c>
    </row>
    <row r="29" ht="18" customHeight="1">
      <c r="A29" s="184" t="inlineStr">
        <is>
          <t>التاريخ</t>
        </is>
      </c>
      <c r="B29" s="184" t="inlineStr">
        <is>
          <t>التسمية</t>
        </is>
      </c>
      <c r="C29" s="184" t="inlineStr">
        <is>
          <t>الحاضرون</t>
        </is>
      </c>
      <c r="D29" s="184" t="inlineStr">
        <is>
          <t>المسجَّلون</t>
        </is>
      </c>
      <c r="E29" s="184" t="inlineStr">
        <is>
          <t>نسبة الحضور</t>
        </is>
      </c>
    </row>
    <row r="30">
      <c r="A30" s="185">
        <f>IF((Rec_Days-5+1)&lt;1,"",INDEX(Cal_Date,MATCH((Rec_Days-5+1),Cal_RecIdx,0)))</f>
        <v/>
      </c>
      <c r="B30" s="181">
        <f>IF(A30="","",TEXT(A30,"dd/mm")&amp;" "&amp;INDEX(Cal_Day,MATCH(A30,Cal_Date,0)))</f>
        <v/>
      </c>
      <c r="C30" s="181">
        <f>IF(A30="","",IF(Dash_Class="الكل",INDEX(Cal_Pres,MATCH(A30,Cal_Date,0))+INDEX(Cal_Late,MATCH(A30,Cal_Date,0)),IF(Dash_Class="الكل",SUMIFS(CD_Pres,CD_Date,A30),SUMIFS(CD_Pres,CD_Date,A30,CD_Class,Dash_Class))+IF(Dash_Class="الكل",SUMIFS(CD_Late,CD_Date,A30),SUMIFS(CD_Late,CD_Date,A30,CD_Class,Dash_Class))))</f>
        <v/>
      </c>
      <c r="D30" s="181">
        <f>IF(A30="","",IF(Dash_Class="الكل",INDEX(Cal_Reg,MATCH(A30,Cal_Date,0)),IF(Dash_Class="الكل",SUMIFS(CD_Pres,CD_Date,A30),SUMIFS(CD_Pres,CD_Date,A30,CD_Class,Dash_Class))+IF(Dash_Class="الكل",SUMIFS(CD_Abs,CD_Date,A30),SUMIFS(CD_Abs,CD_Date,A30,CD_Class,Dash_Class))+IF(Dash_Class="الكل",SUMIFS(CD_Exc,CD_Date,A30),SUMIFS(CD_Exc,CD_Date,A30,CD_Class,Dash_Class))+IF(Dash_Class="الكل",SUMIFS(CD_Late,CD_Date,A30),SUMIFS(CD_Late,CD_Date,A30,CD_Class,Dash_Class))))</f>
        <v/>
      </c>
      <c r="E30" s="186">
        <f>IF(OR(A30="",D30=0),"",IF(Dash_Class="الكل",INDEX(Cal_Rate,MATCH(A30,Cal_Date,0)),(IF(Dash_Class="الكل",SUMIFS(CD_Pres,CD_Date,A30),SUMIFS(CD_Pres,CD_Date,A30,CD_Class,Dash_Class))+IF(LateAsPresent="نعم",IF(Dash_Class="الكل",SUMIFS(CD_Late,CD_Date,A30),SUMIFS(CD_Late,CD_Date,A30,CD_Class,Dash_Class)),0))/D30))</f>
        <v/>
      </c>
    </row>
    <row r="31">
      <c r="A31" s="185">
        <f>IF((Rec_Days-5+2)&lt;1,"",INDEX(Cal_Date,MATCH((Rec_Days-5+2),Cal_RecIdx,0)))</f>
        <v/>
      </c>
      <c r="B31" s="181">
        <f>IF(A31="","",TEXT(A31,"dd/mm")&amp;" "&amp;INDEX(Cal_Day,MATCH(A31,Cal_Date,0)))</f>
        <v/>
      </c>
      <c r="C31" s="181">
        <f>IF(A31="","",IF(Dash_Class="الكل",INDEX(Cal_Pres,MATCH(A31,Cal_Date,0))+INDEX(Cal_Late,MATCH(A31,Cal_Date,0)),IF(Dash_Class="الكل",SUMIFS(CD_Pres,CD_Date,A31),SUMIFS(CD_Pres,CD_Date,A31,CD_Class,Dash_Class))+IF(Dash_Class="الكل",SUMIFS(CD_Late,CD_Date,A31),SUMIFS(CD_Late,CD_Date,A31,CD_Class,Dash_Class))))</f>
        <v/>
      </c>
      <c r="D31" s="181">
        <f>IF(A31="","",IF(Dash_Class="الكل",INDEX(Cal_Reg,MATCH(A31,Cal_Date,0)),IF(Dash_Class="الكل",SUMIFS(CD_Pres,CD_Date,A31),SUMIFS(CD_Pres,CD_Date,A31,CD_Class,Dash_Class))+IF(Dash_Class="الكل",SUMIFS(CD_Abs,CD_Date,A31),SUMIFS(CD_Abs,CD_Date,A31,CD_Class,Dash_Class))+IF(Dash_Class="الكل",SUMIFS(CD_Exc,CD_Date,A31),SUMIFS(CD_Exc,CD_Date,A31,CD_Class,Dash_Class))+IF(Dash_Class="الكل",SUMIFS(CD_Late,CD_Date,A31),SUMIFS(CD_Late,CD_Date,A31,CD_Class,Dash_Class))))</f>
        <v/>
      </c>
      <c r="E31" s="186">
        <f>IF(OR(A31="",D31=0),"",IF(Dash_Class="الكل",INDEX(Cal_Rate,MATCH(A31,Cal_Date,0)),(IF(Dash_Class="الكل",SUMIFS(CD_Pres,CD_Date,A31),SUMIFS(CD_Pres,CD_Date,A31,CD_Class,Dash_Class))+IF(LateAsPresent="نعم",IF(Dash_Class="الكل",SUMIFS(CD_Late,CD_Date,A31),SUMIFS(CD_Late,CD_Date,A31,CD_Class,Dash_Class)),0))/D31))</f>
        <v/>
      </c>
    </row>
    <row r="32">
      <c r="A32" s="185">
        <f>IF((Rec_Days-5+3)&lt;1,"",INDEX(Cal_Date,MATCH((Rec_Days-5+3),Cal_RecIdx,0)))</f>
        <v/>
      </c>
      <c r="B32" s="181">
        <f>IF(A32="","",TEXT(A32,"dd/mm")&amp;" "&amp;INDEX(Cal_Day,MATCH(A32,Cal_Date,0)))</f>
        <v/>
      </c>
      <c r="C32" s="181">
        <f>IF(A32="","",IF(Dash_Class="الكل",INDEX(Cal_Pres,MATCH(A32,Cal_Date,0))+INDEX(Cal_Late,MATCH(A32,Cal_Date,0)),IF(Dash_Class="الكل",SUMIFS(CD_Pres,CD_Date,A32),SUMIFS(CD_Pres,CD_Date,A32,CD_Class,Dash_Class))+IF(Dash_Class="الكل",SUMIFS(CD_Late,CD_Date,A32),SUMIFS(CD_Late,CD_Date,A32,CD_Class,Dash_Class))))</f>
        <v/>
      </c>
      <c r="D32" s="181">
        <f>IF(A32="","",IF(Dash_Class="الكل",INDEX(Cal_Reg,MATCH(A32,Cal_Date,0)),IF(Dash_Class="الكل",SUMIFS(CD_Pres,CD_Date,A32),SUMIFS(CD_Pres,CD_Date,A32,CD_Class,Dash_Class))+IF(Dash_Class="الكل",SUMIFS(CD_Abs,CD_Date,A32),SUMIFS(CD_Abs,CD_Date,A32,CD_Class,Dash_Class))+IF(Dash_Class="الكل",SUMIFS(CD_Exc,CD_Date,A32),SUMIFS(CD_Exc,CD_Date,A32,CD_Class,Dash_Class))+IF(Dash_Class="الكل",SUMIFS(CD_Late,CD_Date,A32),SUMIFS(CD_Late,CD_Date,A32,CD_Class,Dash_Class))))</f>
        <v/>
      </c>
      <c r="E32" s="186">
        <f>IF(OR(A32="",D32=0),"",IF(Dash_Class="الكل",INDEX(Cal_Rate,MATCH(A32,Cal_Date,0)),(IF(Dash_Class="الكل",SUMIFS(CD_Pres,CD_Date,A32),SUMIFS(CD_Pres,CD_Date,A32,CD_Class,Dash_Class))+IF(LateAsPresent="نعم",IF(Dash_Class="الكل",SUMIFS(CD_Late,CD_Date,A32),SUMIFS(CD_Late,CD_Date,A32,CD_Class,Dash_Class)),0))/D32))</f>
        <v/>
      </c>
    </row>
    <row r="33">
      <c r="A33" s="185">
        <f>IF((Rec_Days-5+4)&lt;1,"",INDEX(Cal_Date,MATCH((Rec_Days-5+4),Cal_RecIdx,0)))</f>
        <v/>
      </c>
      <c r="B33" s="181">
        <f>IF(A33="","",TEXT(A33,"dd/mm")&amp;" "&amp;INDEX(Cal_Day,MATCH(A33,Cal_Date,0)))</f>
        <v/>
      </c>
      <c r="C33" s="181">
        <f>IF(A33="","",IF(Dash_Class="الكل",INDEX(Cal_Pres,MATCH(A33,Cal_Date,0))+INDEX(Cal_Late,MATCH(A33,Cal_Date,0)),IF(Dash_Class="الكل",SUMIFS(CD_Pres,CD_Date,A33),SUMIFS(CD_Pres,CD_Date,A33,CD_Class,Dash_Class))+IF(Dash_Class="الكل",SUMIFS(CD_Late,CD_Date,A33),SUMIFS(CD_Late,CD_Date,A33,CD_Class,Dash_Class))))</f>
        <v/>
      </c>
      <c r="D33" s="181">
        <f>IF(A33="","",IF(Dash_Class="الكل",INDEX(Cal_Reg,MATCH(A33,Cal_Date,0)),IF(Dash_Class="الكل",SUMIFS(CD_Pres,CD_Date,A33),SUMIFS(CD_Pres,CD_Date,A33,CD_Class,Dash_Class))+IF(Dash_Class="الكل",SUMIFS(CD_Abs,CD_Date,A33),SUMIFS(CD_Abs,CD_Date,A33,CD_Class,Dash_Class))+IF(Dash_Class="الكل",SUMIFS(CD_Exc,CD_Date,A33),SUMIFS(CD_Exc,CD_Date,A33,CD_Class,Dash_Class))+IF(Dash_Class="الكل",SUMIFS(CD_Late,CD_Date,A33),SUMIFS(CD_Late,CD_Date,A33,CD_Class,Dash_Class))))</f>
        <v/>
      </c>
      <c r="E33" s="186">
        <f>IF(OR(A33="",D33=0),"",IF(Dash_Class="الكل",INDEX(Cal_Rate,MATCH(A33,Cal_Date,0)),(IF(Dash_Class="الكل",SUMIFS(CD_Pres,CD_Date,A33),SUMIFS(CD_Pres,CD_Date,A33,CD_Class,Dash_Class))+IF(LateAsPresent="نعم",IF(Dash_Class="الكل",SUMIFS(CD_Late,CD_Date,A33),SUMIFS(CD_Late,CD_Date,A33,CD_Class,Dash_Class)),0))/D33))</f>
        <v/>
      </c>
    </row>
    <row r="34">
      <c r="A34" s="185">
        <f>IF((Rec_Days-5+5)&lt;1,"",INDEX(Cal_Date,MATCH((Rec_Days-5+5),Cal_RecIdx,0)))</f>
        <v/>
      </c>
      <c r="B34" s="181">
        <f>IF(A34="","",TEXT(A34,"dd/mm")&amp;" "&amp;INDEX(Cal_Day,MATCH(A34,Cal_Date,0)))</f>
        <v/>
      </c>
      <c r="C34" s="181">
        <f>IF(A34="","",IF(Dash_Class="الكل",INDEX(Cal_Pres,MATCH(A34,Cal_Date,0))+INDEX(Cal_Late,MATCH(A34,Cal_Date,0)),IF(Dash_Class="الكل",SUMIFS(CD_Pres,CD_Date,A34),SUMIFS(CD_Pres,CD_Date,A34,CD_Class,Dash_Class))+IF(Dash_Class="الكل",SUMIFS(CD_Late,CD_Date,A34),SUMIFS(CD_Late,CD_Date,A34,CD_Class,Dash_Class))))</f>
        <v/>
      </c>
      <c r="D34" s="181">
        <f>IF(A34="","",IF(Dash_Class="الكل",INDEX(Cal_Reg,MATCH(A34,Cal_Date,0)),IF(Dash_Class="الكل",SUMIFS(CD_Pres,CD_Date,A34),SUMIFS(CD_Pres,CD_Date,A34,CD_Class,Dash_Class))+IF(Dash_Class="الكل",SUMIFS(CD_Abs,CD_Date,A34),SUMIFS(CD_Abs,CD_Date,A34,CD_Class,Dash_Class))+IF(Dash_Class="الكل",SUMIFS(CD_Exc,CD_Date,A34),SUMIFS(CD_Exc,CD_Date,A34,CD_Class,Dash_Class))+IF(Dash_Class="الكل",SUMIFS(CD_Late,CD_Date,A34),SUMIFS(CD_Late,CD_Date,A34,CD_Class,Dash_Class))))</f>
        <v/>
      </c>
      <c r="E34" s="186">
        <f>IF(OR(A34="",D34=0),"",IF(Dash_Class="الكل",INDEX(Cal_Rate,MATCH(A34,Cal_Date,0)),(IF(Dash_Class="الكل",SUMIFS(CD_Pres,CD_Date,A34),SUMIFS(CD_Pres,CD_Date,A34,CD_Class,Dash_Class))+IF(LateAsPresent="نعم",IF(Dash_Class="الكل",SUMIFS(CD_Late,CD_Date,A34),SUMIFS(CD_Late,CD_Date,A34,CD_Class,Dash_Class)),0))/D34))</f>
        <v/>
      </c>
    </row>
    <row r="36">
      <c r="A36" s="183" t="inlineStr">
        <is>
          <t>مراجع القوائم (رقم الصف في جدول الطلاب)</t>
        </is>
      </c>
    </row>
    <row r="37" ht="18" customHeight="1">
      <c r="A37" s="184" t="inlineStr">
        <is>
          <t>الأعلى حضورًا</t>
        </is>
      </c>
      <c r="B37" s="184" t="inlineStr">
        <is>
          <t>يحتاجون دعمًا</t>
        </is>
      </c>
      <c r="C37" s="184" t="inlineStr">
        <is>
          <t>الحالات الحرجة</t>
        </is>
      </c>
      <c r="D37" s="184" t="inlineStr">
        <is>
          <t>تنبيهات اليوم</t>
        </is>
      </c>
    </row>
    <row r="38">
      <c r="A38" s="181">
        <f>IFERROR(MATCH(LARGE(Stu_KeyTop,1),Stu_KeyTop,0),"")</f>
        <v/>
      </c>
      <c r="B38" s="181">
        <f>IFERROR(MATCH(LARGE(Stu_KeySup,1),Stu_KeySup,0),"")</f>
        <v/>
      </c>
      <c r="C38" s="181">
        <f>IFERROR(MATCH(LARGE(Stu_KeyCrit,1),Stu_KeyCrit,0),"")</f>
        <v/>
      </c>
      <c r="D38" s="181">
        <f>IFERROR(MATCH(1,Stu_AlertSeq,0),"")</f>
        <v/>
      </c>
    </row>
    <row r="39">
      <c r="A39" s="181">
        <f>IFERROR(MATCH(LARGE(Stu_KeyTop,2),Stu_KeyTop,0),"")</f>
        <v/>
      </c>
      <c r="B39" s="181">
        <f>IFERROR(MATCH(LARGE(Stu_KeySup,2),Stu_KeySup,0),"")</f>
        <v/>
      </c>
      <c r="C39" s="181">
        <f>IFERROR(MATCH(LARGE(Stu_KeyCrit,2),Stu_KeyCrit,0),"")</f>
        <v/>
      </c>
      <c r="D39" s="181">
        <f>IFERROR(MATCH(2,Stu_AlertSeq,0),"")</f>
        <v/>
      </c>
    </row>
    <row r="40">
      <c r="A40" s="181">
        <f>IFERROR(MATCH(LARGE(Stu_KeyTop,3),Stu_KeyTop,0),"")</f>
        <v/>
      </c>
      <c r="B40" s="181">
        <f>IFERROR(MATCH(LARGE(Stu_KeySup,3),Stu_KeySup,0),"")</f>
        <v/>
      </c>
      <c r="C40" s="181">
        <f>IFERROR(MATCH(LARGE(Stu_KeyCrit,3),Stu_KeyCrit,0),"")</f>
        <v/>
      </c>
      <c r="D40" s="181">
        <f>IFERROR(MATCH(3,Stu_AlertSeq,0),"")</f>
        <v/>
      </c>
    </row>
    <row r="41">
      <c r="A41" s="181">
        <f>IFERROR(MATCH(LARGE(Stu_KeyTop,4),Stu_KeyTop,0),"")</f>
        <v/>
      </c>
      <c r="B41" s="181">
        <f>IFERROR(MATCH(LARGE(Stu_KeySup,4),Stu_KeySup,0),"")</f>
        <v/>
      </c>
      <c r="C41" s="181">
        <f>IFERROR(MATCH(LARGE(Stu_KeyCrit,4),Stu_KeyCrit,0),"")</f>
        <v/>
      </c>
      <c r="D41" s="181">
        <f>IFERROR(MATCH(4,Stu_AlertSeq,0),"")</f>
        <v/>
      </c>
    </row>
    <row r="42">
      <c r="A42" s="181">
        <f>IFERROR(MATCH(LARGE(Stu_KeyTop,5),Stu_KeyTop,0),"")</f>
        <v/>
      </c>
      <c r="B42" s="181">
        <f>IFERROR(MATCH(LARGE(Stu_KeySup,5),Stu_KeySup,0),"")</f>
        <v/>
      </c>
      <c r="C42" s="181">
        <f>IFERROR(MATCH(LARGE(Stu_KeyCrit,5),Stu_KeyCrit,0),"")</f>
        <v/>
      </c>
      <c r="D42" s="181">
        <f>IFERROR(MATCH(5,Stu_AlertSeq,0),"")</f>
        <v/>
      </c>
    </row>
    <row r="43">
      <c r="A43" s="181">
        <f>IFERROR(MATCH(LARGE(Stu_KeyTop,6),Stu_KeyTop,0),"")</f>
        <v/>
      </c>
      <c r="B43" s="181">
        <f>IFERROR(MATCH(LARGE(Stu_KeySup,6),Stu_KeySup,0),"")</f>
        <v/>
      </c>
      <c r="C43" s="181">
        <f>IFERROR(MATCH(LARGE(Stu_KeyCrit,6),Stu_KeyCrit,0),"")</f>
        <v/>
      </c>
      <c r="D43" s="181">
        <f>IFERROR(MATCH(6,Stu_AlertSeq,0),"")</f>
        <v/>
      </c>
    </row>
    <row r="44">
      <c r="A44" s="181">
        <f>IFERROR(MATCH(LARGE(Stu_KeyTop,7),Stu_KeyTop,0),"")</f>
        <v/>
      </c>
      <c r="B44" s="181">
        <f>IFERROR(MATCH(LARGE(Stu_KeySup,7),Stu_KeySup,0),"")</f>
        <v/>
      </c>
      <c r="C44" s="181">
        <f>IFERROR(MATCH(LARGE(Stu_KeyCrit,7),Stu_KeyCrit,0),"")</f>
        <v/>
      </c>
      <c r="D44" s="181">
        <f>IFERROR(MATCH(7,Stu_AlertSeq,0),"")</f>
        <v/>
      </c>
    </row>
    <row r="45">
      <c r="A45" s="181">
        <f>IFERROR(MATCH(LARGE(Stu_KeyTop,8),Stu_KeyTop,0),"")</f>
        <v/>
      </c>
      <c r="B45" s="181">
        <f>IFERROR(MATCH(LARGE(Stu_KeySup,8),Stu_KeySup,0),"")</f>
        <v/>
      </c>
      <c r="C45" s="181">
        <f>IFERROR(MATCH(LARGE(Stu_KeyCrit,8),Stu_KeyCrit,0),"")</f>
        <v/>
      </c>
      <c r="D45" s="181">
        <f>IFERROR(MATCH(8,Stu_AlertSeq,0),"")</f>
        <v/>
      </c>
    </row>
    <row r="46">
      <c r="A46" s="181">
        <f>IFERROR(MATCH(LARGE(Stu_KeyTop,9),Stu_KeyTop,0),"")</f>
        <v/>
      </c>
      <c r="B46" s="181">
        <f>IFERROR(MATCH(LARGE(Stu_KeySup,9),Stu_KeySup,0),"")</f>
        <v/>
      </c>
      <c r="C46" s="181">
        <f>IFERROR(MATCH(LARGE(Stu_KeyCrit,9),Stu_KeyCrit,0),"")</f>
        <v/>
      </c>
      <c r="D46" s="181">
        <f>IFERROR(MATCH(9,Stu_AlertSeq,0),"")</f>
        <v/>
      </c>
    </row>
    <row r="47">
      <c r="A47" s="181">
        <f>IFERROR(MATCH(LARGE(Stu_KeyTop,10),Stu_KeyTop,0),"")</f>
        <v/>
      </c>
      <c r="B47" s="181">
        <f>IFERROR(MATCH(LARGE(Stu_KeySup,10),Stu_KeySup,0),"")</f>
        <v/>
      </c>
      <c r="C47" s="181">
        <f>IFERROR(MATCH(LARGE(Stu_KeyCrit,10),Stu_KeyCrit,0),"")</f>
        <v/>
      </c>
      <c r="D47" s="181">
        <f>IFERROR(MATCH(10,Stu_AlertSeq,0),"")</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2026-09-15T16:38:12Z</dcterms:created>
  <dcterms:modified xmlns:dcterms="http://purl.org/dc/terms/" xmlns:xsi="http://www.w3.org/2001/XMLSchema-instance" xsi:type="dcterms:W3CDTF">2026-09-15T16:38:22Z</dcterms:modified>
</cp:coreProperties>
</file>